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codeName="ThisWorkbook" defaultThemeVersion="166925"/>
  <mc:AlternateContent xmlns:mc="http://schemas.openxmlformats.org/markup-compatibility/2006">
    <mc:Choice Requires="x15">
      <x15ac:absPath xmlns:x15ac="http://schemas.microsoft.com/office/spreadsheetml/2010/11/ac" url="D:\DESAJ NMT\2024\PROCESOS\SAMC 2024 09 OBRA INMUEBLES  NMT\ESTRUCTURACIÓN PROCESO\"/>
    </mc:Choice>
  </mc:AlternateContent>
  <xr:revisionPtr revIDLastSave="0" documentId="13_ncr:1_{17599F63-E223-4EDC-8F75-38F55E69D7D0}" xr6:coauthVersionLast="36" xr6:coauthVersionMax="36" xr10:uidLastSave="{00000000-0000-0000-0000-000000000000}"/>
  <bookViews>
    <workbookView xWindow="0" yWindow="0" windowWidth="13965" windowHeight="8925" firstSheet="2" activeTab="3" xr2:uid="{00000000-000D-0000-FFFF-FFFF00000000}"/>
  </bookViews>
  <sheets>
    <sheet name="especificación" sheetId="9" state="hidden" r:id="rId1"/>
    <sheet name="entrega abogada" sheetId="7" state="hidden" r:id="rId2"/>
    <sheet name="estudio inicial precios" sheetId="17" r:id="rId3"/>
    <sheet name="POE" sheetId="21" r:id="rId4"/>
    <sheet name="ACTIVIDADES DE OBRA A EJECUTAR" sheetId="26" r:id="rId5"/>
    <sheet name="selección precios unitario" sheetId="23" r:id="rId6"/>
    <sheet name="selección quemada" sheetId="24" state="hidden" r:id="rId7"/>
    <sheet name="valores unit indexados" sheetId="12" r:id="rId8"/>
    <sheet name="ejecución" sheetId="25" state="hidden" r:id="rId9"/>
    <sheet name="Análisis del AIU" sheetId="20" r:id="rId10"/>
    <sheet name="Contrato 013" sheetId="13" state="hidden" r:id="rId11"/>
    <sheet name="Contrato 028" sheetId="14" state="hidden" r:id="rId12"/>
    <sheet name="Contrato 041" sheetId="15" state="hidden" r:id="rId13"/>
    <sheet name="contrato 041 con adic" sheetId="19" state="hidden" r:id="rId14"/>
    <sheet name="Contrato 058" sheetId="16" state="hidden" r:id="rId15"/>
    <sheet name="Piedad Lorena" sheetId="10" state="hidden" r:id="rId16"/>
  </sheets>
  <externalReferences>
    <externalReference r:id="rId17"/>
    <externalReference r:id="rId18"/>
  </externalReferences>
  <definedNames>
    <definedName name="_xlnm._FilterDatabase" localSheetId="5" hidden="1">'selección precios unitario'!$A$4:$I$4</definedName>
    <definedName name="_xlnm._FilterDatabase" localSheetId="6" hidden="1">'selección quemada'!$A$2:$I$2</definedName>
    <definedName name="_xlnm._FilterDatabase" localSheetId="7" hidden="1">'valores unit indexados'!$L$13:$O$197</definedName>
    <definedName name="_xlnm.Print_Area" localSheetId="4">'ACTIVIDADES DE OBRA A EJECUTAR'!$A$3:$D$436</definedName>
    <definedName name="_xlnm.Print_Area" localSheetId="3">POE!$A$3:$Q$492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29" i="26" l="1"/>
  <c r="M560" i="17" l="1"/>
  <c r="M510" i="17"/>
  <c r="M470" i="17"/>
  <c r="M433" i="17"/>
  <c r="M392" i="17"/>
  <c r="M313" i="17"/>
  <c r="M233" i="17"/>
  <c r="M158" i="17"/>
  <c r="M139" i="17"/>
  <c r="M32" i="17"/>
  <c r="I6" i="20"/>
  <c r="I7" i="20"/>
  <c r="I8" i="20"/>
  <c r="I5" i="20"/>
  <c r="H6" i="20"/>
  <c r="H7" i="20"/>
  <c r="H8" i="20"/>
  <c r="H5" i="20"/>
  <c r="B13" i="17" l="1"/>
  <c r="F18" i="23"/>
  <c r="E18" i="23"/>
  <c r="C18" i="23"/>
  <c r="B18" i="23"/>
  <c r="A18" i="23"/>
  <c r="C135" i="21"/>
  <c r="C129" i="26" s="1"/>
  <c r="D135" i="21"/>
  <c r="D129" i="26" s="1"/>
  <c r="E135" i="21"/>
  <c r="G135" i="21"/>
  <c r="K135" i="21"/>
  <c r="B135" i="21"/>
  <c r="O150" i="17"/>
  <c r="D18" i="23" s="1"/>
  <c r="N150" i="17"/>
  <c r="N135" i="21" s="1"/>
  <c r="M150" i="17"/>
  <c r="M135" i="21" s="1"/>
  <c r="L150" i="17"/>
  <c r="L135" i="21" s="1"/>
  <c r="I150" i="17"/>
  <c r="J150" i="17" s="1"/>
  <c r="H150" i="17"/>
  <c r="H135" i="21" s="1"/>
  <c r="F150" i="17"/>
  <c r="F135" i="21" s="1"/>
  <c r="O135" i="21" l="1"/>
  <c r="I135" i="21"/>
  <c r="J135" i="21"/>
  <c r="B19" i="26"/>
  <c r="C18" i="26"/>
  <c r="B18" i="26"/>
  <c r="C17" i="26"/>
  <c r="B17" i="26"/>
  <c r="C16" i="26"/>
  <c r="B16" i="26"/>
  <c r="C15" i="26"/>
  <c r="B15" i="26"/>
  <c r="B13" i="26"/>
  <c r="B12" i="26"/>
  <c r="B11" i="26"/>
  <c r="B10" i="26"/>
  <c r="B9" i="26"/>
  <c r="B8" i="26"/>
  <c r="B7" i="26"/>
  <c r="B6" i="26"/>
  <c r="B5" i="26"/>
  <c r="B13" i="21" l="1"/>
  <c r="B14" i="17" s="1"/>
  <c r="B12" i="21"/>
  <c r="B12" i="17" s="1"/>
  <c r="B11" i="21"/>
  <c r="B11" i="17" s="1"/>
  <c r="B10" i="21"/>
  <c r="B10" i="17" s="1"/>
  <c r="B9" i="21"/>
  <c r="B9" i="17" s="1"/>
  <c r="B8" i="21"/>
  <c r="B8" i="17" s="1"/>
  <c r="B7" i="21"/>
  <c r="B7" i="17" s="1"/>
  <c r="B6" i="21"/>
  <c r="B6" i="17" s="1"/>
  <c r="B5" i="21"/>
  <c r="B5" i="17" s="1"/>
  <c r="P504" i="17"/>
  <c r="P554" i="17" s="1"/>
  <c r="P567" i="17" s="1"/>
  <c r="P505" i="17"/>
  <c r="P555" i="17" s="1"/>
  <c r="P568" i="17" s="1"/>
  <c r="P506" i="17"/>
  <c r="P556" i="17" s="1"/>
  <c r="P569" i="17" s="1"/>
  <c r="P507" i="17"/>
  <c r="P557" i="17" s="1"/>
  <c r="P570" i="17" s="1"/>
  <c r="P386" i="17"/>
  <c r="P387" i="17"/>
  <c r="P388" i="17"/>
  <c r="P389" i="17"/>
  <c r="I155" i="17"/>
  <c r="I154" i="17"/>
  <c r="I153" i="17"/>
  <c r="I152" i="17"/>
  <c r="W137" i="25" l="1"/>
  <c r="U145" i="25" s="1"/>
  <c r="W86" i="25"/>
  <c r="U94" i="25" s="1"/>
  <c r="W52" i="25"/>
  <c r="U60" i="25" s="1"/>
  <c r="U61" i="25" s="1"/>
  <c r="U62" i="25" s="1"/>
  <c r="U63" i="25" s="1"/>
  <c r="U64" i="25" s="1"/>
  <c r="W2" i="25"/>
  <c r="U10" i="25" s="1"/>
  <c r="U11" i="25" s="1"/>
  <c r="U12" i="25" s="1"/>
  <c r="U13" i="25" s="1"/>
  <c r="F6" i="25"/>
  <c r="W69" i="25" s="1"/>
  <c r="U77" i="25" s="1"/>
  <c r="F9" i="25"/>
  <c r="W120" i="25" s="1"/>
  <c r="U128" i="25" s="1"/>
  <c r="U129" i="25" s="1"/>
  <c r="F8" i="25"/>
  <c r="W103" i="25" s="1"/>
  <c r="U111" i="25" s="1"/>
  <c r="U112" i="25" s="1"/>
  <c r="U113" i="25" s="1"/>
  <c r="U114" i="25" s="1"/>
  <c r="U115" i="25" s="1"/>
  <c r="F3" i="25"/>
  <c r="V144" i="25"/>
  <c r="X141" i="25"/>
  <c r="V127" i="25"/>
  <c r="X124" i="25"/>
  <c r="V110" i="25"/>
  <c r="X107" i="25"/>
  <c r="V93" i="25"/>
  <c r="X90" i="25"/>
  <c r="V76" i="25"/>
  <c r="X73" i="25"/>
  <c r="E10" i="25"/>
  <c r="U136" i="25" s="1"/>
  <c r="E3" i="25"/>
  <c r="U19" i="25" s="1"/>
  <c r="E4" i="25"/>
  <c r="U35" i="25" s="1"/>
  <c r="E5" i="25"/>
  <c r="U51" i="25" s="1"/>
  <c r="E6" i="25"/>
  <c r="U68" i="25" s="1"/>
  <c r="E7" i="25"/>
  <c r="U85" i="25" s="1"/>
  <c r="E8" i="25"/>
  <c r="U102" i="25" s="1"/>
  <c r="E9" i="25"/>
  <c r="U119" i="25" s="1"/>
  <c r="C5" i="25"/>
  <c r="F4" i="25" s="1"/>
  <c r="W36" i="25" s="1"/>
  <c r="U44" i="25" s="1"/>
  <c r="U45" i="25" s="1"/>
  <c r="U46" i="25" s="1"/>
  <c r="U78" i="25" l="1"/>
  <c r="U130" i="25"/>
  <c r="V94" i="25"/>
  <c r="U95" i="25"/>
  <c r="U146" i="25"/>
  <c r="U147" i="25" s="1"/>
  <c r="U148" i="25" s="1"/>
  <c r="U149" i="25" s="1"/>
  <c r="V145" i="25"/>
  <c r="V128" i="25"/>
  <c r="W141" i="25"/>
  <c r="V129" i="25"/>
  <c r="W124" i="25"/>
  <c r="V111" i="25"/>
  <c r="W107" i="25"/>
  <c r="W90" i="25"/>
  <c r="V77" i="25"/>
  <c r="W73" i="25"/>
  <c r="U79" i="25" l="1"/>
  <c r="U80" i="25" s="1"/>
  <c r="U81" i="25" s="1"/>
  <c r="U131" i="25"/>
  <c r="U96" i="25"/>
  <c r="V146" i="25"/>
  <c r="V147" i="25"/>
  <c r="V130" i="25"/>
  <c r="V112" i="25"/>
  <c r="V113" i="25"/>
  <c r="V95" i="25"/>
  <c r="V78" i="25"/>
  <c r="G19" i="26" l="1"/>
  <c r="G14" i="26" s="1"/>
  <c r="G15" i="26" s="1"/>
  <c r="V79" i="25"/>
  <c r="U132" i="25"/>
  <c r="Z120" i="25" s="1"/>
  <c r="U97" i="25"/>
  <c r="V148" i="25"/>
  <c r="V131" i="25"/>
  <c r="Z103" i="25"/>
  <c r="V114" i="25"/>
  <c r="V96" i="25"/>
  <c r="V80" i="25"/>
  <c r="Z121" i="25" l="1"/>
  <c r="W127" i="25" s="1"/>
  <c r="U133" i="25"/>
  <c r="V149" i="25"/>
  <c r="Z138" i="25"/>
  <c r="Z137" i="25"/>
  <c r="V132" i="25"/>
  <c r="Z104" i="25"/>
  <c r="W110" i="25" s="1"/>
  <c r="V115" i="25"/>
  <c r="V97" i="25"/>
  <c r="U98" i="25"/>
  <c r="V81" i="25"/>
  <c r="Z69" i="25"/>
  <c r="Z70" i="25"/>
  <c r="B56" i="20"/>
  <c r="E49" i="20"/>
  <c r="B46" i="20"/>
  <c r="W131" i="25" l="1"/>
  <c r="W132" i="25"/>
  <c r="W130" i="25"/>
  <c r="W128" i="25"/>
  <c r="W129" i="25"/>
  <c r="W77" i="25"/>
  <c r="W78" i="25"/>
  <c r="Z86" i="25"/>
  <c r="W144" i="25"/>
  <c r="W76" i="25"/>
  <c r="V98" i="25"/>
  <c r="Z87" i="25"/>
  <c r="I7" i="21"/>
  <c r="I4" i="21"/>
  <c r="X128" i="25" l="1"/>
  <c r="X130" i="25"/>
  <c r="X129" i="25"/>
  <c r="X132" i="25"/>
  <c r="X131" i="25"/>
  <c r="X127" i="25"/>
  <c r="W98" i="25"/>
  <c r="W93" i="25"/>
  <c r="W94" i="25"/>
  <c r="W95" i="25"/>
  <c r="W96" i="25"/>
  <c r="W97" i="25"/>
  <c r="O513" i="17"/>
  <c r="V59" i="25"/>
  <c r="X56" i="25"/>
  <c r="V43" i="25"/>
  <c r="X40" i="25"/>
  <c r="V27" i="25"/>
  <c r="W22" i="25"/>
  <c r="X24" i="25" s="1"/>
  <c r="V9" i="25"/>
  <c r="W4" i="25"/>
  <c r="X6" i="25" s="1"/>
  <c r="X133" i="25" l="1"/>
  <c r="W6" i="25"/>
  <c r="W24" i="25"/>
  <c r="W40" i="25"/>
  <c r="W56" i="25"/>
  <c r="AA9" i="25" l="1"/>
  <c r="AA110" i="25"/>
  <c r="AA76" i="25"/>
  <c r="AA144" i="25"/>
  <c r="AA127" i="25"/>
  <c r="AA145" i="25"/>
  <c r="AA94" i="25"/>
  <c r="AA128" i="25"/>
  <c r="AA93" i="25"/>
  <c r="AA111" i="25"/>
  <c r="AA77" i="25"/>
  <c r="AA129" i="25"/>
  <c r="AA146" i="25"/>
  <c r="AA147" i="25"/>
  <c r="AA130" i="25"/>
  <c r="AA113" i="25"/>
  <c r="AA79" i="25"/>
  <c r="AA112" i="25"/>
  <c r="AA95" i="25"/>
  <c r="AA78" i="25"/>
  <c r="AA96" i="25"/>
  <c r="AA114" i="25"/>
  <c r="AA80" i="25"/>
  <c r="AA148" i="25"/>
  <c r="AA131" i="25"/>
  <c r="AA115" i="25"/>
  <c r="AA81" i="25"/>
  <c r="AA149" i="25"/>
  <c r="AA132" i="25"/>
  <c r="AA97" i="25"/>
  <c r="AA98" i="25"/>
  <c r="AA43" i="25"/>
  <c r="AA27" i="25"/>
  <c r="AA59" i="25"/>
  <c r="A1" i="25"/>
  <c r="C1" i="25"/>
  <c r="A2" i="25"/>
  <c r="A3" i="25"/>
  <c r="A4" i="25"/>
  <c r="A5" i="25"/>
  <c r="A6" i="25"/>
  <c r="E11" i="25" s="1"/>
  <c r="E35" i="20"/>
  <c r="E36" i="20"/>
  <c r="E38" i="20"/>
  <c r="E34" i="20"/>
  <c r="V60" i="25" l="1"/>
  <c r="AA60" i="25" s="1"/>
  <c r="V10" i="25"/>
  <c r="AA10" i="25" s="1"/>
  <c r="V61" i="25" l="1"/>
  <c r="AA61" i="25" s="1"/>
  <c r="V11" i="25"/>
  <c r="AA11" i="25" s="1"/>
  <c r="V62" i="25" l="1"/>
  <c r="AA62" i="25" s="1"/>
  <c r="V12" i="25"/>
  <c r="AA12" i="25" s="1"/>
  <c r="V63" i="25" l="1"/>
  <c r="AA63" i="25" s="1"/>
  <c r="U14" i="25"/>
  <c r="L2" i="25" s="1"/>
  <c r="V13" i="25"/>
  <c r="AA13" i="25" s="1"/>
  <c r="V64" i="25" l="1"/>
  <c r="AA64" i="25" s="1"/>
  <c r="Z52" i="25"/>
  <c r="Z53" i="25"/>
  <c r="V14" i="25"/>
  <c r="AA14" i="25" s="1"/>
  <c r="Z2" i="25"/>
  <c r="Z3" i="25"/>
  <c r="W149" i="25" l="1"/>
  <c r="W115" i="25"/>
  <c r="W81" i="25"/>
  <c r="W145" i="25"/>
  <c r="W112" i="25"/>
  <c r="W111" i="25"/>
  <c r="W146" i="25"/>
  <c r="W79" i="25"/>
  <c r="W113" i="25"/>
  <c r="W147" i="25"/>
  <c r="W114" i="25"/>
  <c r="W148" i="25"/>
  <c r="W80" i="25"/>
  <c r="W59" i="25"/>
  <c r="W60" i="25"/>
  <c r="W61" i="25"/>
  <c r="W62" i="25"/>
  <c r="W63" i="25"/>
  <c r="W64" i="25"/>
  <c r="W9" i="25"/>
  <c r="W10" i="25"/>
  <c r="W11" i="25"/>
  <c r="W12" i="25"/>
  <c r="W13" i="25"/>
  <c r="W14" i="25"/>
  <c r="X146" i="25" l="1"/>
  <c r="X113" i="25"/>
  <c r="X147" i="25"/>
  <c r="X79" i="25"/>
  <c r="X96" i="25"/>
  <c r="X114" i="25"/>
  <c r="X95" i="25"/>
  <c r="X78" i="25"/>
  <c r="X98" i="25"/>
  <c r="X93" i="25"/>
  <c r="X110" i="25"/>
  <c r="X149" i="25"/>
  <c r="X81" i="25"/>
  <c r="X115" i="25"/>
  <c r="X144" i="25"/>
  <c r="X97" i="25"/>
  <c r="X77" i="25"/>
  <c r="X76" i="25"/>
  <c r="X80" i="25"/>
  <c r="X112" i="25"/>
  <c r="X111" i="25"/>
  <c r="X148" i="25"/>
  <c r="X145" i="25"/>
  <c r="X94" i="25"/>
  <c r="X60" i="25"/>
  <c r="X61" i="25"/>
  <c r="X59" i="25"/>
  <c r="X14" i="25"/>
  <c r="X64" i="25"/>
  <c r="X63" i="25"/>
  <c r="X62" i="25"/>
  <c r="X13" i="25"/>
  <c r="X12" i="25"/>
  <c r="X11" i="25"/>
  <c r="X10" i="25"/>
  <c r="X9" i="25"/>
  <c r="X82" i="25" l="1"/>
  <c r="X150" i="25"/>
  <c r="X116" i="25"/>
  <c r="X99" i="25"/>
  <c r="X65" i="25"/>
  <c r="X15" i="25"/>
  <c r="B17" i="17" l="1"/>
  <c r="B18" i="17"/>
  <c r="B19" i="17"/>
  <c r="B16" i="17"/>
  <c r="E51" i="20"/>
  <c r="D37" i="20"/>
  <c r="E37" i="20" s="1"/>
  <c r="B47" i="20"/>
  <c r="E47" i="20" s="1"/>
  <c r="B53" i="20"/>
  <c r="D41" i="20"/>
  <c r="D40" i="20"/>
  <c r="F35" i="20"/>
  <c r="F34" i="20"/>
  <c r="H34" i="20" s="1"/>
  <c r="E40" i="20" l="1"/>
  <c r="F40" i="20" s="1"/>
  <c r="H40" i="20" s="1"/>
  <c r="E41" i="20"/>
  <c r="F41" i="20" s="1"/>
  <c r="H41" i="20" s="1"/>
  <c r="B48" i="20"/>
  <c r="E48" i="20" s="1"/>
  <c r="E46" i="20"/>
  <c r="G46" i="20" s="1"/>
  <c r="D39" i="20"/>
  <c r="F36" i="20"/>
  <c r="F38" i="20"/>
  <c r="H38" i="20" s="1"/>
  <c r="F37" i="20"/>
  <c r="H37" i="20" s="1"/>
  <c r="E31" i="21"/>
  <c r="E39" i="20" l="1"/>
  <c r="F39" i="20" s="1"/>
  <c r="H39" i="20" s="1"/>
  <c r="I4" i="20"/>
  <c r="H4" i="20"/>
  <c r="O375" i="21"/>
  <c r="O285" i="21"/>
  <c r="G3" i="23"/>
  <c r="F3" i="23"/>
  <c r="E3" i="23"/>
  <c r="I417" i="23"/>
  <c r="I213" i="24" s="1"/>
  <c r="I416" i="23"/>
  <c r="I137" i="24" s="1"/>
  <c r="I415" i="23"/>
  <c r="I57" i="24" s="1"/>
  <c r="I406" i="23"/>
  <c r="I262" i="24" s="1"/>
  <c r="I394" i="23"/>
  <c r="I242" i="24" s="1"/>
  <c r="I401" i="23"/>
  <c r="I109" i="24" s="1"/>
  <c r="I385" i="23"/>
  <c r="I13" i="24" s="1"/>
  <c r="I387" i="23"/>
  <c r="I296" i="24" s="1"/>
  <c r="I384" i="23"/>
  <c r="I170" i="24" s="1"/>
  <c r="I382" i="23"/>
  <c r="I112" i="24" s="1"/>
  <c r="I383" i="23"/>
  <c r="I111" i="24" s="1"/>
  <c r="I381" i="23"/>
  <c r="I90" i="24" s="1"/>
  <c r="I380" i="23"/>
  <c r="I385" i="24" s="1"/>
  <c r="I378" i="23"/>
  <c r="I352" i="24" s="1"/>
  <c r="I376" i="23"/>
  <c r="I331" i="24" s="1"/>
  <c r="I374" i="23"/>
  <c r="I305" i="24" s="1"/>
  <c r="I370" i="23"/>
  <c r="I185" i="24" s="1"/>
  <c r="I368" i="23"/>
  <c r="I110" i="24" s="1"/>
  <c r="I365" i="23"/>
  <c r="I36" i="24" s="1"/>
  <c r="I355" i="23"/>
  <c r="I148" i="24" s="1"/>
  <c r="I354" i="23"/>
  <c r="I350" i="24" s="1"/>
  <c r="I351" i="23"/>
  <c r="I74" i="24" s="1"/>
  <c r="I347" i="23"/>
  <c r="I14" i="24" s="1"/>
  <c r="I348" i="23"/>
  <c r="I125" i="24" s="1"/>
  <c r="I350" i="23"/>
  <c r="I34" i="24" s="1"/>
  <c r="I343" i="23"/>
  <c r="I225" i="24" s="1"/>
  <c r="I317" i="23"/>
  <c r="I20" i="24" s="1"/>
  <c r="I315" i="23"/>
  <c r="I174" i="24" s="1"/>
  <c r="I312" i="23"/>
  <c r="I253" i="24" s="1"/>
  <c r="I313" i="23"/>
  <c r="I19" i="24" s="1"/>
  <c r="I314" i="23"/>
  <c r="I202" i="24" s="1"/>
  <c r="I311" i="23"/>
  <c r="I257" i="24" s="1"/>
  <c r="I299" i="23"/>
  <c r="I21" i="24" s="1"/>
  <c r="I298" i="23"/>
  <c r="I78" i="24" s="1"/>
  <c r="I286" i="23"/>
  <c r="I181" i="24" s="1"/>
  <c r="I285" i="23"/>
  <c r="I60" i="24" s="1"/>
  <c r="I284" i="23"/>
  <c r="I61" i="24" s="1"/>
  <c r="I282" i="23"/>
  <c r="I260" i="24" s="1"/>
  <c r="I281" i="23"/>
  <c r="I280" i="24" s="1"/>
  <c r="I276" i="23"/>
  <c r="I413" i="24" s="1"/>
  <c r="I268" i="23"/>
  <c r="I199" i="24" s="1"/>
  <c r="I269" i="23"/>
  <c r="I316" i="24" s="1"/>
  <c r="I270" i="23"/>
  <c r="I343" i="24" s="1"/>
  <c r="I271" i="23"/>
  <c r="I406" i="24" s="1"/>
  <c r="I272" i="23"/>
  <c r="I414" i="24" s="1"/>
  <c r="I266" i="23"/>
  <c r="I320" i="24" s="1"/>
  <c r="I267" i="23"/>
  <c r="I17" i="24" s="1"/>
  <c r="I265" i="23"/>
  <c r="I150" i="24" s="1"/>
  <c r="I258" i="23"/>
  <c r="I371" i="24" s="1"/>
  <c r="I239" i="23"/>
  <c r="I358" i="24" s="1"/>
  <c r="I238" i="23"/>
  <c r="I380" i="24" s="1"/>
  <c r="I237" i="23"/>
  <c r="I379" i="24" s="1"/>
  <c r="I235" i="23"/>
  <c r="I149" i="24" s="1"/>
  <c r="I234" i="23"/>
  <c r="I122" i="24" s="1"/>
  <c r="I230" i="23"/>
  <c r="I370" i="24" s="1"/>
  <c r="I225" i="23"/>
  <c r="I382" i="24" s="1"/>
  <c r="I222" i="23"/>
  <c r="I197" i="24" s="1"/>
  <c r="I221" i="23"/>
  <c r="I163" i="24" s="1"/>
  <c r="I210" i="23"/>
  <c r="I68" i="24" s="1"/>
  <c r="I209" i="23"/>
  <c r="I152" i="24" s="1"/>
  <c r="I218" i="23"/>
  <c r="I138" i="24" s="1"/>
  <c r="I219" i="23"/>
  <c r="I214" i="24" s="1"/>
  <c r="I217" i="23"/>
  <c r="I58" i="24" s="1"/>
  <c r="I204" i="23"/>
  <c r="I203" i="23"/>
  <c r="I15" i="24" s="1"/>
  <c r="I202" i="23"/>
  <c r="I301" i="24" s="1"/>
  <c r="I201" i="23"/>
  <c r="I364" i="24" s="1"/>
  <c r="I198" i="23"/>
  <c r="I284" i="24" s="1"/>
  <c r="I194" i="23"/>
  <c r="I86" i="24" s="1"/>
  <c r="I193" i="23"/>
  <c r="I264" i="24" s="1"/>
  <c r="I192" i="23"/>
  <c r="I405" i="24" s="1"/>
  <c r="I179" i="23"/>
  <c r="I87" i="24" s="1"/>
  <c r="I173" i="23"/>
  <c r="I276" i="24" s="1"/>
  <c r="I172" i="23"/>
  <c r="I5" i="24" s="1"/>
  <c r="I171" i="23"/>
  <c r="I33" i="24" s="1"/>
  <c r="I170" i="23"/>
  <c r="I83" i="24" s="1"/>
  <c r="I166" i="23"/>
  <c r="I302" i="24" s="1"/>
  <c r="N39" i="12"/>
  <c r="I155" i="23"/>
  <c r="I180" i="24" s="1"/>
  <c r="I145" i="23"/>
  <c r="I107" i="24" s="1"/>
  <c r="I140" i="23"/>
  <c r="I172" i="24" s="1"/>
  <c r="I139" i="23"/>
  <c r="I188" i="24" s="1"/>
  <c r="I135" i="23"/>
  <c r="I256" i="24" s="1"/>
  <c r="I133" i="23"/>
  <c r="I267" i="24" s="1"/>
  <c r="I132" i="23"/>
  <c r="I268" i="24" s="1"/>
  <c r="I131" i="23"/>
  <c r="I319" i="24" s="1"/>
  <c r="I124" i="23"/>
  <c r="I400" i="24" s="1"/>
  <c r="I102" i="23"/>
  <c r="I179" i="24" s="1"/>
  <c r="I101" i="23"/>
  <c r="I395" i="24" s="1"/>
  <c r="I98" i="23"/>
  <c r="I394" i="24" s="1"/>
  <c r="I97" i="23"/>
  <c r="I412" i="24" s="1"/>
  <c r="I95" i="23"/>
  <c r="I228" i="24" s="1"/>
  <c r="I94" i="23"/>
  <c r="I230" i="24" s="1"/>
  <c r="I91" i="23"/>
  <c r="I378" i="24" s="1"/>
  <c r="I89" i="23"/>
  <c r="I375" i="24" s="1"/>
  <c r="I88" i="23"/>
  <c r="I376" i="24" s="1"/>
  <c r="I87" i="23"/>
  <c r="I234" i="24" s="1"/>
  <c r="I85" i="23"/>
  <c r="I299" i="24" s="1"/>
  <c r="I84" i="23"/>
  <c r="I83" i="23"/>
  <c r="I236" i="24" s="1"/>
  <c r="I80" i="23"/>
  <c r="I252" i="24" s="1"/>
  <c r="I79" i="23"/>
  <c r="I171" i="24" s="1"/>
  <c r="I76" i="23"/>
  <c r="I104" i="24" s="1"/>
  <c r="I75" i="23"/>
  <c r="I105" i="24" s="1"/>
  <c r="I67" i="23"/>
  <c r="I409" i="24" s="1"/>
  <c r="I62" i="23"/>
  <c r="I293" i="24" s="1"/>
  <c r="I57" i="23"/>
  <c r="I328" i="24" s="1"/>
  <c r="I58" i="23"/>
  <c r="I362" i="24" s="1"/>
  <c r="I56" i="23"/>
  <c r="I275" i="24" s="1"/>
  <c r="I55" i="23"/>
  <c r="I4" i="24" s="1"/>
  <c r="I52" i="23"/>
  <c r="I263" i="24" s="1"/>
  <c r="I51" i="23"/>
  <c r="I186" i="24" s="1"/>
  <c r="I50" i="23"/>
  <c r="I8" i="24" s="1"/>
  <c r="I49" i="23"/>
  <c r="I372" i="24" s="1"/>
  <c r="I48" i="23"/>
  <c r="I121" i="24" s="1"/>
  <c r="I47" i="23"/>
  <c r="I151" i="24" s="1"/>
  <c r="I46" i="23"/>
  <c r="I401" i="24" s="1"/>
  <c r="I45" i="23"/>
  <c r="I155" i="24" s="1"/>
  <c r="I42" i="23"/>
  <c r="I239" i="24" s="1"/>
  <c r="I40" i="23"/>
  <c r="I167" i="24" s="1"/>
  <c r="I38" i="23"/>
  <c r="I283" i="24" s="1"/>
  <c r="I37" i="23"/>
  <c r="I84" i="24" s="1"/>
  <c r="I36" i="23"/>
  <c r="I85" i="24" s="1"/>
  <c r="I35" i="23"/>
  <c r="I403" i="24" s="1"/>
  <c r="I32" i="23"/>
  <c r="I282" i="24" s="1"/>
  <c r="I30" i="23"/>
  <c r="I71" i="24" s="1"/>
  <c r="I26" i="23"/>
  <c r="I9" i="24" s="1"/>
  <c r="I21" i="23"/>
  <c r="I259" i="24" s="1"/>
  <c r="I17" i="23"/>
  <c r="G272" i="23"/>
  <c r="G276" i="23"/>
  <c r="G97" i="23"/>
  <c r="I340" i="23"/>
  <c r="I410" i="24" s="1"/>
  <c r="G340" i="23"/>
  <c r="G67" i="23"/>
  <c r="G344" i="23"/>
  <c r="G271" i="23"/>
  <c r="G192" i="23"/>
  <c r="G305" i="23"/>
  <c r="G35" i="23"/>
  <c r="G46" i="23"/>
  <c r="G124" i="23"/>
  <c r="G101" i="23"/>
  <c r="G98" i="23"/>
  <c r="G380" i="23"/>
  <c r="G405" i="23"/>
  <c r="G339" i="23"/>
  <c r="G257" i="23"/>
  <c r="G123" i="23"/>
  <c r="I363" i="23"/>
  <c r="I390" i="24" s="1"/>
  <c r="G363" i="23"/>
  <c r="I397" i="23"/>
  <c r="I388" i="24" s="1"/>
  <c r="G397" i="23"/>
  <c r="G225" i="23"/>
  <c r="G44" i="23"/>
  <c r="G238" i="23"/>
  <c r="G237" i="23"/>
  <c r="G91" i="23"/>
  <c r="G90" i="23"/>
  <c r="G88" i="23"/>
  <c r="G89" i="23"/>
  <c r="I236" i="23"/>
  <c r="I366" i="24" s="1"/>
  <c r="G236" i="23"/>
  <c r="G41" i="23"/>
  <c r="G201" i="23"/>
  <c r="I409" i="23"/>
  <c r="I363" i="24" s="1"/>
  <c r="G409" i="23"/>
  <c r="G58" i="23"/>
  <c r="I288" i="23"/>
  <c r="I373" i="24" s="1"/>
  <c r="G288" i="23"/>
  <c r="G49" i="23"/>
  <c r="G258" i="23"/>
  <c r="G230" i="23"/>
  <c r="I162" i="23"/>
  <c r="I369" i="24" s="1"/>
  <c r="G162" i="23"/>
  <c r="G411" i="23"/>
  <c r="G53" i="23"/>
  <c r="I92" i="23"/>
  <c r="I361" i="24" s="1"/>
  <c r="G92" i="23"/>
  <c r="G378" i="23"/>
  <c r="G398" i="23"/>
  <c r="G337" i="23"/>
  <c r="G239" i="23"/>
  <c r="G121" i="23"/>
  <c r="G377" i="23"/>
  <c r="I389" i="23"/>
  <c r="I355" i="24" s="1"/>
  <c r="G389" i="23"/>
  <c r="G354" i="23"/>
  <c r="G388" i="23"/>
  <c r="G64" i="23"/>
  <c r="G270" i="23"/>
  <c r="G376" i="23"/>
  <c r="G404" i="23"/>
  <c r="G253" i="23"/>
  <c r="G119" i="23"/>
  <c r="I362" i="23"/>
  <c r="I337" i="24" s="1"/>
  <c r="G362" i="23"/>
  <c r="I396" i="23"/>
  <c r="I335" i="24" s="1"/>
  <c r="G396" i="23"/>
  <c r="G57" i="23"/>
  <c r="G352" i="23"/>
  <c r="I321" i="23"/>
  <c r="I325" i="24" s="1"/>
  <c r="G321" i="23"/>
  <c r="I418" i="23"/>
  <c r="I323" i="24" s="1"/>
  <c r="G418" i="23"/>
  <c r="G63" i="23"/>
  <c r="I232" i="23"/>
  <c r="G266" i="23"/>
  <c r="G131" i="23"/>
  <c r="I165" i="23"/>
  <c r="I317" i="24" s="1"/>
  <c r="G165" i="23"/>
  <c r="G269" i="23"/>
  <c r="I61" i="23"/>
  <c r="I314" i="24" s="1"/>
  <c r="G61" i="23"/>
  <c r="G374" i="23"/>
  <c r="G403" i="23"/>
  <c r="G250" i="23"/>
  <c r="G117" i="23"/>
  <c r="I361" i="23"/>
  <c r="I310" i="24" s="1"/>
  <c r="G361" i="23"/>
  <c r="I395" i="23"/>
  <c r="I308" i="24" s="1"/>
  <c r="G395" i="23"/>
  <c r="G166" i="23"/>
  <c r="G202" i="23"/>
  <c r="I233" i="23"/>
  <c r="I300" i="24" s="1"/>
  <c r="G233" i="23"/>
  <c r="G85" i="23"/>
  <c r="G43" i="23"/>
  <c r="G353" i="23"/>
  <c r="G387" i="23"/>
  <c r="G62" i="23"/>
  <c r="I231" i="23"/>
  <c r="I292" i="24" s="1"/>
  <c r="G408" i="23"/>
  <c r="I408" i="23" s="1"/>
  <c r="I278" i="24" s="1"/>
  <c r="G173" i="23"/>
  <c r="G56" i="23"/>
  <c r="G204" i="23"/>
  <c r="G349" i="23"/>
  <c r="G386" i="23"/>
  <c r="G198" i="23"/>
  <c r="G38" i="23"/>
  <c r="G32" i="23"/>
  <c r="I60" i="23"/>
  <c r="I281" i="24" s="1"/>
  <c r="G60" i="23"/>
  <c r="G281" i="23"/>
  <c r="I164" i="23"/>
  <c r="I270" i="24" s="1"/>
  <c r="G164" i="23"/>
  <c r="G291" i="23"/>
  <c r="I291" i="23" s="1"/>
  <c r="I261" i="24" s="1"/>
  <c r="G282" i="23"/>
  <c r="G21" i="23"/>
  <c r="I410" i="23"/>
  <c r="I258" i="24" s="1"/>
  <c r="G410" i="23"/>
  <c r="G311" i="23"/>
  <c r="G135" i="23"/>
  <c r="G31" i="23"/>
  <c r="G312" i="23"/>
  <c r="G132" i="23"/>
  <c r="G133" i="23"/>
  <c r="I103" i="23"/>
  <c r="I266" i="24" s="1"/>
  <c r="G103" i="23"/>
  <c r="G193" i="23"/>
  <c r="G52" i="23"/>
  <c r="G406" i="23"/>
  <c r="G80" i="23"/>
  <c r="G372" i="23"/>
  <c r="G394" i="23"/>
  <c r="G247" i="23"/>
  <c r="G115" i="23"/>
  <c r="I360" i="23"/>
  <c r="I248" i="24" s="1"/>
  <c r="G360" i="23"/>
  <c r="I393" i="23"/>
  <c r="I246" i="24" s="1"/>
  <c r="G393" i="23"/>
  <c r="I304" i="23"/>
  <c r="I240" i="24" s="1"/>
  <c r="G304" i="23"/>
  <c r="G42" i="23"/>
  <c r="I96" i="23"/>
  <c r="I238" i="24" s="1"/>
  <c r="G96" i="23"/>
  <c r="G86" i="23"/>
  <c r="G83" i="23"/>
  <c r="G84" i="23"/>
  <c r="G87" i="23"/>
  <c r="I81" i="23"/>
  <c r="I233" i="24" s="1"/>
  <c r="G81" i="23"/>
  <c r="I356" i="23"/>
  <c r="I232" i="24" s="1"/>
  <c r="G356" i="23"/>
  <c r="I82" i="23"/>
  <c r="G82" i="23"/>
  <c r="G94" i="23"/>
  <c r="G93" i="23"/>
  <c r="G95" i="23"/>
  <c r="G66" i="23"/>
  <c r="G343" i="23"/>
  <c r="G219" i="23"/>
  <c r="G268" i="23"/>
  <c r="G168" i="23"/>
  <c r="G222" i="23"/>
  <c r="G139" i="23"/>
  <c r="G51" i="23"/>
  <c r="G370" i="23"/>
  <c r="G402" i="23"/>
  <c r="G245" i="23"/>
  <c r="G113" i="23"/>
  <c r="I359" i="23"/>
  <c r="I193" i="24" s="1"/>
  <c r="G359" i="23"/>
  <c r="I392" i="23"/>
  <c r="I191" i="24" s="1"/>
  <c r="G392" i="23"/>
  <c r="G315" i="23"/>
  <c r="G286" i="23"/>
  <c r="G155" i="23"/>
  <c r="G102" i="23"/>
  <c r="G208" i="23"/>
  <c r="G346" i="23"/>
  <c r="G27" i="23"/>
  <c r="I226" i="23"/>
  <c r="I164" i="24" s="1"/>
  <c r="G226" i="23"/>
  <c r="G221" i="23"/>
  <c r="G319" i="23"/>
  <c r="G140" i="23"/>
  <c r="G79" i="23"/>
  <c r="G384" i="23"/>
  <c r="G227" i="23"/>
  <c r="G40" i="23"/>
  <c r="G39" i="23"/>
  <c r="G45" i="23"/>
  <c r="G209" i="23"/>
  <c r="G47" i="23"/>
  <c r="G265" i="23"/>
  <c r="G235" i="23"/>
  <c r="G355" i="23"/>
  <c r="G65" i="23"/>
  <c r="I65" i="23" s="1"/>
  <c r="I147" i="24" s="1"/>
  <c r="G218" i="23"/>
  <c r="G163" i="23"/>
  <c r="G205" i="23"/>
  <c r="G348" i="23"/>
  <c r="G234" i="23"/>
  <c r="G48" i="23"/>
  <c r="G382" i="23"/>
  <c r="G383" i="23"/>
  <c r="G368" i="23"/>
  <c r="G401" i="23"/>
  <c r="G243" i="23"/>
  <c r="G111" i="23"/>
  <c r="I358" i="23"/>
  <c r="I117" i="24" s="1"/>
  <c r="G358" i="23"/>
  <c r="I391" i="23"/>
  <c r="I115" i="24" s="1"/>
  <c r="G391" i="23"/>
  <c r="G145" i="23"/>
  <c r="I342" i="23"/>
  <c r="I106" i="24" s="1"/>
  <c r="G342" i="23"/>
  <c r="G75" i="23"/>
  <c r="G76" i="23"/>
  <c r="G400" i="23"/>
  <c r="G345" i="23"/>
  <c r="G381" i="23"/>
  <c r="I130" i="23"/>
  <c r="I88" i="24" s="1"/>
  <c r="G130" i="23"/>
  <c r="G179" i="23"/>
  <c r="G194" i="23"/>
  <c r="G36" i="23"/>
  <c r="G37" i="23"/>
  <c r="G170" i="23"/>
  <c r="G298" i="23"/>
  <c r="G351" i="23"/>
  <c r="G412" i="23"/>
  <c r="I59" i="23"/>
  <c r="I72" i="24" s="1"/>
  <c r="G59" i="23"/>
  <c r="G30" i="23"/>
  <c r="I290" i="23"/>
  <c r="I62" i="24" s="1"/>
  <c r="G290" i="23"/>
  <c r="G284" i="23"/>
  <c r="G285" i="23"/>
  <c r="G217" i="23"/>
  <c r="G210" i="23"/>
  <c r="G365" i="23"/>
  <c r="G399" i="23"/>
  <c r="G109" i="23"/>
  <c r="I357" i="23"/>
  <c r="I41" i="24" s="1"/>
  <c r="G357" i="23"/>
  <c r="I390" i="23"/>
  <c r="I39" i="24" s="1"/>
  <c r="G390" i="23"/>
  <c r="G350" i="23"/>
  <c r="G171" i="23"/>
  <c r="G299" i="23"/>
  <c r="G317" i="23"/>
  <c r="G267" i="23"/>
  <c r="G407" i="23"/>
  <c r="I407" i="23" s="1"/>
  <c r="I7" i="24" s="1"/>
  <c r="G172" i="23"/>
  <c r="G55" i="23"/>
  <c r="G203" i="23"/>
  <c r="G347" i="23"/>
  <c r="G385" i="23"/>
  <c r="G26" i="23"/>
  <c r="G50" i="23"/>
  <c r="G17" i="23"/>
  <c r="G18" i="23" s="1"/>
  <c r="S176" i="17"/>
  <c r="N415" i="21"/>
  <c r="O415" i="21"/>
  <c r="N416" i="21"/>
  <c r="O416" i="21"/>
  <c r="O91" i="21"/>
  <c r="O90" i="21"/>
  <c r="O360" i="21"/>
  <c r="O359" i="21"/>
  <c r="O357" i="21"/>
  <c r="O196" i="21"/>
  <c r="I3" i="24" l="1"/>
  <c r="I18" i="23"/>
  <c r="I63" i="23"/>
  <c r="I322" i="24" s="1"/>
  <c r="I321" i="24"/>
  <c r="I93" i="23"/>
  <c r="I229" i="24" s="1"/>
  <c r="I231" i="24"/>
  <c r="I205" i="23"/>
  <c r="I126" i="24" s="1"/>
  <c r="I274" i="24"/>
  <c r="I86" i="23"/>
  <c r="I237" i="24" s="1"/>
  <c r="I235" i="24"/>
  <c r="I399" i="23"/>
  <c r="I44" i="24" s="1"/>
  <c r="I316" i="23"/>
  <c r="I77" i="24" s="1"/>
  <c r="I163" i="23"/>
  <c r="I127" i="24" s="1"/>
  <c r="I398" i="23"/>
  <c r="I360" i="24" s="1"/>
  <c r="I90" i="23"/>
  <c r="I377" i="24" s="1"/>
  <c r="I41" i="23"/>
  <c r="I365" i="24" s="1"/>
  <c r="I39" i="23"/>
  <c r="I166" i="24" s="1"/>
  <c r="I227" i="23"/>
  <c r="I168" i="24" s="1"/>
  <c r="I243" i="23"/>
  <c r="I119" i="24" s="1"/>
  <c r="I411" i="23"/>
  <c r="I412" i="23"/>
  <c r="I73" i="24" s="1"/>
  <c r="I113" i="23"/>
  <c r="I194" i="24" s="1"/>
  <c r="I305" i="23"/>
  <c r="I404" i="24" s="1"/>
  <c r="O83" i="21"/>
  <c r="O80" i="21"/>
  <c r="O79" i="21"/>
  <c r="O77" i="21"/>
  <c r="O76" i="21"/>
  <c r="O75" i="21"/>
  <c r="O74" i="21"/>
  <c r="O73" i="21"/>
  <c r="O70" i="21"/>
  <c r="O69" i="21"/>
  <c r="O68" i="21"/>
  <c r="O67" i="21"/>
  <c r="O66" i="21"/>
  <c r="I245" i="23" l="1"/>
  <c r="I247" i="23" s="1"/>
  <c r="I250" i="24" s="1"/>
  <c r="I195" i="24"/>
  <c r="I368" i="24"/>
  <c r="I31" i="23"/>
  <c r="I255" i="24" s="1"/>
  <c r="I64" i="23"/>
  <c r="I346" i="24" s="1"/>
  <c r="I66" i="23"/>
  <c r="I227" i="24" s="1"/>
  <c r="I111" i="23"/>
  <c r="I118" i="24" s="1"/>
  <c r="I109" i="23"/>
  <c r="I42" i="24" s="1"/>
  <c r="I386" i="23" l="1"/>
  <c r="I402" i="23"/>
  <c r="I184" i="24" s="1"/>
  <c r="I349" i="23" l="1"/>
  <c r="I273" i="24" s="1"/>
  <c r="I272" i="24"/>
  <c r="I403" i="23"/>
  <c r="I304" i="24" s="1"/>
  <c r="F60" i="7" l="1"/>
  <c r="N474" i="21" l="1"/>
  <c r="N473" i="21"/>
  <c r="N472" i="21"/>
  <c r="N471" i="21"/>
  <c r="O469" i="21"/>
  <c r="N469" i="21"/>
  <c r="M469" i="21"/>
  <c r="L469" i="21"/>
  <c r="O468" i="21"/>
  <c r="N468" i="21"/>
  <c r="M468" i="21"/>
  <c r="L468" i="21"/>
  <c r="I468" i="21"/>
  <c r="O467" i="21"/>
  <c r="N467" i="21"/>
  <c r="M467" i="21"/>
  <c r="L467" i="21"/>
  <c r="I467" i="21"/>
  <c r="O466" i="21"/>
  <c r="N466" i="21"/>
  <c r="M466" i="21"/>
  <c r="L466" i="21"/>
  <c r="I466" i="21"/>
  <c r="M465" i="21"/>
  <c r="L465" i="21"/>
  <c r="L464" i="21"/>
  <c r="N462" i="21"/>
  <c r="N461" i="21"/>
  <c r="N460" i="21"/>
  <c r="N459" i="21"/>
  <c r="N458" i="21"/>
  <c r="O456" i="21"/>
  <c r="N456" i="21"/>
  <c r="M456" i="21"/>
  <c r="L456" i="21"/>
  <c r="I456" i="21"/>
  <c r="J456" i="21" s="1"/>
  <c r="H456" i="21"/>
  <c r="F456" i="21"/>
  <c r="O455" i="21"/>
  <c r="N455" i="21"/>
  <c r="M455" i="21"/>
  <c r="L455" i="21"/>
  <c r="I455" i="21"/>
  <c r="H455" i="21"/>
  <c r="F455" i="21"/>
  <c r="O454" i="21"/>
  <c r="N454" i="21"/>
  <c r="M454" i="21"/>
  <c r="L454" i="21"/>
  <c r="I454" i="21"/>
  <c r="H454" i="21"/>
  <c r="F454" i="21"/>
  <c r="O453" i="21"/>
  <c r="N453" i="21"/>
  <c r="M453" i="21"/>
  <c r="L453" i="21"/>
  <c r="I453" i="21"/>
  <c r="J453" i="21" s="1"/>
  <c r="H453" i="21"/>
  <c r="F453" i="21"/>
  <c r="O452" i="21"/>
  <c r="N452" i="21"/>
  <c r="M452" i="21"/>
  <c r="L452" i="21"/>
  <c r="I452" i="21"/>
  <c r="J452" i="21" s="1"/>
  <c r="H452" i="21"/>
  <c r="F452" i="21"/>
  <c r="O451" i="21"/>
  <c r="N451" i="21"/>
  <c r="M451" i="21"/>
  <c r="L451" i="21"/>
  <c r="H451" i="21"/>
  <c r="F451" i="21"/>
  <c r="O450" i="21"/>
  <c r="N450" i="21"/>
  <c r="M450" i="21"/>
  <c r="L450" i="21"/>
  <c r="I450" i="21"/>
  <c r="J450" i="21" s="1"/>
  <c r="H450" i="21"/>
  <c r="F450" i="21"/>
  <c r="O449" i="21"/>
  <c r="N449" i="21"/>
  <c r="M449" i="21"/>
  <c r="L449" i="21"/>
  <c r="I449" i="21"/>
  <c r="J449" i="21" s="1"/>
  <c r="H449" i="21"/>
  <c r="F449" i="21"/>
  <c r="O448" i="21"/>
  <c r="N448" i="21"/>
  <c r="M448" i="21"/>
  <c r="L448" i="21"/>
  <c r="I448" i="21"/>
  <c r="J448" i="21" s="1"/>
  <c r="H448" i="21"/>
  <c r="F448" i="21"/>
  <c r="O447" i="21"/>
  <c r="N447" i="21"/>
  <c r="M447" i="21"/>
  <c r="L447" i="21"/>
  <c r="I447" i="21"/>
  <c r="H447" i="21"/>
  <c r="F447" i="21"/>
  <c r="O446" i="21"/>
  <c r="N446" i="21"/>
  <c r="M446" i="21"/>
  <c r="L446" i="21"/>
  <c r="I446" i="21"/>
  <c r="J446" i="21" s="1"/>
  <c r="H446" i="21"/>
  <c r="F446" i="21"/>
  <c r="O445" i="21"/>
  <c r="N445" i="21"/>
  <c r="M445" i="21"/>
  <c r="L445" i="21"/>
  <c r="I445" i="21"/>
  <c r="J445" i="21" s="1"/>
  <c r="H445" i="21"/>
  <c r="F445" i="21"/>
  <c r="O444" i="21"/>
  <c r="N444" i="21"/>
  <c r="M444" i="21"/>
  <c r="L444" i="21"/>
  <c r="I444" i="21"/>
  <c r="J444" i="21" s="1"/>
  <c r="H444" i="21"/>
  <c r="F444" i="21"/>
  <c r="O443" i="21"/>
  <c r="N443" i="21"/>
  <c r="M443" i="21"/>
  <c r="L443" i="21"/>
  <c r="I443" i="21"/>
  <c r="J443" i="21" s="1"/>
  <c r="H443" i="21"/>
  <c r="F443" i="21"/>
  <c r="L442" i="21"/>
  <c r="H442" i="21"/>
  <c r="F442" i="21"/>
  <c r="O441" i="21"/>
  <c r="N441" i="21"/>
  <c r="M441" i="21"/>
  <c r="L441" i="21"/>
  <c r="I441" i="21"/>
  <c r="J441" i="21" s="1"/>
  <c r="H441" i="21"/>
  <c r="F441" i="21"/>
  <c r="O440" i="21"/>
  <c r="N440" i="21"/>
  <c r="M440" i="21"/>
  <c r="L440" i="21"/>
  <c r="I440" i="21"/>
  <c r="H440" i="21"/>
  <c r="F440" i="21"/>
  <c r="O439" i="21"/>
  <c r="N439" i="21"/>
  <c r="M439" i="21"/>
  <c r="L439" i="21"/>
  <c r="I439" i="21"/>
  <c r="H439" i="21"/>
  <c r="F439" i="21"/>
  <c r="O438" i="21"/>
  <c r="N438" i="21"/>
  <c r="M438" i="21"/>
  <c r="L438" i="21"/>
  <c r="I438" i="21"/>
  <c r="J438" i="21" s="1"/>
  <c r="H438" i="21"/>
  <c r="F438" i="21"/>
  <c r="O437" i="21"/>
  <c r="N437" i="21"/>
  <c r="M437" i="21"/>
  <c r="L437" i="21"/>
  <c r="I437" i="21"/>
  <c r="J437" i="21" s="1"/>
  <c r="H437" i="21"/>
  <c r="F437" i="21"/>
  <c r="O436" i="21"/>
  <c r="N436" i="21"/>
  <c r="M436" i="21"/>
  <c r="L436" i="21"/>
  <c r="I436" i="21"/>
  <c r="J436" i="21" s="1"/>
  <c r="H436" i="21"/>
  <c r="F436" i="21"/>
  <c r="O435" i="21"/>
  <c r="N435" i="21"/>
  <c r="M435" i="21"/>
  <c r="L435" i="21"/>
  <c r="I435" i="21"/>
  <c r="J435" i="21" s="1"/>
  <c r="H435" i="21"/>
  <c r="F435" i="21"/>
  <c r="O434" i="21"/>
  <c r="N434" i="21"/>
  <c r="M434" i="21"/>
  <c r="L434" i="21"/>
  <c r="H434" i="21"/>
  <c r="F434" i="21"/>
  <c r="O433" i="21"/>
  <c r="N433" i="21"/>
  <c r="M433" i="21"/>
  <c r="L433" i="21"/>
  <c r="H433" i="21"/>
  <c r="F433" i="21"/>
  <c r="O432" i="21"/>
  <c r="N432" i="21"/>
  <c r="M432" i="21"/>
  <c r="L432" i="21"/>
  <c r="H432" i="21"/>
  <c r="F432" i="21"/>
  <c r="L431" i="21"/>
  <c r="H431" i="21"/>
  <c r="F431" i="21"/>
  <c r="O430" i="21"/>
  <c r="N430" i="21"/>
  <c r="M430" i="21"/>
  <c r="L430" i="21"/>
  <c r="I430" i="21"/>
  <c r="H430" i="21"/>
  <c r="F430" i="21"/>
  <c r="O429" i="21"/>
  <c r="N429" i="21"/>
  <c r="M429" i="21"/>
  <c r="L429" i="21"/>
  <c r="I429" i="21"/>
  <c r="J429" i="21" s="1"/>
  <c r="H429" i="21"/>
  <c r="F429" i="21"/>
  <c r="O428" i="21"/>
  <c r="N428" i="21"/>
  <c r="M428" i="21"/>
  <c r="L428" i="21"/>
  <c r="H428" i="21"/>
  <c r="F428" i="21"/>
  <c r="O427" i="21"/>
  <c r="N427" i="21"/>
  <c r="M427" i="21"/>
  <c r="L427" i="21"/>
  <c r="H427" i="21"/>
  <c r="F427" i="21"/>
  <c r="O426" i="21"/>
  <c r="N426" i="21"/>
  <c r="M426" i="21"/>
  <c r="L426" i="21"/>
  <c r="I426" i="21"/>
  <c r="J426" i="21" s="1"/>
  <c r="H426" i="21"/>
  <c r="F426" i="21"/>
  <c r="L425" i="21"/>
  <c r="L424" i="21"/>
  <c r="N422" i="21"/>
  <c r="N421" i="21"/>
  <c r="N420" i="21"/>
  <c r="N419" i="21"/>
  <c r="N418" i="21"/>
  <c r="M416" i="21"/>
  <c r="L416" i="21"/>
  <c r="H416" i="21"/>
  <c r="F416" i="21"/>
  <c r="M415" i="21"/>
  <c r="L415" i="21"/>
  <c r="H415" i="21"/>
  <c r="F415" i="21"/>
  <c r="L414" i="21"/>
  <c r="H414" i="21"/>
  <c r="F414" i="21"/>
  <c r="O413" i="21"/>
  <c r="N413" i="21"/>
  <c r="M413" i="21"/>
  <c r="L413" i="21"/>
  <c r="I413" i="21"/>
  <c r="H413" i="21"/>
  <c r="F413" i="21"/>
  <c r="O412" i="21"/>
  <c r="N412" i="21"/>
  <c r="M412" i="21"/>
  <c r="L412" i="21"/>
  <c r="H412" i="21"/>
  <c r="F412" i="21"/>
  <c r="O411" i="21"/>
  <c r="N411" i="21"/>
  <c r="M411" i="21"/>
  <c r="L411" i="21"/>
  <c r="H411" i="21"/>
  <c r="F411" i="21"/>
  <c r="O410" i="21"/>
  <c r="N410" i="21"/>
  <c r="M410" i="21"/>
  <c r="L410" i="21"/>
  <c r="H410" i="21"/>
  <c r="F410" i="21"/>
  <c r="L409" i="21"/>
  <c r="H409" i="21"/>
  <c r="F409" i="21"/>
  <c r="O408" i="21"/>
  <c r="N408" i="21"/>
  <c r="M408" i="21"/>
  <c r="L408" i="21"/>
  <c r="I408" i="21"/>
  <c r="H408" i="21"/>
  <c r="F408" i="21"/>
  <c r="O407" i="21"/>
  <c r="N407" i="21"/>
  <c r="M407" i="21"/>
  <c r="L407" i="21"/>
  <c r="I407" i="21"/>
  <c r="H407" i="21"/>
  <c r="F407" i="21"/>
  <c r="O406" i="21"/>
  <c r="N406" i="21"/>
  <c r="M406" i="21"/>
  <c r="L406" i="21"/>
  <c r="H406" i="21"/>
  <c r="F406" i="21"/>
  <c r="O405" i="21"/>
  <c r="N405" i="21"/>
  <c r="M405" i="21"/>
  <c r="L405" i="21"/>
  <c r="I405" i="21"/>
  <c r="H405" i="21"/>
  <c r="F405" i="21"/>
  <c r="O404" i="21"/>
  <c r="N404" i="21"/>
  <c r="M404" i="21"/>
  <c r="L404" i="21"/>
  <c r="I404" i="21"/>
  <c r="H404" i="21"/>
  <c r="F404" i="21"/>
  <c r="O403" i="21"/>
  <c r="N403" i="21"/>
  <c r="M403" i="21"/>
  <c r="L403" i="21"/>
  <c r="I403" i="21"/>
  <c r="J403" i="21" s="1"/>
  <c r="H403" i="21"/>
  <c r="F403" i="21"/>
  <c r="O402" i="21"/>
  <c r="N402" i="21"/>
  <c r="M402" i="21"/>
  <c r="L402" i="21"/>
  <c r="H402" i="21"/>
  <c r="F402" i="21"/>
  <c r="O401" i="21"/>
  <c r="N401" i="21"/>
  <c r="M401" i="21"/>
  <c r="L401" i="21"/>
  <c r="I401" i="21"/>
  <c r="J401" i="21" s="1"/>
  <c r="H401" i="21"/>
  <c r="F401" i="21"/>
  <c r="O400" i="21"/>
  <c r="N400" i="21"/>
  <c r="M400" i="21"/>
  <c r="L400" i="21"/>
  <c r="H400" i="21"/>
  <c r="F400" i="21"/>
  <c r="O399" i="21"/>
  <c r="N399" i="21"/>
  <c r="M399" i="21"/>
  <c r="L399" i="21"/>
  <c r="H399" i="21"/>
  <c r="F399" i="21"/>
  <c r="O398" i="21"/>
  <c r="N398" i="21"/>
  <c r="M398" i="21"/>
  <c r="L398" i="21"/>
  <c r="H398" i="21"/>
  <c r="F398" i="21"/>
  <c r="O397" i="21"/>
  <c r="N397" i="21"/>
  <c r="M397" i="21"/>
  <c r="L397" i="21"/>
  <c r="I397" i="21"/>
  <c r="H397" i="21"/>
  <c r="F397" i="21"/>
  <c r="L396" i="21"/>
  <c r="H396" i="21"/>
  <c r="F396" i="21"/>
  <c r="O395" i="21"/>
  <c r="N395" i="21"/>
  <c r="M395" i="21"/>
  <c r="L395" i="21"/>
  <c r="H395" i="21"/>
  <c r="F395" i="21"/>
  <c r="O394" i="21"/>
  <c r="N394" i="21"/>
  <c r="M394" i="21"/>
  <c r="L394" i="21"/>
  <c r="I394" i="21"/>
  <c r="J394" i="21" s="1"/>
  <c r="H394" i="21"/>
  <c r="F394" i="21"/>
  <c r="O393" i="21"/>
  <c r="N393" i="21"/>
  <c r="M393" i="21"/>
  <c r="L393" i="21"/>
  <c r="I393" i="21"/>
  <c r="J393" i="21" s="1"/>
  <c r="H393" i="21"/>
  <c r="F393" i="21"/>
  <c r="O392" i="21"/>
  <c r="N392" i="21"/>
  <c r="M392" i="21"/>
  <c r="L392" i="21"/>
  <c r="H392" i="21"/>
  <c r="F392" i="21"/>
  <c r="O391" i="21"/>
  <c r="N391" i="21"/>
  <c r="M391" i="21"/>
  <c r="L391" i="21"/>
  <c r="I391" i="21"/>
  <c r="J391" i="21" s="1"/>
  <c r="H391" i="21"/>
  <c r="F391" i="21"/>
  <c r="O390" i="21"/>
  <c r="N390" i="21"/>
  <c r="M390" i="21"/>
  <c r="L390" i="21"/>
  <c r="I390" i="21"/>
  <c r="J390" i="21" s="1"/>
  <c r="H390" i="21"/>
  <c r="F390" i="21"/>
  <c r="O389" i="21"/>
  <c r="N389" i="21"/>
  <c r="M389" i="21"/>
  <c r="L389" i="21"/>
  <c r="J389" i="21"/>
  <c r="H389" i="21"/>
  <c r="F389" i="21"/>
  <c r="L388" i="21"/>
  <c r="L387" i="21"/>
  <c r="N385" i="21"/>
  <c r="N384" i="21"/>
  <c r="N383" i="21"/>
  <c r="N382" i="21"/>
  <c r="N381" i="21"/>
  <c r="O379" i="21"/>
  <c r="N379" i="21"/>
  <c r="M379" i="21"/>
  <c r="L379" i="21"/>
  <c r="I379" i="21"/>
  <c r="H379" i="21"/>
  <c r="F379" i="21"/>
  <c r="O378" i="21"/>
  <c r="N378" i="21"/>
  <c r="M378" i="21"/>
  <c r="L378" i="21"/>
  <c r="I378" i="21"/>
  <c r="J378" i="21" s="1"/>
  <c r="H378" i="21"/>
  <c r="F378" i="21"/>
  <c r="O377" i="21"/>
  <c r="N377" i="21"/>
  <c r="M377" i="21"/>
  <c r="L377" i="21"/>
  <c r="H377" i="21"/>
  <c r="F377" i="21"/>
  <c r="O376" i="21"/>
  <c r="N376" i="21"/>
  <c r="M376" i="21"/>
  <c r="L376" i="21"/>
  <c r="H376" i="21"/>
  <c r="F376" i="21"/>
  <c r="N375" i="21"/>
  <c r="M375" i="21"/>
  <c r="L375" i="21"/>
  <c r="I375" i="21"/>
  <c r="J375" i="21" s="1"/>
  <c r="H375" i="21"/>
  <c r="F375" i="21"/>
  <c r="L374" i="21"/>
  <c r="H374" i="21"/>
  <c r="F374" i="21"/>
  <c r="O373" i="21"/>
  <c r="N373" i="21"/>
  <c r="M373" i="21"/>
  <c r="L373" i="21"/>
  <c r="I373" i="21"/>
  <c r="J373" i="21" s="1"/>
  <c r="H373" i="21"/>
  <c r="F373" i="21"/>
  <c r="O372" i="21"/>
  <c r="N372" i="21"/>
  <c r="M372" i="21"/>
  <c r="L372" i="21"/>
  <c r="I372" i="21"/>
  <c r="J372" i="21" s="1"/>
  <c r="H372" i="21"/>
  <c r="F372" i="21"/>
  <c r="O371" i="21"/>
  <c r="N371" i="21"/>
  <c r="M371" i="21"/>
  <c r="L371" i="21"/>
  <c r="H371" i="21"/>
  <c r="F371" i="21"/>
  <c r="O370" i="21"/>
  <c r="N370" i="21"/>
  <c r="M370" i="21"/>
  <c r="L370" i="21"/>
  <c r="I370" i="21"/>
  <c r="H370" i="21"/>
  <c r="F370" i="21"/>
  <c r="O369" i="21"/>
  <c r="N369" i="21"/>
  <c r="M369" i="21"/>
  <c r="L369" i="21"/>
  <c r="I369" i="21"/>
  <c r="J369" i="21" s="1"/>
  <c r="H369" i="21"/>
  <c r="F369" i="21"/>
  <c r="O368" i="21"/>
  <c r="N368" i="21"/>
  <c r="M368" i="21"/>
  <c r="L368" i="21"/>
  <c r="I368" i="21"/>
  <c r="J368" i="21" s="1"/>
  <c r="H368" i="21"/>
  <c r="F368" i="21"/>
  <c r="O367" i="21"/>
  <c r="N367" i="21"/>
  <c r="M367" i="21"/>
  <c r="L367" i="21"/>
  <c r="H367" i="21"/>
  <c r="F367" i="21"/>
  <c r="O366" i="21"/>
  <c r="N366" i="21"/>
  <c r="M366" i="21"/>
  <c r="L366" i="21"/>
  <c r="I366" i="21"/>
  <c r="J366" i="21" s="1"/>
  <c r="H366" i="21"/>
  <c r="F366" i="21"/>
  <c r="O365" i="21"/>
  <c r="N365" i="21"/>
  <c r="M365" i="21"/>
  <c r="L365" i="21"/>
  <c r="H365" i="21"/>
  <c r="F365" i="21"/>
  <c r="O364" i="21"/>
  <c r="N364" i="21"/>
  <c r="M364" i="21"/>
  <c r="L364" i="21"/>
  <c r="H364" i="21"/>
  <c r="F364" i="21"/>
  <c r="O363" i="21"/>
  <c r="N363" i="21"/>
  <c r="M363" i="21"/>
  <c r="L363" i="21"/>
  <c r="H363" i="21"/>
  <c r="F363" i="21"/>
  <c r="L362" i="21"/>
  <c r="H362" i="21"/>
  <c r="F362" i="21"/>
  <c r="O361" i="21"/>
  <c r="N361" i="21"/>
  <c r="M361" i="21"/>
  <c r="L361" i="21"/>
  <c r="I361" i="21"/>
  <c r="J361" i="21" s="1"/>
  <c r="H361" i="21"/>
  <c r="F361" i="21"/>
  <c r="N360" i="21"/>
  <c r="M360" i="21"/>
  <c r="L360" i="21"/>
  <c r="I360" i="21"/>
  <c r="H360" i="21"/>
  <c r="F360" i="21"/>
  <c r="N359" i="21"/>
  <c r="M359" i="21"/>
  <c r="L359" i="21"/>
  <c r="I359" i="21"/>
  <c r="J359" i="21" s="1"/>
  <c r="H359" i="21"/>
  <c r="F359" i="21"/>
  <c r="O358" i="21"/>
  <c r="N358" i="21"/>
  <c r="M358" i="21"/>
  <c r="L358" i="21"/>
  <c r="I358" i="21"/>
  <c r="J358" i="21" s="1"/>
  <c r="H358" i="21"/>
  <c r="F358" i="21"/>
  <c r="N357" i="21"/>
  <c r="M357" i="21"/>
  <c r="L357" i="21"/>
  <c r="I357" i="21"/>
  <c r="J357" i="21" s="1"/>
  <c r="H357" i="21"/>
  <c r="F357" i="21"/>
  <c r="L356" i="21"/>
  <c r="H356" i="21"/>
  <c r="F356" i="21"/>
  <c r="O355" i="21"/>
  <c r="N355" i="21"/>
  <c r="M355" i="21"/>
  <c r="L355" i="21"/>
  <c r="I355" i="21"/>
  <c r="J355" i="21" s="1"/>
  <c r="H355" i="21"/>
  <c r="F355" i="21"/>
  <c r="O354" i="21"/>
  <c r="N354" i="21"/>
  <c r="M354" i="21"/>
  <c r="L354" i="21"/>
  <c r="I354" i="21"/>
  <c r="J354" i="21" s="1"/>
  <c r="H354" i="21"/>
  <c r="F354" i="21"/>
  <c r="O353" i="21"/>
  <c r="N353" i="21"/>
  <c r="M353" i="21"/>
  <c r="L353" i="21"/>
  <c r="H353" i="21"/>
  <c r="F353" i="21"/>
  <c r="O352" i="21"/>
  <c r="N352" i="21"/>
  <c r="M352" i="21"/>
  <c r="L352" i="21"/>
  <c r="H352" i="21"/>
  <c r="F352" i="21"/>
  <c r="O351" i="21"/>
  <c r="N351" i="21"/>
  <c r="M351" i="21"/>
  <c r="L351" i="21"/>
  <c r="I351" i="21"/>
  <c r="J351" i="21" s="1"/>
  <c r="H351" i="21"/>
  <c r="F351" i="21"/>
  <c r="O350" i="21"/>
  <c r="N350" i="21"/>
  <c r="M350" i="21"/>
  <c r="L350" i="21"/>
  <c r="J350" i="21"/>
  <c r="H350" i="21"/>
  <c r="F350" i="21"/>
  <c r="L349" i="21"/>
  <c r="L348" i="21"/>
  <c r="N346" i="21"/>
  <c r="N345" i="21"/>
  <c r="N344" i="21"/>
  <c r="N343" i="21"/>
  <c r="N342" i="21"/>
  <c r="O340" i="21"/>
  <c r="N340" i="21"/>
  <c r="M340" i="21"/>
  <c r="L340" i="21"/>
  <c r="H340" i="21"/>
  <c r="F340" i="21"/>
  <c r="O339" i="21"/>
  <c r="N339" i="21"/>
  <c r="M339" i="21"/>
  <c r="L339" i="21"/>
  <c r="H339" i="21"/>
  <c r="F339" i="21"/>
  <c r="O338" i="21"/>
  <c r="N338" i="21"/>
  <c r="M338" i="21"/>
  <c r="L338" i="21"/>
  <c r="H338" i="21"/>
  <c r="F338" i="21"/>
  <c r="O337" i="21"/>
  <c r="N337" i="21"/>
  <c r="M337" i="21"/>
  <c r="L337" i="21"/>
  <c r="H337" i="21"/>
  <c r="F337" i="21"/>
  <c r="O336" i="21"/>
  <c r="N336" i="21"/>
  <c r="M336" i="21"/>
  <c r="L336" i="21"/>
  <c r="H336" i="21"/>
  <c r="F336" i="21"/>
  <c r="L335" i="21"/>
  <c r="H335" i="21"/>
  <c r="F335" i="21"/>
  <c r="O334" i="21"/>
  <c r="N334" i="21"/>
  <c r="M334" i="21"/>
  <c r="L334" i="21"/>
  <c r="I334" i="21"/>
  <c r="J334" i="21" s="1"/>
  <c r="H334" i="21"/>
  <c r="F334" i="21"/>
  <c r="O333" i="21"/>
  <c r="N333" i="21"/>
  <c r="M333" i="21"/>
  <c r="L333" i="21"/>
  <c r="I333" i="21"/>
  <c r="H333" i="21"/>
  <c r="F333" i="21"/>
  <c r="O332" i="21"/>
  <c r="N332" i="21"/>
  <c r="M332" i="21"/>
  <c r="L332" i="21"/>
  <c r="H332" i="21"/>
  <c r="F332" i="21"/>
  <c r="L331" i="21"/>
  <c r="H331" i="21"/>
  <c r="F331" i="21"/>
  <c r="O330" i="21"/>
  <c r="N330" i="21"/>
  <c r="M330" i="21"/>
  <c r="L330" i="21"/>
  <c r="I330" i="21"/>
  <c r="H330" i="21"/>
  <c r="F330" i="21"/>
  <c r="O329" i="21"/>
  <c r="N329" i="21"/>
  <c r="M329" i="21"/>
  <c r="L329" i="21"/>
  <c r="I329" i="21"/>
  <c r="H329" i="21"/>
  <c r="F329" i="21"/>
  <c r="O328" i="21"/>
  <c r="N328" i="21"/>
  <c r="M328" i="21"/>
  <c r="L328" i="21"/>
  <c r="I328" i="21"/>
  <c r="H328" i="21"/>
  <c r="F328" i="21"/>
  <c r="O327" i="21"/>
  <c r="N327" i="21"/>
  <c r="M327" i="21"/>
  <c r="L327" i="21"/>
  <c r="I327" i="21"/>
  <c r="J327" i="21" s="1"/>
  <c r="H327" i="21"/>
  <c r="F327" i="21"/>
  <c r="O326" i="21"/>
  <c r="N326" i="21"/>
  <c r="M326" i="21"/>
  <c r="L326" i="21"/>
  <c r="I326" i="21"/>
  <c r="H326" i="21"/>
  <c r="F326" i="21"/>
  <c r="O325" i="21"/>
  <c r="N325" i="21"/>
  <c r="M325" i="21"/>
  <c r="L325" i="21"/>
  <c r="I325" i="21"/>
  <c r="H325" i="21"/>
  <c r="F325" i="21"/>
  <c r="O324" i="21"/>
  <c r="N324" i="21"/>
  <c r="M324" i="21"/>
  <c r="L324" i="21"/>
  <c r="I324" i="21"/>
  <c r="J324" i="21" s="1"/>
  <c r="H324" i="21"/>
  <c r="F324" i="21"/>
  <c r="O323" i="21"/>
  <c r="N323" i="21"/>
  <c r="M323" i="21"/>
  <c r="L323" i="21"/>
  <c r="H323" i="21"/>
  <c r="F323" i="21"/>
  <c r="O322" i="21"/>
  <c r="N322" i="21"/>
  <c r="M322" i="21"/>
  <c r="L322" i="21"/>
  <c r="I322" i="21"/>
  <c r="H322" i="21"/>
  <c r="F322" i="21"/>
  <c r="O321" i="21"/>
  <c r="N321" i="21"/>
  <c r="M321" i="21"/>
  <c r="L321" i="21"/>
  <c r="H321" i="21"/>
  <c r="F321" i="21"/>
  <c r="O320" i="21"/>
  <c r="N320" i="21"/>
  <c r="M320" i="21"/>
  <c r="L320" i="21"/>
  <c r="I320" i="21"/>
  <c r="H320" i="21"/>
  <c r="F320" i="21"/>
  <c r="O319" i="21"/>
  <c r="N319" i="21"/>
  <c r="M319" i="21"/>
  <c r="L319" i="21"/>
  <c r="I319" i="21"/>
  <c r="J319" i="21" s="1"/>
  <c r="H319" i="21"/>
  <c r="F319" i="21"/>
  <c r="O318" i="21"/>
  <c r="N318" i="21"/>
  <c r="M318" i="21"/>
  <c r="L318" i="21"/>
  <c r="I318" i="21"/>
  <c r="J318" i="21" s="1"/>
  <c r="H318" i="21"/>
  <c r="F318" i="21"/>
  <c r="O317" i="21"/>
  <c r="N317" i="21"/>
  <c r="M317" i="21"/>
  <c r="L317" i="21"/>
  <c r="H317" i="21"/>
  <c r="F317" i="21"/>
  <c r="O316" i="21"/>
  <c r="N316" i="21"/>
  <c r="M316" i="21"/>
  <c r="L316" i="21"/>
  <c r="I316" i="21"/>
  <c r="H316" i="21"/>
  <c r="F316" i="21"/>
  <c r="O315" i="21"/>
  <c r="N315" i="21"/>
  <c r="M315" i="21"/>
  <c r="L315" i="21"/>
  <c r="I315" i="21"/>
  <c r="J315" i="21" s="1"/>
  <c r="H315" i="21"/>
  <c r="F315" i="21"/>
  <c r="O314" i="21"/>
  <c r="N314" i="21"/>
  <c r="M314" i="21"/>
  <c r="L314" i="21"/>
  <c r="I314" i="21"/>
  <c r="H314" i="21"/>
  <c r="F314" i="21"/>
  <c r="O313" i="21"/>
  <c r="N313" i="21"/>
  <c r="M313" i="21"/>
  <c r="L313" i="21"/>
  <c r="I313" i="21"/>
  <c r="J313" i="21" s="1"/>
  <c r="H313" i="21"/>
  <c r="F313" i="21"/>
  <c r="M312" i="21"/>
  <c r="L312" i="21"/>
  <c r="H312" i="21"/>
  <c r="F312" i="21"/>
  <c r="O311" i="21"/>
  <c r="N311" i="21"/>
  <c r="M311" i="21"/>
  <c r="L311" i="21"/>
  <c r="I311" i="21"/>
  <c r="H311" i="21"/>
  <c r="F311" i="21"/>
  <c r="O310" i="21"/>
  <c r="N310" i="21"/>
  <c r="M310" i="21"/>
  <c r="L310" i="21"/>
  <c r="I310" i="21"/>
  <c r="H310" i="21"/>
  <c r="F310" i="21"/>
  <c r="O309" i="21"/>
  <c r="N309" i="21"/>
  <c r="M309" i="21"/>
  <c r="L309" i="21"/>
  <c r="H309" i="21"/>
  <c r="F309" i="21"/>
  <c r="O308" i="21"/>
  <c r="N308" i="21"/>
  <c r="M308" i="21"/>
  <c r="L308" i="21"/>
  <c r="I308" i="21"/>
  <c r="J308" i="21" s="1"/>
  <c r="H308" i="21"/>
  <c r="F308" i="21"/>
  <c r="O307" i="21"/>
  <c r="N307" i="21"/>
  <c r="M307" i="21"/>
  <c r="L307" i="21"/>
  <c r="I307" i="21"/>
  <c r="J307" i="21" s="1"/>
  <c r="H307" i="21"/>
  <c r="F307" i="21"/>
  <c r="O306" i="21"/>
  <c r="N306" i="21"/>
  <c r="M306" i="21"/>
  <c r="L306" i="21"/>
  <c r="I306" i="21"/>
  <c r="J306" i="21" s="1"/>
  <c r="H306" i="21"/>
  <c r="F306" i="21"/>
  <c r="O305" i="21"/>
  <c r="N305" i="21"/>
  <c r="M305" i="21"/>
  <c r="L305" i="21"/>
  <c r="H305" i="21"/>
  <c r="F305" i="21"/>
  <c r="O304" i="21"/>
  <c r="N304" i="21"/>
  <c r="M304" i="21"/>
  <c r="L304" i="21"/>
  <c r="I304" i="21"/>
  <c r="J304" i="21" s="1"/>
  <c r="H304" i="21"/>
  <c r="F304" i="21"/>
  <c r="O303" i="21"/>
  <c r="N303" i="21"/>
  <c r="M303" i="21"/>
  <c r="L303" i="21"/>
  <c r="H303" i="21"/>
  <c r="F303" i="21"/>
  <c r="O302" i="21"/>
  <c r="N302" i="21"/>
  <c r="M302" i="21"/>
  <c r="L302" i="21"/>
  <c r="H302" i="21"/>
  <c r="F302" i="21"/>
  <c r="O301" i="21"/>
  <c r="N301" i="21"/>
  <c r="M301" i="21"/>
  <c r="L301" i="21"/>
  <c r="H301" i="21"/>
  <c r="F301" i="21"/>
  <c r="L300" i="21"/>
  <c r="H300" i="21"/>
  <c r="F300" i="21"/>
  <c r="O299" i="21"/>
  <c r="N299" i="21"/>
  <c r="M299" i="21"/>
  <c r="L299" i="21"/>
  <c r="I299" i="21"/>
  <c r="J299" i="21" s="1"/>
  <c r="H299" i="21"/>
  <c r="F299" i="21"/>
  <c r="O298" i="21"/>
  <c r="N298" i="21"/>
  <c r="M298" i="21"/>
  <c r="L298" i="21"/>
  <c r="I298" i="21"/>
  <c r="J298" i="21" s="1"/>
  <c r="H298" i="21"/>
  <c r="F298" i="21"/>
  <c r="O297" i="21"/>
  <c r="N297" i="21"/>
  <c r="M297" i="21"/>
  <c r="L297" i="21"/>
  <c r="I297" i="21"/>
  <c r="J297" i="21" s="1"/>
  <c r="H297" i="21"/>
  <c r="F297" i="21"/>
  <c r="O296" i="21"/>
  <c r="N296" i="21"/>
  <c r="M296" i="21"/>
  <c r="L296" i="21"/>
  <c r="I296" i="21"/>
  <c r="J296" i="21" s="1"/>
  <c r="H296" i="21"/>
  <c r="F296" i="21"/>
  <c r="O295" i="21"/>
  <c r="N295" i="21"/>
  <c r="M295" i="21"/>
  <c r="L295" i="21"/>
  <c r="I295" i="21"/>
  <c r="J295" i="21" s="1"/>
  <c r="H295" i="21"/>
  <c r="F295" i="21"/>
  <c r="O294" i="21"/>
  <c r="N294" i="21"/>
  <c r="M294" i="21"/>
  <c r="L294" i="21"/>
  <c r="I294" i="21"/>
  <c r="H294" i="21"/>
  <c r="F294" i="21"/>
  <c r="O293" i="21"/>
  <c r="N293" i="21"/>
  <c r="M293" i="21"/>
  <c r="L293" i="21"/>
  <c r="I293" i="21"/>
  <c r="J293" i="21" s="1"/>
  <c r="H293" i="21"/>
  <c r="F293" i="21"/>
  <c r="L292" i="21"/>
  <c r="H292" i="21"/>
  <c r="F292" i="21"/>
  <c r="O291" i="21"/>
  <c r="N291" i="21"/>
  <c r="M291" i="21"/>
  <c r="L291" i="21"/>
  <c r="I291" i="21"/>
  <c r="J291" i="21" s="1"/>
  <c r="H291" i="21"/>
  <c r="F291" i="21"/>
  <c r="O290" i="21"/>
  <c r="N290" i="21"/>
  <c r="M290" i="21"/>
  <c r="L290" i="21"/>
  <c r="I290" i="21"/>
  <c r="J290" i="21" s="1"/>
  <c r="H290" i="21"/>
  <c r="F290" i="21"/>
  <c r="O289" i="21"/>
  <c r="N289" i="21"/>
  <c r="M289" i="21"/>
  <c r="L289" i="21"/>
  <c r="I289" i="21"/>
  <c r="J289" i="21" s="1"/>
  <c r="H289" i="21"/>
  <c r="F289" i="21"/>
  <c r="O288" i="21"/>
  <c r="N288" i="21"/>
  <c r="M288" i="21"/>
  <c r="L288" i="21"/>
  <c r="I288" i="21"/>
  <c r="H288" i="21"/>
  <c r="F288" i="21"/>
  <c r="O287" i="21"/>
  <c r="N287" i="21"/>
  <c r="M287" i="21"/>
  <c r="L287" i="21"/>
  <c r="I287" i="21"/>
  <c r="J287" i="21" s="1"/>
  <c r="H287" i="21"/>
  <c r="F287" i="21"/>
  <c r="O286" i="21"/>
  <c r="N286" i="21"/>
  <c r="M286" i="21"/>
  <c r="L286" i="21"/>
  <c r="I286" i="21"/>
  <c r="J286" i="21" s="1"/>
  <c r="H286" i="21"/>
  <c r="F286" i="21"/>
  <c r="N285" i="21"/>
  <c r="M285" i="21"/>
  <c r="L285" i="21"/>
  <c r="I285" i="21"/>
  <c r="J285" i="21" s="1"/>
  <c r="H285" i="21"/>
  <c r="F285" i="21"/>
  <c r="L284" i="21"/>
  <c r="L283" i="21"/>
  <c r="N281" i="21"/>
  <c r="N280" i="21"/>
  <c r="N279" i="21"/>
  <c r="N278" i="21"/>
  <c r="N277" i="21"/>
  <c r="O275" i="21"/>
  <c r="N275" i="21"/>
  <c r="M275" i="21"/>
  <c r="L275" i="21"/>
  <c r="H275" i="21"/>
  <c r="F275" i="21"/>
  <c r="O274" i="21"/>
  <c r="N274" i="21"/>
  <c r="M274" i="21"/>
  <c r="L274" i="21"/>
  <c r="I274" i="21"/>
  <c r="H274" i="21"/>
  <c r="F274" i="21"/>
  <c r="L273" i="21"/>
  <c r="H273" i="21"/>
  <c r="F273" i="21"/>
  <c r="O272" i="21"/>
  <c r="N272" i="21"/>
  <c r="M272" i="21"/>
  <c r="L272" i="21"/>
  <c r="H272" i="21"/>
  <c r="F272" i="21"/>
  <c r="O271" i="21"/>
  <c r="N271" i="21"/>
  <c r="M271" i="21"/>
  <c r="L271" i="21"/>
  <c r="H271" i="21"/>
  <c r="F271" i="21"/>
  <c r="O270" i="21"/>
  <c r="N270" i="21"/>
  <c r="M270" i="21"/>
  <c r="L270" i="21"/>
  <c r="I270" i="21"/>
  <c r="H270" i="21"/>
  <c r="F270" i="21"/>
  <c r="O269" i="21"/>
  <c r="N269" i="21"/>
  <c r="M269" i="21"/>
  <c r="L269" i="21"/>
  <c r="H269" i="21"/>
  <c r="F269" i="21"/>
  <c r="O268" i="21"/>
  <c r="N268" i="21"/>
  <c r="M268" i="21"/>
  <c r="L268" i="21"/>
  <c r="H268" i="21"/>
  <c r="F268" i="21"/>
  <c r="O267" i="21"/>
  <c r="N267" i="21"/>
  <c r="M267" i="21"/>
  <c r="L267" i="21"/>
  <c r="H267" i="21"/>
  <c r="F267" i="21"/>
  <c r="O266" i="21"/>
  <c r="N266" i="21"/>
  <c r="M266" i="21"/>
  <c r="L266" i="21"/>
  <c r="H266" i="21"/>
  <c r="F266" i="21"/>
  <c r="O265" i="21"/>
  <c r="N265" i="21"/>
  <c r="M265" i="21"/>
  <c r="L265" i="21"/>
  <c r="H265" i="21"/>
  <c r="F265" i="21"/>
  <c r="O264" i="21"/>
  <c r="N264" i="21"/>
  <c r="M264" i="21"/>
  <c r="L264" i="21"/>
  <c r="H264" i="21"/>
  <c r="F264" i="21"/>
  <c r="O263" i="21"/>
  <c r="N263" i="21"/>
  <c r="M263" i="21"/>
  <c r="L263" i="21"/>
  <c r="H263" i="21"/>
  <c r="F263" i="21"/>
  <c r="O262" i="21"/>
  <c r="N262" i="21"/>
  <c r="M262" i="21"/>
  <c r="L262" i="21"/>
  <c r="H262" i="21"/>
  <c r="F262" i="21"/>
  <c r="O261" i="21"/>
  <c r="N261" i="21"/>
  <c r="M261" i="21"/>
  <c r="L261" i="21"/>
  <c r="H261" i="21"/>
  <c r="F261" i="21"/>
  <c r="O260" i="21"/>
  <c r="N260" i="21"/>
  <c r="M260" i="21"/>
  <c r="L260" i="21"/>
  <c r="H260" i="21"/>
  <c r="F260" i="21"/>
  <c r="O259" i="21"/>
  <c r="N259" i="21"/>
  <c r="M259" i="21"/>
  <c r="L259" i="21"/>
  <c r="H259" i="21"/>
  <c r="F259" i="21"/>
  <c r="O258" i="21"/>
  <c r="N258" i="21"/>
  <c r="M258" i="21"/>
  <c r="L258" i="21"/>
  <c r="H258" i="21"/>
  <c r="F258" i="21"/>
  <c r="O257" i="21"/>
  <c r="N257" i="21"/>
  <c r="M257" i="21"/>
  <c r="L257" i="21"/>
  <c r="H257" i="21"/>
  <c r="F257" i="21"/>
  <c r="O256" i="21"/>
  <c r="N256" i="21"/>
  <c r="M256" i="21"/>
  <c r="L256" i="21"/>
  <c r="H256" i="21"/>
  <c r="F256" i="21"/>
  <c r="O255" i="21"/>
  <c r="N255" i="21"/>
  <c r="M255" i="21"/>
  <c r="L255" i="21"/>
  <c r="H255" i="21"/>
  <c r="F255" i="21"/>
  <c r="O254" i="21"/>
  <c r="N254" i="21"/>
  <c r="M254" i="21"/>
  <c r="L254" i="21"/>
  <c r="H254" i="21"/>
  <c r="F254" i="21"/>
  <c r="O253" i="21"/>
  <c r="N253" i="21"/>
  <c r="M253" i="21"/>
  <c r="L253" i="21"/>
  <c r="H253" i="21"/>
  <c r="F253" i="21"/>
  <c r="O252" i="21"/>
  <c r="N252" i="21"/>
  <c r="M252" i="21"/>
  <c r="L252" i="21"/>
  <c r="H252" i="21"/>
  <c r="F252" i="21"/>
  <c r="L251" i="21"/>
  <c r="H251" i="21"/>
  <c r="F251" i="21"/>
  <c r="O250" i="21"/>
  <c r="N250" i="21"/>
  <c r="M250" i="21"/>
  <c r="L250" i="21"/>
  <c r="I250" i="21"/>
  <c r="J250" i="21" s="1"/>
  <c r="H250" i="21"/>
  <c r="F250" i="21"/>
  <c r="O249" i="21"/>
  <c r="N249" i="21"/>
  <c r="M249" i="21"/>
  <c r="L249" i="21"/>
  <c r="I249" i="21"/>
  <c r="J249" i="21" s="1"/>
  <c r="H249" i="21"/>
  <c r="F249" i="21"/>
  <c r="O248" i="21"/>
  <c r="N248" i="21"/>
  <c r="M248" i="21"/>
  <c r="L248" i="21"/>
  <c r="I248" i="21"/>
  <c r="J248" i="21" s="1"/>
  <c r="H248" i="21"/>
  <c r="F248" i="21"/>
  <c r="O247" i="21"/>
  <c r="N247" i="21"/>
  <c r="M247" i="21"/>
  <c r="L247" i="21"/>
  <c r="I247" i="21"/>
  <c r="H247" i="21"/>
  <c r="F247" i="21"/>
  <c r="O246" i="21"/>
  <c r="N246" i="21"/>
  <c r="M246" i="21"/>
  <c r="L246" i="21"/>
  <c r="I246" i="21"/>
  <c r="H246" i="21"/>
  <c r="F246" i="21"/>
  <c r="O245" i="21"/>
  <c r="N245" i="21"/>
  <c r="M245" i="21"/>
  <c r="L245" i="21"/>
  <c r="H245" i="21"/>
  <c r="F245" i="21"/>
  <c r="O244" i="21"/>
  <c r="N244" i="21"/>
  <c r="M244" i="21"/>
  <c r="L244" i="21"/>
  <c r="I244" i="21"/>
  <c r="J244" i="21" s="1"/>
  <c r="H244" i="21"/>
  <c r="F244" i="21"/>
  <c r="O243" i="21"/>
  <c r="N243" i="21"/>
  <c r="M243" i="21"/>
  <c r="L243" i="21"/>
  <c r="I243" i="21"/>
  <c r="J243" i="21" s="1"/>
  <c r="H243" i="21"/>
  <c r="F243" i="21"/>
  <c r="O242" i="21"/>
  <c r="N242" i="21"/>
  <c r="M242" i="21"/>
  <c r="L242" i="21"/>
  <c r="I242" i="21"/>
  <c r="J242" i="21" s="1"/>
  <c r="H242" i="21"/>
  <c r="F242" i="21"/>
  <c r="O241" i="21"/>
  <c r="N241" i="21"/>
  <c r="M241" i="21"/>
  <c r="L241" i="21"/>
  <c r="H241" i="21"/>
  <c r="F241" i="21"/>
  <c r="O240" i="21"/>
  <c r="N240" i="21"/>
  <c r="M240" i="21"/>
  <c r="L240" i="21"/>
  <c r="I240" i="21"/>
  <c r="J240" i="21" s="1"/>
  <c r="H240" i="21"/>
  <c r="F240" i="21"/>
  <c r="O239" i="21"/>
  <c r="N239" i="21"/>
  <c r="M239" i="21"/>
  <c r="L239" i="21"/>
  <c r="H239" i="21"/>
  <c r="F239" i="21"/>
  <c r="O238" i="21"/>
  <c r="N238" i="21"/>
  <c r="M238" i="21"/>
  <c r="L238" i="21"/>
  <c r="H238" i="21"/>
  <c r="F238" i="21"/>
  <c r="O237" i="21"/>
  <c r="N237" i="21"/>
  <c r="M237" i="21"/>
  <c r="L237" i="21"/>
  <c r="H237" i="21"/>
  <c r="F237" i="21"/>
  <c r="L236" i="21"/>
  <c r="H236" i="21"/>
  <c r="F236" i="21"/>
  <c r="O235" i="21"/>
  <c r="N235" i="21"/>
  <c r="M235" i="21"/>
  <c r="L235" i="21"/>
  <c r="I235" i="21"/>
  <c r="J235" i="21" s="1"/>
  <c r="H235" i="21"/>
  <c r="F235" i="21"/>
  <c r="O234" i="21"/>
  <c r="N234" i="21"/>
  <c r="M234" i="21"/>
  <c r="L234" i="21"/>
  <c r="H234" i="21"/>
  <c r="F234" i="21"/>
  <c r="O233" i="21"/>
  <c r="N233" i="21"/>
  <c r="M233" i="21"/>
  <c r="L233" i="21"/>
  <c r="I233" i="21"/>
  <c r="H233" i="21"/>
  <c r="F233" i="21"/>
  <c r="O232" i="21"/>
  <c r="N232" i="21"/>
  <c r="M232" i="21"/>
  <c r="L232" i="21"/>
  <c r="I232" i="21"/>
  <c r="H232" i="21"/>
  <c r="F232" i="21"/>
  <c r="O231" i="21"/>
  <c r="N231" i="21"/>
  <c r="M231" i="21"/>
  <c r="L231" i="21"/>
  <c r="I231" i="21"/>
  <c r="H231" i="21"/>
  <c r="F231" i="21"/>
  <c r="O230" i="21"/>
  <c r="N230" i="21"/>
  <c r="M230" i="21"/>
  <c r="L230" i="21"/>
  <c r="I230" i="21"/>
  <c r="J230" i="21" s="1"/>
  <c r="H230" i="21"/>
  <c r="F230" i="21"/>
  <c r="O229" i="21"/>
  <c r="N229" i="21"/>
  <c r="M229" i="21"/>
  <c r="L229" i="21"/>
  <c r="I229" i="21"/>
  <c r="J229" i="21" s="1"/>
  <c r="H229" i="21"/>
  <c r="F229" i="21"/>
  <c r="O228" i="21"/>
  <c r="N228" i="21"/>
  <c r="M228" i="21"/>
  <c r="L228" i="21"/>
  <c r="H228" i="21"/>
  <c r="F228" i="21"/>
  <c r="O227" i="21"/>
  <c r="N227" i="21"/>
  <c r="M227" i="21"/>
  <c r="L227" i="21"/>
  <c r="I227" i="21"/>
  <c r="H227" i="21"/>
  <c r="F227" i="21"/>
  <c r="O226" i="21"/>
  <c r="N226" i="21"/>
  <c r="M226" i="21"/>
  <c r="L226" i="21"/>
  <c r="H226" i="21"/>
  <c r="F226" i="21"/>
  <c r="L225" i="21"/>
  <c r="H225" i="21"/>
  <c r="F225" i="21"/>
  <c r="O224" i="21"/>
  <c r="N224" i="21"/>
  <c r="M224" i="21"/>
  <c r="L224" i="21"/>
  <c r="I224" i="21"/>
  <c r="J224" i="21" s="1"/>
  <c r="H224" i="21"/>
  <c r="F224" i="21"/>
  <c r="O223" i="21"/>
  <c r="N223" i="21"/>
  <c r="M223" i="21"/>
  <c r="L223" i="21"/>
  <c r="I223" i="21"/>
  <c r="H223" i="21"/>
  <c r="F223" i="21"/>
  <c r="O222" i="21"/>
  <c r="N222" i="21"/>
  <c r="M222" i="21"/>
  <c r="L222" i="21"/>
  <c r="I222" i="21"/>
  <c r="H222" i="21"/>
  <c r="F222" i="21"/>
  <c r="O221" i="21"/>
  <c r="N221" i="21"/>
  <c r="M221" i="21"/>
  <c r="L221" i="21"/>
  <c r="I221" i="21"/>
  <c r="J221" i="21" s="1"/>
  <c r="H221" i="21"/>
  <c r="F221" i="21"/>
  <c r="O220" i="21"/>
  <c r="N220" i="21"/>
  <c r="M220" i="21"/>
  <c r="L220" i="21"/>
  <c r="I220" i="21"/>
  <c r="H220" i="21"/>
  <c r="F220" i="21"/>
  <c r="O219" i="21"/>
  <c r="N219" i="21"/>
  <c r="M219" i="21"/>
  <c r="L219" i="21"/>
  <c r="I219" i="21"/>
  <c r="J219" i="21" s="1"/>
  <c r="H219" i="21"/>
  <c r="F219" i="21"/>
  <c r="O218" i="21"/>
  <c r="N218" i="21"/>
  <c r="M218" i="21"/>
  <c r="L218" i="21"/>
  <c r="H218" i="21"/>
  <c r="F218" i="21"/>
  <c r="O217" i="21"/>
  <c r="N217" i="21"/>
  <c r="M217" i="21"/>
  <c r="L217" i="21"/>
  <c r="I217" i="21"/>
  <c r="J217" i="21" s="1"/>
  <c r="H217" i="21"/>
  <c r="F217" i="21"/>
  <c r="O216" i="21"/>
  <c r="N216" i="21"/>
  <c r="M216" i="21"/>
  <c r="L216" i="21"/>
  <c r="I216" i="21"/>
  <c r="J216" i="21" s="1"/>
  <c r="H216" i="21"/>
  <c r="F216" i="21"/>
  <c r="O215" i="21"/>
  <c r="N215" i="21"/>
  <c r="M215" i="21"/>
  <c r="L215" i="21"/>
  <c r="I215" i="21"/>
  <c r="J215" i="21" s="1"/>
  <c r="H215" i="21"/>
  <c r="F215" i="21"/>
  <c r="O214" i="21"/>
  <c r="N214" i="21"/>
  <c r="M214" i="21"/>
  <c r="L214" i="21"/>
  <c r="H214" i="21"/>
  <c r="F214" i="21"/>
  <c r="O213" i="21"/>
  <c r="N213" i="21"/>
  <c r="M213" i="21"/>
  <c r="L213" i="21"/>
  <c r="H213" i="21"/>
  <c r="F213" i="21"/>
  <c r="L212" i="21"/>
  <c r="L211" i="21"/>
  <c r="N209" i="21"/>
  <c r="N208" i="21"/>
  <c r="N207" i="21"/>
  <c r="N206" i="21"/>
  <c r="N205" i="21"/>
  <c r="O203" i="21"/>
  <c r="N203" i="21"/>
  <c r="M203" i="21"/>
  <c r="L203" i="21"/>
  <c r="H203" i="21"/>
  <c r="F203" i="21"/>
  <c r="O202" i="21"/>
  <c r="N202" i="21"/>
  <c r="M202" i="21"/>
  <c r="L202" i="21"/>
  <c r="H202" i="21"/>
  <c r="F202" i="21"/>
  <c r="O201" i="21"/>
  <c r="N201" i="21"/>
  <c r="M201" i="21"/>
  <c r="L201" i="21"/>
  <c r="H201" i="21"/>
  <c r="F201" i="21"/>
  <c r="O200" i="21"/>
  <c r="N200" i="21"/>
  <c r="M200" i="21"/>
  <c r="L200" i="21"/>
  <c r="H200" i="21"/>
  <c r="F200" i="21"/>
  <c r="O199" i="21"/>
  <c r="N199" i="21"/>
  <c r="M199" i="21"/>
  <c r="L199" i="21"/>
  <c r="H199" i="21"/>
  <c r="F199" i="21"/>
  <c r="O198" i="21"/>
  <c r="N198" i="21"/>
  <c r="M198" i="21"/>
  <c r="L198" i="21"/>
  <c r="I198" i="21"/>
  <c r="J198" i="21" s="1"/>
  <c r="H198" i="21"/>
  <c r="F198" i="21"/>
  <c r="L197" i="21"/>
  <c r="H197" i="21"/>
  <c r="F197" i="21"/>
  <c r="N196" i="21"/>
  <c r="M196" i="21"/>
  <c r="L196" i="21"/>
  <c r="H196" i="21"/>
  <c r="F196" i="21"/>
  <c r="O195" i="21"/>
  <c r="N195" i="21"/>
  <c r="M195" i="21"/>
  <c r="L195" i="21"/>
  <c r="I195" i="21"/>
  <c r="J195" i="21" s="1"/>
  <c r="H195" i="21"/>
  <c r="F195" i="21"/>
  <c r="O194" i="21"/>
  <c r="N194" i="21"/>
  <c r="M194" i="21"/>
  <c r="L194" i="21"/>
  <c r="I194" i="21"/>
  <c r="J194" i="21" s="1"/>
  <c r="H194" i="21"/>
  <c r="F194" i="21"/>
  <c r="L193" i="21"/>
  <c r="H193" i="21"/>
  <c r="F193" i="21"/>
  <c r="O192" i="21"/>
  <c r="N192" i="21"/>
  <c r="M192" i="21"/>
  <c r="L192" i="21"/>
  <c r="I192" i="21"/>
  <c r="J192" i="21" s="1"/>
  <c r="H192" i="21"/>
  <c r="F192" i="21"/>
  <c r="O191" i="21"/>
  <c r="N191" i="21"/>
  <c r="M191" i="21"/>
  <c r="L191" i="21"/>
  <c r="H191" i="21"/>
  <c r="F191" i="21"/>
  <c r="O190" i="21"/>
  <c r="N190" i="21"/>
  <c r="M190" i="21"/>
  <c r="L190" i="21"/>
  <c r="H190" i="21"/>
  <c r="F190" i="21"/>
  <c r="O189" i="21"/>
  <c r="N189" i="21"/>
  <c r="M189" i="21"/>
  <c r="L189" i="21"/>
  <c r="H189" i="21"/>
  <c r="F189" i="21"/>
  <c r="O188" i="21"/>
  <c r="N188" i="21"/>
  <c r="M188" i="21"/>
  <c r="L188" i="21"/>
  <c r="H188" i="21"/>
  <c r="F188" i="21"/>
  <c r="O187" i="21"/>
  <c r="N187" i="21"/>
  <c r="M187" i="21"/>
  <c r="L187" i="21"/>
  <c r="H187" i="21"/>
  <c r="F187" i="21"/>
  <c r="O186" i="21"/>
  <c r="N186" i="21"/>
  <c r="M186" i="21"/>
  <c r="L186" i="21"/>
  <c r="H186" i="21"/>
  <c r="F186" i="21"/>
  <c r="O185" i="21"/>
  <c r="N185" i="21"/>
  <c r="M185" i="21"/>
  <c r="L185" i="21"/>
  <c r="H185" i="21"/>
  <c r="F185" i="21"/>
  <c r="O184" i="21"/>
  <c r="N184" i="21"/>
  <c r="M184" i="21"/>
  <c r="L184" i="21"/>
  <c r="H184" i="21"/>
  <c r="F184" i="21"/>
  <c r="O183" i="21"/>
  <c r="N183" i="21"/>
  <c r="M183" i="21"/>
  <c r="L183" i="21"/>
  <c r="H183" i="21"/>
  <c r="F183" i="21"/>
  <c r="O182" i="21"/>
  <c r="N182" i="21"/>
  <c r="M182" i="21"/>
  <c r="L182" i="21"/>
  <c r="H182" i="21"/>
  <c r="F182" i="21"/>
  <c r="O181" i="21"/>
  <c r="N181" i="21"/>
  <c r="M181" i="21"/>
  <c r="L181" i="21"/>
  <c r="H181" i="21"/>
  <c r="F181" i="21"/>
  <c r="O180" i="21"/>
  <c r="N180" i="21"/>
  <c r="M180" i="21"/>
  <c r="L180" i="21"/>
  <c r="H180" i="21"/>
  <c r="F180" i="21"/>
  <c r="O179" i="21"/>
  <c r="N179" i="21"/>
  <c r="M179" i="21"/>
  <c r="L179" i="21"/>
  <c r="H179" i="21"/>
  <c r="F179" i="21"/>
  <c r="O178" i="21"/>
  <c r="N178" i="21"/>
  <c r="M178" i="21"/>
  <c r="L178" i="21"/>
  <c r="H178" i="21"/>
  <c r="F178" i="21"/>
  <c r="O177" i="21"/>
  <c r="N177" i="21"/>
  <c r="M177" i="21"/>
  <c r="L177" i="21"/>
  <c r="H177" i="21"/>
  <c r="F177" i="21"/>
  <c r="O176" i="21"/>
  <c r="N176" i="21"/>
  <c r="M176" i="21"/>
  <c r="L176" i="21"/>
  <c r="H176" i="21"/>
  <c r="F176" i="21"/>
  <c r="O175" i="21"/>
  <c r="N175" i="21"/>
  <c r="M175" i="21"/>
  <c r="L175" i="21"/>
  <c r="H175" i="21"/>
  <c r="F175" i="21"/>
  <c r="O174" i="21"/>
  <c r="N174" i="21"/>
  <c r="M174" i="21"/>
  <c r="L174" i="21"/>
  <c r="H174" i="21"/>
  <c r="F174" i="21"/>
  <c r="L173" i="21"/>
  <c r="H173" i="21"/>
  <c r="F173" i="21"/>
  <c r="O172" i="21"/>
  <c r="N172" i="21"/>
  <c r="M172" i="21"/>
  <c r="L172" i="21"/>
  <c r="I172" i="21"/>
  <c r="J172" i="21" s="1"/>
  <c r="H172" i="21"/>
  <c r="F172" i="21"/>
  <c r="O171" i="21"/>
  <c r="N171" i="21"/>
  <c r="M171" i="21"/>
  <c r="L171" i="21"/>
  <c r="I171" i="21"/>
  <c r="J171" i="21" s="1"/>
  <c r="H171" i="21"/>
  <c r="F171" i="21"/>
  <c r="O170" i="21"/>
  <c r="N170" i="21"/>
  <c r="M170" i="21"/>
  <c r="L170" i="21"/>
  <c r="H170" i="21"/>
  <c r="F170" i="21"/>
  <c r="O169" i="21"/>
  <c r="N169" i="21"/>
  <c r="M169" i="21"/>
  <c r="L169" i="21"/>
  <c r="H169" i="21"/>
  <c r="F169" i="21"/>
  <c r="L168" i="21"/>
  <c r="H168" i="21"/>
  <c r="F168" i="21"/>
  <c r="O167" i="21"/>
  <c r="N167" i="21"/>
  <c r="M167" i="21"/>
  <c r="L167" i="21"/>
  <c r="I167" i="21"/>
  <c r="H167" i="21"/>
  <c r="F167" i="21"/>
  <c r="O166" i="21"/>
  <c r="N166" i="21"/>
  <c r="M166" i="21"/>
  <c r="L166" i="21"/>
  <c r="I166" i="21"/>
  <c r="J166" i="21" s="1"/>
  <c r="H166" i="21"/>
  <c r="F166" i="21"/>
  <c r="L165" i="21"/>
  <c r="H165" i="21"/>
  <c r="F165" i="21"/>
  <c r="O164" i="21"/>
  <c r="N164" i="21"/>
  <c r="M164" i="21"/>
  <c r="L164" i="21"/>
  <c r="I164" i="21"/>
  <c r="J164" i="21" s="1"/>
  <c r="H164" i="21"/>
  <c r="F164" i="21"/>
  <c r="O163" i="21"/>
  <c r="N163" i="21"/>
  <c r="M163" i="21"/>
  <c r="L163" i="21"/>
  <c r="I163" i="21"/>
  <c r="H163" i="21"/>
  <c r="F163" i="21"/>
  <c r="O162" i="21"/>
  <c r="N162" i="21"/>
  <c r="M162" i="21"/>
  <c r="L162" i="21"/>
  <c r="I162" i="21"/>
  <c r="H162" i="21"/>
  <c r="F162" i="21"/>
  <c r="O161" i="21"/>
  <c r="N161" i="21"/>
  <c r="M161" i="21"/>
  <c r="L161" i="21"/>
  <c r="I161" i="21"/>
  <c r="H161" i="21"/>
  <c r="F161" i="21"/>
  <c r="O160" i="21"/>
  <c r="N160" i="21"/>
  <c r="M160" i="21"/>
  <c r="L160" i="21"/>
  <c r="H160" i="21"/>
  <c r="F160" i="21"/>
  <c r="O159" i="21"/>
  <c r="N159" i="21"/>
  <c r="M159" i="21"/>
  <c r="L159" i="21"/>
  <c r="I159" i="21"/>
  <c r="H159" i="21"/>
  <c r="F159" i="21"/>
  <c r="O158" i="21"/>
  <c r="N158" i="21"/>
  <c r="M158" i="21"/>
  <c r="L158" i="21"/>
  <c r="I158" i="21"/>
  <c r="J158" i="21" s="1"/>
  <c r="H158" i="21"/>
  <c r="F158" i="21"/>
  <c r="O157" i="21"/>
  <c r="N157" i="21"/>
  <c r="M157" i="21"/>
  <c r="L157" i="21"/>
  <c r="I157" i="21"/>
  <c r="J157" i="21" s="1"/>
  <c r="H157" i="21"/>
  <c r="F157" i="21"/>
  <c r="O156" i="21"/>
  <c r="N156" i="21"/>
  <c r="M156" i="21"/>
  <c r="L156" i="21"/>
  <c r="H156" i="21"/>
  <c r="F156" i="21"/>
  <c r="O155" i="21"/>
  <c r="N155" i="21"/>
  <c r="M155" i="21"/>
  <c r="L155" i="21"/>
  <c r="I155" i="21"/>
  <c r="J155" i="21" s="1"/>
  <c r="H155" i="21"/>
  <c r="F155" i="21"/>
  <c r="O154" i="21"/>
  <c r="N154" i="21"/>
  <c r="M154" i="21"/>
  <c r="L154" i="21"/>
  <c r="H154" i="21"/>
  <c r="F154" i="21"/>
  <c r="O153" i="21"/>
  <c r="N153" i="21"/>
  <c r="M153" i="21"/>
  <c r="L153" i="21"/>
  <c r="H153" i="21"/>
  <c r="F153" i="21"/>
  <c r="O152" i="21"/>
  <c r="N152" i="21"/>
  <c r="M152" i="21"/>
  <c r="L152" i="21"/>
  <c r="H152" i="21"/>
  <c r="F152" i="21"/>
  <c r="L151" i="21"/>
  <c r="I151" i="21"/>
  <c r="J151" i="21" s="1"/>
  <c r="H151" i="21"/>
  <c r="F151" i="21"/>
  <c r="O150" i="21"/>
  <c r="N150" i="21"/>
  <c r="M150" i="21"/>
  <c r="L150" i="21"/>
  <c r="I150" i="21"/>
  <c r="H150" i="21"/>
  <c r="F150" i="21"/>
  <c r="O149" i="21"/>
  <c r="N149" i="21"/>
  <c r="M149" i="21"/>
  <c r="L149" i="21"/>
  <c r="I149" i="21"/>
  <c r="J149" i="21" s="1"/>
  <c r="H149" i="21"/>
  <c r="F149" i="21"/>
  <c r="O148" i="21"/>
  <c r="N148" i="21"/>
  <c r="M148" i="21"/>
  <c r="L148" i="21"/>
  <c r="I148" i="21"/>
  <c r="J148" i="21" s="1"/>
  <c r="H148" i="21"/>
  <c r="F148" i="21"/>
  <c r="O147" i="21"/>
  <c r="N147" i="21"/>
  <c r="M147" i="21"/>
  <c r="L147" i="21"/>
  <c r="I147" i="21"/>
  <c r="J147" i="21" s="1"/>
  <c r="H147" i="21"/>
  <c r="F147" i="21"/>
  <c r="O146" i="21"/>
  <c r="N146" i="21"/>
  <c r="M146" i="21"/>
  <c r="L146" i="21"/>
  <c r="H146" i="21"/>
  <c r="F146" i="21"/>
  <c r="O145" i="21"/>
  <c r="N145" i="21"/>
  <c r="M145" i="21"/>
  <c r="L145" i="21"/>
  <c r="H145" i="21"/>
  <c r="F145" i="21"/>
  <c r="L144" i="21"/>
  <c r="L143" i="21"/>
  <c r="N141" i="21"/>
  <c r="N140" i="21"/>
  <c r="N139" i="21"/>
  <c r="N138" i="21"/>
  <c r="N137" i="21"/>
  <c r="O134" i="21"/>
  <c r="N134" i="21"/>
  <c r="M134" i="21"/>
  <c r="L134" i="21"/>
  <c r="H134" i="21"/>
  <c r="F134" i="21"/>
  <c r="O133" i="21"/>
  <c r="N133" i="21"/>
  <c r="M133" i="21"/>
  <c r="L133" i="21"/>
  <c r="H133" i="21"/>
  <c r="F133" i="21"/>
  <c r="O132" i="21"/>
  <c r="N132" i="21"/>
  <c r="M132" i="21"/>
  <c r="L132" i="21"/>
  <c r="I132" i="21"/>
  <c r="J132" i="21" s="1"/>
  <c r="H132" i="21"/>
  <c r="F132" i="21"/>
  <c r="O131" i="21"/>
  <c r="N131" i="21"/>
  <c r="M131" i="21"/>
  <c r="L131" i="21"/>
  <c r="H131" i="21"/>
  <c r="F131" i="21"/>
  <c r="O130" i="21"/>
  <c r="N130" i="21"/>
  <c r="M130" i="21"/>
  <c r="L130" i="21"/>
  <c r="H130" i="21"/>
  <c r="F130" i="21"/>
  <c r="O129" i="21"/>
  <c r="N129" i="21"/>
  <c r="M129" i="21"/>
  <c r="L129" i="21"/>
  <c r="H129" i="21"/>
  <c r="F129" i="21"/>
  <c r="O128" i="21"/>
  <c r="N128" i="21"/>
  <c r="M128" i="21"/>
  <c r="L128" i="21"/>
  <c r="H128" i="21"/>
  <c r="F128" i="21"/>
  <c r="O127" i="21"/>
  <c r="N127" i="21"/>
  <c r="M127" i="21"/>
  <c r="L127" i="21"/>
  <c r="I127" i="21"/>
  <c r="J127" i="21" s="1"/>
  <c r="H127" i="21"/>
  <c r="F127" i="21"/>
  <c r="O126" i="21"/>
  <c r="N126" i="21"/>
  <c r="M126" i="21"/>
  <c r="L126" i="21"/>
  <c r="H126" i="21"/>
  <c r="F126" i="21"/>
  <c r="O125" i="21"/>
  <c r="N125" i="21"/>
  <c r="M125" i="21"/>
  <c r="L125" i="21"/>
  <c r="H125" i="21"/>
  <c r="F125" i="21"/>
  <c r="L124" i="21"/>
  <c r="N122" i="21"/>
  <c r="N121" i="21"/>
  <c r="N120" i="21"/>
  <c r="N119" i="21"/>
  <c r="N118" i="21"/>
  <c r="O116" i="21"/>
  <c r="N116" i="21"/>
  <c r="M116" i="21"/>
  <c r="L116" i="21"/>
  <c r="H116" i="21"/>
  <c r="F116" i="21"/>
  <c r="O115" i="21"/>
  <c r="N115" i="21"/>
  <c r="M115" i="21"/>
  <c r="L115" i="21"/>
  <c r="I115" i="21"/>
  <c r="J115" i="21" s="1"/>
  <c r="H115" i="21"/>
  <c r="F115" i="21"/>
  <c r="O114" i="21"/>
  <c r="N114" i="21"/>
  <c r="M114" i="21"/>
  <c r="L114" i="21"/>
  <c r="H114" i="21"/>
  <c r="F114" i="21"/>
  <c r="O113" i="21"/>
  <c r="N113" i="21"/>
  <c r="M113" i="21"/>
  <c r="L113" i="21"/>
  <c r="I113" i="21"/>
  <c r="J113" i="21" s="1"/>
  <c r="H113" i="21"/>
  <c r="F113" i="21"/>
  <c r="L112" i="21"/>
  <c r="H112" i="21"/>
  <c r="F112" i="21"/>
  <c r="O111" i="21"/>
  <c r="N111" i="21"/>
  <c r="M111" i="21"/>
  <c r="L111" i="21"/>
  <c r="I111" i="21"/>
  <c r="J111" i="21" s="1"/>
  <c r="H111" i="21"/>
  <c r="F111" i="21"/>
  <c r="O110" i="21"/>
  <c r="N110" i="21"/>
  <c r="M110" i="21"/>
  <c r="L110" i="21"/>
  <c r="I110" i="21"/>
  <c r="J110" i="21" s="1"/>
  <c r="H110" i="21"/>
  <c r="F110" i="21"/>
  <c r="O109" i="21"/>
  <c r="N109" i="21"/>
  <c r="M109" i="21"/>
  <c r="L109" i="21"/>
  <c r="I109" i="21"/>
  <c r="J109" i="21" s="1"/>
  <c r="H109" i="21"/>
  <c r="F109" i="21"/>
  <c r="O108" i="21"/>
  <c r="N108" i="21"/>
  <c r="M108" i="21"/>
  <c r="L108" i="21"/>
  <c r="I108" i="21"/>
  <c r="J108" i="21" s="1"/>
  <c r="H108" i="21"/>
  <c r="F108" i="21"/>
  <c r="L107" i="21"/>
  <c r="H107" i="21"/>
  <c r="F107" i="21"/>
  <c r="O106" i="21"/>
  <c r="N106" i="21"/>
  <c r="M106" i="21"/>
  <c r="L106" i="21"/>
  <c r="I106" i="21"/>
  <c r="H106" i="21"/>
  <c r="F106" i="21"/>
  <c r="O105" i="21"/>
  <c r="N105" i="21"/>
  <c r="M105" i="21"/>
  <c r="L105" i="21"/>
  <c r="H105" i="21"/>
  <c r="F105" i="21"/>
  <c r="O104" i="21"/>
  <c r="N104" i="21"/>
  <c r="M104" i="21"/>
  <c r="L104" i="21"/>
  <c r="H104" i="21"/>
  <c r="F104" i="21"/>
  <c r="O103" i="21"/>
  <c r="N103" i="21"/>
  <c r="M103" i="21"/>
  <c r="L103" i="21"/>
  <c r="H103" i="21"/>
  <c r="F103" i="21"/>
  <c r="L102" i="21"/>
  <c r="H102" i="21"/>
  <c r="F102" i="21"/>
  <c r="O101" i="21"/>
  <c r="N101" i="21"/>
  <c r="M101" i="21"/>
  <c r="L101" i="21"/>
  <c r="H101" i="21"/>
  <c r="F101" i="21"/>
  <c r="O100" i="21"/>
  <c r="N100" i="21"/>
  <c r="M100" i="21"/>
  <c r="L100" i="21"/>
  <c r="I100" i="21"/>
  <c r="H100" i="21"/>
  <c r="F100" i="21"/>
  <c r="O99" i="21"/>
  <c r="N99" i="21"/>
  <c r="M99" i="21"/>
  <c r="L99" i="21"/>
  <c r="H99" i="21"/>
  <c r="F99" i="21"/>
  <c r="O98" i="21"/>
  <c r="N98" i="21"/>
  <c r="M98" i="21"/>
  <c r="L98" i="21"/>
  <c r="H98" i="21"/>
  <c r="F98" i="21"/>
  <c r="O97" i="21"/>
  <c r="N97" i="21"/>
  <c r="M97" i="21"/>
  <c r="L97" i="21"/>
  <c r="H97" i="21"/>
  <c r="F97" i="21"/>
  <c r="O96" i="21"/>
  <c r="N96" i="21"/>
  <c r="M96" i="21"/>
  <c r="L96" i="21"/>
  <c r="I96" i="21"/>
  <c r="J96" i="21" s="1"/>
  <c r="H96" i="21"/>
  <c r="F96" i="21"/>
  <c r="O95" i="21"/>
  <c r="N95" i="21"/>
  <c r="M95" i="21"/>
  <c r="L95" i="21"/>
  <c r="I95" i="21"/>
  <c r="H95" i="21"/>
  <c r="F95" i="21"/>
  <c r="O94" i="21"/>
  <c r="N94" i="21"/>
  <c r="M94" i="21"/>
  <c r="L94" i="21"/>
  <c r="I94" i="21"/>
  <c r="J94" i="21" s="1"/>
  <c r="H94" i="21"/>
  <c r="F94" i="21"/>
  <c r="O93" i="21"/>
  <c r="N93" i="21"/>
  <c r="M93" i="21"/>
  <c r="L93" i="21"/>
  <c r="I93" i="21"/>
  <c r="J93" i="21" s="1"/>
  <c r="H93" i="21"/>
  <c r="F93" i="21"/>
  <c r="L92" i="21"/>
  <c r="H92" i="21"/>
  <c r="F92" i="21"/>
  <c r="N91" i="21"/>
  <c r="M91" i="21"/>
  <c r="L91" i="21"/>
  <c r="H91" i="21"/>
  <c r="F91" i="21"/>
  <c r="N90" i="21"/>
  <c r="M90" i="21"/>
  <c r="L90" i="21"/>
  <c r="I90" i="21"/>
  <c r="J90" i="21" s="1"/>
  <c r="H90" i="21"/>
  <c r="F90" i="21"/>
  <c r="O89" i="21"/>
  <c r="N89" i="21"/>
  <c r="M89" i="21"/>
  <c r="L89" i="21"/>
  <c r="I89" i="21"/>
  <c r="H89" i="21"/>
  <c r="F89" i="21"/>
  <c r="O88" i="21"/>
  <c r="N88" i="21"/>
  <c r="M88" i="21"/>
  <c r="L88" i="21"/>
  <c r="I88" i="21"/>
  <c r="J88" i="21" s="1"/>
  <c r="H88" i="21"/>
  <c r="F88" i="21"/>
  <c r="O87" i="21"/>
  <c r="N87" i="21"/>
  <c r="M87" i="21"/>
  <c r="L87" i="21"/>
  <c r="H87" i="21"/>
  <c r="F87" i="21"/>
  <c r="O86" i="21"/>
  <c r="N86" i="21"/>
  <c r="M86" i="21"/>
  <c r="L86" i="21"/>
  <c r="I86" i="21"/>
  <c r="H86" i="21"/>
  <c r="F86" i="21"/>
  <c r="O85" i="21"/>
  <c r="N85" i="21"/>
  <c r="M85" i="21"/>
  <c r="L85" i="21"/>
  <c r="H85" i="21"/>
  <c r="F85" i="21"/>
  <c r="O84" i="21"/>
  <c r="N84" i="21"/>
  <c r="M84" i="21"/>
  <c r="L84" i="21"/>
  <c r="H84" i="21"/>
  <c r="F84" i="21"/>
  <c r="N83" i="21"/>
  <c r="M83" i="21"/>
  <c r="L83" i="21"/>
  <c r="H83" i="21"/>
  <c r="F83" i="21"/>
  <c r="O82" i="21"/>
  <c r="N82" i="21"/>
  <c r="M82" i="21"/>
  <c r="L82" i="21"/>
  <c r="H82" i="21"/>
  <c r="F82" i="21"/>
  <c r="O81" i="21"/>
  <c r="N81" i="21"/>
  <c r="M81" i="21"/>
  <c r="L81" i="21"/>
  <c r="H81" i="21"/>
  <c r="F81" i="21"/>
  <c r="N80" i="21"/>
  <c r="M80" i="21"/>
  <c r="L80" i="21"/>
  <c r="H80" i="21"/>
  <c r="F80" i="21"/>
  <c r="N79" i="21"/>
  <c r="M79" i="21"/>
  <c r="L79" i="21"/>
  <c r="H79" i="21"/>
  <c r="F79" i="21"/>
  <c r="O78" i="21"/>
  <c r="N78" i="21"/>
  <c r="M78" i="21"/>
  <c r="L78" i="21"/>
  <c r="H78" i="21"/>
  <c r="F78" i="21"/>
  <c r="N77" i="21"/>
  <c r="M77" i="21"/>
  <c r="L77" i="21"/>
  <c r="H77" i="21"/>
  <c r="F77" i="21"/>
  <c r="N76" i="21"/>
  <c r="M76" i="21"/>
  <c r="L76" i="21"/>
  <c r="H76" i="21"/>
  <c r="F76" i="21"/>
  <c r="N75" i="21"/>
  <c r="M75" i="21"/>
  <c r="L75" i="21"/>
  <c r="H75" i="21"/>
  <c r="F75" i="21"/>
  <c r="N74" i="21"/>
  <c r="M74" i="21"/>
  <c r="L74" i="21"/>
  <c r="H74" i="21"/>
  <c r="F74" i="21"/>
  <c r="N73" i="21"/>
  <c r="M73" i="21"/>
  <c r="L73" i="21"/>
  <c r="H73" i="21"/>
  <c r="F73" i="21"/>
  <c r="O72" i="21"/>
  <c r="N72" i="21"/>
  <c r="M72" i="21"/>
  <c r="L72" i="21"/>
  <c r="I72" i="21"/>
  <c r="J72" i="21" s="1"/>
  <c r="H72" i="21"/>
  <c r="F72" i="21"/>
  <c r="O71" i="21"/>
  <c r="N71" i="21"/>
  <c r="M71" i="21"/>
  <c r="L71" i="21"/>
  <c r="H71" i="21"/>
  <c r="F71" i="21"/>
  <c r="N70" i="21"/>
  <c r="M70" i="21"/>
  <c r="L70" i="21"/>
  <c r="H70" i="21"/>
  <c r="F70" i="21"/>
  <c r="N69" i="21"/>
  <c r="M69" i="21"/>
  <c r="L69" i="21"/>
  <c r="H69" i="21"/>
  <c r="F69" i="21"/>
  <c r="N68" i="21"/>
  <c r="M68" i="21"/>
  <c r="L68" i="21"/>
  <c r="H68" i="21"/>
  <c r="F68" i="21"/>
  <c r="N67" i="21"/>
  <c r="M67" i="21"/>
  <c r="L67" i="21"/>
  <c r="H67" i="21"/>
  <c r="F67" i="21"/>
  <c r="N66" i="21"/>
  <c r="M66" i="21"/>
  <c r="L66" i="21"/>
  <c r="H66" i="21"/>
  <c r="F66" i="21"/>
  <c r="L65" i="21"/>
  <c r="H65" i="21"/>
  <c r="F65" i="21"/>
  <c r="O64" i="21"/>
  <c r="N64" i="21"/>
  <c r="M64" i="21"/>
  <c r="L64" i="21"/>
  <c r="I64" i="21"/>
  <c r="J64" i="21" s="1"/>
  <c r="H64" i="21"/>
  <c r="F64" i="21"/>
  <c r="O63" i="21"/>
  <c r="N63" i="21"/>
  <c r="M63" i="21"/>
  <c r="L63" i="21"/>
  <c r="I63" i="21"/>
  <c r="J63" i="21" s="1"/>
  <c r="H63" i="21"/>
  <c r="F63" i="21"/>
  <c r="O62" i="21"/>
  <c r="N62" i="21"/>
  <c r="M62" i="21"/>
  <c r="L62" i="21"/>
  <c r="H62" i="21"/>
  <c r="F62" i="21"/>
  <c r="O61" i="21"/>
  <c r="N61" i="21"/>
  <c r="M61" i="21"/>
  <c r="L61" i="21"/>
  <c r="I61" i="21"/>
  <c r="H61" i="21"/>
  <c r="F61" i="21"/>
  <c r="O60" i="21"/>
  <c r="N60" i="21"/>
  <c r="M60" i="21"/>
  <c r="L60" i="21"/>
  <c r="I60" i="21"/>
  <c r="J60" i="21" s="1"/>
  <c r="H60" i="21"/>
  <c r="F60" i="21"/>
  <c r="O59" i="21"/>
  <c r="N59" i="21"/>
  <c r="M59" i="21"/>
  <c r="L59" i="21"/>
  <c r="H59" i="21"/>
  <c r="F59" i="21"/>
  <c r="O58" i="21"/>
  <c r="N58" i="21"/>
  <c r="M58" i="21"/>
  <c r="L58" i="21"/>
  <c r="I58" i="21"/>
  <c r="J58" i="21" s="1"/>
  <c r="H58" i="21"/>
  <c r="F58" i="21"/>
  <c r="O57" i="21"/>
  <c r="N57" i="21"/>
  <c r="M57" i="21"/>
  <c r="L57" i="21"/>
  <c r="H57" i="21"/>
  <c r="F57" i="21"/>
  <c r="O56" i="21"/>
  <c r="N56" i="21"/>
  <c r="M56" i="21"/>
  <c r="L56" i="21"/>
  <c r="H56" i="21"/>
  <c r="F56" i="21"/>
  <c r="O55" i="21"/>
  <c r="N55" i="21"/>
  <c r="M55" i="21"/>
  <c r="L55" i="21"/>
  <c r="H55" i="21"/>
  <c r="F55" i="21"/>
  <c r="L54" i="21"/>
  <c r="H54" i="21"/>
  <c r="F54" i="21"/>
  <c r="O53" i="21"/>
  <c r="N53" i="21"/>
  <c r="M53" i="21"/>
  <c r="L53" i="21"/>
  <c r="I53" i="21"/>
  <c r="J53" i="21" s="1"/>
  <c r="H53" i="21"/>
  <c r="F53" i="21"/>
  <c r="O52" i="21"/>
  <c r="N52" i="21"/>
  <c r="M52" i="21"/>
  <c r="L52" i="21"/>
  <c r="I52" i="21"/>
  <c r="H52" i="21"/>
  <c r="F52" i="21"/>
  <c r="O51" i="21"/>
  <c r="N51" i="21"/>
  <c r="M51" i="21"/>
  <c r="L51" i="21"/>
  <c r="H51" i="21"/>
  <c r="F51" i="21"/>
  <c r="O50" i="21"/>
  <c r="N50" i="21"/>
  <c r="M50" i="21"/>
  <c r="L50" i="21"/>
  <c r="H50" i="21"/>
  <c r="F50" i="21"/>
  <c r="O49" i="21"/>
  <c r="N49" i="21"/>
  <c r="M49" i="21"/>
  <c r="L49" i="21"/>
  <c r="H49" i="21"/>
  <c r="F49" i="21"/>
  <c r="L48" i="21"/>
  <c r="H48" i="21"/>
  <c r="F48" i="21"/>
  <c r="O47" i="21"/>
  <c r="N47" i="21"/>
  <c r="M47" i="21"/>
  <c r="L47" i="21"/>
  <c r="I47" i="21"/>
  <c r="H47" i="21"/>
  <c r="F47" i="21"/>
  <c r="O46" i="21"/>
  <c r="N46" i="21"/>
  <c r="M46" i="21"/>
  <c r="L46" i="21"/>
  <c r="I46" i="21"/>
  <c r="J46" i="21" s="1"/>
  <c r="H46" i="21"/>
  <c r="F46" i="21"/>
  <c r="O45" i="21"/>
  <c r="N45" i="21"/>
  <c r="M45" i="21"/>
  <c r="L45" i="21"/>
  <c r="H45" i="21"/>
  <c r="F45" i="21"/>
  <c r="O44" i="21"/>
  <c r="N44" i="21"/>
  <c r="M44" i="21"/>
  <c r="L44" i="21"/>
  <c r="H44" i="21"/>
  <c r="F44" i="21"/>
  <c r="O43" i="21"/>
  <c r="N43" i="21"/>
  <c r="M43" i="21"/>
  <c r="L43" i="21"/>
  <c r="I43" i="21"/>
  <c r="J43" i="21" s="1"/>
  <c r="H43" i="21"/>
  <c r="F43" i="21"/>
  <c r="O42" i="21"/>
  <c r="N42" i="21"/>
  <c r="M42" i="21"/>
  <c r="L42" i="21"/>
  <c r="H42" i="21"/>
  <c r="F42" i="21"/>
  <c r="O41" i="21"/>
  <c r="N41" i="21"/>
  <c r="M41" i="21"/>
  <c r="L41" i="21"/>
  <c r="H41" i="21"/>
  <c r="F41" i="21"/>
  <c r="O40" i="21"/>
  <c r="N40" i="21"/>
  <c r="M40" i="21"/>
  <c r="L40" i="21"/>
  <c r="H40" i="21"/>
  <c r="F40" i="21"/>
  <c r="O39" i="21"/>
  <c r="N39" i="21"/>
  <c r="M39" i="21"/>
  <c r="L39" i="21"/>
  <c r="H39" i="21"/>
  <c r="F39" i="21"/>
  <c r="O38" i="21"/>
  <c r="N38" i="21"/>
  <c r="M38" i="21"/>
  <c r="L38" i="21"/>
  <c r="H38" i="21"/>
  <c r="F38" i="21"/>
  <c r="O37" i="21"/>
  <c r="N37" i="21"/>
  <c r="M37" i="21"/>
  <c r="L37" i="21"/>
  <c r="H37" i="21"/>
  <c r="F37" i="21"/>
  <c r="O36" i="21"/>
  <c r="N36" i="21"/>
  <c r="M36" i="21"/>
  <c r="L36" i="21"/>
  <c r="H36" i="21"/>
  <c r="F36" i="21"/>
  <c r="O35" i="21"/>
  <c r="N35" i="21"/>
  <c r="M35" i="21"/>
  <c r="L35" i="21"/>
  <c r="H35" i="21"/>
  <c r="F35" i="21"/>
  <c r="O34" i="21"/>
  <c r="N34" i="21"/>
  <c r="M34" i="21"/>
  <c r="L34" i="21"/>
  <c r="H34" i="21"/>
  <c r="F34" i="21"/>
  <c r="L33" i="21"/>
  <c r="H33" i="21"/>
  <c r="F33" i="21"/>
  <c r="O32" i="21"/>
  <c r="N32" i="21"/>
  <c r="M32" i="21"/>
  <c r="L32" i="21"/>
  <c r="B19" i="21"/>
  <c r="B18" i="21"/>
  <c r="B17" i="21"/>
  <c r="B16" i="21"/>
  <c r="B15" i="21"/>
  <c r="E2" i="25"/>
  <c r="U1" i="25" s="1"/>
  <c r="F117" i="21" l="1"/>
  <c r="F120" i="21" s="1"/>
  <c r="F121" i="21" s="1"/>
  <c r="H117" i="21"/>
  <c r="H120" i="21" s="1"/>
  <c r="H121" i="21" s="1"/>
  <c r="J222" i="21"/>
  <c r="J163" i="21"/>
  <c r="J246" i="21"/>
  <c r="J322" i="21"/>
  <c r="J325" i="21"/>
  <c r="J100" i="21"/>
  <c r="J407" i="21"/>
  <c r="J320" i="21"/>
  <c r="J413" i="21"/>
  <c r="J408" i="21"/>
  <c r="J430" i="21"/>
  <c r="J311" i="21"/>
  <c r="J233" i="21"/>
  <c r="J89" i="21"/>
  <c r="J330" i="21"/>
  <c r="J106" i="21"/>
  <c r="J329" i="21"/>
  <c r="J405" i="21"/>
  <c r="J167" i="21"/>
  <c r="J294" i="21"/>
  <c r="J328" i="21"/>
  <c r="J333" i="21"/>
  <c r="J397" i="21"/>
  <c r="J404" i="21"/>
  <c r="J159" i="21"/>
  <c r="J316" i="21"/>
  <c r="J161" i="21"/>
  <c r="J326" i="21"/>
  <c r="J314" i="21"/>
  <c r="J47" i="21"/>
  <c r="J52" i="21"/>
  <c r="J61" i="21"/>
  <c r="J86" i="21"/>
  <c r="J95" i="21"/>
  <c r="J150" i="21"/>
  <c r="J220" i="21"/>
  <c r="J247" i="21"/>
  <c r="J232" i="21"/>
  <c r="J274" i="21"/>
  <c r="P274" i="21"/>
  <c r="Q274" i="21" s="1"/>
  <c r="J162" i="21"/>
  <c r="J227" i="21"/>
  <c r="J223" i="21"/>
  <c r="J231" i="21"/>
  <c r="J360" i="21"/>
  <c r="J270" i="21"/>
  <c r="J288" i="21"/>
  <c r="J440" i="21"/>
  <c r="J455" i="21"/>
  <c r="J447" i="21"/>
  <c r="J310" i="21"/>
  <c r="J370" i="21"/>
  <c r="J379" i="21"/>
  <c r="J439" i="21"/>
  <c r="J454" i="21"/>
  <c r="N201" i="12"/>
  <c r="O201" i="12" s="1"/>
  <c r="B201" i="12"/>
  <c r="A201" i="12"/>
  <c r="M200" i="12"/>
  <c r="N200" i="12" s="1"/>
  <c r="O200" i="12" s="1"/>
  <c r="Q200" i="12"/>
  <c r="O202" i="12"/>
  <c r="O203" i="12"/>
  <c r="O204" i="12"/>
  <c r="B200" i="12"/>
  <c r="A200" i="12"/>
  <c r="A6" i="20"/>
  <c r="A7" i="20"/>
  <c r="A8" i="20"/>
  <c r="A5" i="20"/>
  <c r="E6" i="20"/>
  <c r="E7" i="20"/>
  <c r="E8" i="20"/>
  <c r="E5" i="20"/>
  <c r="D6" i="20"/>
  <c r="D7" i="20"/>
  <c r="D8" i="20"/>
  <c r="D5" i="20"/>
  <c r="C6" i="20"/>
  <c r="C7" i="20"/>
  <c r="C8" i="20"/>
  <c r="C5" i="20"/>
  <c r="B6" i="20"/>
  <c r="B7" i="20"/>
  <c r="B8" i="20"/>
  <c r="B5" i="20"/>
  <c r="N199" i="12"/>
  <c r="O199" i="12" s="1"/>
  <c r="B199" i="12"/>
  <c r="A199" i="12"/>
  <c r="N198" i="12"/>
  <c r="I217" i="17" s="1"/>
  <c r="B198" i="12"/>
  <c r="A198" i="12"/>
  <c r="H119" i="21" l="1"/>
  <c r="H118" i="21"/>
  <c r="D10" i="20"/>
  <c r="D11" i="20" s="1"/>
  <c r="E10" i="20"/>
  <c r="E11" i="20" s="1"/>
  <c r="O198" i="12"/>
  <c r="G283" i="23"/>
  <c r="I283" i="23" s="1"/>
  <c r="I153" i="24" s="1"/>
  <c r="I296" i="17"/>
  <c r="G151" i="23"/>
  <c r="I266" i="21"/>
  <c r="J266" i="21" s="1"/>
  <c r="I113" i="17"/>
  <c r="G54" i="23"/>
  <c r="I54" i="23" s="1"/>
  <c r="I98" i="21"/>
  <c r="J98" i="21" s="1"/>
  <c r="I106" i="17"/>
  <c r="G292" i="23"/>
  <c r="I91" i="21"/>
  <c r="J91" i="21" s="1"/>
  <c r="C10" i="20"/>
  <c r="C11" i="20" s="1"/>
  <c r="F5" i="20"/>
  <c r="F119" i="21"/>
  <c r="F118" i="21"/>
  <c r="F122" i="21" s="1"/>
  <c r="S200" i="12"/>
  <c r="C16" i="17" l="1"/>
  <c r="P478" i="21"/>
  <c r="C15" i="21" s="1"/>
  <c r="H122" i="21"/>
  <c r="H136" i="21" s="1"/>
  <c r="F136" i="21"/>
  <c r="I76" i="24"/>
  <c r="I53" i="23"/>
  <c r="I367" i="24" s="1"/>
  <c r="N135" i="12"/>
  <c r="N98" i="12"/>
  <c r="N54" i="12"/>
  <c r="N134" i="12"/>
  <c r="N97" i="12"/>
  <c r="N53" i="12"/>
  <c r="N118" i="12"/>
  <c r="N111" i="12"/>
  <c r="N27" i="12"/>
  <c r="N25" i="12"/>
  <c r="N24" i="12"/>
  <c r="N105" i="12"/>
  <c r="N23" i="12"/>
  <c r="N104" i="12"/>
  <c r="N22" i="12"/>
  <c r="N103" i="12"/>
  <c r="N21" i="12"/>
  <c r="N20" i="12"/>
  <c r="N102" i="12"/>
  <c r="N19" i="12"/>
  <c r="N101" i="12"/>
  <c r="N18" i="12"/>
  <c r="P137" i="21" l="1"/>
  <c r="P418" i="21"/>
  <c r="P277" i="21"/>
  <c r="P118" i="21"/>
  <c r="P471" i="21"/>
  <c r="P381" i="21"/>
  <c r="P205" i="21"/>
  <c r="P458" i="21"/>
  <c r="P342" i="21"/>
  <c r="F139" i="21"/>
  <c r="F140" i="21" s="1"/>
  <c r="F138" i="21"/>
  <c r="F137" i="21"/>
  <c r="H138" i="21"/>
  <c r="H139" i="21"/>
  <c r="H140" i="21" s="1"/>
  <c r="H137" i="21"/>
  <c r="H141" i="21" l="1"/>
  <c r="H204" i="21" s="1"/>
  <c r="H206" i="21" s="1"/>
  <c r="F141" i="21"/>
  <c r="F204" i="21" s="1"/>
  <c r="F205" i="21" s="1"/>
  <c r="N571" i="17"/>
  <c r="N570" i="17"/>
  <c r="N569" i="17"/>
  <c r="N568" i="17"/>
  <c r="N567" i="17"/>
  <c r="N566" i="17"/>
  <c r="J566" i="17"/>
  <c r="J568" i="17" s="1"/>
  <c r="H566" i="17"/>
  <c r="F566" i="17"/>
  <c r="O565" i="17"/>
  <c r="N565" i="17"/>
  <c r="M565" i="17"/>
  <c r="L565" i="17"/>
  <c r="O564" i="17"/>
  <c r="N564" i="17"/>
  <c r="M564" i="17"/>
  <c r="L564" i="17"/>
  <c r="P564" i="17" s="1"/>
  <c r="I564" i="17"/>
  <c r="O563" i="17"/>
  <c r="N563" i="17"/>
  <c r="M563" i="17"/>
  <c r="L563" i="17"/>
  <c r="P563" i="17" s="1"/>
  <c r="I563" i="17"/>
  <c r="O562" i="17"/>
  <c r="N562" i="17"/>
  <c r="M562" i="17"/>
  <c r="L562" i="17"/>
  <c r="P562" i="17" s="1"/>
  <c r="I562" i="17"/>
  <c r="M561" i="17"/>
  <c r="L561" i="17"/>
  <c r="L560" i="17"/>
  <c r="N558" i="17"/>
  <c r="N557" i="17"/>
  <c r="N556" i="17"/>
  <c r="N555" i="17"/>
  <c r="N554" i="17"/>
  <c r="N553" i="17"/>
  <c r="O552" i="17"/>
  <c r="N552" i="17"/>
  <c r="M552" i="17"/>
  <c r="L552" i="17"/>
  <c r="H552" i="17"/>
  <c r="F552" i="17"/>
  <c r="O551" i="17"/>
  <c r="N551" i="17"/>
  <c r="M551" i="17"/>
  <c r="L551" i="17"/>
  <c r="P551" i="17" s="1"/>
  <c r="I551" i="17"/>
  <c r="J551" i="17" s="1"/>
  <c r="H551" i="17"/>
  <c r="F551" i="17"/>
  <c r="O550" i="17"/>
  <c r="N550" i="17"/>
  <c r="M550" i="17"/>
  <c r="L550" i="17"/>
  <c r="P550" i="17" s="1"/>
  <c r="I550" i="17"/>
  <c r="H550" i="17"/>
  <c r="F550" i="17"/>
  <c r="M549" i="17"/>
  <c r="L549" i="17"/>
  <c r="H549" i="17"/>
  <c r="F549" i="17"/>
  <c r="O548" i="17"/>
  <c r="N548" i="17"/>
  <c r="M548" i="17"/>
  <c r="L548" i="17"/>
  <c r="H548" i="17"/>
  <c r="F548" i="17"/>
  <c r="O547" i="17"/>
  <c r="N547" i="17"/>
  <c r="M547" i="17"/>
  <c r="L547" i="17"/>
  <c r="I547" i="17"/>
  <c r="H547" i="17"/>
  <c r="F547" i="17"/>
  <c r="O546" i="17"/>
  <c r="N546" i="17"/>
  <c r="M546" i="17"/>
  <c r="L546" i="17"/>
  <c r="P546" i="17" s="1"/>
  <c r="I546" i="17"/>
  <c r="H546" i="17"/>
  <c r="F546" i="17"/>
  <c r="O545" i="17"/>
  <c r="N545" i="17"/>
  <c r="M545" i="17"/>
  <c r="L545" i="17"/>
  <c r="P545" i="17" s="1"/>
  <c r="I545" i="17"/>
  <c r="H545" i="17"/>
  <c r="F545" i="17"/>
  <c r="O544" i="17"/>
  <c r="N544" i="17"/>
  <c r="M544" i="17"/>
  <c r="L544" i="17"/>
  <c r="P544" i="17" s="1"/>
  <c r="I544" i="17"/>
  <c r="H544" i="17"/>
  <c r="F544" i="17"/>
  <c r="O543" i="17"/>
  <c r="N543" i="17"/>
  <c r="M543" i="17"/>
  <c r="L543" i="17"/>
  <c r="P543" i="17" s="1"/>
  <c r="I543" i="17"/>
  <c r="H543" i="17"/>
  <c r="F543" i="17"/>
  <c r="O542" i="17"/>
  <c r="N542" i="17"/>
  <c r="M542" i="17"/>
  <c r="L542" i="17"/>
  <c r="H542" i="17"/>
  <c r="F542" i="17"/>
  <c r="O541" i="17"/>
  <c r="N541" i="17"/>
  <c r="M541" i="17"/>
  <c r="L541" i="17"/>
  <c r="P541" i="17" s="1"/>
  <c r="I541" i="17"/>
  <c r="H541" i="17"/>
  <c r="F541" i="17"/>
  <c r="M540" i="17"/>
  <c r="L540" i="17"/>
  <c r="H540" i="17"/>
  <c r="F540" i="17"/>
  <c r="O539" i="17"/>
  <c r="N539" i="17"/>
  <c r="M539" i="17"/>
  <c r="L539" i="17"/>
  <c r="P539" i="17" s="1"/>
  <c r="I539" i="17"/>
  <c r="H539" i="17"/>
  <c r="F539" i="17"/>
  <c r="O538" i="17"/>
  <c r="N538" i="17"/>
  <c r="M538" i="17"/>
  <c r="L538" i="17"/>
  <c r="H538" i="17"/>
  <c r="F538" i="17"/>
  <c r="O537" i="17"/>
  <c r="N537" i="17"/>
  <c r="M537" i="17"/>
  <c r="L537" i="17"/>
  <c r="H537" i="17"/>
  <c r="F537" i="17"/>
  <c r="O536" i="17"/>
  <c r="N536" i="17"/>
  <c r="M536" i="17"/>
  <c r="L536" i="17"/>
  <c r="H536" i="17"/>
  <c r="F536" i="17"/>
  <c r="O535" i="17"/>
  <c r="N535" i="17"/>
  <c r="M535" i="17"/>
  <c r="L535" i="17"/>
  <c r="H535" i="17"/>
  <c r="F535" i="17"/>
  <c r="O534" i="17"/>
  <c r="N534" i="17"/>
  <c r="M534" i="17"/>
  <c r="L534" i="17"/>
  <c r="P534" i="17" s="1"/>
  <c r="I534" i="17"/>
  <c r="H534" i="17"/>
  <c r="F534" i="17"/>
  <c r="O533" i="17"/>
  <c r="N533" i="17"/>
  <c r="M533" i="17"/>
  <c r="L533" i="17"/>
  <c r="P533" i="17" s="1"/>
  <c r="I533" i="17"/>
  <c r="H533" i="17"/>
  <c r="F533" i="17"/>
  <c r="M532" i="17"/>
  <c r="L532" i="17"/>
  <c r="H532" i="17"/>
  <c r="F532" i="17"/>
  <c r="O531" i="17"/>
  <c r="N531" i="17"/>
  <c r="M531" i="17"/>
  <c r="L531" i="17"/>
  <c r="P531" i="17" s="1"/>
  <c r="I531" i="17"/>
  <c r="H531" i="17"/>
  <c r="F531" i="17"/>
  <c r="O530" i="17"/>
  <c r="N530" i="17"/>
  <c r="M530" i="17"/>
  <c r="L530" i="17"/>
  <c r="I530" i="17"/>
  <c r="H530" i="17"/>
  <c r="F530" i="17"/>
  <c r="O529" i="17"/>
  <c r="N529" i="17"/>
  <c r="M529" i="17"/>
  <c r="L529" i="17"/>
  <c r="I529" i="17"/>
  <c r="H529" i="17"/>
  <c r="F529" i="17"/>
  <c r="O528" i="17"/>
  <c r="N528" i="17"/>
  <c r="M528" i="17"/>
  <c r="L528" i="17"/>
  <c r="I528" i="17"/>
  <c r="H528" i="17"/>
  <c r="F528" i="17"/>
  <c r="O527" i="17"/>
  <c r="N527" i="17"/>
  <c r="M527" i="17"/>
  <c r="L527" i="17"/>
  <c r="I527" i="17"/>
  <c r="H527" i="17"/>
  <c r="F527" i="17"/>
  <c r="O526" i="17"/>
  <c r="N526" i="17"/>
  <c r="M526" i="17"/>
  <c r="L526" i="17"/>
  <c r="P526" i="17" s="1"/>
  <c r="Q526" i="17" s="1"/>
  <c r="I526" i="17"/>
  <c r="H526" i="17"/>
  <c r="F526" i="17"/>
  <c r="O525" i="17"/>
  <c r="N525" i="17"/>
  <c r="M525" i="17"/>
  <c r="L525" i="17"/>
  <c r="H525" i="17"/>
  <c r="F525" i="17"/>
  <c r="O524" i="17"/>
  <c r="N524" i="17"/>
  <c r="M524" i="17"/>
  <c r="L524" i="17"/>
  <c r="P524" i="17" s="1"/>
  <c r="Q524" i="17" s="1"/>
  <c r="I524" i="17"/>
  <c r="H524" i="17"/>
  <c r="F524" i="17"/>
  <c r="O523" i="17"/>
  <c r="N523" i="17"/>
  <c r="M523" i="17"/>
  <c r="L523" i="17"/>
  <c r="H523" i="17"/>
  <c r="F523" i="17"/>
  <c r="O522" i="17"/>
  <c r="N522" i="17"/>
  <c r="M522" i="17"/>
  <c r="L522" i="17"/>
  <c r="H522" i="17"/>
  <c r="F522" i="17"/>
  <c r="O521" i="17"/>
  <c r="N521" i="17"/>
  <c r="M521" i="17"/>
  <c r="L521" i="17"/>
  <c r="H521" i="17"/>
  <c r="F521" i="17"/>
  <c r="M520" i="17"/>
  <c r="L520" i="17"/>
  <c r="H520" i="17"/>
  <c r="F520" i="17"/>
  <c r="O519" i="17"/>
  <c r="N519" i="17"/>
  <c r="M519" i="17"/>
  <c r="L519" i="17"/>
  <c r="P519" i="17" s="1"/>
  <c r="I519" i="17"/>
  <c r="H519" i="17"/>
  <c r="F519" i="17"/>
  <c r="O518" i="17"/>
  <c r="N518" i="17"/>
  <c r="M518" i="17"/>
  <c r="L518" i="17"/>
  <c r="I518" i="17"/>
  <c r="H518" i="17"/>
  <c r="F518" i="17"/>
  <c r="O517" i="17"/>
  <c r="N517" i="17"/>
  <c r="M517" i="17"/>
  <c r="L517" i="17"/>
  <c r="P517" i="17" s="1"/>
  <c r="I517" i="17"/>
  <c r="H517" i="17"/>
  <c r="F517" i="17"/>
  <c r="O516" i="17"/>
  <c r="N516" i="17"/>
  <c r="M516" i="17"/>
  <c r="L516" i="17"/>
  <c r="P516" i="17" s="1"/>
  <c r="I516" i="17"/>
  <c r="H516" i="17"/>
  <c r="F516" i="17"/>
  <c r="O515" i="17"/>
  <c r="N515" i="17"/>
  <c r="M515" i="17"/>
  <c r="L515" i="17"/>
  <c r="P515" i="17" s="1"/>
  <c r="I515" i="17"/>
  <c r="H515" i="17"/>
  <c r="F515" i="17"/>
  <c r="O514" i="17"/>
  <c r="N514" i="17"/>
  <c r="M514" i="17"/>
  <c r="L514" i="17"/>
  <c r="P514" i="17" s="1"/>
  <c r="I514" i="17"/>
  <c r="H514" i="17"/>
  <c r="F514" i="17"/>
  <c r="N513" i="17"/>
  <c r="M513" i="17"/>
  <c r="L513" i="17"/>
  <c r="P513" i="17" s="1"/>
  <c r="I513" i="17"/>
  <c r="H513" i="17"/>
  <c r="F513" i="17"/>
  <c r="O512" i="17"/>
  <c r="N512" i="17"/>
  <c r="M512" i="17"/>
  <c r="L512" i="17"/>
  <c r="P512" i="17" s="1"/>
  <c r="I512" i="17"/>
  <c r="H512" i="17"/>
  <c r="F512" i="17"/>
  <c r="M511" i="17"/>
  <c r="L511" i="17"/>
  <c r="L510" i="17"/>
  <c r="N508" i="17"/>
  <c r="N507" i="17"/>
  <c r="N506" i="17"/>
  <c r="N505" i="17"/>
  <c r="N504" i="17"/>
  <c r="N503" i="17"/>
  <c r="O502" i="17"/>
  <c r="N502" i="17"/>
  <c r="M502" i="17"/>
  <c r="L502" i="17"/>
  <c r="P502" i="17" s="1"/>
  <c r="I502" i="17"/>
  <c r="H502" i="17"/>
  <c r="F502" i="17"/>
  <c r="O501" i="17"/>
  <c r="N501" i="17"/>
  <c r="M501" i="17"/>
  <c r="L501" i="17"/>
  <c r="P501" i="17" s="1"/>
  <c r="I501" i="17"/>
  <c r="H501" i="17"/>
  <c r="F501" i="17"/>
  <c r="O500" i="17"/>
  <c r="N500" i="17"/>
  <c r="M500" i="17"/>
  <c r="L500" i="17"/>
  <c r="P500" i="17" s="1"/>
  <c r="I500" i="17"/>
  <c r="H500" i="17"/>
  <c r="F500" i="17"/>
  <c r="O499" i="17"/>
  <c r="N499" i="17"/>
  <c r="M499" i="17"/>
  <c r="L499" i="17"/>
  <c r="P499" i="17" s="1"/>
  <c r="I499" i="17"/>
  <c r="J499" i="17" s="1"/>
  <c r="H499" i="17"/>
  <c r="F499" i="17"/>
  <c r="O498" i="17"/>
  <c r="N498" i="17"/>
  <c r="M498" i="17"/>
  <c r="L498" i="17"/>
  <c r="P498" i="17" s="1"/>
  <c r="I498" i="17"/>
  <c r="H498" i="17"/>
  <c r="F498" i="17"/>
  <c r="O497" i="17"/>
  <c r="N497" i="17"/>
  <c r="M497" i="17"/>
  <c r="L497" i="17"/>
  <c r="H497" i="17"/>
  <c r="F497" i="17"/>
  <c r="O496" i="17"/>
  <c r="N496" i="17"/>
  <c r="M496" i="17"/>
  <c r="L496" i="17"/>
  <c r="P496" i="17" s="1"/>
  <c r="I496" i="17"/>
  <c r="J496" i="17" s="1"/>
  <c r="H496" i="17"/>
  <c r="F496" i="17"/>
  <c r="O495" i="17"/>
  <c r="N495" i="17"/>
  <c r="M495" i="17"/>
  <c r="L495" i="17"/>
  <c r="P495" i="17" s="1"/>
  <c r="I495" i="17"/>
  <c r="H495" i="17"/>
  <c r="F495" i="17"/>
  <c r="O494" i="17"/>
  <c r="N494" i="17"/>
  <c r="M494" i="17"/>
  <c r="L494" i="17"/>
  <c r="P494" i="17" s="1"/>
  <c r="I494" i="17"/>
  <c r="H494" i="17"/>
  <c r="F494" i="17"/>
  <c r="O493" i="17"/>
  <c r="N493" i="17"/>
  <c r="M493" i="17"/>
  <c r="L493" i="17"/>
  <c r="P493" i="17" s="1"/>
  <c r="I493" i="17"/>
  <c r="H493" i="17"/>
  <c r="F493" i="17"/>
  <c r="O492" i="17"/>
  <c r="N492" i="17"/>
  <c r="M492" i="17"/>
  <c r="L492" i="17"/>
  <c r="P492" i="17" s="1"/>
  <c r="I492" i="17"/>
  <c r="H492" i="17"/>
  <c r="F492" i="17"/>
  <c r="O491" i="17"/>
  <c r="N491" i="17"/>
  <c r="M491" i="17"/>
  <c r="L491" i="17"/>
  <c r="P491" i="17" s="1"/>
  <c r="I491" i="17"/>
  <c r="H491" i="17"/>
  <c r="F491" i="17"/>
  <c r="O490" i="17"/>
  <c r="N490" i="17"/>
  <c r="M490" i="17"/>
  <c r="L490" i="17"/>
  <c r="P490" i="17" s="1"/>
  <c r="I490" i="17"/>
  <c r="H490" i="17"/>
  <c r="F490" i="17"/>
  <c r="O489" i="17"/>
  <c r="N489" i="17"/>
  <c r="M489" i="17"/>
  <c r="L489" i="17"/>
  <c r="P489" i="17" s="1"/>
  <c r="I489" i="17"/>
  <c r="J489" i="17" s="1"/>
  <c r="H489" i="17"/>
  <c r="F489" i="17"/>
  <c r="M488" i="17"/>
  <c r="L488" i="17"/>
  <c r="H488" i="17"/>
  <c r="F488" i="17"/>
  <c r="O487" i="17"/>
  <c r="N487" i="17"/>
  <c r="M487" i="17"/>
  <c r="L487" i="17"/>
  <c r="P487" i="17" s="1"/>
  <c r="I487" i="17"/>
  <c r="H487" i="17"/>
  <c r="F487" i="17"/>
  <c r="O486" i="17"/>
  <c r="N486" i="17"/>
  <c r="M486" i="17"/>
  <c r="L486" i="17"/>
  <c r="P486" i="17" s="1"/>
  <c r="I486" i="17"/>
  <c r="H486" i="17"/>
  <c r="F486" i="17"/>
  <c r="O485" i="17"/>
  <c r="N485" i="17"/>
  <c r="M485" i="17"/>
  <c r="L485" i="17"/>
  <c r="I485" i="17"/>
  <c r="H485" i="17"/>
  <c r="F485" i="17"/>
  <c r="O484" i="17"/>
  <c r="N484" i="17"/>
  <c r="M484" i="17"/>
  <c r="L484" i="17"/>
  <c r="P484" i="17" s="1"/>
  <c r="I484" i="17"/>
  <c r="H484" i="17"/>
  <c r="F484" i="17"/>
  <c r="O483" i="17"/>
  <c r="N483" i="17"/>
  <c r="M483" i="17"/>
  <c r="L483" i="17"/>
  <c r="I483" i="17"/>
  <c r="H483" i="17"/>
  <c r="F483" i="17"/>
  <c r="O482" i="17"/>
  <c r="N482" i="17"/>
  <c r="M482" i="17"/>
  <c r="L482" i="17"/>
  <c r="I482" i="17"/>
  <c r="H482" i="17"/>
  <c r="F482" i="17"/>
  <c r="O481" i="17"/>
  <c r="N481" i="17"/>
  <c r="M481" i="17"/>
  <c r="L481" i="17"/>
  <c r="P481" i="17" s="1"/>
  <c r="I481" i="17"/>
  <c r="H481" i="17"/>
  <c r="F481" i="17"/>
  <c r="O480" i="17"/>
  <c r="N480" i="17"/>
  <c r="M480" i="17"/>
  <c r="L480" i="17"/>
  <c r="H480" i="17"/>
  <c r="F480" i="17"/>
  <c r="O479" i="17"/>
  <c r="N479" i="17"/>
  <c r="M479" i="17"/>
  <c r="L479" i="17"/>
  <c r="H479" i="17"/>
  <c r="F479" i="17"/>
  <c r="O478" i="17"/>
  <c r="N478" i="17"/>
  <c r="M478" i="17"/>
  <c r="L478" i="17"/>
  <c r="H478" i="17"/>
  <c r="F478" i="17"/>
  <c r="M477" i="17"/>
  <c r="L477" i="17"/>
  <c r="H477" i="17"/>
  <c r="F477" i="17"/>
  <c r="O476" i="17"/>
  <c r="N476" i="17"/>
  <c r="M476" i="17"/>
  <c r="L476" i="17"/>
  <c r="P476" i="17" s="1"/>
  <c r="I476" i="17"/>
  <c r="H476" i="17"/>
  <c r="F476" i="17"/>
  <c r="O475" i="17"/>
  <c r="N475" i="17"/>
  <c r="M475" i="17"/>
  <c r="L475" i="17"/>
  <c r="I475" i="17"/>
  <c r="J475" i="17" s="1"/>
  <c r="H475" i="17"/>
  <c r="F475" i="17"/>
  <c r="O474" i="17"/>
  <c r="N474" i="17"/>
  <c r="M474" i="17"/>
  <c r="L474" i="17"/>
  <c r="H474" i="17"/>
  <c r="F474" i="17"/>
  <c r="O473" i="17"/>
  <c r="N473" i="17"/>
  <c r="M473" i="17"/>
  <c r="L473" i="17"/>
  <c r="H473" i="17"/>
  <c r="F473" i="17"/>
  <c r="O472" i="17"/>
  <c r="N472" i="17"/>
  <c r="M472" i="17"/>
  <c r="L472" i="17"/>
  <c r="P472" i="17" s="1"/>
  <c r="I472" i="17"/>
  <c r="J472" i="17" s="1"/>
  <c r="H472" i="17"/>
  <c r="F472" i="17"/>
  <c r="M471" i="17"/>
  <c r="L471" i="17"/>
  <c r="L470" i="17"/>
  <c r="N468" i="17"/>
  <c r="N467" i="17"/>
  <c r="N466" i="17"/>
  <c r="N465" i="17"/>
  <c r="N464" i="17"/>
  <c r="N463" i="17"/>
  <c r="O462" i="17"/>
  <c r="N462" i="17"/>
  <c r="M462" i="17"/>
  <c r="L462" i="17"/>
  <c r="H462" i="17"/>
  <c r="F462" i="17"/>
  <c r="O461" i="17"/>
  <c r="N461" i="17"/>
  <c r="M461" i="17"/>
  <c r="L461" i="17"/>
  <c r="H461" i="17"/>
  <c r="F461" i="17"/>
  <c r="M460" i="17"/>
  <c r="L460" i="17"/>
  <c r="H460" i="17"/>
  <c r="F460" i="17"/>
  <c r="O459" i="17"/>
  <c r="N459" i="17"/>
  <c r="M459" i="17"/>
  <c r="L459" i="17"/>
  <c r="P459" i="17" s="1"/>
  <c r="I459" i="17"/>
  <c r="H459" i="17"/>
  <c r="F459" i="17"/>
  <c r="O458" i="17"/>
  <c r="N458" i="17"/>
  <c r="M458" i="17"/>
  <c r="L458" i="17"/>
  <c r="H458" i="17"/>
  <c r="F458" i="17"/>
  <c r="O457" i="17"/>
  <c r="N457" i="17"/>
  <c r="M457" i="17"/>
  <c r="L457" i="17"/>
  <c r="H457" i="17"/>
  <c r="F457" i="17"/>
  <c r="O456" i="17"/>
  <c r="N456" i="17"/>
  <c r="M456" i="17"/>
  <c r="L456" i="17"/>
  <c r="H456" i="17"/>
  <c r="F456" i="17"/>
  <c r="M455" i="17"/>
  <c r="L455" i="17"/>
  <c r="H455" i="17"/>
  <c r="F455" i="17"/>
  <c r="O454" i="17"/>
  <c r="N454" i="17"/>
  <c r="M454" i="17"/>
  <c r="L454" i="17"/>
  <c r="P454" i="17" s="1"/>
  <c r="I454" i="17"/>
  <c r="H454" i="17"/>
  <c r="F454" i="17"/>
  <c r="O453" i="17"/>
  <c r="N453" i="17"/>
  <c r="M453" i="17"/>
  <c r="L453" i="17"/>
  <c r="I453" i="17"/>
  <c r="H453" i="17"/>
  <c r="F453" i="17"/>
  <c r="O452" i="17"/>
  <c r="N452" i="17"/>
  <c r="M452" i="17"/>
  <c r="L452" i="17"/>
  <c r="H452" i="17"/>
  <c r="F452" i="17"/>
  <c r="O451" i="17"/>
  <c r="N451" i="17"/>
  <c r="M451" i="17"/>
  <c r="L451" i="17"/>
  <c r="I451" i="17"/>
  <c r="H451" i="17"/>
  <c r="F451" i="17"/>
  <c r="O450" i="17"/>
  <c r="N450" i="17"/>
  <c r="M450" i="17"/>
  <c r="L450" i="17"/>
  <c r="I450" i="17"/>
  <c r="H450" i="17"/>
  <c r="F450" i="17"/>
  <c r="O449" i="17"/>
  <c r="N449" i="17"/>
  <c r="M449" i="17"/>
  <c r="L449" i="17"/>
  <c r="P449" i="17" s="1"/>
  <c r="I449" i="17"/>
  <c r="H449" i="17"/>
  <c r="F449" i="17"/>
  <c r="O448" i="17"/>
  <c r="N448" i="17"/>
  <c r="M448" i="17"/>
  <c r="L448" i="17"/>
  <c r="H448" i="17"/>
  <c r="F448" i="17"/>
  <c r="O447" i="17"/>
  <c r="N447" i="17"/>
  <c r="M447" i="17"/>
  <c r="L447" i="17"/>
  <c r="P447" i="17" s="1"/>
  <c r="I447" i="17"/>
  <c r="H447" i="17"/>
  <c r="F447" i="17"/>
  <c r="O446" i="17"/>
  <c r="N446" i="17"/>
  <c r="M446" i="17"/>
  <c r="L446" i="17"/>
  <c r="H446" i="17"/>
  <c r="F446" i="17"/>
  <c r="O445" i="17"/>
  <c r="N445" i="17"/>
  <c r="M445" i="17"/>
  <c r="L445" i="17"/>
  <c r="H445" i="17"/>
  <c r="F445" i="17"/>
  <c r="O444" i="17"/>
  <c r="N444" i="17"/>
  <c r="M444" i="17"/>
  <c r="L444" i="17"/>
  <c r="H444" i="17"/>
  <c r="F444" i="17"/>
  <c r="O443" i="17"/>
  <c r="N443" i="17"/>
  <c r="M443" i="17"/>
  <c r="L443" i="17"/>
  <c r="P443" i="17" s="1"/>
  <c r="I443" i="17"/>
  <c r="H443" i="17"/>
  <c r="F443" i="17"/>
  <c r="M442" i="17"/>
  <c r="L442" i="17"/>
  <c r="H442" i="17"/>
  <c r="F442" i="17"/>
  <c r="O441" i="17"/>
  <c r="N441" i="17"/>
  <c r="M441" i="17"/>
  <c r="L441" i="17"/>
  <c r="H441" i="17"/>
  <c r="F441" i="17"/>
  <c r="O440" i="17"/>
  <c r="N440" i="17"/>
  <c r="M440" i="17"/>
  <c r="L440" i="17"/>
  <c r="I440" i="17"/>
  <c r="H440" i="17"/>
  <c r="F440" i="17"/>
  <c r="O439" i="17"/>
  <c r="N439" i="17"/>
  <c r="M439" i="17"/>
  <c r="L439" i="17"/>
  <c r="P439" i="17" s="1"/>
  <c r="I439" i="17"/>
  <c r="J439" i="17" s="1"/>
  <c r="H439" i="17"/>
  <c r="F439" i="17"/>
  <c r="O438" i="17"/>
  <c r="N438" i="17"/>
  <c r="M438" i="17"/>
  <c r="L438" i="17"/>
  <c r="H438" i="17"/>
  <c r="F438" i="17"/>
  <c r="O437" i="17"/>
  <c r="N437" i="17"/>
  <c r="M437" i="17"/>
  <c r="L437" i="17"/>
  <c r="P437" i="17" s="1"/>
  <c r="I437" i="17"/>
  <c r="J437" i="17" s="1"/>
  <c r="H437" i="17"/>
  <c r="F437" i="17"/>
  <c r="O436" i="17"/>
  <c r="N436" i="17"/>
  <c r="M436" i="17"/>
  <c r="L436" i="17"/>
  <c r="P436" i="17" s="1"/>
  <c r="I436" i="17"/>
  <c r="H436" i="17"/>
  <c r="F436" i="17"/>
  <c r="O435" i="17"/>
  <c r="N435" i="17"/>
  <c r="M435" i="17"/>
  <c r="L435" i="17"/>
  <c r="P435" i="17" s="1"/>
  <c r="H435" i="17"/>
  <c r="F435" i="17"/>
  <c r="M434" i="17"/>
  <c r="L434" i="17"/>
  <c r="L433" i="17"/>
  <c r="N431" i="17"/>
  <c r="N430" i="17"/>
  <c r="N429" i="17"/>
  <c r="N428" i="17"/>
  <c r="N427" i="17"/>
  <c r="N426" i="17"/>
  <c r="O425" i="17"/>
  <c r="N425" i="17"/>
  <c r="M425" i="17"/>
  <c r="L425" i="17"/>
  <c r="P425" i="17" s="1"/>
  <c r="I425" i="17"/>
  <c r="H425" i="17"/>
  <c r="F425" i="17"/>
  <c r="O424" i="17"/>
  <c r="N424" i="17"/>
  <c r="M424" i="17"/>
  <c r="L424" i="17"/>
  <c r="P424" i="17" s="1"/>
  <c r="I424" i="17"/>
  <c r="H424" i="17"/>
  <c r="F424" i="17"/>
  <c r="O423" i="17"/>
  <c r="N423" i="17"/>
  <c r="M423" i="17"/>
  <c r="L423" i="17"/>
  <c r="H423" i="17"/>
  <c r="F423" i="17"/>
  <c r="O422" i="17"/>
  <c r="N422" i="17"/>
  <c r="M422" i="17"/>
  <c r="L422" i="17"/>
  <c r="P422" i="17" s="1"/>
  <c r="I422" i="17"/>
  <c r="H422" i="17"/>
  <c r="F422" i="17"/>
  <c r="O421" i="17"/>
  <c r="N421" i="17"/>
  <c r="M421" i="17"/>
  <c r="L421" i="17"/>
  <c r="P421" i="17" s="1"/>
  <c r="I421" i="17"/>
  <c r="H421" i="17"/>
  <c r="F421" i="17"/>
  <c r="O420" i="17"/>
  <c r="N420" i="17"/>
  <c r="M420" i="17"/>
  <c r="L420" i="17"/>
  <c r="H420" i="17"/>
  <c r="F420" i="17"/>
  <c r="O419" i="17"/>
  <c r="N419" i="17"/>
  <c r="M419" i="17"/>
  <c r="L419" i="17"/>
  <c r="P419" i="17" s="1"/>
  <c r="I419" i="17"/>
  <c r="J419" i="17" s="1"/>
  <c r="H419" i="17"/>
  <c r="F419" i="17"/>
  <c r="M418" i="17"/>
  <c r="L418" i="17"/>
  <c r="H418" i="17"/>
  <c r="F418" i="17"/>
  <c r="O417" i="17"/>
  <c r="N417" i="17"/>
  <c r="M417" i="17"/>
  <c r="L417" i="17"/>
  <c r="P417" i="17" s="1"/>
  <c r="I417" i="17"/>
  <c r="H417" i="17"/>
  <c r="F417" i="17"/>
  <c r="O416" i="17"/>
  <c r="N416" i="17"/>
  <c r="M416" i="17"/>
  <c r="L416" i="17"/>
  <c r="P416" i="17" s="1"/>
  <c r="I416" i="17"/>
  <c r="H416" i="17"/>
  <c r="F416" i="17"/>
  <c r="O415" i="17"/>
  <c r="N415" i="17"/>
  <c r="M415" i="17"/>
  <c r="L415" i="17"/>
  <c r="H415" i="17"/>
  <c r="F415" i="17"/>
  <c r="O414" i="17"/>
  <c r="N414" i="17"/>
  <c r="M414" i="17"/>
  <c r="L414" i="17"/>
  <c r="I414" i="17"/>
  <c r="H414" i="17"/>
  <c r="F414" i="17"/>
  <c r="O413" i="17"/>
  <c r="N413" i="17"/>
  <c r="M413" i="17"/>
  <c r="L413" i="17"/>
  <c r="I413" i="17"/>
  <c r="H413" i="17"/>
  <c r="F413" i="17"/>
  <c r="O412" i="17"/>
  <c r="N412" i="17"/>
  <c r="M412" i="17"/>
  <c r="L412" i="17"/>
  <c r="P412" i="17" s="1"/>
  <c r="I412" i="17"/>
  <c r="H412" i="17"/>
  <c r="F412" i="17"/>
  <c r="O411" i="17"/>
  <c r="N411" i="17"/>
  <c r="M411" i="17"/>
  <c r="L411" i="17"/>
  <c r="H411" i="17"/>
  <c r="F411" i="17"/>
  <c r="O410" i="17"/>
  <c r="N410" i="17"/>
  <c r="M410" i="17"/>
  <c r="L410" i="17"/>
  <c r="P410" i="17" s="1"/>
  <c r="I410" i="17"/>
  <c r="H410" i="17"/>
  <c r="F410" i="17"/>
  <c r="O409" i="17"/>
  <c r="N409" i="17"/>
  <c r="M409" i="17"/>
  <c r="L409" i="17"/>
  <c r="H409" i="17"/>
  <c r="F409" i="17"/>
  <c r="O408" i="17"/>
  <c r="N408" i="17"/>
  <c r="M408" i="17"/>
  <c r="L408" i="17"/>
  <c r="H408" i="17"/>
  <c r="F408" i="17"/>
  <c r="O407" i="17"/>
  <c r="N407" i="17"/>
  <c r="M407" i="17"/>
  <c r="L407" i="17"/>
  <c r="H407" i="17"/>
  <c r="F407" i="17"/>
  <c r="M406" i="17"/>
  <c r="L406" i="17"/>
  <c r="H406" i="17"/>
  <c r="F406" i="17"/>
  <c r="O405" i="17"/>
  <c r="N405" i="17"/>
  <c r="M405" i="17"/>
  <c r="L405" i="17"/>
  <c r="P405" i="17" s="1"/>
  <c r="I405" i="17"/>
  <c r="H405" i="17"/>
  <c r="F405" i="17"/>
  <c r="O404" i="17"/>
  <c r="N404" i="17"/>
  <c r="M404" i="17"/>
  <c r="L404" i="17"/>
  <c r="P404" i="17" s="1"/>
  <c r="I404" i="17"/>
  <c r="H404" i="17"/>
  <c r="F404" i="17"/>
  <c r="O403" i="17"/>
  <c r="N403" i="17"/>
  <c r="M403" i="17"/>
  <c r="L403" i="17"/>
  <c r="P403" i="17" s="1"/>
  <c r="I403" i="17"/>
  <c r="H403" i="17"/>
  <c r="F403" i="17"/>
  <c r="O402" i="17"/>
  <c r="N402" i="17"/>
  <c r="M402" i="17"/>
  <c r="L402" i="17"/>
  <c r="P402" i="17" s="1"/>
  <c r="I402" i="17"/>
  <c r="H402" i="17"/>
  <c r="F402" i="17"/>
  <c r="O401" i="17"/>
  <c r="N401" i="17"/>
  <c r="M401" i="17"/>
  <c r="L401" i="17"/>
  <c r="I401" i="17"/>
  <c r="H401" i="17"/>
  <c r="F401" i="17"/>
  <c r="M400" i="17"/>
  <c r="L400" i="17"/>
  <c r="H400" i="17"/>
  <c r="F400" i="17"/>
  <c r="O399" i="17"/>
  <c r="N399" i="17"/>
  <c r="M399" i="17"/>
  <c r="L399" i="17"/>
  <c r="I399" i="17"/>
  <c r="H399" i="17"/>
  <c r="F399" i="17"/>
  <c r="O398" i="17"/>
  <c r="N398" i="17"/>
  <c r="M398" i="17"/>
  <c r="L398" i="17"/>
  <c r="P398" i="17" s="1"/>
  <c r="I398" i="17"/>
  <c r="H398" i="17"/>
  <c r="F398" i="17"/>
  <c r="O397" i="17"/>
  <c r="N397" i="17"/>
  <c r="M397" i="17"/>
  <c r="L397" i="17"/>
  <c r="H397" i="17"/>
  <c r="F397" i="17"/>
  <c r="O396" i="17"/>
  <c r="N396" i="17"/>
  <c r="M396" i="17"/>
  <c r="L396" i="17"/>
  <c r="H396" i="17"/>
  <c r="F396" i="17"/>
  <c r="O395" i="17"/>
  <c r="N395" i="17"/>
  <c r="M395" i="17"/>
  <c r="L395" i="17"/>
  <c r="P395" i="17" s="1"/>
  <c r="I395" i="17"/>
  <c r="H395" i="17"/>
  <c r="F395" i="17"/>
  <c r="O394" i="17"/>
  <c r="N394" i="17"/>
  <c r="M394" i="17"/>
  <c r="L394" i="17"/>
  <c r="P394" i="17" s="1"/>
  <c r="H394" i="17"/>
  <c r="F394" i="17"/>
  <c r="M393" i="17"/>
  <c r="L393" i="17"/>
  <c r="L392" i="17"/>
  <c r="N390" i="17"/>
  <c r="N389" i="17"/>
  <c r="N388" i="17"/>
  <c r="N387" i="17"/>
  <c r="N386" i="17"/>
  <c r="N385" i="17"/>
  <c r="O384" i="17"/>
  <c r="N384" i="17"/>
  <c r="M384" i="17"/>
  <c r="L384" i="17"/>
  <c r="H384" i="17"/>
  <c r="F384" i="17"/>
  <c r="O383" i="17"/>
  <c r="N383" i="17"/>
  <c r="M383" i="17"/>
  <c r="L383" i="17"/>
  <c r="H383" i="17"/>
  <c r="F383" i="17"/>
  <c r="O382" i="17"/>
  <c r="N382" i="17"/>
  <c r="M382" i="17"/>
  <c r="L382" i="17"/>
  <c r="H382" i="17"/>
  <c r="F382" i="17"/>
  <c r="O381" i="17"/>
  <c r="N381" i="17"/>
  <c r="M381" i="17"/>
  <c r="L381" i="17"/>
  <c r="H381" i="17"/>
  <c r="F381" i="17"/>
  <c r="O380" i="17"/>
  <c r="N380" i="17"/>
  <c r="M380" i="17"/>
  <c r="L380" i="17"/>
  <c r="H380" i="17"/>
  <c r="F380" i="17"/>
  <c r="M379" i="17"/>
  <c r="L379" i="17"/>
  <c r="H379" i="17"/>
  <c r="F379" i="17"/>
  <c r="O378" i="17"/>
  <c r="N378" i="17"/>
  <c r="M378" i="17"/>
  <c r="L378" i="17"/>
  <c r="P378" i="17" s="1"/>
  <c r="I378" i="17"/>
  <c r="H378" i="17"/>
  <c r="F378" i="17"/>
  <c r="O377" i="17"/>
  <c r="N377" i="17"/>
  <c r="M377" i="17"/>
  <c r="L377" i="17"/>
  <c r="H377" i="17"/>
  <c r="F377" i="17"/>
  <c r="O376" i="17"/>
  <c r="N376" i="17"/>
  <c r="M376" i="17"/>
  <c r="L376" i="17"/>
  <c r="P376" i="17" s="1"/>
  <c r="I376" i="17"/>
  <c r="H376" i="17"/>
  <c r="F376" i="17"/>
  <c r="O375" i="17"/>
  <c r="N375" i="17"/>
  <c r="M375" i="17"/>
  <c r="L375" i="17"/>
  <c r="P375" i="17" s="1"/>
  <c r="I375" i="17"/>
  <c r="H375" i="17"/>
  <c r="F375" i="17"/>
  <c r="O374" i="17"/>
  <c r="N374" i="17"/>
  <c r="M374" i="17"/>
  <c r="L374" i="17"/>
  <c r="P374" i="17" s="1"/>
  <c r="I374" i="17"/>
  <c r="H374" i="17"/>
  <c r="F374" i="17"/>
  <c r="O373" i="17"/>
  <c r="N373" i="17"/>
  <c r="M373" i="17"/>
  <c r="L373" i="17"/>
  <c r="P373" i="17" s="1"/>
  <c r="I373" i="17"/>
  <c r="H373" i="17"/>
  <c r="F373" i="17"/>
  <c r="O372" i="17"/>
  <c r="N372" i="17"/>
  <c r="M372" i="17"/>
  <c r="L372" i="17"/>
  <c r="P372" i="17" s="1"/>
  <c r="I372" i="17"/>
  <c r="J372" i="17" s="1"/>
  <c r="H372" i="17"/>
  <c r="F372" i="17"/>
  <c r="O371" i="17"/>
  <c r="N371" i="17"/>
  <c r="M371" i="17"/>
  <c r="L371" i="17"/>
  <c r="I371" i="17"/>
  <c r="H371" i="17"/>
  <c r="F371" i="17"/>
  <c r="O370" i="17"/>
  <c r="N370" i="17"/>
  <c r="M370" i="17"/>
  <c r="L370" i="17"/>
  <c r="H370" i="17"/>
  <c r="F370" i="17"/>
  <c r="O369" i="17"/>
  <c r="N369" i="17"/>
  <c r="M369" i="17"/>
  <c r="L369" i="17"/>
  <c r="H369" i="17"/>
  <c r="F369" i="17"/>
  <c r="O368" i="17"/>
  <c r="N368" i="17"/>
  <c r="M368" i="17"/>
  <c r="L368" i="17"/>
  <c r="P368" i="17" s="1"/>
  <c r="I368" i="17"/>
  <c r="H368" i="17"/>
  <c r="F368" i="17"/>
  <c r="O367" i="17"/>
  <c r="N367" i="17"/>
  <c r="M367" i="17"/>
  <c r="L367" i="17"/>
  <c r="P367" i="17" s="1"/>
  <c r="I367" i="17"/>
  <c r="H367" i="17"/>
  <c r="F367" i="17"/>
  <c r="O366" i="17"/>
  <c r="N366" i="17"/>
  <c r="M366" i="17"/>
  <c r="L366" i="17"/>
  <c r="P366" i="17" s="1"/>
  <c r="I366" i="17"/>
  <c r="H366" i="17"/>
  <c r="F366" i="17"/>
  <c r="O365" i="17"/>
  <c r="N365" i="17"/>
  <c r="M365" i="17"/>
  <c r="L365" i="17"/>
  <c r="P365" i="17" s="1"/>
  <c r="I365" i="17"/>
  <c r="J365" i="17" s="1"/>
  <c r="H365" i="17"/>
  <c r="F365" i="17"/>
  <c r="O364" i="17"/>
  <c r="N364" i="17"/>
  <c r="M364" i="17"/>
  <c r="L364" i="17"/>
  <c r="P364" i="17" s="1"/>
  <c r="I364" i="17"/>
  <c r="H364" i="17"/>
  <c r="F364" i="17"/>
  <c r="O363" i="17"/>
  <c r="N363" i="17"/>
  <c r="M363" i="17"/>
  <c r="L363" i="17"/>
  <c r="H363" i="17"/>
  <c r="F363" i="17"/>
  <c r="O362" i="17"/>
  <c r="N362" i="17"/>
  <c r="M362" i="17"/>
  <c r="L362" i="17"/>
  <c r="P362" i="17" s="1"/>
  <c r="I362" i="17"/>
  <c r="H362" i="17"/>
  <c r="F362" i="17"/>
  <c r="M361" i="17"/>
  <c r="L361" i="17"/>
  <c r="H361" i="17"/>
  <c r="F361" i="17"/>
  <c r="O360" i="17"/>
  <c r="N360" i="17"/>
  <c r="M360" i="17"/>
  <c r="L360" i="17"/>
  <c r="P360" i="17" s="1"/>
  <c r="I360" i="17"/>
  <c r="H360" i="17"/>
  <c r="F360" i="17"/>
  <c r="O359" i="17"/>
  <c r="N359" i="17"/>
  <c r="M359" i="17"/>
  <c r="L359" i="17"/>
  <c r="P359" i="17" s="1"/>
  <c r="I359" i="17"/>
  <c r="H359" i="17"/>
  <c r="F359" i="17"/>
  <c r="O358" i="17"/>
  <c r="N358" i="17"/>
  <c r="M358" i="17"/>
  <c r="L358" i="17"/>
  <c r="P358" i="17" s="1"/>
  <c r="I358" i="17"/>
  <c r="H358" i="17"/>
  <c r="F358" i="17"/>
  <c r="O357" i="17"/>
  <c r="N357" i="17"/>
  <c r="M357" i="17"/>
  <c r="L357" i="17"/>
  <c r="P357" i="17" s="1"/>
  <c r="I357" i="17"/>
  <c r="H357" i="17"/>
  <c r="F357" i="17"/>
  <c r="O356" i="17"/>
  <c r="N356" i="17"/>
  <c r="M356" i="17"/>
  <c r="L356" i="17"/>
  <c r="P356" i="17" s="1"/>
  <c r="I356" i="17"/>
  <c r="H356" i="17"/>
  <c r="F356" i="17"/>
  <c r="O355" i="17"/>
  <c r="N355" i="17"/>
  <c r="M355" i="17"/>
  <c r="L355" i="17"/>
  <c r="P355" i="17" s="1"/>
  <c r="I355" i="17"/>
  <c r="H355" i="17"/>
  <c r="F355" i="17"/>
  <c r="O354" i="17"/>
  <c r="N354" i="17"/>
  <c r="M354" i="17"/>
  <c r="L354" i="17"/>
  <c r="P354" i="17" s="1"/>
  <c r="I354" i="17"/>
  <c r="H354" i="17"/>
  <c r="F354" i="17"/>
  <c r="O353" i="17"/>
  <c r="N353" i="17"/>
  <c r="M353" i="17"/>
  <c r="L353" i="17"/>
  <c r="H353" i="17"/>
  <c r="F353" i="17"/>
  <c r="O352" i="17"/>
  <c r="N352" i="17"/>
  <c r="M352" i="17"/>
  <c r="L352" i="17"/>
  <c r="P352" i="17" s="1"/>
  <c r="I352" i="17"/>
  <c r="H352" i="17"/>
  <c r="F352" i="17"/>
  <c r="O351" i="17"/>
  <c r="N351" i="17"/>
  <c r="M351" i="17"/>
  <c r="L351" i="17"/>
  <c r="H351" i="17"/>
  <c r="F351" i="17"/>
  <c r="O350" i="17"/>
  <c r="N350" i="17"/>
  <c r="M350" i="17"/>
  <c r="L350" i="17"/>
  <c r="P350" i="17" s="1"/>
  <c r="I350" i="17"/>
  <c r="H350" i="17"/>
  <c r="F350" i="17"/>
  <c r="O349" i="17"/>
  <c r="N349" i="17"/>
  <c r="M349" i="17"/>
  <c r="L349" i="17"/>
  <c r="P349" i="17" s="1"/>
  <c r="I349" i="17"/>
  <c r="H349" i="17"/>
  <c r="F349" i="17"/>
  <c r="O348" i="17"/>
  <c r="N348" i="17"/>
  <c r="M348" i="17"/>
  <c r="L348" i="17"/>
  <c r="P348" i="17" s="1"/>
  <c r="I348" i="17"/>
  <c r="H348" i="17"/>
  <c r="F348" i="17"/>
  <c r="O347" i="17"/>
  <c r="N347" i="17"/>
  <c r="M347" i="17"/>
  <c r="L347" i="17"/>
  <c r="H347" i="17"/>
  <c r="F347" i="17"/>
  <c r="O346" i="17"/>
  <c r="N346" i="17"/>
  <c r="M346" i="17"/>
  <c r="L346" i="17"/>
  <c r="P346" i="17" s="1"/>
  <c r="I346" i="17"/>
  <c r="H346" i="17"/>
  <c r="F346" i="17"/>
  <c r="O345" i="17"/>
  <c r="N345" i="17"/>
  <c r="M345" i="17"/>
  <c r="L345" i="17"/>
  <c r="P345" i="17" s="1"/>
  <c r="I345" i="17"/>
  <c r="H345" i="17"/>
  <c r="F345" i="17"/>
  <c r="O344" i="17"/>
  <c r="N344" i="17"/>
  <c r="M344" i="17"/>
  <c r="L344" i="17"/>
  <c r="P344" i="17" s="1"/>
  <c r="I344" i="17"/>
  <c r="H344" i="17"/>
  <c r="F344" i="17"/>
  <c r="O343" i="17"/>
  <c r="N343" i="17"/>
  <c r="M343" i="17"/>
  <c r="L343" i="17"/>
  <c r="P343" i="17" s="1"/>
  <c r="I343" i="17"/>
  <c r="H343" i="17"/>
  <c r="F343" i="17"/>
  <c r="M342" i="17"/>
  <c r="L342" i="17"/>
  <c r="H342" i="17"/>
  <c r="F342" i="17"/>
  <c r="O341" i="17"/>
  <c r="N341" i="17"/>
  <c r="M341" i="17"/>
  <c r="L341" i="17"/>
  <c r="I341" i="17"/>
  <c r="H341" i="17"/>
  <c r="F341" i="17"/>
  <c r="O340" i="17"/>
  <c r="N340" i="17"/>
  <c r="M340" i="17"/>
  <c r="L340" i="17"/>
  <c r="P340" i="17" s="1"/>
  <c r="I340" i="17"/>
  <c r="H340" i="17"/>
  <c r="F340" i="17"/>
  <c r="O339" i="17"/>
  <c r="N339" i="17"/>
  <c r="M339" i="17"/>
  <c r="L339" i="17"/>
  <c r="H339" i="17"/>
  <c r="F339" i="17"/>
  <c r="O338" i="17"/>
  <c r="N338" i="17"/>
  <c r="M338" i="17"/>
  <c r="L338" i="17"/>
  <c r="P338" i="17" s="1"/>
  <c r="I338" i="17"/>
  <c r="H338" i="17"/>
  <c r="F338" i="17"/>
  <c r="O337" i="17"/>
  <c r="N337" i="17"/>
  <c r="M337" i="17"/>
  <c r="L337" i="17"/>
  <c r="I337" i="17"/>
  <c r="H337" i="17"/>
  <c r="F337" i="17"/>
  <c r="O336" i="17"/>
  <c r="N336" i="17"/>
  <c r="M336" i="17"/>
  <c r="L336" i="17"/>
  <c r="P336" i="17" s="1"/>
  <c r="I336" i="17"/>
  <c r="H336" i="17"/>
  <c r="F336" i="17"/>
  <c r="O335" i="17"/>
  <c r="N335" i="17"/>
  <c r="M335" i="17"/>
  <c r="L335" i="17"/>
  <c r="H335" i="17"/>
  <c r="F335" i="17"/>
  <c r="O334" i="17"/>
  <c r="N334" i="17"/>
  <c r="M334" i="17"/>
  <c r="L334" i="17"/>
  <c r="P334" i="17" s="1"/>
  <c r="I334" i="17"/>
  <c r="H334" i="17"/>
  <c r="F334" i="17"/>
  <c r="O333" i="17"/>
  <c r="N333" i="17"/>
  <c r="M333" i="17"/>
  <c r="L333" i="17"/>
  <c r="H333" i="17"/>
  <c r="F333" i="17"/>
  <c r="O332" i="17"/>
  <c r="N332" i="17"/>
  <c r="M332" i="17"/>
  <c r="L332" i="17"/>
  <c r="H332" i="17"/>
  <c r="F332" i="17"/>
  <c r="O331" i="17"/>
  <c r="N331" i="17"/>
  <c r="M331" i="17"/>
  <c r="L331" i="17"/>
  <c r="H331" i="17"/>
  <c r="F331" i="17"/>
  <c r="M330" i="17"/>
  <c r="L330" i="17"/>
  <c r="H330" i="17"/>
  <c r="F330" i="17"/>
  <c r="O329" i="17"/>
  <c r="N329" i="17"/>
  <c r="M329" i="17"/>
  <c r="L329" i="17"/>
  <c r="P329" i="17" s="1"/>
  <c r="I329" i="17"/>
  <c r="H329" i="17"/>
  <c r="F329" i="17"/>
  <c r="O328" i="17"/>
  <c r="N328" i="17"/>
  <c r="M328" i="17"/>
  <c r="L328" i="17"/>
  <c r="P328" i="17" s="1"/>
  <c r="I328" i="17"/>
  <c r="H328" i="17"/>
  <c r="F328" i="17"/>
  <c r="O327" i="17"/>
  <c r="N327" i="17"/>
  <c r="M327" i="17"/>
  <c r="L327" i="17"/>
  <c r="P327" i="17" s="1"/>
  <c r="I327" i="17"/>
  <c r="H327" i="17"/>
  <c r="F327" i="17"/>
  <c r="O326" i="17"/>
  <c r="N326" i="17"/>
  <c r="M326" i="17"/>
  <c r="L326" i="17"/>
  <c r="P326" i="17" s="1"/>
  <c r="I326" i="17"/>
  <c r="H326" i="17"/>
  <c r="F326" i="17"/>
  <c r="O325" i="17"/>
  <c r="N325" i="17"/>
  <c r="M325" i="17"/>
  <c r="L325" i="17"/>
  <c r="P325" i="17" s="1"/>
  <c r="I325" i="17"/>
  <c r="H325" i="17"/>
  <c r="F325" i="17"/>
  <c r="O324" i="17"/>
  <c r="N324" i="17"/>
  <c r="M324" i="17"/>
  <c r="L324" i="17"/>
  <c r="P324" i="17" s="1"/>
  <c r="I324" i="17"/>
  <c r="H324" i="17"/>
  <c r="F324" i="17"/>
  <c r="O323" i="17"/>
  <c r="N323" i="17"/>
  <c r="M323" i="17"/>
  <c r="L323" i="17"/>
  <c r="P323" i="17" s="1"/>
  <c r="I323" i="17"/>
  <c r="H323" i="17"/>
  <c r="F323" i="17"/>
  <c r="M322" i="17"/>
  <c r="L322" i="17"/>
  <c r="H322" i="17"/>
  <c r="F322" i="17"/>
  <c r="O321" i="17"/>
  <c r="N321" i="17"/>
  <c r="M321" i="17"/>
  <c r="L321" i="17"/>
  <c r="P321" i="17" s="1"/>
  <c r="I321" i="17"/>
  <c r="J321" i="17" s="1"/>
  <c r="H321" i="17"/>
  <c r="F321" i="17"/>
  <c r="O320" i="17"/>
  <c r="N320" i="17"/>
  <c r="M320" i="17"/>
  <c r="L320" i="17"/>
  <c r="P320" i="17" s="1"/>
  <c r="I320" i="17"/>
  <c r="J320" i="17" s="1"/>
  <c r="H320" i="17"/>
  <c r="F320" i="17"/>
  <c r="O319" i="17"/>
  <c r="N319" i="17"/>
  <c r="M319" i="17"/>
  <c r="L319" i="17"/>
  <c r="P319" i="17" s="1"/>
  <c r="I319" i="17"/>
  <c r="J319" i="17" s="1"/>
  <c r="H319" i="17"/>
  <c r="F319" i="17"/>
  <c r="O318" i="17"/>
  <c r="N318" i="17"/>
  <c r="M318" i="17"/>
  <c r="L318" i="17"/>
  <c r="P318" i="17" s="1"/>
  <c r="I318" i="17"/>
  <c r="H318" i="17"/>
  <c r="F318" i="17"/>
  <c r="O317" i="17"/>
  <c r="N317" i="17"/>
  <c r="M317" i="17"/>
  <c r="L317" i="17"/>
  <c r="P317" i="17" s="1"/>
  <c r="I317" i="17"/>
  <c r="H317" i="17"/>
  <c r="F317" i="17"/>
  <c r="O316" i="17"/>
  <c r="N316" i="17"/>
  <c r="M316" i="17"/>
  <c r="L316" i="17"/>
  <c r="P316" i="17" s="1"/>
  <c r="I316" i="17"/>
  <c r="H316" i="17"/>
  <c r="F316" i="17"/>
  <c r="O315" i="17"/>
  <c r="N315" i="17"/>
  <c r="M315" i="17"/>
  <c r="L315" i="17"/>
  <c r="P315" i="17" s="1"/>
  <c r="I315" i="17"/>
  <c r="J315" i="17" s="1"/>
  <c r="H315" i="17"/>
  <c r="F315" i="17"/>
  <c r="M314" i="17"/>
  <c r="L314" i="17"/>
  <c r="L313" i="17"/>
  <c r="N311" i="17"/>
  <c r="N310" i="17"/>
  <c r="N309" i="17"/>
  <c r="N308" i="17"/>
  <c r="N307" i="17"/>
  <c r="N306" i="17"/>
  <c r="O305" i="17"/>
  <c r="N305" i="17"/>
  <c r="M305" i="17"/>
  <c r="L305" i="17"/>
  <c r="H305" i="17"/>
  <c r="F305" i="17"/>
  <c r="O304" i="17"/>
  <c r="N304" i="17"/>
  <c r="M304" i="17"/>
  <c r="L304" i="17"/>
  <c r="P304" i="17" s="1"/>
  <c r="I304" i="17"/>
  <c r="H304" i="17"/>
  <c r="F304" i="17"/>
  <c r="M303" i="17"/>
  <c r="L303" i="17"/>
  <c r="H303" i="17"/>
  <c r="F303" i="17"/>
  <c r="O302" i="17"/>
  <c r="N302" i="17"/>
  <c r="M302" i="17"/>
  <c r="L302" i="17"/>
  <c r="H302" i="17"/>
  <c r="F302" i="17"/>
  <c r="O301" i="17"/>
  <c r="N301" i="17"/>
  <c r="M301" i="17"/>
  <c r="L301" i="17"/>
  <c r="H301" i="17"/>
  <c r="F301" i="17"/>
  <c r="O300" i="17"/>
  <c r="N300" i="17"/>
  <c r="M300" i="17"/>
  <c r="L300" i="17"/>
  <c r="P300" i="17" s="1"/>
  <c r="I300" i="17"/>
  <c r="H300" i="17"/>
  <c r="F300" i="17"/>
  <c r="O299" i="17"/>
  <c r="N299" i="17"/>
  <c r="M299" i="17"/>
  <c r="L299" i="17"/>
  <c r="P299" i="17" s="1"/>
  <c r="H299" i="17"/>
  <c r="F299" i="17"/>
  <c r="O298" i="17"/>
  <c r="N298" i="17"/>
  <c r="M298" i="17"/>
  <c r="L298" i="17"/>
  <c r="H298" i="17"/>
  <c r="F298" i="17"/>
  <c r="O297" i="17"/>
  <c r="N297" i="17"/>
  <c r="M297" i="17"/>
  <c r="L297" i="17"/>
  <c r="H297" i="17"/>
  <c r="F297" i="17"/>
  <c r="O296" i="17"/>
  <c r="N296" i="17"/>
  <c r="M296" i="17"/>
  <c r="L296" i="17"/>
  <c r="H296" i="17"/>
  <c r="F296" i="17"/>
  <c r="O295" i="17"/>
  <c r="N295" i="17"/>
  <c r="M295" i="17"/>
  <c r="L295" i="17"/>
  <c r="H295" i="17"/>
  <c r="F295" i="17"/>
  <c r="O294" i="17"/>
  <c r="N294" i="17"/>
  <c r="M294" i="17"/>
  <c r="L294" i="17"/>
  <c r="H294" i="17"/>
  <c r="F294" i="17"/>
  <c r="O293" i="17"/>
  <c r="N293" i="17"/>
  <c r="M293" i="17"/>
  <c r="L293" i="17"/>
  <c r="H293" i="17"/>
  <c r="F293" i="17"/>
  <c r="O292" i="17"/>
  <c r="N292" i="17"/>
  <c r="M292" i="17"/>
  <c r="L292" i="17"/>
  <c r="H292" i="17"/>
  <c r="F292" i="17"/>
  <c r="O291" i="17"/>
  <c r="N291" i="17"/>
  <c r="M291" i="17"/>
  <c r="L291" i="17"/>
  <c r="H291" i="17"/>
  <c r="F291" i="17"/>
  <c r="O290" i="17"/>
  <c r="N290" i="17"/>
  <c r="M290" i="17"/>
  <c r="L290" i="17"/>
  <c r="H290" i="17"/>
  <c r="F290" i="17"/>
  <c r="O289" i="17"/>
  <c r="N289" i="17"/>
  <c r="M289" i="17"/>
  <c r="L289" i="17"/>
  <c r="H289" i="17"/>
  <c r="F289" i="17"/>
  <c r="O288" i="17"/>
  <c r="N288" i="17"/>
  <c r="M288" i="17"/>
  <c r="L288" i="17"/>
  <c r="H288" i="17"/>
  <c r="F288" i="17"/>
  <c r="O287" i="17"/>
  <c r="N287" i="17"/>
  <c r="M287" i="17"/>
  <c r="L287" i="17"/>
  <c r="H287" i="17"/>
  <c r="F287" i="17"/>
  <c r="O286" i="17"/>
  <c r="N286" i="17"/>
  <c r="M286" i="17"/>
  <c r="L286" i="17"/>
  <c r="H286" i="17"/>
  <c r="F286" i="17"/>
  <c r="O285" i="17"/>
  <c r="N285" i="17"/>
  <c r="M285" i="17"/>
  <c r="L285" i="17"/>
  <c r="H285" i="17"/>
  <c r="F285" i="17"/>
  <c r="O284" i="17"/>
  <c r="N284" i="17"/>
  <c r="M284" i="17"/>
  <c r="L284" i="17"/>
  <c r="H284" i="17"/>
  <c r="F284" i="17"/>
  <c r="O283" i="17"/>
  <c r="N283" i="17"/>
  <c r="M283" i="17"/>
  <c r="L283" i="17"/>
  <c r="H283" i="17"/>
  <c r="F283" i="17"/>
  <c r="O282" i="17"/>
  <c r="N282" i="17"/>
  <c r="M282" i="17"/>
  <c r="L282" i="17"/>
  <c r="H282" i="17"/>
  <c r="F282" i="17"/>
  <c r="M281" i="17"/>
  <c r="L281" i="17"/>
  <c r="H281" i="17"/>
  <c r="F281" i="17"/>
  <c r="O280" i="17"/>
  <c r="N280" i="17"/>
  <c r="M280" i="17"/>
  <c r="L280" i="17"/>
  <c r="I280" i="17"/>
  <c r="H280" i="17"/>
  <c r="F280" i="17"/>
  <c r="O279" i="17"/>
  <c r="N279" i="17"/>
  <c r="M279" i="17"/>
  <c r="L279" i="17"/>
  <c r="P279" i="17" s="1"/>
  <c r="H279" i="17"/>
  <c r="F279" i="17"/>
  <c r="O278" i="17"/>
  <c r="N278" i="17"/>
  <c r="M278" i="17"/>
  <c r="L278" i="17"/>
  <c r="H278" i="17"/>
  <c r="F278" i="17"/>
  <c r="O277" i="17"/>
  <c r="N277" i="17"/>
  <c r="M277" i="17"/>
  <c r="L277" i="17"/>
  <c r="H277" i="17"/>
  <c r="F277" i="17"/>
  <c r="O276" i="17"/>
  <c r="N276" i="17"/>
  <c r="M276" i="17"/>
  <c r="L276" i="17"/>
  <c r="P276" i="17" s="1"/>
  <c r="I276" i="17"/>
  <c r="H276" i="17"/>
  <c r="F276" i="17"/>
  <c r="O275" i="17"/>
  <c r="N275" i="17"/>
  <c r="M275" i="17"/>
  <c r="L275" i="17"/>
  <c r="I275" i="17"/>
  <c r="H275" i="17"/>
  <c r="F275" i="17"/>
  <c r="O274" i="17"/>
  <c r="N274" i="17"/>
  <c r="M274" i="17"/>
  <c r="L274" i="17"/>
  <c r="P274" i="17" s="1"/>
  <c r="I274" i="17"/>
  <c r="H274" i="17"/>
  <c r="F274" i="17"/>
  <c r="M273" i="17"/>
  <c r="L273" i="17"/>
  <c r="H273" i="17"/>
  <c r="F273" i="17"/>
  <c r="O272" i="17"/>
  <c r="N272" i="17"/>
  <c r="M272" i="17"/>
  <c r="L272" i="17"/>
  <c r="P272" i="17" s="1"/>
  <c r="I272" i="17"/>
  <c r="H272" i="17"/>
  <c r="F272" i="17"/>
  <c r="O271" i="17"/>
  <c r="N271" i="17"/>
  <c r="M271" i="17"/>
  <c r="L271" i="17"/>
  <c r="I271" i="17"/>
  <c r="H271" i="17"/>
  <c r="F271" i="17"/>
  <c r="O270" i="17"/>
  <c r="N270" i="17"/>
  <c r="M270" i="17"/>
  <c r="L270" i="17"/>
  <c r="P270" i="17" s="1"/>
  <c r="I270" i="17"/>
  <c r="H270" i="17"/>
  <c r="F270" i="17"/>
  <c r="O269" i="17"/>
  <c r="N269" i="17"/>
  <c r="M269" i="17"/>
  <c r="L269" i="17"/>
  <c r="P269" i="17" s="1"/>
  <c r="I269" i="17"/>
  <c r="H269" i="17"/>
  <c r="F269" i="17"/>
  <c r="O268" i="17"/>
  <c r="N268" i="17"/>
  <c r="M268" i="17"/>
  <c r="L268" i="17"/>
  <c r="P268" i="17" s="1"/>
  <c r="I268" i="17"/>
  <c r="H268" i="17"/>
  <c r="F268" i="17"/>
  <c r="O267" i="17"/>
  <c r="N267" i="17"/>
  <c r="M267" i="17"/>
  <c r="L267" i="17"/>
  <c r="H267" i="17"/>
  <c r="F267" i="17"/>
  <c r="O266" i="17"/>
  <c r="N266" i="17"/>
  <c r="M266" i="17"/>
  <c r="L266" i="17"/>
  <c r="P266" i="17" s="1"/>
  <c r="I266" i="17"/>
  <c r="H266" i="17"/>
  <c r="F266" i="17"/>
  <c r="O265" i="17"/>
  <c r="N265" i="17"/>
  <c r="M265" i="17"/>
  <c r="L265" i="17"/>
  <c r="P265" i="17" s="1"/>
  <c r="I265" i="17"/>
  <c r="H265" i="17"/>
  <c r="F265" i="17"/>
  <c r="O264" i="17"/>
  <c r="N264" i="17"/>
  <c r="M264" i="17"/>
  <c r="L264" i="17"/>
  <c r="P264" i="17" s="1"/>
  <c r="I264" i="17"/>
  <c r="H264" i="17"/>
  <c r="F264" i="17"/>
  <c r="O263" i="17"/>
  <c r="N263" i="17"/>
  <c r="M263" i="17"/>
  <c r="L263" i="17"/>
  <c r="H263" i="17"/>
  <c r="F263" i="17"/>
  <c r="O262" i="17"/>
  <c r="N262" i="17"/>
  <c r="M262" i="17"/>
  <c r="L262" i="17"/>
  <c r="P262" i="17" s="1"/>
  <c r="I262" i="17"/>
  <c r="H262" i="17"/>
  <c r="F262" i="17"/>
  <c r="O261" i="17"/>
  <c r="N261" i="17"/>
  <c r="M261" i="17"/>
  <c r="L261" i="17"/>
  <c r="H261" i="17"/>
  <c r="F261" i="17"/>
  <c r="O260" i="17"/>
  <c r="N260" i="17"/>
  <c r="M260" i="17"/>
  <c r="L260" i="17"/>
  <c r="H260" i="17"/>
  <c r="F260" i="17"/>
  <c r="O259" i="17"/>
  <c r="N259" i="17"/>
  <c r="M259" i="17"/>
  <c r="L259" i="17"/>
  <c r="H259" i="17"/>
  <c r="F259" i="17"/>
  <c r="M258" i="17"/>
  <c r="L258" i="17"/>
  <c r="H258" i="17"/>
  <c r="F258" i="17"/>
  <c r="O257" i="17"/>
  <c r="N257" i="17"/>
  <c r="M257" i="17"/>
  <c r="L257" i="17"/>
  <c r="P257" i="17" s="1"/>
  <c r="I257" i="17"/>
  <c r="H257" i="17"/>
  <c r="F257" i="17"/>
  <c r="O256" i="17"/>
  <c r="N256" i="17"/>
  <c r="M256" i="17"/>
  <c r="L256" i="17"/>
  <c r="H256" i="17"/>
  <c r="F256" i="17"/>
  <c r="O255" i="17"/>
  <c r="N255" i="17"/>
  <c r="M255" i="17"/>
  <c r="L255" i="17"/>
  <c r="P255" i="17" s="1"/>
  <c r="I255" i="17"/>
  <c r="H255" i="17"/>
  <c r="F255" i="17"/>
  <c r="O254" i="17"/>
  <c r="N254" i="17"/>
  <c r="M254" i="17"/>
  <c r="L254" i="17"/>
  <c r="P254" i="17" s="1"/>
  <c r="I254" i="17"/>
  <c r="H254" i="17"/>
  <c r="F254" i="17"/>
  <c r="O253" i="17"/>
  <c r="N253" i="17"/>
  <c r="M253" i="17"/>
  <c r="L253" i="17"/>
  <c r="P253" i="17" s="1"/>
  <c r="I253" i="17"/>
  <c r="H253" i="17"/>
  <c r="F253" i="17"/>
  <c r="O252" i="17"/>
  <c r="N252" i="17"/>
  <c r="M252" i="17"/>
  <c r="L252" i="17"/>
  <c r="I252" i="17"/>
  <c r="H252" i="17"/>
  <c r="F252" i="17"/>
  <c r="O251" i="17"/>
  <c r="N251" i="17"/>
  <c r="M251" i="17"/>
  <c r="L251" i="17"/>
  <c r="I251" i="17"/>
  <c r="H251" i="17"/>
  <c r="F251" i="17"/>
  <c r="O250" i="17"/>
  <c r="N250" i="17"/>
  <c r="M250" i="17"/>
  <c r="L250" i="17"/>
  <c r="H250" i="17"/>
  <c r="F250" i="17"/>
  <c r="O249" i="17"/>
  <c r="N249" i="17"/>
  <c r="M249" i="17"/>
  <c r="L249" i="17"/>
  <c r="I249" i="17"/>
  <c r="H249" i="17"/>
  <c r="F249" i="17"/>
  <c r="O248" i="17"/>
  <c r="N248" i="17"/>
  <c r="M248" i="17"/>
  <c r="L248" i="17"/>
  <c r="H248" i="17"/>
  <c r="F248" i="17"/>
  <c r="M247" i="17"/>
  <c r="L247" i="17"/>
  <c r="H247" i="17"/>
  <c r="F247" i="17"/>
  <c r="O246" i="17"/>
  <c r="N246" i="17"/>
  <c r="M246" i="17"/>
  <c r="L246" i="17"/>
  <c r="P246" i="17" s="1"/>
  <c r="I246" i="17"/>
  <c r="H246" i="17"/>
  <c r="F246" i="17"/>
  <c r="O245" i="17"/>
  <c r="N245" i="17"/>
  <c r="M245" i="17"/>
  <c r="L245" i="17"/>
  <c r="P245" i="17" s="1"/>
  <c r="I245" i="17"/>
  <c r="H245" i="17"/>
  <c r="F245" i="17"/>
  <c r="O244" i="17"/>
  <c r="N244" i="17"/>
  <c r="M244" i="17"/>
  <c r="L244" i="17"/>
  <c r="I244" i="17"/>
  <c r="H244" i="17"/>
  <c r="F244" i="17"/>
  <c r="O243" i="17"/>
  <c r="N243" i="17"/>
  <c r="M243" i="17"/>
  <c r="L243" i="17"/>
  <c r="P243" i="17" s="1"/>
  <c r="I243" i="17"/>
  <c r="H243" i="17"/>
  <c r="F243" i="17"/>
  <c r="O242" i="17"/>
  <c r="N242" i="17"/>
  <c r="M242" i="17"/>
  <c r="L242" i="17"/>
  <c r="P242" i="17" s="1"/>
  <c r="I242" i="17"/>
  <c r="H242" i="17"/>
  <c r="F242" i="17"/>
  <c r="O241" i="17"/>
  <c r="N241" i="17"/>
  <c r="M241" i="17"/>
  <c r="L241" i="17"/>
  <c r="P241" i="17" s="1"/>
  <c r="I241" i="17"/>
  <c r="H241" i="17"/>
  <c r="F241" i="17"/>
  <c r="O240" i="17"/>
  <c r="N240" i="17"/>
  <c r="M240" i="17"/>
  <c r="L240" i="17"/>
  <c r="H240" i="17"/>
  <c r="F240" i="17"/>
  <c r="O239" i="17"/>
  <c r="N239" i="17"/>
  <c r="M239" i="17"/>
  <c r="L239" i="17"/>
  <c r="P239" i="17" s="1"/>
  <c r="I239" i="17"/>
  <c r="H239" i="17"/>
  <c r="F239" i="17"/>
  <c r="O238" i="17"/>
  <c r="N238" i="17"/>
  <c r="M238" i="17"/>
  <c r="L238" i="17"/>
  <c r="P238" i="17" s="1"/>
  <c r="I238" i="17"/>
  <c r="H238" i="17"/>
  <c r="F238" i="17"/>
  <c r="O237" i="17"/>
  <c r="N237" i="17"/>
  <c r="M237" i="17"/>
  <c r="L237" i="17"/>
  <c r="P237" i="17" s="1"/>
  <c r="I237" i="17"/>
  <c r="H237" i="17"/>
  <c r="F237" i="17"/>
  <c r="O236" i="17"/>
  <c r="N236" i="17"/>
  <c r="M236" i="17"/>
  <c r="L236" i="17"/>
  <c r="H236" i="17"/>
  <c r="F236" i="17"/>
  <c r="O235" i="17"/>
  <c r="N235" i="17"/>
  <c r="M235" i="17"/>
  <c r="L235" i="17"/>
  <c r="H235" i="17"/>
  <c r="F235" i="17"/>
  <c r="M234" i="17"/>
  <c r="L234" i="17"/>
  <c r="L233" i="17"/>
  <c r="N231" i="17"/>
  <c r="N230" i="17"/>
  <c r="N229" i="17"/>
  <c r="N228" i="17"/>
  <c r="N227" i="17"/>
  <c r="N226" i="17"/>
  <c r="O225" i="17"/>
  <c r="N225" i="17"/>
  <c r="M225" i="17"/>
  <c r="L225" i="17"/>
  <c r="H225" i="17"/>
  <c r="F225" i="17"/>
  <c r="O224" i="17"/>
  <c r="N224" i="17"/>
  <c r="M224" i="17"/>
  <c r="L224" i="17"/>
  <c r="H224" i="17"/>
  <c r="F224" i="17"/>
  <c r="O223" i="17"/>
  <c r="N223" i="17"/>
  <c r="M223" i="17"/>
  <c r="L223" i="17"/>
  <c r="H223" i="17"/>
  <c r="F223" i="17"/>
  <c r="O222" i="17"/>
  <c r="N222" i="17"/>
  <c r="M222" i="17"/>
  <c r="L222" i="17"/>
  <c r="H222" i="17"/>
  <c r="F222" i="17"/>
  <c r="O221" i="17"/>
  <c r="N221" i="17"/>
  <c r="M221" i="17"/>
  <c r="L221" i="17"/>
  <c r="H221" i="17"/>
  <c r="F221" i="17"/>
  <c r="O220" i="17"/>
  <c r="N220" i="17"/>
  <c r="M220" i="17"/>
  <c r="L220" i="17"/>
  <c r="P220" i="17" s="1"/>
  <c r="I220" i="17"/>
  <c r="H220" i="17"/>
  <c r="F220" i="17"/>
  <c r="M219" i="17"/>
  <c r="L219" i="17"/>
  <c r="H219" i="17"/>
  <c r="F219" i="17"/>
  <c r="O218" i="17"/>
  <c r="N218" i="17"/>
  <c r="M218" i="17"/>
  <c r="L218" i="17"/>
  <c r="H218" i="17"/>
  <c r="F218" i="17"/>
  <c r="O217" i="17"/>
  <c r="N217" i="17"/>
  <c r="M217" i="17"/>
  <c r="L217" i="17"/>
  <c r="P217" i="17" s="1"/>
  <c r="H217" i="17"/>
  <c r="F217" i="17"/>
  <c r="O216" i="17"/>
  <c r="N216" i="17"/>
  <c r="M216" i="17"/>
  <c r="L216" i="17"/>
  <c r="P216" i="17" s="1"/>
  <c r="I216" i="17"/>
  <c r="H216" i="17"/>
  <c r="F216" i="17"/>
  <c r="O215" i="17"/>
  <c r="N215" i="17"/>
  <c r="M215" i="17"/>
  <c r="L215" i="17"/>
  <c r="P215" i="17" s="1"/>
  <c r="I215" i="17"/>
  <c r="H215" i="17"/>
  <c r="F215" i="17"/>
  <c r="O214" i="17"/>
  <c r="N214" i="17"/>
  <c r="M214" i="17"/>
  <c r="L214" i="17"/>
  <c r="P214" i="17" s="1"/>
  <c r="I214" i="17"/>
  <c r="H214" i="17"/>
  <c r="F214" i="17"/>
  <c r="O213" i="17"/>
  <c r="N213" i="17"/>
  <c r="M213" i="17"/>
  <c r="L213" i="17"/>
  <c r="P213" i="17" s="1"/>
  <c r="I213" i="17"/>
  <c r="H213" i="17"/>
  <c r="F213" i="17"/>
  <c r="M212" i="17"/>
  <c r="L212" i="17"/>
  <c r="H212" i="17"/>
  <c r="F212" i="17"/>
  <c r="O211" i="17"/>
  <c r="N211" i="17"/>
  <c r="M211" i="17"/>
  <c r="L211" i="17"/>
  <c r="P211" i="17" s="1"/>
  <c r="I211" i="17"/>
  <c r="H211" i="17"/>
  <c r="F211" i="17"/>
  <c r="O210" i="17"/>
  <c r="N210" i="17"/>
  <c r="M210" i="17"/>
  <c r="L210" i="17"/>
  <c r="P210" i="17" s="1"/>
  <c r="I210" i="17"/>
  <c r="H210" i="17"/>
  <c r="F210" i="17"/>
  <c r="M209" i="17"/>
  <c r="L209" i="17"/>
  <c r="H209" i="17"/>
  <c r="F209" i="17"/>
  <c r="O208" i="17"/>
  <c r="N208" i="17"/>
  <c r="M208" i="17"/>
  <c r="L208" i="17"/>
  <c r="P208" i="17" s="1"/>
  <c r="I208" i="17"/>
  <c r="H208" i="17"/>
  <c r="F208" i="17"/>
  <c r="O207" i="17"/>
  <c r="N207" i="17"/>
  <c r="M207" i="17"/>
  <c r="L207" i="17"/>
  <c r="P207" i="17" s="1"/>
  <c r="H207" i="17"/>
  <c r="F207" i="17"/>
  <c r="O206" i="17"/>
  <c r="N206" i="17"/>
  <c r="M206" i="17"/>
  <c r="L206" i="17"/>
  <c r="H206" i="17"/>
  <c r="F206" i="17"/>
  <c r="O205" i="17"/>
  <c r="N205" i="17"/>
  <c r="M205" i="17"/>
  <c r="L205" i="17"/>
  <c r="H205" i="17"/>
  <c r="F205" i="17"/>
  <c r="O204" i="17"/>
  <c r="N204" i="17"/>
  <c r="M204" i="17"/>
  <c r="L204" i="17"/>
  <c r="H204" i="17"/>
  <c r="F204" i="17"/>
  <c r="O203" i="17"/>
  <c r="N203" i="17"/>
  <c r="M203" i="17"/>
  <c r="L203" i="17"/>
  <c r="H203" i="17"/>
  <c r="F203" i="17"/>
  <c r="O202" i="17"/>
  <c r="N202" i="17"/>
  <c r="M202" i="17"/>
  <c r="L202" i="17"/>
  <c r="H202" i="17"/>
  <c r="F202" i="17"/>
  <c r="O201" i="17"/>
  <c r="N201" i="17"/>
  <c r="M201" i="17"/>
  <c r="L201" i="17"/>
  <c r="H201" i="17"/>
  <c r="F201" i="17"/>
  <c r="O200" i="17"/>
  <c r="N200" i="17"/>
  <c r="M200" i="17"/>
  <c r="L200" i="17"/>
  <c r="H200" i="17"/>
  <c r="F200" i="17"/>
  <c r="O199" i="17"/>
  <c r="N199" i="17"/>
  <c r="M199" i="17"/>
  <c r="L199" i="17"/>
  <c r="H199" i="17"/>
  <c r="F199" i="17"/>
  <c r="O198" i="17"/>
  <c r="N198" i="17"/>
  <c r="M198" i="17"/>
  <c r="L198" i="17"/>
  <c r="H198" i="17"/>
  <c r="F198" i="17"/>
  <c r="O197" i="17"/>
  <c r="N197" i="17"/>
  <c r="M197" i="17"/>
  <c r="L197" i="17"/>
  <c r="H197" i="17"/>
  <c r="F197" i="17"/>
  <c r="O196" i="17"/>
  <c r="N196" i="17"/>
  <c r="M196" i="17"/>
  <c r="L196" i="17"/>
  <c r="H196" i="17"/>
  <c r="F196" i="17"/>
  <c r="O195" i="17"/>
  <c r="N195" i="17"/>
  <c r="M195" i="17"/>
  <c r="L195" i="17"/>
  <c r="H195" i="17"/>
  <c r="F195" i="17"/>
  <c r="O194" i="17"/>
  <c r="N194" i="17"/>
  <c r="M194" i="17"/>
  <c r="L194" i="17"/>
  <c r="H194" i="17"/>
  <c r="F194" i="17"/>
  <c r="O193" i="17"/>
  <c r="N193" i="17"/>
  <c r="M193" i="17"/>
  <c r="L193" i="17"/>
  <c r="H193" i="17"/>
  <c r="F193" i="17"/>
  <c r="O192" i="17"/>
  <c r="N192" i="17"/>
  <c r="M192" i="17"/>
  <c r="L192" i="17"/>
  <c r="H192" i="17"/>
  <c r="F192" i="17"/>
  <c r="O191" i="17"/>
  <c r="N191" i="17"/>
  <c r="M191" i="17"/>
  <c r="L191" i="17"/>
  <c r="H191" i="17"/>
  <c r="F191" i="17"/>
  <c r="O190" i="17"/>
  <c r="N190" i="17"/>
  <c r="M190" i="17"/>
  <c r="L190" i="17"/>
  <c r="H190" i="17"/>
  <c r="F190" i="17"/>
  <c r="M189" i="17"/>
  <c r="L189" i="17"/>
  <c r="H189" i="17"/>
  <c r="F189" i="17"/>
  <c r="O188" i="17"/>
  <c r="N188" i="17"/>
  <c r="M188" i="17"/>
  <c r="L188" i="17"/>
  <c r="P188" i="17" s="1"/>
  <c r="I188" i="17"/>
  <c r="H188" i="17"/>
  <c r="F188" i="17"/>
  <c r="O187" i="17"/>
  <c r="N187" i="17"/>
  <c r="M187" i="17"/>
  <c r="L187" i="17"/>
  <c r="P187" i="17" s="1"/>
  <c r="I187" i="17"/>
  <c r="H187" i="17"/>
  <c r="F187" i="17"/>
  <c r="O186" i="17"/>
  <c r="N186" i="17"/>
  <c r="M186" i="17"/>
  <c r="L186" i="17"/>
  <c r="P186" i="17" s="1"/>
  <c r="I186" i="17"/>
  <c r="H186" i="17"/>
  <c r="F186" i="17"/>
  <c r="O185" i="17"/>
  <c r="N185" i="17"/>
  <c r="M185" i="17"/>
  <c r="L185" i="17"/>
  <c r="H185" i="17"/>
  <c r="F185" i="17"/>
  <c r="O184" i="17"/>
  <c r="N184" i="17"/>
  <c r="M184" i="17"/>
  <c r="L184" i="17"/>
  <c r="H184" i="17"/>
  <c r="F184" i="17"/>
  <c r="M183" i="17"/>
  <c r="L183" i="17"/>
  <c r="H183" i="17"/>
  <c r="F183" i="17"/>
  <c r="O182" i="17"/>
  <c r="N182" i="17"/>
  <c r="M182" i="17"/>
  <c r="L182" i="17"/>
  <c r="P182" i="17" s="1"/>
  <c r="I182" i="17"/>
  <c r="H182" i="17"/>
  <c r="F182" i="17"/>
  <c r="O181" i="17"/>
  <c r="N181" i="17"/>
  <c r="M181" i="17"/>
  <c r="L181" i="17"/>
  <c r="P181" i="17" s="1"/>
  <c r="I181" i="17"/>
  <c r="H181" i="17"/>
  <c r="F181" i="17"/>
  <c r="M180" i="17"/>
  <c r="L180" i="17"/>
  <c r="H180" i="17"/>
  <c r="F180" i="17"/>
  <c r="O179" i="17"/>
  <c r="N179" i="17"/>
  <c r="M179" i="17"/>
  <c r="L179" i="17"/>
  <c r="P179" i="17" s="1"/>
  <c r="I179" i="17"/>
  <c r="H179" i="17"/>
  <c r="F179" i="17"/>
  <c r="O178" i="17"/>
  <c r="N178" i="17"/>
  <c r="M178" i="17"/>
  <c r="L178" i="17"/>
  <c r="P178" i="17" s="1"/>
  <c r="I178" i="17"/>
  <c r="H178" i="17"/>
  <c r="F178" i="17"/>
  <c r="O177" i="17"/>
  <c r="N177" i="17"/>
  <c r="M177" i="17"/>
  <c r="L177" i="17"/>
  <c r="P177" i="17" s="1"/>
  <c r="I177" i="17"/>
  <c r="H177" i="17"/>
  <c r="F177" i="17"/>
  <c r="O176" i="17"/>
  <c r="N176" i="17"/>
  <c r="M176" i="17"/>
  <c r="L176" i="17"/>
  <c r="P176" i="17" s="1"/>
  <c r="I176" i="17"/>
  <c r="H176" i="17"/>
  <c r="F176" i="17"/>
  <c r="O175" i="17"/>
  <c r="N175" i="17"/>
  <c r="M175" i="17"/>
  <c r="L175" i="17"/>
  <c r="H175" i="17"/>
  <c r="F175" i="17"/>
  <c r="O174" i="17"/>
  <c r="N174" i="17"/>
  <c r="M174" i="17"/>
  <c r="L174" i="17"/>
  <c r="P174" i="17" s="1"/>
  <c r="I174" i="17"/>
  <c r="H174" i="17"/>
  <c r="F174" i="17"/>
  <c r="O173" i="17"/>
  <c r="N173" i="17"/>
  <c r="M173" i="17"/>
  <c r="L173" i="17"/>
  <c r="P173" i="17" s="1"/>
  <c r="I173" i="17"/>
  <c r="H173" i="17"/>
  <c r="F173" i="17"/>
  <c r="O172" i="17"/>
  <c r="N172" i="17"/>
  <c r="M172" i="17"/>
  <c r="L172" i="17"/>
  <c r="P172" i="17" s="1"/>
  <c r="P157" i="21" s="1"/>
  <c r="Q157" i="21" s="1"/>
  <c r="I172" i="17"/>
  <c r="H172" i="17"/>
  <c r="F172" i="17"/>
  <c r="O171" i="17"/>
  <c r="N171" i="17"/>
  <c r="M171" i="17"/>
  <c r="L171" i="17"/>
  <c r="H171" i="17"/>
  <c r="F171" i="17"/>
  <c r="O170" i="17"/>
  <c r="N170" i="17"/>
  <c r="M170" i="17"/>
  <c r="L170" i="17"/>
  <c r="P170" i="17" s="1"/>
  <c r="P155" i="21" s="1"/>
  <c r="Q155" i="21" s="1"/>
  <c r="I170" i="17"/>
  <c r="H170" i="17"/>
  <c r="F170" i="17"/>
  <c r="O169" i="17"/>
  <c r="N169" i="17"/>
  <c r="M169" i="17"/>
  <c r="L169" i="17"/>
  <c r="H169" i="17"/>
  <c r="F169" i="17"/>
  <c r="O168" i="17"/>
  <c r="N168" i="17"/>
  <c r="M168" i="17"/>
  <c r="L168" i="17"/>
  <c r="H168" i="17"/>
  <c r="F168" i="17"/>
  <c r="O167" i="17"/>
  <c r="N167" i="17"/>
  <c r="M167" i="17"/>
  <c r="L167" i="17"/>
  <c r="H167" i="17"/>
  <c r="F167" i="17"/>
  <c r="M166" i="17"/>
  <c r="L166" i="17"/>
  <c r="I166" i="17"/>
  <c r="J166" i="17" s="1"/>
  <c r="H166" i="17"/>
  <c r="F166" i="17"/>
  <c r="O165" i="17"/>
  <c r="N165" i="17"/>
  <c r="M165" i="17"/>
  <c r="L165" i="17"/>
  <c r="P165" i="17" s="1"/>
  <c r="I165" i="17"/>
  <c r="H165" i="17"/>
  <c r="F165" i="17"/>
  <c r="O164" i="17"/>
  <c r="N164" i="17"/>
  <c r="M164" i="17"/>
  <c r="L164" i="17"/>
  <c r="P164" i="17" s="1"/>
  <c r="P149" i="21" s="1"/>
  <c r="Q149" i="21" s="1"/>
  <c r="I164" i="17"/>
  <c r="J164" i="17" s="1"/>
  <c r="H164" i="17"/>
  <c r="F164" i="17"/>
  <c r="O163" i="17"/>
  <c r="N163" i="17"/>
  <c r="M163" i="17"/>
  <c r="L163" i="17"/>
  <c r="P163" i="17" s="1"/>
  <c r="I163" i="17"/>
  <c r="H163" i="17"/>
  <c r="F163" i="17"/>
  <c r="O162" i="17"/>
  <c r="N162" i="17"/>
  <c r="M162" i="17"/>
  <c r="L162" i="17"/>
  <c r="P162" i="17" s="1"/>
  <c r="I162" i="17"/>
  <c r="H162" i="17"/>
  <c r="F162" i="17"/>
  <c r="O161" i="17"/>
  <c r="N161" i="17"/>
  <c r="M161" i="17"/>
  <c r="L161" i="17"/>
  <c r="H161" i="17"/>
  <c r="F161" i="17"/>
  <c r="O160" i="17"/>
  <c r="N160" i="17"/>
  <c r="M160" i="17"/>
  <c r="L160" i="17"/>
  <c r="H160" i="17"/>
  <c r="F160" i="17"/>
  <c r="M159" i="17"/>
  <c r="L159" i="17"/>
  <c r="L158" i="17"/>
  <c r="N156" i="17"/>
  <c r="N155" i="17"/>
  <c r="N154" i="17"/>
  <c r="N153" i="17"/>
  <c r="N152" i="17"/>
  <c r="N151" i="17"/>
  <c r="O149" i="17"/>
  <c r="N149" i="17"/>
  <c r="M149" i="17"/>
  <c r="L149" i="17"/>
  <c r="H149" i="17"/>
  <c r="F149" i="17"/>
  <c r="O148" i="17"/>
  <c r="N148" i="17"/>
  <c r="M148" i="17"/>
  <c r="L148" i="17"/>
  <c r="H148" i="17"/>
  <c r="F148" i="17"/>
  <c r="O147" i="17"/>
  <c r="N147" i="17"/>
  <c r="M147" i="17"/>
  <c r="L147" i="17"/>
  <c r="I147" i="17"/>
  <c r="H147" i="17"/>
  <c r="F147" i="17"/>
  <c r="O146" i="17"/>
  <c r="N146" i="17"/>
  <c r="M146" i="17"/>
  <c r="L146" i="17"/>
  <c r="H146" i="17"/>
  <c r="F146" i="17"/>
  <c r="O145" i="17"/>
  <c r="N145" i="17"/>
  <c r="M145" i="17"/>
  <c r="L145" i="17"/>
  <c r="H145" i="17"/>
  <c r="F145" i="17"/>
  <c r="O144" i="17"/>
  <c r="N144" i="17"/>
  <c r="M144" i="17"/>
  <c r="L144" i="17"/>
  <c r="H144" i="17"/>
  <c r="F144" i="17"/>
  <c r="O143" i="17"/>
  <c r="N143" i="17"/>
  <c r="M143" i="17"/>
  <c r="L143" i="17"/>
  <c r="H143" i="17"/>
  <c r="F143" i="17"/>
  <c r="O142" i="17"/>
  <c r="N142" i="17"/>
  <c r="M142" i="17"/>
  <c r="L142" i="17"/>
  <c r="I142" i="17"/>
  <c r="H142" i="17"/>
  <c r="F142" i="17"/>
  <c r="O141" i="17"/>
  <c r="N141" i="17"/>
  <c r="M141" i="17"/>
  <c r="L141" i="17"/>
  <c r="H141" i="17"/>
  <c r="F141" i="17"/>
  <c r="O140" i="17"/>
  <c r="N140" i="17"/>
  <c r="M140" i="17"/>
  <c r="L140" i="17"/>
  <c r="H140" i="17"/>
  <c r="F140" i="17"/>
  <c r="L139" i="17"/>
  <c r="N137" i="17"/>
  <c r="N136" i="17"/>
  <c r="N135" i="17"/>
  <c r="N134" i="17"/>
  <c r="N133" i="17"/>
  <c r="N132" i="17"/>
  <c r="O131" i="17"/>
  <c r="N131" i="17"/>
  <c r="M131" i="17"/>
  <c r="L131" i="17"/>
  <c r="H131" i="17"/>
  <c r="F131" i="17"/>
  <c r="O130" i="17"/>
  <c r="N130" i="17"/>
  <c r="M130" i="17"/>
  <c r="L130" i="17"/>
  <c r="P130" i="17" s="1"/>
  <c r="P115" i="21" s="1"/>
  <c r="Q115" i="21" s="1"/>
  <c r="I130" i="17"/>
  <c r="H130" i="17"/>
  <c r="F130" i="17"/>
  <c r="O129" i="17"/>
  <c r="N129" i="17"/>
  <c r="M129" i="17"/>
  <c r="L129" i="17"/>
  <c r="H129" i="17"/>
  <c r="F129" i="17"/>
  <c r="O128" i="17"/>
  <c r="N128" i="17"/>
  <c r="M128" i="17"/>
  <c r="L128" i="17"/>
  <c r="P128" i="17" s="1"/>
  <c r="P113" i="21" s="1"/>
  <c r="Q113" i="21" s="1"/>
  <c r="I128" i="17"/>
  <c r="J128" i="17" s="1"/>
  <c r="H128" i="17"/>
  <c r="F128" i="17"/>
  <c r="M127" i="17"/>
  <c r="L127" i="17"/>
  <c r="H127" i="17"/>
  <c r="F127" i="17"/>
  <c r="O126" i="17"/>
  <c r="N126" i="17"/>
  <c r="M126" i="17"/>
  <c r="L126" i="17"/>
  <c r="P126" i="17" s="1"/>
  <c r="I126" i="17"/>
  <c r="H126" i="17"/>
  <c r="F126" i="17"/>
  <c r="O125" i="17"/>
  <c r="N125" i="17"/>
  <c r="M125" i="17"/>
  <c r="L125" i="17"/>
  <c r="P125" i="17" s="1"/>
  <c r="I125" i="17"/>
  <c r="H125" i="17"/>
  <c r="F125" i="17"/>
  <c r="O124" i="17"/>
  <c r="N124" i="17"/>
  <c r="M124" i="17"/>
  <c r="L124" i="17"/>
  <c r="P124" i="17" s="1"/>
  <c r="I124" i="17"/>
  <c r="H124" i="17"/>
  <c r="F124" i="17"/>
  <c r="O123" i="17"/>
  <c r="N123" i="17"/>
  <c r="M123" i="17"/>
  <c r="L123" i="17"/>
  <c r="P123" i="17" s="1"/>
  <c r="P108" i="21" s="1"/>
  <c r="Q108" i="21" s="1"/>
  <c r="I123" i="17"/>
  <c r="H123" i="17"/>
  <c r="F123" i="17"/>
  <c r="M122" i="17"/>
  <c r="L122" i="17"/>
  <c r="H122" i="17"/>
  <c r="F122" i="17"/>
  <c r="O121" i="17"/>
  <c r="N121" i="17"/>
  <c r="M121" i="17"/>
  <c r="L121" i="17"/>
  <c r="P121" i="17" s="1"/>
  <c r="I121" i="17"/>
  <c r="H121" i="17"/>
  <c r="F121" i="17"/>
  <c r="O120" i="17"/>
  <c r="N120" i="17"/>
  <c r="M120" i="17"/>
  <c r="L120" i="17"/>
  <c r="H120" i="17"/>
  <c r="F120" i="17"/>
  <c r="O119" i="17"/>
  <c r="N119" i="17"/>
  <c r="M119" i="17"/>
  <c r="L119" i="17"/>
  <c r="H119" i="17"/>
  <c r="F119" i="17"/>
  <c r="O118" i="17"/>
  <c r="N118" i="17"/>
  <c r="M118" i="17"/>
  <c r="L118" i="17"/>
  <c r="H118" i="17"/>
  <c r="F118" i="17"/>
  <c r="M117" i="17"/>
  <c r="L117" i="17"/>
  <c r="H117" i="17"/>
  <c r="F117" i="17"/>
  <c r="O116" i="17"/>
  <c r="N116" i="17"/>
  <c r="M116" i="17"/>
  <c r="L116" i="17"/>
  <c r="H116" i="17"/>
  <c r="F116" i="17"/>
  <c r="O115" i="17"/>
  <c r="N115" i="17"/>
  <c r="M115" i="17"/>
  <c r="L115" i="17"/>
  <c r="P115" i="17" s="1"/>
  <c r="I115" i="17"/>
  <c r="H115" i="17"/>
  <c r="F115" i="17"/>
  <c r="O114" i="17"/>
  <c r="N114" i="17"/>
  <c r="M114" i="17"/>
  <c r="L114" i="17"/>
  <c r="P114" i="17" s="1"/>
  <c r="H114" i="17"/>
  <c r="F114" i="17"/>
  <c r="O113" i="17"/>
  <c r="N113" i="17"/>
  <c r="M113" i="17"/>
  <c r="L113" i="17"/>
  <c r="P113" i="17" s="1"/>
  <c r="P98" i="21" s="1"/>
  <c r="Q98" i="21" s="1"/>
  <c r="H113" i="17"/>
  <c r="F113" i="17"/>
  <c r="O112" i="17"/>
  <c r="N112" i="17"/>
  <c r="M112" i="17"/>
  <c r="L112" i="17"/>
  <c r="H112" i="17"/>
  <c r="F112" i="17"/>
  <c r="O111" i="17"/>
  <c r="N111" i="17"/>
  <c r="M111" i="17"/>
  <c r="L111" i="17"/>
  <c r="P111" i="17" s="1"/>
  <c r="I111" i="17"/>
  <c r="H111" i="17"/>
  <c r="F111" i="17"/>
  <c r="O110" i="17"/>
  <c r="N110" i="17"/>
  <c r="M110" i="17"/>
  <c r="L110" i="17"/>
  <c r="P110" i="17" s="1"/>
  <c r="I110" i="17"/>
  <c r="H110" i="17"/>
  <c r="F110" i="17"/>
  <c r="O109" i="17"/>
  <c r="N109" i="17"/>
  <c r="M109" i="17"/>
  <c r="L109" i="17"/>
  <c r="P109" i="17" s="1"/>
  <c r="P94" i="21" s="1"/>
  <c r="Q94" i="21" s="1"/>
  <c r="I109" i="17"/>
  <c r="H109" i="17"/>
  <c r="F109" i="17"/>
  <c r="O108" i="17"/>
  <c r="N108" i="17"/>
  <c r="M108" i="17"/>
  <c r="L108" i="17"/>
  <c r="P108" i="17" s="1"/>
  <c r="P93" i="21" s="1"/>
  <c r="Q93" i="21" s="1"/>
  <c r="I108" i="17"/>
  <c r="H108" i="17"/>
  <c r="F108" i="17"/>
  <c r="M107" i="17"/>
  <c r="L107" i="17"/>
  <c r="H107" i="17"/>
  <c r="F107" i="17"/>
  <c r="O106" i="17"/>
  <c r="N106" i="17"/>
  <c r="M106" i="17"/>
  <c r="L106" i="17"/>
  <c r="H106" i="17"/>
  <c r="F106" i="17"/>
  <c r="O105" i="17"/>
  <c r="N105" i="17"/>
  <c r="M105" i="17"/>
  <c r="L105" i="17"/>
  <c r="P105" i="17" s="1"/>
  <c r="P90" i="21" s="1"/>
  <c r="Q90" i="21" s="1"/>
  <c r="I105" i="17"/>
  <c r="H105" i="17"/>
  <c r="F105" i="17"/>
  <c r="O104" i="17"/>
  <c r="N104" i="17"/>
  <c r="M104" i="17"/>
  <c r="L104" i="17"/>
  <c r="P104" i="17" s="1"/>
  <c r="I104" i="17"/>
  <c r="H104" i="17"/>
  <c r="F104" i="17"/>
  <c r="O103" i="17"/>
  <c r="N103" i="17"/>
  <c r="M103" i="17"/>
  <c r="L103" i="17"/>
  <c r="P103" i="17" s="1"/>
  <c r="I103" i="17"/>
  <c r="H103" i="17"/>
  <c r="F103" i="17"/>
  <c r="O102" i="17"/>
  <c r="N102" i="17"/>
  <c r="M102" i="17"/>
  <c r="L102" i="17"/>
  <c r="H102" i="17"/>
  <c r="F102" i="17"/>
  <c r="O101" i="17"/>
  <c r="N101" i="17"/>
  <c r="M101" i="17"/>
  <c r="L101" i="17"/>
  <c r="P101" i="17" s="1"/>
  <c r="I101" i="17"/>
  <c r="H101" i="17"/>
  <c r="F101" i="17"/>
  <c r="O100" i="17"/>
  <c r="N100" i="17"/>
  <c r="M100" i="17"/>
  <c r="L100" i="17"/>
  <c r="P100" i="17" s="1"/>
  <c r="H100" i="17"/>
  <c r="F100" i="17"/>
  <c r="O99" i="17"/>
  <c r="N99" i="17"/>
  <c r="M99" i="17"/>
  <c r="L99" i="17"/>
  <c r="H99" i="17"/>
  <c r="F99" i="17"/>
  <c r="O98" i="17"/>
  <c r="N98" i="17"/>
  <c r="M98" i="17"/>
  <c r="L98" i="17"/>
  <c r="H98" i="17"/>
  <c r="F98" i="17"/>
  <c r="O97" i="17"/>
  <c r="N97" i="17"/>
  <c r="M97" i="17"/>
  <c r="L97" i="17"/>
  <c r="H97" i="17"/>
  <c r="F97" i="17"/>
  <c r="O96" i="17"/>
  <c r="N96" i="17"/>
  <c r="M96" i="17"/>
  <c r="L96" i="17"/>
  <c r="H96" i="17"/>
  <c r="F96" i="17"/>
  <c r="O95" i="17"/>
  <c r="N95" i="17"/>
  <c r="M95" i="17"/>
  <c r="L95" i="17"/>
  <c r="H95" i="17"/>
  <c r="F95" i="17"/>
  <c r="O94" i="17"/>
  <c r="N94" i="17"/>
  <c r="M94" i="17"/>
  <c r="L94" i="17"/>
  <c r="H94" i="17"/>
  <c r="F94" i="17"/>
  <c r="O93" i="17"/>
  <c r="N93" i="17"/>
  <c r="M93" i="17"/>
  <c r="L93" i="17"/>
  <c r="H93" i="17"/>
  <c r="F93" i="17"/>
  <c r="O92" i="17"/>
  <c r="N92" i="17"/>
  <c r="M92" i="17"/>
  <c r="L92" i="17"/>
  <c r="H92" i="17"/>
  <c r="F92" i="17"/>
  <c r="O91" i="17"/>
  <c r="N91" i="17"/>
  <c r="M91" i="17"/>
  <c r="L91" i="17"/>
  <c r="H91" i="17"/>
  <c r="F91" i="17"/>
  <c r="O90" i="17"/>
  <c r="N90" i="17"/>
  <c r="M90" i="17"/>
  <c r="L90" i="17"/>
  <c r="H90" i="17"/>
  <c r="F90" i="17"/>
  <c r="O89" i="17"/>
  <c r="N89" i="17"/>
  <c r="M89" i="17"/>
  <c r="L89" i="17"/>
  <c r="H89" i="17"/>
  <c r="F89" i="17"/>
  <c r="O88" i="17"/>
  <c r="N88" i="17"/>
  <c r="M88" i="17"/>
  <c r="L88" i="17"/>
  <c r="H88" i="17"/>
  <c r="F88" i="17"/>
  <c r="O87" i="17"/>
  <c r="N87" i="17"/>
  <c r="M87" i="17"/>
  <c r="L87" i="17"/>
  <c r="P87" i="17" s="1"/>
  <c r="I87" i="17"/>
  <c r="H87" i="17"/>
  <c r="F87" i="17"/>
  <c r="O86" i="17"/>
  <c r="N86" i="17"/>
  <c r="M86" i="17"/>
  <c r="L86" i="17"/>
  <c r="H86" i="17"/>
  <c r="F86" i="17"/>
  <c r="O85" i="17"/>
  <c r="N85" i="17"/>
  <c r="M85" i="17"/>
  <c r="L85" i="17"/>
  <c r="H85" i="17"/>
  <c r="F85" i="17"/>
  <c r="O84" i="17"/>
  <c r="N84" i="17"/>
  <c r="M84" i="17"/>
  <c r="L84" i="17"/>
  <c r="H84" i="17"/>
  <c r="F84" i="17"/>
  <c r="O83" i="17"/>
  <c r="N83" i="17"/>
  <c r="M83" i="17"/>
  <c r="L83" i="17"/>
  <c r="H83" i="17"/>
  <c r="F83" i="17"/>
  <c r="O82" i="17"/>
  <c r="N82" i="17"/>
  <c r="M82" i="17"/>
  <c r="L82" i="17"/>
  <c r="H82" i="17"/>
  <c r="F82" i="17"/>
  <c r="O81" i="17"/>
  <c r="N81" i="17"/>
  <c r="M81" i="17"/>
  <c r="L81" i="17"/>
  <c r="H81" i="17"/>
  <c r="F81" i="17"/>
  <c r="M80" i="17"/>
  <c r="L80" i="17"/>
  <c r="H80" i="17"/>
  <c r="F80" i="17"/>
  <c r="O79" i="17"/>
  <c r="N79" i="17"/>
  <c r="M79" i="17"/>
  <c r="L79" i="17"/>
  <c r="P79" i="17" s="1"/>
  <c r="I79" i="17"/>
  <c r="H79" i="17"/>
  <c r="F79" i="17"/>
  <c r="O78" i="17"/>
  <c r="N78" i="17"/>
  <c r="M78" i="17"/>
  <c r="L78" i="17"/>
  <c r="P78" i="17" s="1"/>
  <c r="P63" i="21" s="1"/>
  <c r="Q63" i="21" s="1"/>
  <c r="I78" i="17"/>
  <c r="H78" i="17"/>
  <c r="F78" i="17"/>
  <c r="O77" i="17"/>
  <c r="N77" i="17"/>
  <c r="M77" i="17"/>
  <c r="L77" i="17"/>
  <c r="H77" i="17"/>
  <c r="F77" i="17"/>
  <c r="O76" i="17"/>
  <c r="N76" i="17"/>
  <c r="M76" i="17"/>
  <c r="L76" i="17"/>
  <c r="P76" i="17" s="1"/>
  <c r="I76" i="17"/>
  <c r="H76" i="17"/>
  <c r="F76" i="17"/>
  <c r="O75" i="17"/>
  <c r="N75" i="17"/>
  <c r="M75" i="17"/>
  <c r="L75" i="17"/>
  <c r="P75" i="17" s="1"/>
  <c r="P60" i="21" s="1"/>
  <c r="Q60" i="21" s="1"/>
  <c r="I75" i="17"/>
  <c r="H75" i="17"/>
  <c r="F75" i="17"/>
  <c r="O74" i="17"/>
  <c r="N74" i="17"/>
  <c r="M74" i="17"/>
  <c r="L74" i="17"/>
  <c r="H74" i="17"/>
  <c r="F74" i="17"/>
  <c r="O73" i="17"/>
  <c r="N73" i="17"/>
  <c r="M73" i="17"/>
  <c r="L73" i="17"/>
  <c r="P73" i="17" s="1"/>
  <c r="P58" i="21" s="1"/>
  <c r="Q58" i="21" s="1"/>
  <c r="I73" i="17"/>
  <c r="H73" i="17"/>
  <c r="F73" i="17"/>
  <c r="O72" i="17"/>
  <c r="N72" i="17"/>
  <c r="M72" i="17"/>
  <c r="L72" i="17"/>
  <c r="H72" i="17"/>
  <c r="F72" i="17"/>
  <c r="O71" i="17"/>
  <c r="N71" i="17"/>
  <c r="M71" i="17"/>
  <c r="L71" i="17"/>
  <c r="H71" i="17"/>
  <c r="F71" i="17"/>
  <c r="O70" i="17"/>
  <c r="N70" i="17"/>
  <c r="M70" i="17"/>
  <c r="L70" i="17"/>
  <c r="H70" i="17"/>
  <c r="F70" i="17"/>
  <c r="M69" i="17"/>
  <c r="L69" i="17"/>
  <c r="H69" i="17"/>
  <c r="F69" i="17"/>
  <c r="O68" i="17"/>
  <c r="N68" i="17"/>
  <c r="M68" i="17"/>
  <c r="L68" i="17"/>
  <c r="P68" i="17" s="1"/>
  <c r="I68" i="17"/>
  <c r="H68" i="17"/>
  <c r="F68" i="17"/>
  <c r="O67" i="17"/>
  <c r="N67" i="17"/>
  <c r="M67" i="17"/>
  <c r="L67" i="17"/>
  <c r="P67" i="17" s="1"/>
  <c r="I67" i="17"/>
  <c r="H67" i="17"/>
  <c r="F67" i="17"/>
  <c r="O66" i="17"/>
  <c r="N66" i="17"/>
  <c r="M66" i="17"/>
  <c r="L66" i="17"/>
  <c r="H66" i="17"/>
  <c r="F66" i="17"/>
  <c r="O65" i="17"/>
  <c r="N65" i="17"/>
  <c r="M65" i="17"/>
  <c r="L65" i="17"/>
  <c r="H65" i="17"/>
  <c r="F65" i="17"/>
  <c r="O64" i="17"/>
  <c r="N64" i="17"/>
  <c r="M64" i="17"/>
  <c r="L64" i="17"/>
  <c r="H64" i="17"/>
  <c r="F64" i="17"/>
  <c r="M63" i="17"/>
  <c r="L63" i="17"/>
  <c r="H63" i="17"/>
  <c r="F63" i="17"/>
  <c r="O62" i="17"/>
  <c r="N62" i="17"/>
  <c r="M62" i="17"/>
  <c r="L62" i="17"/>
  <c r="P62" i="17" s="1"/>
  <c r="I62" i="17"/>
  <c r="H62" i="17"/>
  <c r="F62" i="17"/>
  <c r="O61" i="17"/>
  <c r="N61" i="17"/>
  <c r="M61" i="17"/>
  <c r="L61" i="17"/>
  <c r="P61" i="17" s="1"/>
  <c r="I61" i="17"/>
  <c r="H61" i="17"/>
  <c r="F61" i="17"/>
  <c r="O60" i="17"/>
  <c r="N60" i="17"/>
  <c r="M60" i="17"/>
  <c r="L60" i="17"/>
  <c r="P60" i="17" s="1"/>
  <c r="H60" i="17"/>
  <c r="F60" i="17"/>
  <c r="O59" i="17"/>
  <c r="N59" i="17"/>
  <c r="M59" i="17"/>
  <c r="L59" i="17"/>
  <c r="H59" i="17"/>
  <c r="F59" i="17"/>
  <c r="O58" i="17"/>
  <c r="N58" i="17"/>
  <c r="M58" i="17"/>
  <c r="L58" i="17"/>
  <c r="P58" i="17" s="1"/>
  <c r="I58" i="17"/>
  <c r="H58" i="17"/>
  <c r="F58" i="17"/>
  <c r="O57" i="17"/>
  <c r="N57" i="17"/>
  <c r="M57" i="17"/>
  <c r="L57" i="17"/>
  <c r="H57" i="17"/>
  <c r="F57" i="17"/>
  <c r="O56" i="17"/>
  <c r="N56" i="17"/>
  <c r="M56" i="17"/>
  <c r="L56" i="17"/>
  <c r="H56" i="17"/>
  <c r="F56" i="17"/>
  <c r="O55" i="17"/>
  <c r="N55" i="17"/>
  <c r="M55" i="17"/>
  <c r="L55" i="17"/>
  <c r="H55" i="17"/>
  <c r="F55" i="17"/>
  <c r="O54" i="17"/>
  <c r="N54" i="17"/>
  <c r="M54" i="17"/>
  <c r="L54" i="17"/>
  <c r="H54" i="17"/>
  <c r="F54" i="17"/>
  <c r="O53" i="17"/>
  <c r="N53" i="17"/>
  <c r="M53" i="17"/>
  <c r="L53" i="17"/>
  <c r="H53" i="17"/>
  <c r="F53" i="17"/>
  <c r="O52" i="17"/>
  <c r="N52" i="17"/>
  <c r="M52" i="17"/>
  <c r="L52" i="17"/>
  <c r="H52" i="17"/>
  <c r="F52" i="17"/>
  <c r="O51" i="17"/>
  <c r="N51" i="17"/>
  <c r="M51" i="17"/>
  <c r="L51" i="17"/>
  <c r="H51" i="17"/>
  <c r="F51" i="17"/>
  <c r="O50" i="17"/>
  <c r="N50" i="17"/>
  <c r="M50" i="17"/>
  <c r="L50" i="17"/>
  <c r="H50" i="17"/>
  <c r="F50" i="17"/>
  <c r="O49" i="17"/>
  <c r="N49" i="17"/>
  <c r="M49" i="17"/>
  <c r="L49" i="17"/>
  <c r="H49" i="17"/>
  <c r="F49" i="17"/>
  <c r="M48" i="17"/>
  <c r="L48" i="17"/>
  <c r="H48" i="17"/>
  <c r="F48" i="17"/>
  <c r="O47" i="17"/>
  <c r="N47" i="17"/>
  <c r="M47" i="17"/>
  <c r="L47" i="17"/>
  <c r="P47" i="17" s="1"/>
  <c r="I47" i="17"/>
  <c r="H47" i="17"/>
  <c r="F47" i="17"/>
  <c r="O46" i="17"/>
  <c r="N46" i="17"/>
  <c r="M46" i="17"/>
  <c r="L46" i="17"/>
  <c r="H46" i="17"/>
  <c r="F46" i="17"/>
  <c r="O45" i="17"/>
  <c r="N45" i="17"/>
  <c r="M45" i="17"/>
  <c r="L45" i="17"/>
  <c r="P45" i="17" s="1"/>
  <c r="I45" i="17"/>
  <c r="H45" i="17"/>
  <c r="F45" i="17"/>
  <c r="O44" i="17"/>
  <c r="N44" i="17"/>
  <c r="M44" i="17"/>
  <c r="L44" i="17"/>
  <c r="P44" i="17" s="1"/>
  <c r="I44" i="17"/>
  <c r="H44" i="17"/>
  <c r="F44" i="17"/>
  <c r="O43" i="17"/>
  <c r="N43" i="17"/>
  <c r="M43" i="17"/>
  <c r="L43" i="17"/>
  <c r="P43" i="17" s="1"/>
  <c r="I43" i="17"/>
  <c r="H43" i="17"/>
  <c r="F43" i="17"/>
  <c r="O42" i="17"/>
  <c r="N42" i="17"/>
  <c r="M42" i="17"/>
  <c r="L42" i="17"/>
  <c r="P42" i="17" s="1"/>
  <c r="I42" i="17"/>
  <c r="H42" i="17"/>
  <c r="F42" i="17"/>
  <c r="O41" i="17"/>
  <c r="N41" i="17"/>
  <c r="M41" i="17"/>
  <c r="L41" i="17"/>
  <c r="P41" i="17" s="1"/>
  <c r="I41" i="17"/>
  <c r="H41" i="17"/>
  <c r="F41" i="17"/>
  <c r="O40" i="17"/>
  <c r="N40" i="17"/>
  <c r="M40" i="17"/>
  <c r="L40" i="17"/>
  <c r="H40" i="17"/>
  <c r="F40" i="17"/>
  <c r="O39" i="17"/>
  <c r="N39" i="17"/>
  <c r="M39" i="17"/>
  <c r="L39" i="17"/>
  <c r="H39" i="17"/>
  <c r="F39" i="17"/>
  <c r="O38" i="17"/>
  <c r="N38" i="17"/>
  <c r="M38" i="17"/>
  <c r="L38" i="17"/>
  <c r="H38" i="17"/>
  <c r="F38" i="17"/>
  <c r="O37" i="17"/>
  <c r="N37" i="17"/>
  <c r="M37" i="17"/>
  <c r="L37" i="17"/>
  <c r="P37" i="17" s="1"/>
  <c r="I37" i="17"/>
  <c r="H37" i="17"/>
  <c r="F37" i="17"/>
  <c r="O36" i="17"/>
  <c r="N36" i="17"/>
  <c r="M36" i="17"/>
  <c r="L36" i="17"/>
  <c r="P36" i="17" s="1"/>
  <c r="I36" i="17"/>
  <c r="H36" i="17"/>
  <c r="F36" i="17"/>
  <c r="O35" i="17"/>
  <c r="N35" i="17"/>
  <c r="M35" i="17"/>
  <c r="L35" i="17"/>
  <c r="P35" i="17" s="1"/>
  <c r="P150" i="17" s="1"/>
  <c r="I35" i="17"/>
  <c r="H35" i="17"/>
  <c r="F35" i="17"/>
  <c r="M34" i="17"/>
  <c r="L34" i="17"/>
  <c r="O33" i="17"/>
  <c r="N33" i="17"/>
  <c r="M33" i="17"/>
  <c r="L33" i="17"/>
  <c r="N95" i="12"/>
  <c r="N119" i="12"/>
  <c r="N190" i="12"/>
  <c r="N194" i="12"/>
  <c r="N193" i="12"/>
  <c r="N191" i="12"/>
  <c r="N192" i="12"/>
  <c r="N146" i="12"/>
  <c r="N133" i="12"/>
  <c r="N65" i="12"/>
  <c r="N68" i="12"/>
  <c r="N58" i="12"/>
  <c r="N28" i="12"/>
  <c r="N136" i="12"/>
  <c r="N99" i="12"/>
  <c r="N55" i="12"/>
  <c r="N137" i="12"/>
  <c r="N156" i="12"/>
  <c r="N124" i="12"/>
  <c r="N86" i="12"/>
  <c r="N138" i="12"/>
  <c r="N147" i="12"/>
  <c r="N131" i="12"/>
  <c r="N93" i="12"/>
  <c r="N49" i="12"/>
  <c r="N152" i="12"/>
  <c r="N120" i="12"/>
  <c r="N82" i="12"/>
  <c r="N37" i="12"/>
  <c r="N130" i="12"/>
  <c r="N92" i="12"/>
  <c r="N132" i="12"/>
  <c r="N94" i="12"/>
  <c r="N50" i="12"/>
  <c r="N128" i="12"/>
  <c r="N90" i="12"/>
  <c r="N46" i="12"/>
  <c r="N125" i="12"/>
  <c r="N87" i="12"/>
  <c r="N43" i="12"/>
  <c r="N165" i="12"/>
  <c r="N154" i="12"/>
  <c r="N122" i="12"/>
  <c r="N84" i="12"/>
  <c r="N187" i="12"/>
  <c r="N183" i="12"/>
  <c r="N180" i="12"/>
  <c r="N171" i="12"/>
  <c r="N169" i="12"/>
  <c r="N161" i="12"/>
  <c r="N159" i="12"/>
  <c r="N141" i="12"/>
  <c r="N113" i="12"/>
  <c r="N76" i="12"/>
  <c r="N153" i="12"/>
  <c r="N121" i="12"/>
  <c r="N83" i="12"/>
  <c r="N38" i="12"/>
  <c r="N155" i="12"/>
  <c r="N123" i="12"/>
  <c r="N85" i="12"/>
  <c r="N126" i="12"/>
  <c r="N88" i="12"/>
  <c r="N150" i="12"/>
  <c r="N110" i="12"/>
  <c r="N81" i="12"/>
  <c r="N63" i="12"/>
  <c r="N149" i="12"/>
  <c r="N129" i="12"/>
  <c r="N91" i="12"/>
  <c r="N96" i="12"/>
  <c r="N177" i="12"/>
  <c r="N117" i="12"/>
  <c r="N109" i="12"/>
  <c r="N80" i="12"/>
  <c r="N174" i="12"/>
  <c r="N164" i="12"/>
  <c r="N144" i="12"/>
  <c r="N116" i="12"/>
  <c r="N79" i="12"/>
  <c r="N127" i="12"/>
  <c r="N89" i="12"/>
  <c r="N186" i="12"/>
  <c r="N182" i="12"/>
  <c r="N181" i="12"/>
  <c r="N170" i="12"/>
  <c r="N168" i="12"/>
  <c r="N160" i="12"/>
  <c r="N158" i="12"/>
  <c r="N140" i="12"/>
  <c r="N112" i="12"/>
  <c r="N75" i="12"/>
  <c r="N185" i="12"/>
  <c r="N148" i="12"/>
  <c r="N145" i="12"/>
  <c r="N197" i="12"/>
  <c r="N195" i="12"/>
  <c r="N179" i="12"/>
  <c r="N166" i="12"/>
  <c r="N139" i="12"/>
  <c r="N100" i="12"/>
  <c r="N72" i="12"/>
  <c r="N66" i="12"/>
  <c r="N64" i="12"/>
  <c r="N62" i="12"/>
  <c r="N61" i="12"/>
  <c r="N60" i="12"/>
  <c r="N59" i="12"/>
  <c r="N57" i="12"/>
  <c r="N56" i="12"/>
  <c r="N52" i="12"/>
  <c r="N51" i="12"/>
  <c r="N48" i="12"/>
  <c r="N47" i="12"/>
  <c r="N45" i="12"/>
  <c r="N44" i="12"/>
  <c r="N41" i="12"/>
  <c r="N40" i="12"/>
  <c r="N36" i="12"/>
  <c r="N189" i="12"/>
  <c r="N173" i="12"/>
  <c r="N163" i="12"/>
  <c r="N143" i="12"/>
  <c r="N115" i="12"/>
  <c r="N78" i="12"/>
  <c r="N71" i="12"/>
  <c r="N35" i="12"/>
  <c r="N188" i="12"/>
  <c r="N184" i="12"/>
  <c r="N172" i="12"/>
  <c r="N162" i="12"/>
  <c r="N142" i="12"/>
  <c r="N114" i="12"/>
  <c r="N77" i="12"/>
  <c r="N70" i="12"/>
  <c r="N108" i="12"/>
  <c r="N34" i="12"/>
  <c r="N33" i="12"/>
  <c r="N32" i="12"/>
  <c r="N30" i="12"/>
  <c r="N29" i="12"/>
  <c r="P135" i="21" l="1"/>
  <c r="Q150" i="17"/>
  <c r="Q135" i="21" s="1"/>
  <c r="F207" i="21"/>
  <c r="F208" i="21" s="1"/>
  <c r="F206" i="21"/>
  <c r="H205" i="21"/>
  <c r="H207" i="21"/>
  <c r="H208" i="21" s="1"/>
  <c r="P46" i="21"/>
  <c r="Q46" i="21" s="1"/>
  <c r="P86" i="21"/>
  <c r="Q86" i="21" s="1"/>
  <c r="P72" i="21"/>
  <c r="Q72" i="21" s="1"/>
  <c r="P47" i="21"/>
  <c r="Q47" i="21" s="1"/>
  <c r="P171" i="21"/>
  <c r="Q171" i="21" s="1"/>
  <c r="P297" i="21"/>
  <c r="Q297" i="21" s="1"/>
  <c r="Q327" i="17"/>
  <c r="Q362" i="17"/>
  <c r="P359" i="21"/>
  <c r="Q359" i="21" s="1"/>
  <c r="Q403" i="17"/>
  <c r="Q502" i="17"/>
  <c r="P456" i="21"/>
  <c r="Q456" i="21" s="1"/>
  <c r="Q217" i="17"/>
  <c r="Q422" i="17"/>
  <c r="Q435" i="17"/>
  <c r="P389" i="21"/>
  <c r="Q389" i="21" s="1"/>
  <c r="Q481" i="17"/>
  <c r="P435" i="21"/>
  <c r="Q435" i="21" s="1"/>
  <c r="Q320" i="17"/>
  <c r="P290" i="21"/>
  <c r="Q290" i="21" s="1"/>
  <c r="Q329" i="17"/>
  <c r="P299" i="21"/>
  <c r="Q299" i="21" s="1"/>
  <c r="Q394" i="17"/>
  <c r="P350" i="21"/>
  <c r="Q350" i="21" s="1"/>
  <c r="P285" i="21"/>
  <c r="Q285" i="21" s="1"/>
  <c r="Q315" i="17"/>
  <c r="P318" i="21"/>
  <c r="Q318" i="21" s="1"/>
  <c r="Q348" i="17"/>
  <c r="Q437" i="17"/>
  <c r="P391" i="21"/>
  <c r="Q391" i="21" s="1"/>
  <c r="P446" i="21"/>
  <c r="Q446" i="21" s="1"/>
  <c r="Q492" i="17"/>
  <c r="Q499" i="17"/>
  <c r="P453" i="21"/>
  <c r="Q453" i="21" s="1"/>
  <c r="P224" i="21"/>
  <c r="Q224" i="21" s="1"/>
  <c r="Q246" i="17"/>
  <c r="P250" i="21"/>
  <c r="Q250" i="21" s="1"/>
  <c r="Q272" i="17"/>
  <c r="Q357" i="17"/>
  <c r="P327" i="21"/>
  <c r="Q327" i="21" s="1"/>
  <c r="Q439" i="17"/>
  <c r="P393" i="21"/>
  <c r="Q393" i="21" s="1"/>
  <c r="Q551" i="17"/>
  <c r="P219" i="21"/>
  <c r="Q219" i="21" s="1"/>
  <c r="Q241" i="17"/>
  <c r="P296" i="21"/>
  <c r="Q296" i="21" s="1"/>
  <c r="Q326" i="17"/>
  <c r="Q343" i="17"/>
  <c r="P313" i="21"/>
  <c r="Q313" i="21" s="1"/>
  <c r="P375" i="21"/>
  <c r="Q375" i="21" s="1"/>
  <c r="Q419" i="17"/>
  <c r="Q447" i="17"/>
  <c r="P401" i="21"/>
  <c r="Q401" i="21" s="1"/>
  <c r="P88" i="21"/>
  <c r="Q88" i="21" s="1"/>
  <c r="Q449" i="17"/>
  <c r="P403" i="21"/>
  <c r="Q403" i="21" s="1"/>
  <c r="P426" i="21"/>
  <c r="Q426" i="21" s="1"/>
  <c r="Q472" i="17"/>
  <c r="P443" i="21"/>
  <c r="Q443" i="21" s="1"/>
  <c r="Q489" i="17"/>
  <c r="P217" i="21"/>
  <c r="Q217" i="21" s="1"/>
  <c r="Q239" i="17"/>
  <c r="P289" i="21"/>
  <c r="Q289" i="21" s="1"/>
  <c r="Q319" i="17"/>
  <c r="P304" i="21"/>
  <c r="Q304" i="21" s="1"/>
  <c r="Q334" i="17"/>
  <c r="Q372" i="17"/>
  <c r="Q410" i="17"/>
  <c r="P366" i="21"/>
  <c r="Q366" i="21" s="1"/>
  <c r="Q496" i="17"/>
  <c r="P450" i="21"/>
  <c r="Q450" i="21" s="1"/>
  <c r="F569" i="17"/>
  <c r="F568" i="17"/>
  <c r="F567" i="17"/>
  <c r="P240" i="21"/>
  <c r="Q240" i="21" s="1"/>
  <c r="Q262" i="17"/>
  <c r="Q336" i="17"/>
  <c r="P306" i="21"/>
  <c r="Q306" i="21" s="1"/>
  <c r="Q365" i="17"/>
  <c r="P334" i="21"/>
  <c r="Q334" i="21" s="1"/>
  <c r="P368" i="21"/>
  <c r="Q368" i="21" s="1"/>
  <c r="Q412" i="17"/>
  <c r="H567" i="17"/>
  <c r="H568" i="17"/>
  <c r="H569" i="17"/>
  <c r="P61" i="21"/>
  <c r="Q61" i="21" s="1"/>
  <c r="Q128" i="17"/>
  <c r="P159" i="21"/>
  <c r="Q159" i="21" s="1"/>
  <c r="P242" i="21"/>
  <c r="Q242" i="21" s="1"/>
  <c r="Q264" i="17"/>
  <c r="P291" i="21"/>
  <c r="Q291" i="21" s="1"/>
  <c r="Q321" i="17"/>
  <c r="Q539" i="17"/>
  <c r="P466" i="21"/>
  <c r="Q466" i="21" s="1"/>
  <c r="Q562" i="17"/>
  <c r="P198" i="21"/>
  <c r="Q198" i="21" s="1"/>
  <c r="Q220" i="17"/>
  <c r="Q276" i="17"/>
  <c r="P294" i="21"/>
  <c r="Q294" i="21" s="1"/>
  <c r="Q324" i="17"/>
  <c r="Q543" i="17"/>
  <c r="P247" i="21"/>
  <c r="Q247" i="21" s="1"/>
  <c r="Q269" i="17"/>
  <c r="P298" i="21"/>
  <c r="Q298" i="21" s="1"/>
  <c r="Q328" i="17"/>
  <c r="Q323" i="17"/>
  <c r="P293" i="21"/>
  <c r="Q293" i="21" s="1"/>
  <c r="P295" i="21"/>
  <c r="Q295" i="21" s="1"/>
  <c r="Q325" i="17"/>
  <c r="P231" i="21"/>
  <c r="Q231" i="21" s="1"/>
  <c r="Q253" i="17"/>
  <c r="Q208" i="17"/>
  <c r="P192" i="21"/>
  <c r="Q192" i="21" s="1"/>
  <c r="P248" i="21"/>
  <c r="Q248" i="21" s="1"/>
  <c r="Q270" i="17"/>
  <c r="P316" i="21"/>
  <c r="Q316" i="21" s="1"/>
  <c r="Q346" i="17"/>
  <c r="F7" i="20"/>
  <c r="J344" i="17"/>
  <c r="J42" i="17"/>
  <c r="J67" i="17"/>
  <c r="J126" i="17"/>
  <c r="P111" i="21"/>
  <c r="Q111" i="21" s="1"/>
  <c r="J177" i="17"/>
  <c r="J251" i="17"/>
  <c r="J271" i="17"/>
  <c r="J317" i="17"/>
  <c r="J360" i="17"/>
  <c r="J362" i="17"/>
  <c r="J371" i="17"/>
  <c r="J376" i="17"/>
  <c r="J412" i="17"/>
  <c r="J443" i="17"/>
  <c r="J454" i="17"/>
  <c r="J516" i="17"/>
  <c r="Q188" i="17"/>
  <c r="J395" i="17"/>
  <c r="J337" i="17"/>
  <c r="J500" i="17"/>
  <c r="J35" i="17"/>
  <c r="J172" i="17"/>
  <c r="Q172" i="17"/>
  <c r="J179" i="17"/>
  <c r="J181" i="17"/>
  <c r="J266" i="17"/>
  <c r="J275" i="17"/>
  <c r="J348" i="17"/>
  <c r="J414" i="17"/>
  <c r="J425" i="17"/>
  <c r="J449" i="17"/>
  <c r="J481" i="17"/>
  <c r="J518" i="17"/>
  <c r="J304" i="17"/>
  <c r="Q304" i="17"/>
  <c r="J527" i="17"/>
  <c r="J447" i="17"/>
  <c r="Q75" i="17"/>
  <c r="J104" i="17"/>
  <c r="P89" i="21"/>
  <c r="Q89" i="21" s="1"/>
  <c r="J123" i="17"/>
  <c r="Q123" i="17"/>
  <c r="J216" i="17"/>
  <c r="J357" i="17"/>
  <c r="J366" i="17"/>
  <c r="J373" i="17"/>
  <c r="J403" i="17"/>
  <c r="J416" i="17"/>
  <c r="J495" i="17"/>
  <c r="J502" i="17"/>
  <c r="J513" i="17"/>
  <c r="J524" i="17"/>
  <c r="J531" i="17"/>
  <c r="Q531" i="17"/>
  <c r="J533" i="17"/>
  <c r="J546" i="17"/>
  <c r="B10" i="20"/>
  <c r="B11" i="20" s="1"/>
  <c r="Q109" i="17"/>
  <c r="J491" i="17"/>
  <c r="Q170" i="17"/>
  <c r="J401" i="17"/>
  <c r="J37" i="17"/>
  <c r="J58" i="17"/>
  <c r="J106" i="17"/>
  <c r="Q108" i="17"/>
  <c r="J187" i="17"/>
  <c r="P172" i="21"/>
  <c r="Q172" i="21" s="1"/>
  <c r="J255" i="17"/>
  <c r="J341" i="17"/>
  <c r="J350" i="17"/>
  <c r="J451" i="17"/>
  <c r="J483" i="17"/>
  <c r="J490" i="17"/>
  <c r="J526" i="17"/>
  <c r="J550" i="17"/>
  <c r="J421" i="17"/>
  <c r="J111" i="17"/>
  <c r="J355" i="17"/>
  <c r="J378" i="17"/>
  <c r="J529" i="17"/>
  <c r="J87" i="17"/>
  <c r="J163" i="17"/>
  <c r="J239" i="17"/>
  <c r="J246" i="17"/>
  <c r="J257" i="17"/>
  <c r="J316" i="17"/>
  <c r="J352" i="17"/>
  <c r="J359" i="17"/>
  <c r="J368" i="17"/>
  <c r="J375" i="17"/>
  <c r="J405" i="17"/>
  <c r="J453" i="17"/>
  <c r="J515" i="17"/>
  <c r="J541" i="17"/>
  <c r="J73" i="17"/>
  <c r="J486" i="17"/>
  <c r="J110" i="17"/>
  <c r="J211" i="17"/>
  <c r="J241" i="17"/>
  <c r="J336" i="17"/>
  <c r="J345" i="17"/>
  <c r="J354" i="17"/>
  <c r="J398" i="17"/>
  <c r="J422" i="17"/>
  <c r="J440" i="17"/>
  <c r="J459" i="17"/>
  <c r="J485" i="17"/>
  <c r="J492" i="17"/>
  <c r="J528" i="17"/>
  <c r="F8" i="20"/>
  <c r="J242" i="17"/>
  <c r="J436" i="17"/>
  <c r="J68" i="17"/>
  <c r="J165" i="17"/>
  <c r="J178" i="17"/>
  <c r="J265" i="17"/>
  <c r="J272" i="17"/>
  <c r="J274" i="17"/>
  <c r="J413" i="17"/>
  <c r="J424" i="17"/>
  <c r="J517" i="17"/>
  <c r="J567" i="17"/>
  <c r="J364" i="17"/>
  <c r="J493" i="17"/>
  <c r="J79" i="17"/>
  <c r="J43" i="17"/>
  <c r="J215" i="17"/>
  <c r="J338" i="17"/>
  <c r="J356" i="17"/>
  <c r="J402" i="17"/>
  <c r="J476" i="17"/>
  <c r="J487" i="17"/>
  <c r="J494" i="17"/>
  <c r="J501" i="17"/>
  <c r="J512" i="17"/>
  <c r="J530" i="17"/>
  <c r="J545" i="17"/>
  <c r="F6" i="20"/>
  <c r="J410" i="17"/>
  <c r="J498" i="17"/>
  <c r="J214" i="17"/>
  <c r="J399" i="17"/>
  <c r="J41" i="17"/>
  <c r="Q105" i="17"/>
  <c r="J173" i="17"/>
  <c r="J254" i="17"/>
  <c r="J340" i="17"/>
  <c r="J349" i="17"/>
  <c r="J450" i="17"/>
  <c r="J482" i="17"/>
  <c r="J519" i="17"/>
  <c r="J249" i="17"/>
  <c r="J484" i="17"/>
  <c r="J130" i="17"/>
  <c r="J47" i="17"/>
  <c r="J78" i="17"/>
  <c r="J124" i="17"/>
  <c r="J142" i="17"/>
  <c r="J217" i="17"/>
  <c r="J245" i="17"/>
  <c r="J296" i="17"/>
  <c r="J358" i="17"/>
  <c r="J367" i="17"/>
  <c r="J374" i="17"/>
  <c r="J404" i="17"/>
  <c r="J417" i="17"/>
  <c r="J514" i="17"/>
  <c r="J534" i="17"/>
  <c r="J547" i="17"/>
  <c r="J569" i="17"/>
  <c r="J570" i="17" s="1"/>
  <c r="P532" i="17"/>
  <c r="P520" i="17"/>
  <c r="P477" i="17"/>
  <c r="F385" i="17"/>
  <c r="F386" i="17" s="1"/>
  <c r="J113" i="17"/>
  <c r="J238" i="17"/>
  <c r="J176" i="17"/>
  <c r="J300" i="17"/>
  <c r="J252" i="17"/>
  <c r="J103" i="17"/>
  <c r="Q187" i="17"/>
  <c r="J276" i="17"/>
  <c r="J208" i="17"/>
  <c r="J243" i="17"/>
  <c r="J62" i="17"/>
  <c r="J188" i="17"/>
  <c r="J253" i="17"/>
  <c r="Q87" i="17"/>
  <c r="J270" i="17"/>
  <c r="H385" i="17"/>
  <c r="H387" i="17" s="1"/>
  <c r="H426" i="17"/>
  <c r="H428" i="17" s="1"/>
  <c r="F463" i="17"/>
  <c r="F464" i="17" s="1"/>
  <c r="H553" i="17"/>
  <c r="H556" i="17" s="1"/>
  <c r="H557" i="17" s="1"/>
  <c r="J237" i="17"/>
  <c r="J262" i="17"/>
  <c r="H463" i="17"/>
  <c r="H465" i="17" s="1"/>
  <c r="Q44" i="17"/>
  <c r="Q62" i="17"/>
  <c r="J115" i="17"/>
  <c r="H151" i="17"/>
  <c r="H154" i="17" s="1"/>
  <c r="H155" i="17" s="1"/>
  <c r="Q174" i="17"/>
  <c r="J318" i="17"/>
  <c r="F503" i="17"/>
  <c r="F506" i="17" s="1"/>
  <c r="F507" i="17" s="1"/>
  <c r="Q101" i="17"/>
  <c r="Q126" i="17"/>
  <c r="H503" i="17"/>
  <c r="F226" i="17"/>
  <c r="F229" i="17" s="1"/>
  <c r="F230" i="17" s="1"/>
  <c r="Q186" i="17"/>
  <c r="J186" i="17"/>
  <c r="F132" i="17"/>
  <c r="Q61" i="17"/>
  <c r="J76" i="17"/>
  <c r="Q103" i="17"/>
  <c r="F306" i="17"/>
  <c r="F309" i="17" s="1"/>
  <c r="F310" i="17" s="1"/>
  <c r="Q76" i="17"/>
  <c r="H132" i="17"/>
  <c r="F151" i="17"/>
  <c r="F153" i="17" s="1"/>
  <c r="Q37" i="17"/>
  <c r="Q43" i="17"/>
  <c r="Q73" i="17"/>
  <c r="Q104" i="17"/>
  <c r="J125" i="17"/>
  <c r="Q130" i="17"/>
  <c r="J147" i="17"/>
  <c r="J329" i="17"/>
  <c r="J324" i="17"/>
  <c r="J334" i="17"/>
  <c r="Q78" i="17"/>
  <c r="J45" i="17"/>
  <c r="J61" i="17"/>
  <c r="J75" i="17"/>
  <c r="J101" i="17"/>
  <c r="J109" i="17"/>
  <c r="J121" i="17"/>
  <c r="J210" i="17"/>
  <c r="J213" i="17"/>
  <c r="J269" i="17"/>
  <c r="J326" i="17"/>
  <c r="H306" i="17"/>
  <c r="J346" i="17"/>
  <c r="J44" i="17"/>
  <c r="J105" i="17"/>
  <c r="J108" i="17"/>
  <c r="J162" i="17"/>
  <c r="Q164" i="17"/>
  <c r="J170" i="17"/>
  <c r="J182" i="17"/>
  <c r="J220" i="17"/>
  <c r="J264" i="17"/>
  <c r="J328" i="17"/>
  <c r="Q41" i="17"/>
  <c r="J174" i="17"/>
  <c r="J244" i="17"/>
  <c r="J268" i="17"/>
  <c r="J280" i="17"/>
  <c r="J323" i="17"/>
  <c r="F426" i="17"/>
  <c r="J343" i="17"/>
  <c r="J325" i="17"/>
  <c r="J36" i="17"/>
  <c r="Q113" i="17"/>
  <c r="H226" i="17"/>
  <c r="J327" i="17"/>
  <c r="J543" i="17"/>
  <c r="F553" i="17"/>
  <c r="J539" i="17"/>
  <c r="J544" i="17"/>
  <c r="C17" i="17" l="1"/>
  <c r="P479" i="21"/>
  <c r="C18" i="17"/>
  <c r="P480" i="21"/>
  <c r="C19" i="17"/>
  <c r="P481" i="21"/>
  <c r="C18" i="21" s="1"/>
  <c r="H209" i="21"/>
  <c r="H276" i="21" s="1"/>
  <c r="H277" i="21" s="1"/>
  <c r="F209" i="21"/>
  <c r="F276" i="21" s="1"/>
  <c r="F279" i="21" s="1"/>
  <c r="F280" i="21" s="1"/>
  <c r="H570" i="17"/>
  <c r="F570" i="17"/>
  <c r="J571" i="17"/>
  <c r="F154" i="17"/>
  <c r="F155" i="17" s="1"/>
  <c r="F387" i="17"/>
  <c r="F388" i="17"/>
  <c r="F389" i="17" s="1"/>
  <c r="H429" i="17"/>
  <c r="H430" i="17" s="1"/>
  <c r="Q340" i="17"/>
  <c r="P310" i="21"/>
  <c r="Q310" i="21" s="1"/>
  <c r="Q512" i="17"/>
  <c r="P326" i="21"/>
  <c r="Q326" i="21" s="1"/>
  <c r="Q356" i="17"/>
  <c r="P333" i="21"/>
  <c r="Q333" i="21" s="1"/>
  <c r="Q364" i="17"/>
  <c r="P220" i="21"/>
  <c r="Q220" i="21" s="1"/>
  <c r="Q242" i="17"/>
  <c r="Q110" i="17"/>
  <c r="P95" i="21"/>
  <c r="Q95" i="21" s="1"/>
  <c r="P361" i="21"/>
  <c r="Q361" i="21" s="1"/>
  <c r="Q405" i="17"/>
  <c r="Q257" i="17"/>
  <c r="P235" i="21"/>
  <c r="Q235" i="21" s="1"/>
  <c r="Q378" i="17"/>
  <c r="P444" i="21"/>
  <c r="Q444" i="21" s="1"/>
  <c r="Q490" i="17"/>
  <c r="P445" i="21"/>
  <c r="Q445" i="21" s="1"/>
  <c r="Q491" i="17"/>
  <c r="Q513" i="17"/>
  <c r="Q42" i="17"/>
  <c r="P379" i="21"/>
  <c r="Q379" i="21" s="1"/>
  <c r="Q425" i="17"/>
  <c r="Q484" i="17"/>
  <c r="P438" i="21"/>
  <c r="Q438" i="21" s="1"/>
  <c r="P354" i="21"/>
  <c r="Q354" i="21" s="1"/>
  <c r="Q398" i="17"/>
  <c r="P232" i="21"/>
  <c r="Q232" i="21" s="1"/>
  <c r="Q254" i="17"/>
  <c r="Q214" i="17"/>
  <c r="P195" i="21"/>
  <c r="Q195" i="21" s="1"/>
  <c r="Q501" i="17"/>
  <c r="P455" i="21"/>
  <c r="Q455" i="21" s="1"/>
  <c r="P308" i="21"/>
  <c r="Q308" i="21" s="1"/>
  <c r="Q338" i="17"/>
  <c r="P440" i="21"/>
  <c r="Q440" i="21" s="1"/>
  <c r="Q486" i="17"/>
  <c r="Q375" i="17"/>
  <c r="P325" i="21"/>
  <c r="Q325" i="21" s="1"/>
  <c r="Q355" i="17"/>
  <c r="P270" i="21"/>
  <c r="Q270" i="21" s="1"/>
  <c r="Q300" i="17"/>
  <c r="Q35" i="17"/>
  <c r="P314" i="21"/>
  <c r="Q314" i="21" s="1"/>
  <c r="Q344" i="17"/>
  <c r="P360" i="21"/>
  <c r="Q360" i="21" s="1"/>
  <c r="Q404" i="17"/>
  <c r="Q563" i="17"/>
  <c r="P467" i="21"/>
  <c r="Q467" i="21" s="1"/>
  <c r="Q374" i="17"/>
  <c r="Q517" i="17"/>
  <c r="P468" i="21"/>
  <c r="Q468" i="21" s="1"/>
  <c r="Q564" i="17"/>
  <c r="P324" i="21"/>
  <c r="Q324" i="21" s="1"/>
  <c r="Q354" i="17"/>
  <c r="P449" i="21"/>
  <c r="Q449" i="21" s="1"/>
  <c r="Q495" i="17"/>
  <c r="P215" i="21"/>
  <c r="Q215" i="21" s="1"/>
  <c r="Q237" i="17"/>
  <c r="Q443" i="17"/>
  <c r="P397" i="21"/>
  <c r="Q397" i="21" s="1"/>
  <c r="Q360" i="17"/>
  <c r="P330" i="21"/>
  <c r="Q330" i="21" s="1"/>
  <c r="Q162" i="17"/>
  <c r="P147" i="21"/>
  <c r="Q147" i="21" s="1"/>
  <c r="Q182" i="17"/>
  <c r="P167" i="21"/>
  <c r="Q167" i="21" s="1"/>
  <c r="P452" i="21"/>
  <c r="Q452" i="21" s="1"/>
  <c r="Q498" i="17"/>
  <c r="P448" i="21"/>
  <c r="Q448" i="21" s="1"/>
  <c r="Q494" i="17"/>
  <c r="Q243" i="17"/>
  <c r="P221" i="21"/>
  <c r="Q221" i="21" s="1"/>
  <c r="Q178" i="17"/>
  <c r="P163" i="21"/>
  <c r="Q163" i="21" s="1"/>
  <c r="Q368" i="17"/>
  <c r="Q176" i="17"/>
  <c r="P161" i="21"/>
  <c r="Q161" i="21" s="1"/>
  <c r="Q111" i="17"/>
  <c r="P96" i="21"/>
  <c r="Q96" i="21" s="1"/>
  <c r="Q58" i="17"/>
  <c r="P43" i="21"/>
  <c r="Q43" i="21" s="1"/>
  <c r="Q216" i="17"/>
  <c r="P454" i="21"/>
  <c r="Q454" i="21" s="1"/>
  <c r="Q500" i="17"/>
  <c r="P246" i="21"/>
  <c r="Q246" i="21" s="1"/>
  <c r="Q268" i="17"/>
  <c r="Q519" i="17"/>
  <c r="Q173" i="17"/>
  <c r="P158" i="21"/>
  <c r="Q158" i="21" s="1"/>
  <c r="Q215" i="17"/>
  <c r="Q424" i="17"/>
  <c r="P378" i="21"/>
  <c r="Q378" i="21" s="1"/>
  <c r="P315" i="21"/>
  <c r="Q315" i="21" s="1"/>
  <c r="Q345" i="17"/>
  <c r="Q163" i="17"/>
  <c r="P148" i="21"/>
  <c r="Q148" i="21" s="1"/>
  <c r="Q546" i="17"/>
  <c r="P372" i="21"/>
  <c r="Q372" i="21" s="1"/>
  <c r="Q416" i="17"/>
  <c r="Q516" i="17"/>
  <c r="Q487" i="17"/>
  <c r="P441" i="21"/>
  <c r="Q441" i="21" s="1"/>
  <c r="Q165" i="17"/>
  <c r="P150" i="21"/>
  <c r="Q150" i="21" s="1"/>
  <c r="Q541" i="17"/>
  <c r="Q359" i="17"/>
  <c r="P329" i="21"/>
  <c r="Q329" i="21" s="1"/>
  <c r="Q421" i="17"/>
  <c r="P320" i="21"/>
  <c r="Q320" i="21" s="1"/>
  <c r="Q350" i="17"/>
  <c r="P244" i="21"/>
  <c r="Q244" i="21" s="1"/>
  <c r="Q266" i="17"/>
  <c r="Q376" i="17"/>
  <c r="Q177" i="17"/>
  <c r="P162" i="21"/>
  <c r="Q162" i="21" s="1"/>
  <c r="P373" i="21"/>
  <c r="Q373" i="21" s="1"/>
  <c r="Q417" i="17"/>
  <c r="P287" i="21"/>
  <c r="Q287" i="21" s="1"/>
  <c r="Q317" i="17"/>
  <c r="Q367" i="17"/>
  <c r="Q534" i="17"/>
  <c r="P328" i="21"/>
  <c r="Q328" i="21" s="1"/>
  <c r="Q358" i="17"/>
  <c r="Q124" i="17"/>
  <c r="P109" i="21"/>
  <c r="Q109" i="21" s="1"/>
  <c r="Q533" i="17"/>
  <c r="P223" i="21"/>
  <c r="Q223" i="21" s="1"/>
  <c r="Q245" i="17"/>
  <c r="Q45" i="17"/>
  <c r="Q545" i="17"/>
  <c r="P430" i="21"/>
  <c r="Q430" i="21" s="1"/>
  <c r="Q476" i="17"/>
  <c r="Q79" i="17"/>
  <c r="P64" i="21"/>
  <c r="Q64" i="21" s="1"/>
  <c r="Q68" i="17"/>
  <c r="P53" i="21"/>
  <c r="Q53" i="21" s="1"/>
  <c r="Q515" i="17"/>
  <c r="P322" i="21"/>
  <c r="Q322" i="21" s="1"/>
  <c r="Q352" i="17"/>
  <c r="Q125" i="17"/>
  <c r="P110" i="21"/>
  <c r="Q110" i="21" s="1"/>
  <c r="Q210" i="17"/>
  <c r="Q544" i="17"/>
  <c r="Q373" i="17"/>
  <c r="Q121" i="17"/>
  <c r="P106" i="21"/>
  <c r="Q106" i="21" s="1"/>
  <c r="Q181" i="17"/>
  <c r="P166" i="21"/>
  <c r="Q166" i="21" s="1"/>
  <c r="P351" i="21"/>
  <c r="Q351" i="21" s="1"/>
  <c r="Q395" i="17"/>
  <c r="P216" i="21"/>
  <c r="Q216" i="21" s="1"/>
  <c r="Q238" i="17"/>
  <c r="P408" i="21"/>
  <c r="Q408" i="21" s="1"/>
  <c r="Q454" i="17"/>
  <c r="Q514" i="17"/>
  <c r="Q36" i="17"/>
  <c r="P288" i="21"/>
  <c r="Q288" i="21" s="1"/>
  <c r="Q318" i="17"/>
  <c r="P413" i="21"/>
  <c r="Q413" i="21" s="1"/>
  <c r="Q459" i="17"/>
  <c r="Q213" i="17"/>
  <c r="P194" i="21"/>
  <c r="Q194" i="21" s="1"/>
  <c r="Q550" i="17"/>
  <c r="Q115" i="17"/>
  <c r="P100" i="21"/>
  <c r="Q100" i="21" s="1"/>
  <c r="Q265" i="17"/>
  <c r="P243" i="21"/>
  <c r="Q243" i="21" s="1"/>
  <c r="Q47" i="17"/>
  <c r="P319" i="21"/>
  <c r="Q319" i="21" s="1"/>
  <c r="Q349" i="17"/>
  <c r="Q402" i="17"/>
  <c r="P358" i="21"/>
  <c r="Q358" i="21" s="1"/>
  <c r="P447" i="21"/>
  <c r="Q447" i="21" s="1"/>
  <c r="Q493" i="17"/>
  <c r="Q274" i="17"/>
  <c r="P390" i="21"/>
  <c r="Q390" i="21" s="1"/>
  <c r="Q436" i="17"/>
  <c r="Q211" i="17"/>
  <c r="P286" i="21"/>
  <c r="Q286" i="21" s="1"/>
  <c r="Q316" i="17"/>
  <c r="P233" i="21"/>
  <c r="Q233" i="21" s="1"/>
  <c r="Q255" i="17"/>
  <c r="Q366" i="17"/>
  <c r="Q179" i="17"/>
  <c r="P164" i="21"/>
  <c r="Q164" i="21" s="1"/>
  <c r="Q67" i="17"/>
  <c r="P52" i="21"/>
  <c r="Q52" i="21" s="1"/>
  <c r="H134" i="17"/>
  <c r="F134" i="17"/>
  <c r="P152" i="17"/>
  <c r="F10" i="20"/>
  <c r="F11" i="20" s="1"/>
  <c r="F505" i="17"/>
  <c r="F227" i="17"/>
  <c r="F504" i="17"/>
  <c r="H152" i="17"/>
  <c r="H153" i="17"/>
  <c r="H555" i="17"/>
  <c r="H554" i="17"/>
  <c r="F465" i="17"/>
  <c r="F466" i="17"/>
  <c r="F467" i="17" s="1"/>
  <c r="H464" i="17"/>
  <c r="H466" i="17"/>
  <c r="H467" i="17" s="1"/>
  <c r="H427" i="17"/>
  <c r="F308" i="17"/>
  <c r="F307" i="17"/>
  <c r="H133" i="17"/>
  <c r="F133" i="17"/>
  <c r="F135" i="17"/>
  <c r="F136" i="17" s="1"/>
  <c r="F152" i="17"/>
  <c r="H388" i="17"/>
  <c r="H389" i="17" s="1"/>
  <c r="F571" i="17"/>
  <c r="H386" i="17"/>
  <c r="F228" i="17"/>
  <c r="H135" i="17"/>
  <c r="H136" i="17" s="1"/>
  <c r="H505" i="17"/>
  <c r="H506" i="17"/>
  <c r="H507" i="17" s="1"/>
  <c r="H504" i="17"/>
  <c r="H308" i="17"/>
  <c r="H307" i="17"/>
  <c r="H309" i="17"/>
  <c r="H310" i="17" s="1"/>
  <c r="F554" i="17"/>
  <c r="F556" i="17"/>
  <c r="F557" i="17" s="1"/>
  <c r="F555" i="17"/>
  <c r="F427" i="17"/>
  <c r="F429" i="17"/>
  <c r="F430" i="17" s="1"/>
  <c r="F428" i="17"/>
  <c r="H228" i="17"/>
  <c r="H227" i="17"/>
  <c r="H229" i="17"/>
  <c r="H230" i="17" s="1"/>
  <c r="H431" i="17" l="1"/>
  <c r="F278" i="21"/>
  <c r="F277" i="21"/>
  <c r="H278" i="21"/>
  <c r="H279" i="21"/>
  <c r="H280" i="21" s="1"/>
  <c r="P154" i="17"/>
  <c r="P155" i="17"/>
  <c r="P153" i="17"/>
  <c r="P121" i="21"/>
  <c r="P474" i="21"/>
  <c r="P384" i="21"/>
  <c r="P208" i="21"/>
  <c r="P280" i="21"/>
  <c r="P421" i="21"/>
  <c r="P461" i="21"/>
  <c r="P345" i="21"/>
  <c r="P140" i="21"/>
  <c r="F156" i="17"/>
  <c r="C17" i="21"/>
  <c r="C16" i="21"/>
  <c r="H571" i="17"/>
  <c r="F231" i="17"/>
  <c r="F508" i="17"/>
  <c r="F390" i="17"/>
  <c r="H156" i="17"/>
  <c r="F311" i="17"/>
  <c r="H390" i="17"/>
  <c r="H137" i="17"/>
  <c r="F431" i="17"/>
  <c r="F137" i="17"/>
  <c r="H558" i="17"/>
  <c r="H468" i="17"/>
  <c r="F468" i="17"/>
  <c r="H311" i="17"/>
  <c r="F558" i="17"/>
  <c r="H231" i="17"/>
  <c r="H508" i="17"/>
  <c r="F281" i="21" l="1"/>
  <c r="F341" i="21" s="1"/>
  <c r="F343" i="21" s="1"/>
  <c r="H281" i="21"/>
  <c r="H341" i="21" s="1"/>
  <c r="H342" i="21" s="1"/>
  <c r="H10" i="20"/>
  <c r="H11" i="20" s="1"/>
  <c r="H14" i="20" s="1"/>
  <c r="H15" i="20" s="1"/>
  <c r="P459" i="21"/>
  <c r="P119" i="21"/>
  <c r="P419" i="21"/>
  <c r="P278" i="21"/>
  <c r="P138" i="21"/>
  <c r="P343" i="21"/>
  <c r="P472" i="21"/>
  <c r="P382" i="21"/>
  <c r="P206" i="21"/>
  <c r="P420" i="21"/>
  <c r="P279" i="21"/>
  <c r="P120" i="21"/>
  <c r="P473" i="21"/>
  <c r="P383" i="21"/>
  <c r="P207" i="21"/>
  <c r="P139" i="21"/>
  <c r="P460" i="21"/>
  <c r="P344" i="21"/>
  <c r="I10" i="20"/>
  <c r="I11" i="20" s="1"/>
  <c r="I14" i="20" s="1"/>
  <c r="I15" i="20" s="1"/>
  <c r="F573" i="17"/>
  <c r="H573" i="17"/>
  <c r="N26" i="12"/>
  <c r="N16" i="12"/>
  <c r="N15" i="12"/>
  <c r="N14" i="12"/>
  <c r="M107" i="12"/>
  <c r="M167" i="12"/>
  <c r="M157" i="12"/>
  <c r="M106" i="12"/>
  <c r="M74" i="12"/>
  <c r="M73" i="12"/>
  <c r="N69" i="12"/>
  <c r="N31" i="12"/>
  <c r="N196" i="12"/>
  <c r="N178" i="12"/>
  <c r="N176" i="12"/>
  <c r="N175" i="12"/>
  <c r="N17" i="12"/>
  <c r="N151" i="12"/>
  <c r="N42" i="12"/>
  <c r="H343" i="21" l="1"/>
  <c r="H344" i="21"/>
  <c r="H345" i="21" s="1"/>
  <c r="F342" i="21"/>
  <c r="F344" i="21"/>
  <c r="F345" i="21" s="1"/>
  <c r="O67" i="12"/>
  <c r="O68" i="12"/>
  <c r="O69" i="12"/>
  <c r="I69" i="12" s="1"/>
  <c r="J69" i="12" s="1"/>
  <c r="O70" i="12"/>
  <c r="O71" i="12"/>
  <c r="O72" i="12"/>
  <c r="O75" i="12"/>
  <c r="O76" i="12"/>
  <c r="O77" i="12"/>
  <c r="O78" i="12"/>
  <c r="O79" i="12"/>
  <c r="O80" i="12"/>
  <c r="O81" i="12"/>
  <c r="I81" i="12" s="1"/>
  <c r="J81" i="12" s="1"/>
  <c r="O82" i="12"/>
  <c r="O83" i="12"/>
  <c r="O84" i="12"/>
  <c r="O85" i="12"/>
  <c r="O86" i="12"/>
  <c r="O87" i="12"/>
  <c r="O88" i="12"/>
  <c r="O89" i="12"/>
  <c r="O90" i="12"/>
  <c r="O91" i="12"/>
  <c r="O92" i="12"/>
  <c r="O93" i="12"/>
  <c r="I93" i="12" s="1"/>
  <c r="O94" i="12"/>
  <c r="O95" i="12"/>
  <c r="O96" i="12"/>
  <c r="O97" i="12"/>
  <c r="O98" i="12"/>
  <c r="O99" i="12"/>
  <c r="O100" i="12"/>
  <c r="O101" i="12"/>
  <c r="O102" i="12"/>
  <c r="O103" i="12"/>
  <c r="O104" i="12"/>
  <c r="O105" i="12"/>
  <c r="O108" i="12"/>
  <c r="O109" i="12"/>
  <c r="O110" i="12"/>
  <c r="O111" i="12"/>
  <c r="O112" i="12"/>
  <c r="O113" i="12"/>
  <c r="O114" i="12"/>
  <c r="O115" i="12"/>
  <c r="O116" i="12"/>
  <c r="O117" i="12"/>
  <c r="O118" i="12"/>
  <c r="O119" i="12"/>
  <c r="I119" i="12" s="1"/>
  <c r="O120" i="12"/>
  <c r="O121" i="12"/>
  <c r="O122" i="12"/>
  <c r="O123" i="12"/>
  <c r="O124" i="12"/>
  <c r="O125" i="12"/>
  <c r="O126" i="12"/>
  <c r="O127" i="12"/>
  <c r="O128" i="12"/>
  <c r="O129" i="12"/>
  <c r="O130" i="12"/>
  <c r="O131" i="12"/>
  <c r="O132" i="12"/>
  <c r="O133" i="12"/>
  <c r="O134" i="12"/>
  <c r="O135" i="12"/>
  <c r="O136" i="12"/>
  <c r="O137" i="12"/>
  <c r="O138" i="12"/>
  <c r="O139" i="12"/>
  <c r="O140" i="12"/>
  <c r="O141" i="12"/>
  <c r="O142" i="12"/>
  <c r="O143" i="12"/>
  <c r="O144" i="12"/>
  <c r="O145" i="12"/>
  <c r="O146" i="12"/>
  <c r="O147" i="12"/>
  <c r="O148" i="12"/>
  <c r="O149" i="12"/>
  <c r="O150" i="12"/>
  <c r="O151" i="12"/>
  <c r="O152" i="12"/>
  <c r="O153" i="12"/>
  <c r="O154" i="12"/>
  <c r="O155" i="12"/>
  <c r="O156" i="12"/>
  <c r="O158" i="12"/>
  <c r="O159" i="12"/>
  <c r="O160" i="12"/>
  <c r="O161" i="12"/>
  <c r="O162" i="12"/>
  <c r="O163" i="12"/>
  <c r="O164" i="12"/>
  <c r="O165" i="12"/>
  <c r="O166" i="12"/>
  <c r="O168" i="12"/>
  <c r="O169" i="12"/>
  <c r="O170" i="12"/>
  <c r="O171" i="12"/>
  <c r="O172" i="12"/>
  <c r="O173" i="12"/>
  <c r="O174" i="12"/>
  <c r="O175" i="12"/>
  <c r="O176" i="12"/>
  <c r="O177" i="12"/>
  <c r="O178" i="12"/>
  <c r="O179" i="12"/>
  <c r="O180" i="12"/>
  <c r="O181" i="12"/>
  <c r="O182" i="12"/>
  <c r="O183" i="12"/>
  <c r="O184" i="12"/>
  <c r="O185" i="12"/>
  <c r="O186" i="12"/>
  <c r="O187" i="12"/>
  <c r="O188" i="12"/>
  <c r="O189" i="12"/>
  <c r="O190" i="12"/>
  <c r="O191" i="12"/>
  <c r="O192" i="12"/>
  <c r="O193" i="12"/>
  <c r="O194" i="12"/>
  <c r="O195" i="12"/>
  <c r="O196" i="12"/>
  <c r="O197" i="12"/>
  <c r="Q197" i="12"/>
  <c r="Q196" i="12"/>
  <c r="H196" i="12"/>
  <c r="F196" i="12"/>
  <c r="Q195" i="12"/>
  <c r="H195" i="12"/>
  <c r="F195" i="12"/>
  <c r="Q194" i="12"/>
  <c r="H194" i="12"/>
  <c r="F194" i="12"/>
  <c r="Q193" i="12"/>
  <c r="H193" i="12"/>
  <c r="F193" i="12"/>
  <c r="Q192" i="12"/>
  <c r="H192" i="12"/>
  <c r="F192" i="12"/>
  <c r="Q191" i="12"/>
  <c r="H191" i="12"/>
  <c r="F191" i="12"/>
  <c r="Q190" i="12"/>
  <c r="H190" i="12"/>
  <c r="F190" i="12"/>
  <c r="Q189" i="12"/>
  <c r="H189" i="12"/>
  <c r="F189" i="12"/>
  <c r="Q188" i="12"/>
  <c r="H188" i="12"/>
  <c r="F188" i="12"/>
  <c r="Q187" i="12"/>
  <c r="H187" i="12"/>
  <c r="F187" i="12"/>
  <c r="Q186" i="12"/>
  <c r="H186" i="12"/>
  <c r="F186" i="12"/>
  <c r="Q185" i="12"/>
  <c r="H185" i="12"/>
  <c r="F185" i="12"/>
  <c r="Q184" i="12"/>
  <c r="H184" i="12"/>
  <c r="F184" i="12"/>
  <c r="Q183" i="12"/>
  <c r="H183" i="12"/>
  <c r="F183" i="12"/>
  <c r="Q182" i="12"/>
  <c r="H182" i="12"/>
  <c r="F182" i="12"/>
  <c r="Q181" i="12"/>
  <c r="H181" i="12"/>
  <c r="F181" i="12"/>
  <c r="Q180" i="12"/>
  <c r="H180" i="12"/>
  <c r="F180" i="12"/>
  <c r="Q179" i="12"/>
  <c r="H179" i="12"/>
  <c r="F179" i="12"/>
  <c r="Q178" i="12"/>
  <c r="H178" i="12"/>
  <c r="F178" i="12"/>
  <c r="Q177" i="12"/>
  <c r="H177" i="12"/>
  <c r="F177" i="12"/>
  <c r="Q176" i="12"/>
  <c r="H176" i="12"/>
  <c r="F176" i="12"/>
  <c r="Q175" i="12"/>
  <c r="H175" i="12"/>
  <c r="F175" i="12"/>
  <c r="Q174" i="12"/>
  <c r="H174" i="12"/>
  <c r="F174" i="12"/>
  <c r="Q173" i="12"/>
  <c r="H173" i="12"/>
  <c r="F173" i="12"/>
  <c r="Q172" i="12"/>
  <c r="H172" i="12"/>
  <c r="F172" i="12"/>
  <c r="Q171" i="12"/>
  <c r="H171" i="12"/>
  <c r="F171" i="12"/>
  <c r="Q170" i="12"/>
  <c r="H170" i="12"/>
  <c r="F170" i="12"/>
  <c r="Q169" i="12"/>
  <c r="H169" i="12"/>
  <c r="F169" i="12"/>
  <c r="Q168" i="12"/>
  <c r="H168" i="12"/>
  <c r="F168" i="12"/>
  <c r="Q167" i="12"/>
  <c r="N167" i="12"/>
  <c r="O167" i="12" s="1"/>
  <c r="H167" i="12"/>
  <c r="F167" i="12"/>
  <c r="Q166" i="12"/>
  <c r="H166" i="12"/>
  <c r="F166" i="12"/>
  <c r="Q165" i="12"/>
  <c r="H165" i="12"/>
  <c r="F165" i="12"/>
  <c r="Q164" i="12"/>
  <c r="H164" i="12"/>
  <c r="F164" i="12"/>
  <c r="Q163" i="12"/>
  <c r="H163" i="12"/>
  <c r="F163" i="12"/>
  <c r="Q162" i="12"/>
  <c r="H162" i="12"/>
  <c r="F162" i="12"/>
  <c r="Q161" i="12"/>
  <c r="H161" i="12"/>
  <c r="F161" i="12"/>
  <c r="Q160" i="12"/>
  <c r="H160" i="12"/>
  <c r="F160" i="12"/>
  <c r="Q159" i="12"/>
  <c r="H159" i="12"/>
  <c r="F159" i="12"/>
  <c r="Q158" i="12"/>
  <c r="H158" i="12"/>
  <c r="F158" i="12"/>
  <c r="Q157" i="12"/>
  <c r="N157" i="12"/>
  <c r="O157" i="12" s="1"/>
  <c r="H157" i="12"/>
  <c r="F157" i="12"/>
  <c r="Q156" i="12"/>
  <c r="H156" i="12"/>
  <c r="F156" i="12"/>
  <c r="Q155" i="12"/>
  <c r="H155" i="12"/>
  <c r="F155" i="12"/>
  <c r="Q154" i="12"/>
  <c r="H154" i="12"/>
  <c r="F154" i="12"/>
  <c r="Q153" i="12"/>
  <c r="H153" i="12"/>
  <c r="F153" i="12"/>
  <c r="Q152" i="12"/>
  <c r="H152" i="12"/>
  <c r="F152" i="12"/>
  <c r="Q151" i="12"/>
  <c r="H151" i="12"/>
  <c r="F151" i="12"/>
  <c r="Q150" i="12"/>
  <c r="H150" i="12"/>
  <c r="F150" i="12"/>
  <c r="Q149" i="12"/>
  <c r="H149" i="12"/>
  <c r="F149" i="12"/>
  <c r="Q148" i="12"/>
  <c r="H148" i="12"/>
  <c r="F148" i="12"/>
  <c r="H147" i="12"/>
  <c r="F147" i="12"/>
  <c r="Q146" i="12"/>
  <c r="H146" i="12"/>
  <c r="F146" i="12"/>
  <c r="Q145" i="12"/>
  <c r="H145" i="12"/>
  <c r="F145" i="12"/>
  <c r="Q144" i="12"/>
  <c r="H144" i="12"/>
  <c r="F144" i="12"/>
  <c r="Q143" i="12"/>
  <c r="H143" i="12"/>
  <c r="F143" i="12"/>
  <c r="Q142" i="12"/>
  <c r="H142" i="12"/>
  <c r="F142" i="12"/>
  <c r="Q141" i="12"/>
  <c r="H141" i="12"/>
  <c r="F141" i="12"/>
  <c r="Q140" i="12"/>
  <c r="H140" i="12"/>
  <c r="F140" i="12"/>
  <c r="Q139" i="12"/>
  <c r="H139" i="12"/>
  <c r="F139" i="12"/>
  <c r="Q138" i="12"/>
  <c r="H138" i="12"/>
  <c r="F138" i="12"/>
  <c r="Q137" i="12"/>
  <c r="H137" i="12"/>
  <c r="F137" i="12"/>
  <c r="Q136" i="12"/>
  <c r="H136" i="12"/>
  <c r="F136" i="12"/>
  <c r="Q135" i="12"/>
  <c r="H135" i="12"/>
  <c r="F135" i="12"/>
  <c r="Q134" i="12"/>
  <c r="H134" i="12"/>
  <c r="F134" i="12"/>
  <c r="Q133" i="12"/>
  <c r="H133" i="12"/>
  <c r="F133" i="12"/>
  <c r="Q132" i="12"/>
  <c r="H132" i="12"/>
  <c r="F132" i="12"/>
  <c r="Q131" i="12"/>
  <c r="H131" i="12"/>
  <c r="F131" i="12"/>
  <c r="H130" i="12"/>
  <c r="F130" i="12"/>
  <c r="Q129" i="12"/>
  <c r="H129" i="12"/>
  <c r="F129" i="12"/>
  <c r="Q128" i="12"/>
  <c r="H128" i="12"/>
  <c r="F128" i="12"/>
  <c r="Q127" i="12"/>
  <c r="H127" i="12"/>
  <c r="F127" i="12"/>
  <c r="Q126" i="12"/>
  <c r="H126" i="12"/>
  <c r="F126" i="12"/>
  <c r="Q125" i="12"/>
  <c r="H125" i="12"/>
  <c r="F125" i="12"/>
  <c r="Q124" i="12"/>
  <c r="H124" i="12"/>
  <c r="F124" i="12"/>
  <c r="Q123" i="12"/>
  <c r="H123" i="12"/>
  <c r="F123" i="12"/>
  <c r="Q122" i="12"/>
  <c r="H122" i="12"/>
  <c r="F122" i="12"/>
  <c r="Q121" i="12"/>
  <c r="H121" i="12"/>
  <c r="F121" i="12"/>
  <c r="Q120" i="12"/>
  <c r="H120" i="12"/>
  <c r="F120" i="12"/>
  <c r="Q119" i="12"/>
  <c r="H119" i="12"/>
  <c r="F119" i="12"/>
  <c r="Q118" i="12"/>
  <c r="H118" i="12"/>
  <c r="F118" i="12"/>
  <c r="Q117" i="12"/>
  <c r="H117" i="12"/>
  <c r="F117" i="12"/>
  <c r="Q116" i="12"/>
  <c r="H116" i="12"/>
  <c r="F116" i="12"/>
  <c r="Q115" i="12"/>
  <c r="H115" i="12"/>
  <c r="F115" i="12"/>
  <c r="Q114" i="12"/>
  <c r="H114" i="12"/>
  <c r="F114" i="12"/>
  <c r="Q113" i="12"/>
  <c r="H113" i="12"/>
  <c r="F113" i="12"/>
  <c r="Q112" i="12"/>
  <c r="H112" i="12"/>
  <c r="F112" i="12"/>
  <c r="Q111" i="12"/>
  <c r="H111" i="12"/>
  <c r="F111" i="12"/>
  <c r="Q110" i="12"/>
  <c r="H110" i="12"/>
  <c r="F110" i="12"/>
  <c r="Q109" i="12"/>
  <c r="H109" i="12"/>
  <c r="F109" i="12"/>
  <c r="Q108" i="12"/>
  <c r="H108" i="12"/>
  <c r="F108" i="12"/>
  <c r="Q107" i="12"/>
  <c r="N107" i="12"/>
  <c r="O107" i="12" s="1"/>
  <c r="H107" i="12"/>
  <c r="F107" i="12"/>
  <c r="Q106" i="12"/>
  <c r="N106" i="12"/>
  <c r="O106" i="12" s="1"/>
  <c r="H106" i="12"/>
  <c r="F106" i="12"/>
  <c r="Q105" i="12"/>
  <c r="H105" i="12"/>
  <c r="F105" i="12"/>
  <c r="Q104" i="12"/>
  <c r="H104" i="12"/>
  <c r="F104" i="12"/>
  <c r="Q103" i="12"/>
  <c r="H103" i="12"/>
  <c r="F103" i="12"/>
  <c r="Q102" i="12"/>
  <c r="H102" i="12"/>
  <c r="F102" i="12"/>
  <c r="Q101" i="12"/>
  <c r="H101" i="12"/>
  <c r="F101" i="12"/>
  <c r="Q100" i="12"/>
  <c r="H100" i="12"/>
  <c r="F100" i="12"/>
  <c r="Q99" i="12"/>
  <c r="H99" i="12"/>
  <c r="F99" i="12"/>
  <c r="Q98" i="12"/>
  <c r="H98" i="12"/>
  <c r="F98" i="12"/>
  <c r="Q97" i="12"/>
  <c r="H97" i="12"/>
  <c r="F97" i="12"/>
  <c r="Q96" i="12"/>
  <c r="H96" i="12"/>
  <c r="F96" i="12"/>
  <c r="Q95" i="12"/>
  <c r="H95" i="12"/>
  <c r="F95" i="12"/>
  <c r="Q94" i="12"/>
  <c r="H94" i="12"/>
  <c r="F94" i="12"/>
  <c r="Q93" i="12"/>
  <c r="H93" i="12"/>
  <c r="F93" i="12"/>
  <c r="H92" i="12"/>
  <c r="F92" i="12"/>
  <c r="Q91" i="12"/>
  <c r="H91" i="12"/>
  <c r="F91" i="12"/>
  <c r="Q90" i="12"/>
  <c r="H90" i="12"/>
  <c r="F90" i="12"/>
  <c r="Q89" i="12"/>
  <c r="H89" i="12"/>
  <c r="F89" i="12"/>
  <c r="Q88" i="12"/>
  <c r="H88" i="12"/>
  <c r="F88" i="12"/>
  <c r="Q87" i="12"/>
  <c r="H87" i="12"/>
  <c r="F87" i="12"/>
  <c r="Q86" i="12"/>
  <c r="H86" i="12"/>
  <c r="F86" i="12"/>
  <c r="Q85" i="12"/>
  <c r="H85" i="12"/>
  <c r="F85" i="12"/>
  <c r="Q84" i="12"/>
  <c r="H84" i="12"/>
  <c r="F84" i="12"/>
  <c r="Q83" i="12"/>
  <c r="H83" i="12"/>
  <c r="F83" i="12"/>
  <c r="Q82" i="12"/>
  <c r="H82" i="12"/>
  <c r="F82" i="12"/>
  <c r="Q81" i="12"/>
  <c r="H81" i="12"/>
  <c r="F81" i="12"/>
  <c r="Q80" i="12"/>
  <c r="H80" i="12"/>
  <c r="F80" i="12"/>
  <c r="Q79" i="12"/>
  <c r="H79" i="12"/>
  <c r="F79" i="12"/>
  <c r="Q78" i="12"/>
  <c r="H78" i="12"/>
  <c r="F78" i="12"/>
  <c r="Q77" i="12"/>
  <c r="H77" i="12"/>
  <c r="F77" i="12"/>
  <c r="Q76" i="12"/>
  <c r="H76" i="12"/>
  <c r="F76" i="12"/>
  <c r="Q75" i="12"/>
  <c r="H75" i="12"/>
  <c r="F75" i="12"/>
  <c r="Q74" i="12"/>
  <c r="N74" i="12"/>
  <c r="O74" i="12" s="1"/>
  <c r="H74" i="12"/>
  <c r="F74" i="12"/>
  <c r="Q73" i="12"/>
  <c r="N73" i="12"/>
  <c r="H73" i="12"/>
  <c r="F73" i="12"/>
  <c r="Q72" i="12"/>
  <c r="H72" i="12"/>
  <c r="F72" i="12"/>
  <c r="Q71" i="12"/>
  <c r="I71" i="12"/>
  <c r="J71" i="12" s="1"/>
  <c r="H71" i="12"/>
  <c r="F71" i="12"/>
  <c r="Q70" i="12"/>
  <c r="H70" i="12"/>
  <c r="F70" i="12"/>
  <c r="Q69" i="12"/>
  <c r="H69" i="12"/>
  <c r="F69" i="12"/>
  <c r="Q68" i="12"/>
  <c r="H68" i="12"/>
  <c r="F68" i="12"/>
  <c r="Q67" i="12"/>
  <c r="H67" i="12"/>
  <c r="F67" i="12"/>
  <c r="Q66" i="12"/>
  <c r="O66" i="12"/>
  <c r="H66" i="12"/>
  <c r="F66" i="12"/>
  <c r="Q65" i="12"/>
  <c r="O65" i="12"/>
  <c r="H65" i="12"/>
  <c r="F65" i="12"/>
  <c r="Q64" i="12"/>
  <c r="O64" i="12"/>
  <c r="H64" i="12"/>
  <c r="F64" i="12"/>
  <c r="Q63" i="12"/>
  <c r="O63" i="12"/>
  <c r="H63" i="12"/>
  <c r="F63" i="12"/>
  <c r="Q62" i="12"/>
  <c r="O62" i="12"/>
  <c r="H62" i="12"/>
  <c r="F62" i="12"/>
  <c r="Q61" i="12"/>
  <c r="O61" i="12"/>
  <c r="H61" i="12"/>
  <c r="F61" i="12"/>
  <c r="Q60" i="12"/>
  <c r="O60" i="12"/>
  <c r="H60" i="12"/>
  <c r="F60" i="12"/>
  <c r="Q59" i="12"/>
  <c r="O59" i="12"/>
  <c r="H59" i="12"/>
  <c r="F59" i="12"/>
  <c r="Q58" i="12"/>
  <c r="O58" i="12"/>
  <c r="H58" i="12"/>
  <c r="F58" i="12"/>
  <c r="Q57" i="12"/>
  <c r="O57" i="12"/>
  <c r="H57" i="12"/>
  <c r="F57" i="12"/>
  <c r="Q56" i="12"/>
  <c r="O56" i="12"/>
  <c r="H56" i="12"/>
  <c r="F56" i="12"/>
  <c r="Q55" i="12"/>
  <c r="O55" i="12"/>
  <c r="H55" i="12"/>
  <c r="F55" i="12"/>
  <c r="Q54" i="12"/>
  <c r="O54" i="12"/>
  <c r="H54" i="12"/>
  <c r="F54" i="12"/>
  <c r="Q53" i="12"/>
  <c r="O53" i="12"/>
  <c r="H53" i="12"/>
  <c r="F53" i="12"/>
  <c r="Q52" i="12"/>
  <c r="O52" i="12"/>
  <c r="H52" i="12"/>
  <c r="F52" i="12"/>
  <c r="Q51" i="12"/>
  <c r="O51" i="12"/>
  <c r="H51" i="12"/>
  <c r="F51" i="12"/>
  <c r="Q50" i="12"/>
  <c r="O50" i="12"/>
  <c r="H50" i="12"/>
  <c r="F50" i="12"/>
  <c r="Q49" i="12"/>
  <c r="O49" i="12"/>
  <c r="H49" i="12"/>
  <c r="F49" i="12"/>
  <c r="O48" i="12"/>
  <c r="H48" i="12"/>
  <c r="F48" i="12"/>
  <c r="Q47" i="12"/>
  <c r="O47" i="12"/>
  <c r="H47" i="12"/>
  <c r="F47" i="12"/>
  <c r="Q46" i="12"/>
  <c r="O46" i="12"/>
  <c r="H46" i="12"/>
  <c r="F46" i="12"/>
  <c r="Q45" i="12"/>
  <c r="O45" i="12"/>
  <c r="H45" i="12"/>
  <c r="F45" i="12"/>
  <c r="Q44" i="12"/>
  <c r="O44" i="12"/>
  <c r="H44" i="12"/>
  <c r="F44" i="12"/>
  <c r="Q43" i="12"/>
  <c r="O43" i="12"/>
  <c r="H43" i="12"/>
  <c r="F43" i="12"/>
  <c r="Q42" i="12"/>
  <c r="O42" i="12"/>
  <c r="H42" i="12"/>
  <c r="F42" i="12"/>
  <c r="Q41" i="12"/>
  <c r="O41" i="12"/>
  <c r="H41" i="12"/>
  <c r="F41" i="12"/>
  <c r="Q40" i="12"/>
  <c r="O40" i="12"/>
  <c r="H40" i="12"/>
  <c r="F40" i="12"/>
  <c r="Q39" i="12"/>
  <c r="O39" i="12"/>
  <c r="H39" i="12"/>
  <c r="F39" i="12"/>
  <c r="Q38" i="12"/>
  <c r="O38" i="12"/>
  <c r="H38" i="12"/>
  <c r="F38" i="12"/>
  <c r="Q37" i="12"/>
  <c r="O37" i="12"/>
  <c r="H37" i="12"/>
  <c r="F37" i="12"/>
  <c r="Q36" i="12"/>
  <c r="O36" i="12"/>
  <c r="H36" i="12"/>
  <c r="F36" i="12"/>
  <c r="Q35" i="12"/>
  <c r="O35" i="12"/>
  <c r="H35" i="12"/>
  <c r="F35" i="12"/>
  <c r="Q34" i="12"/>
  <c r="O34" i="12"/>
  <c r="H34" i="12"/>
  <c r="F34" i="12"/>
  <c r="Q33" i="12"/>
  <c r="O33" i="12"/>
  <c r="H33" i="12"/>
  <c r="F33" i="12"/>
  <c r="Q32" i="12"/>
  <c r="O32" i="12"/>
  <c r="H32" i="12"/>
  <c r="F32" i="12"/>
  <c r="Q31" i="12"/>
  <c r="O31" i="12"/>
  <c r="H31" i="12"/>
  <c r="F31" i="12"/>
  <c r="Q30" i="12"/>
  <c r="O30" i="12"/>
  <c r="H30" i="12"/>
  <c r="F30" i="12"/>
  <c r="Q29" i="12"/>
  <c r="O29" i="12"/>
  <c r="H29" i="12"/>
  <c r="F29" i="12"/>
  <c r="Q28" i="12"/>
  <c r="O28" i="12"/>
  <c r="H28" i="12"/>
  <c r="F28" i="12"/>
  <c r="Q27" i="12"/>
  <c r="O27" i="12"/>
  <c r="H27" i="12"/>
  <c r="F27" i="12"/>
  <c r="Q26" i="12"/>
  <c r="O26" i="12"/>
  <c r="H26" i="12"/>
  <c r="F26" i="12"/>
  <c r="Q25" i="12"/>
  <c r="O25" i="12"/>
  <c r="H25" i="12"/>
  <c r="F25" i="12"/>
  <c r="Q24" i="12"/>
  <c r="O24" i="12"/>
  <c r="H24" i="12"/>
  <c r="F24" i="12"/>
  <c r="Q23" i="12"/>
  <c r="O23" i="12"/>
  <c r="H23" i="12"/>
  <c r="F23" i="12"/>
  <c r="Q22" i="12"/>
  <c r="O22" i="12"/>
  <c r="H22" i="12"/>
  <c r="F22" i="12"/>
  <c r="Q21" i="12"/>
  <c r="O21" i="12"/>
  <c r="H21" i="12"/>
  <c r="F21" i="12"/>
  <c r="Q20" i="12"/>
  <c r="O20" i="12"/>
  <c r="H20" i="12"/>
  <c r="F20" i="12"/>
  <c r="Q19" i="12"/>
  <c r="O19" i="12"/>
  <c r="H19" i="12"/>
  <c r="F19" i="12"/>
  <c r="Q18" i="12"/>
  <c r="O18" i="12"/>
  <c r="H18" i="12"/>
  <c r="F18" i="12"/>
  <c r="Q17" i="12"/>
  <c r="O17" i="12"/>
  <c r="H17" i="12"/>
  <c r="F17" i="12"/>
  <c r="Q16" i="12"/>
  <c r="O16" i="12"/>
  <c r="H16" i="12"/>
  <c r="F16" i="12"/>
  <c r="Q15" i="12"/>
  <c r="O15" i="12"/>
  <c r="H15" i="12"/>
  <c r="F15" i="12"/>
  <c r="Q14" i="12"/>
  <c r="O14" i="12"/>
  <c r="H14" i="12"/>
  <c r="F14" i="12"/>
  <c r="F346" i="21" l="1"/>
  <c r="F380" i="21" s="1"/>
  <c r="F383" i="21" s="1"/>
  <c r="F384" i="21" s="1"/>
  <c r="H346" i="21"/>
  <c r="H380" i="21" s="1"/>
  <c r="H382" i="21" s="1"/>
  <c r="I143" i="17"/>
  <c r="J143" i="17" s="1"/>
  <c r="G207" i="23"/>
  <c r="I207" i="23" s="1"/>
  <c r="I128" i="21"/>
  <c r="J128" i="21" s="1"/>
  <c r="I46" i="17"/>
  <c r="G413" i="23"/>
  <c r="I413" i="23" s="1"/>
  <c r="I85" i="17"/>
  <c r="J85" i="17" s="1"/>
  <c r="G300" i="23"/>
  <c r="I300" i="23" s="1"/>
  <c r="I70" i="21"/>
  <c r="J70" i="21" s="1"/>
  <c r="G78" i="23"/>
  <c r="I78" i="23" s="1"/>
  <c r="I214" i="21"/>
  <c r="J214" i="21" s="1"/>
  <c r="I473" i="17"/>
  <c r="J473" i="17" s="1"/>
  <c r="G254" i="23"/>
  <c r="I427" i="21"/>
  <c r="J427" i="21" s="1"/>
  <c r="I438" i="17"/>
  <c r="J438" i="17" s="1"/>
  <c r="G106" i="23"/>
  <c r="I392" i="21"/>
  <c r="J392" i="21" s="1"/>
  <c r="I382" i="17"/>
  <c r="J382" i="17" s="1"/>
  <c r="G161" i="23"/>
  <c r="I161" i="23" s="1"/>
  <c r="I338" i="21"/>
  <c r="J338" i="21" s="1"/>
  <c r="I333" i="17"/>
  <c r="J333" i="17" s="1"/>
  <c r="G330" i="23"/>
  <c r="I303" i="21"/>
  <c r="J303" i="21" s="1"/>
  <c r="I292" i="17"/>
  <c r="G264" i="23"/>
  <c r="I262" i="21"/>
  <c r="J262" i="21" s="1"/>
  <c r="I278" i="17"/>
  <c r="J278" i="17" s="1"/>
  <c r="G275" i="23"/>
  <c r="I224" i="17"/>
  <c r="J224" i="17" s="1"/>
  <c r="G177" i="23"/>
  <c r="I177" i="23" s="1"/>
  <c r="I202" i="21"/>
  <c r="J202" i="21" s="1"/>
  <c r="I200" i="17"/>
  <c r="G263" i="23"/>
  <c r="I184" i="21"/>
  <c r="J184" i="21" s="1"/>
  <c r="I184" i="17"/>
  <c r="J184" i="17" s="1"/>
  <c r="G127" i="23"/>
  <c r="I127" i="23" s="1"/>
  <c r="I169" i="21"/>
  <c r="J169" i="21" s="1"/>
  <c r="I536" i="17"/>
  <c r="J536" i="17" s="1"/>
  <c r="G287" i="23"/>
  <c r="I287" i="23" s="1"/>
  <c r="I462" i="17"/>
  <c r="J462" i="17" s="1"/>
  <c r="G13" i="23"/>
  <c r="I416" i="21"/>
  <c r="J416" i="21" s="1"/>
  <c r="I423" i="17"/>
  <c r="J423" i="17" s="1"/>
  <c r="G12" i="23"/>
  <c r="I377" i="21"/>
  <c r="J377" i="21" s="1"/>
  <c r="G144" i="23"/>
  <c r="I144" i="23" s="1"/>
  <c r="I337" i="21"/>
  <c r="J337" i="21" s="1"/>
  <c r="G246" i="23"/>
  <c r="I302" i="21"/>
  <c r="J302" i="21" s="1"/>
  <c r="I291" i="17"/>
  <c r="G182" i="23"/>
  <c r="I182" i="23" s="1"/>
  <c r="I261" i="21"/>
  <c r="J261" i="21" s="1"/>
  <c r="I277" i="17"/>
  <c r="G23" i="23"/>
  <c r="I23" i="23" s="1"/>
  <c r="I223" i="17"/>
  <c r="J223" i="17" s="1"/>
  <c r="G176" i="23"/>
  <c r="I201" i="21"/>
  <c r="J201" i="21" s="1"/>
  <c r="I199" i="17"/>
  <c r="J199" i="17" s="1"/>
  <c r="G181" i="23"/>
  <c r="I181" i="23" s="1"/>
  <c r="I183" i="21"/>
  <c r="J183" i="21" s="1"/>
  <c r="I175" i="17"/>
  <c r="G326" i="23"/>
  <c r="I160" i="21"/>
  <c r="J160" i="21" s="1"/>
  <c r="I64" i="17"/>
  <c r="J64" i="17" s="1"/>
  <c r="G129" i="23"/>
  <c r="I129" i="23" s="1"/>
  <c r="I49" i="21"/>
  <c r="J49" i="21" s="1"/>
  <c r="I112" i="17"/>
  <c r="G19" i="23"/>
  <c r="I97" i="21"/>
  <c r="J97" i="21" s="1"/>
  <c r="I118" i="17"/>
  <c r="G20" i="23"/>
  <c r="I20" i="23" s="1"/>
  <c r="I103" i="21"/>
  <c r="J103" i="21" s="1"/>
  <c r="I129" i="17"/>
  <c r="G71" i="23"/>
  <c r="I71" i="23" s="1"/>
  <c r="I114" i="21"/>
  <c r="J114" i="21" s="1"/>
  <c r="G72" i="23"/>
  <c r="I126" i="21"/>
  <c r="J126" i="21" s="1"/>
  <c r="I535" i="17"/>
  <c r="J535" i="17" s="1"/>
  <c r="G33" i="23"/>
  <c r="I33" i="23" s="1"/>
  <c r="I461" i="17"/>
  <c r="J461" i="17" s="1"/>
  <c r="G220" i="23"/>
  <c r="I220" i="23" s="1"/>
  <c r="I415" i="21"/>
  <c r="J415" i="21" s="1"/>
  <c r="I420" i="17"/>
  <c r="J420" i="17" s="1"/>
  <c r="G200" i="23"/>
  <c r="I200" i="23" s="1"/>
  <c r="I376" i="21"/>
  <c r="J376" i="21" s="1"/>
  <c r="I380" i="17"/>
  <c r="J380" i="17" s="1"/>
  <c r="G297" i="23"/>
  <c r="I297" i="23" s="1"/>
  <c r="I336" i="21"/>
  <c r="J336" i="21" s="1"/>
  <c r="I331" i="17"/>
  <c r="J331" i="17" s="1"/>
  <c r="G114" i="23"/>
  <c r="I301" i="21"/>
  <c r="J301" i="21" s="1"/>
  <c r="I290" i="17"/>
  <c r="J290" i="17" s="1"/>
  <c r="G280" i="23"/>
  <c r="I280" i="23" s="1"/>
  <c r="I260" i="21"/>
  <c r="J260" i="21" s="1"/>
  <c r="I267" i="17"/>
  <c r="J267" i="17" s="1"/>
  <c r="G329" i="23"/>
  <c r="I245" i="21"/>
  <c r="J245" i="21" s="1"/>
  <c r="I222" i="17"/>
  <c r="J222" i="17" s="1"/>
  <c r="G229" i="23"/>
  <c r="I229" i="23" s="1"/>
  <c r="I200" i="21"/>
  <c r="J200" i="21" s="1"/>
  <c r="I198" i="17"/>
  <c r="J198" i="17" s="1"/>
  <c r="G279" i="23"/>
  <c r="I279" i="23" s="1"/>
  <c r="I182" i="21"/>
  <c r="J182" i="21" s="1"/>
  <c r="I171" i="17"/>
  <c r="J171" i="17" s="1"/>
  <c r="G367" i="23"/>
  <c r="I156" i="21"/>
  <c r="J156" i="21" s="1"/>
  <c r="I537" i="17"/>
  <c r="J537" i="17" s="1"/>
  <c r="G199" i="23"/>
  <c r="I199" i="23" s="1"/>
  <c r="I49" i="17"/>
  <c r="G146" i="23"/>
  <c r="I146" i="23" s="1"/>
  <c r="I34" i="21"/>
  <c r="J34" i="21" s="1"/>
  <c r="I71" i="17"/>
  <c r="G240" i="23"/>
  <c r="I240" i="23" s="1"/>
  <c r="I56" i="21"/>
  <c r="J56" i="21" s="1"/>
  <c r="I86" i="17"/>
  <c r="J86" i="17" s="1"/>
  <c r="G184" i="23"/>
  <c r="I184" i="23" s="1"/>
  <c r="I71" i="21"/>
  <c r="J71" i="21" s="1"/>
  <c r="I90" i="17"/>
  <c r="G152" i="23"/>
  <c r="I152" i="23" s="1"/>
  <c r="I75" i="21"/>
  <c r="J75" i="21" s="1"/>
  <c r="I93" i="17"/>
  <c r="G262" i="23"/>
  <c r="I78" i="21"/>
  <c r="J78" i="21" s="1"/>
  <c r="I525" i="17"/>
  <c r="J525" i="17" s="1"/>
  <c r="G379" i="23"/>
  <c r="I458" i="17"/>
  <c r="J458" i="17" s="1"/>
  <c r="G24" i="23"/>
  <c r="I24" i="23" s="1"/>
  <c r="I412" i="21"/>
  <c r="J412" i="21" s="1"/>
  <c r="I415" i="17"/>
  <c r="J415" i="17" s="1"/>
  <c r="G333" i="23"/>
  <c r="I371" i="21"/>
  <c r="J371" i="21" s="1"/>
  <c r="I377" i="17"/>
  <c r="G414" i="23"/>
  <c r="I414" i="23" s="1"/>
  <c r="I305" i="17"/>
  <c r="J305" i="17" s="1"/>
  <c r="G10" i="23"/>
  <c r="I275" i="21"/>
  <c r="I289" i="17"/>
  <c r="G154" i="23"/>
  <c r="I154" i="23" s="1"/>
  <c r="I259" i="21"/>
  <c r="J259" i="21" s="1"/>
  <c r="I263" i="17"/>
  <c r="J263" i="17" s="1"/>
  <c r="G369" i="23"/>
  <c r="I241" i="21"/>
  <c r="J241" i="21" s="1"/>
  <c r="I221" i="17"/>
  <c r="J221" i="17" s="1"/>
  <c r="G147" i="23"/>
  <c r="I147" i="23" s="1"/>
  <c r="I199" i="21"/>
  <c r="J199" i="21" s="1"/>
  <c r="I197" i="17"/>
  <c r="J197" i="17" s="1"/>
  <c r="G153" i="23"/>
  <c r="I153" i="23" s="1"/>
  <c r="I181" i="21"/>
  <c r="J181" i="21" s="1"/>
  <c r="I169" i="17"/>
  <c r="J169" i="17" s="1"/>
  <c r="G325" i="23"/>
  <c r="I154" i="21"/>
  <c r="J154" i="21" s="1"/>
  <c r="I51" i="17"/>
  <c r="G174" i="23"/>
  <c r="I36" i="21"/>
  <c r="J36" i="21" s="1"/>
  <c r="I59" i="17"/>
  <c r="J59" i="17" s="1"/>
  <c r="G273" i="23"/>
  <c r="I273" i="23" s="1"/>
  <c r="I44" i="21"/>
  <c r="J44" i="21" s="1"/>
  <c r="I523" i="17"/>
  <c r="J523" i="17" s="1"/>
  <c r="G338" i="23"/>
  <c r="I457" i="17"/>
  <c r="J457" i="17" s="1"/>
  <c r="G167" i="23"/>
  <c r="I167" i="23" s="1"/>
  <c r="I411" i="21"/>
  <c r="J411" i="21" s="1"/>
  <c r="I370" i="17"/>
  <c r="J370" i="17" s="1"/>
  <c r="G70" i="23"/>
  <c r="I70" i="23" s="1"/>
  <c r="I302" i="17"/>
  <c r="J302" i="17" s="1"/>
  <c r="G293" i="23"/>
  <c r="I293" i="23" s="1"/>
  <c r="I272" i="21"/>
  <c r="J272" i="21" s="1"/>
  <c r="I288" i="17"/>
  <c r="J288" i="17" s="1"/>
  <c r="G309" i="23"/>
  <c r="I309" i="23" s="1"/>
  <c r="I258" i="21"/>
  <c r="J258" i="21" s="1"/>
  <c r="G328" i="23"/>
  <c r="I239" i="21"/>
  <c r="J239" i="21" s="1"/>
  <c r="I218" i="17"/>
  <c r="J218" i="17" s="1"/>
  <c r="G9" i="23"/>
  <c r="I196" i="21"/>
  <c r="J196" i="21" s="1"/>
  <c r="I196" i="17"/>
  <c r="G308" i="23"/>
  <c r="I308" i="23" s="1"/>
  <c r="I180" i="21"/>
  <c r="J180" i="21" s="1"/>
  <c r="I168" i="17"/>
  <c r="J168" i="17" s="1"/>
  <c r="G242" i="23"/>
  <c r="I153" i="21"/>
  <c r="J153" i="21" s="1"/>
  <c r="I74" i="17"/>
  <c r="J74" i="17" s="1"/>
  <c r="G364" i="23"/>
  <c r="I364" i="23" s="1"/>
  <c r="I59" i="21"/>
  <c r="J59" i="21" s="1"/>
  <c r="I411" i="17"/>
  <c r="J411" i="17" s="1"/>
  <c r="G373" i="23"/>
  <c r="I367" i="21"/>
  <c r="J367" i="21" s="1"/>
  <c r="I522" i="17"/>
  <c r="J522" i="17" s="1"/>
  <c r="G256" i="23"/>
  <c r="I456" i="17"/>
  <c r="J456" i="17" s="1"/>
  <c r="G34" i="23"/>
  <c r="I34" i="23" s="1"/>
  <c r="I410" i="21"/>
  <c r="J410" i="21" s="1"/>
  <c r="G332" i="23"/>
  <c r="I365" i="21"/>
  <c r="J365" i="21" s="1"/>
  <c r="G224" i="23"/>
  <c r="I301" i="17"/>
  <c r="J301" i="17" s="1"/>
  <c r="G289" i="23"/>
  <c r="I289" i="23" s="1"/>
  <c r="I271" i="21"/>
  <c r="J271" i="21" s="1"/>
  <c r="G138" i="23"/>
  <c r="I138" i="23" s="1"/>
  <c r="I257" i="21"/>
  <c r="J257" i="21" s="1"/>
  <c r="I260" i="17"/>
  <c r="J260" i="17" s="1"/>
  <c r="G244" i="23"/>
  <c r="I238" i="21"/>
  <c r="J238" i="21" s="1"/>
  <c r="I207" i="17"/>
  <c r="G416" i="23"/>
  <c r="I191" i="21"/>
  <c r="J191" i="21" s="1"/>
  <c r="I195" i="17"/>
  <c r="J195" i="17" s="1"/>
  <c r="G137" i="23"/>
  <c r="I137" i="23" s="1"/>
  <c r="I179" i="21"/>
  <c r="J179" i="21" s="1"/>
  <c r="I167" i="17"/>
  <c r="J167" i="17" s="1"/>
  <c r="G110" i="23"/>
  <c r="I152" i="21"/>
  <c r="J152" i="21" s="1"/>
  <c r="I52" i="17"/>
  <c r="J52" i="17" s="1"/>
  <c r="G175" i="23"/>
  <c r="I175" i="23" s="1"/>
  <c r="I37" i="21"/>
  <c r="J37" i="21" s="1"/>
  <c r="I77" i="17"/>
  <c r="J77" i="17" s="1"/>
  <c r="G323" i="23"/>
  <c r="I323" i="23" s="1"/>
  <c r="I62" i="21"/>
  <c r="J62" i="21" s="1"/>
  <c r="I94" i="17"/>
  <c r="G259" i="23"/>
  <c r="I259" i="23" s="1"/>
  <c r="I79" i="21"/>
  <c r="J79" i="21" s="1"/>
  <c r="I97" i="17"/>
  <c r="G149" i="23"/>
  <c r="I149" i="23" s="1"/>
  <c r="I82" i="21"/>
  <c r="J82" i="21" s="1"/>
  <c r="I100" i="17"/>
  <c r="P85" i="21" s="1"/>
  <c r="Q85" i="21" s="1"/>
  <c r="G415" i="23"/>
  <c r="I85" i="21"/>
  <c r="J85" i="21" s="1"/>
  <c r="I114" i="17"/>
  <c r="P99" i="21" s="1"/>
  <c r="Q99" i="21" s="1"/>
  <c r="G316" i="23"/>
  <c r="I99" i="21"/>
  <c r="J99" i="21" s="1"/>
  <c r="I119" i="17"/>
  <c r="J119" i="17" s="1"/>
  <c r="G318" i="23"/>
  <c r="I318" i="23" s="1"/>
  <c r="I104" i="21"/>
  <c r="J104" i="21" s="1"/>
  <c r="I131" i="17"/>
  <c r="J131" i="17" s="1"/>
  <c r="G7" i="23"/>
  <c r="I7" i="23" s="1"/>
  <c r="I116" i="21"/>
  <c r="J116" i="21" s="1"/>
  <c r="G77" i="23"/>
  <c r="I77" i="23" s="1"/>
  <c r="I146" i="21"/>
  <c r="J146" i="21" s="1"/>
  <c r="I521" i="17"/>
  <c r="J521" i="17" s="1"/>
  <c r="G122" i="23"/>
  <c r="I452" i="17"/>
  <c r="G335" i="23"/>
  <c r="I406" i="21"/>
  <c r="J406" i="21" s="1"/>
  <c r="I408" i="17"/>
  <c r="J408" i="17" s="1"/>
  <c r="G249" i="23"/>
  <c r="I364" i="21"/>
  <c r="J364" i="21" s="1"/>
  <c r="I363" i="17"/>
  <c r="J363" i="17" s="1"/>
  <c r="G11" i="23"/>
  <c r="I332" i="21"/>
  <c r="J332" i="21" s="1"/>
  <c r="G417" i="23"/>
  <c r="I269" i="21"/>
  <c r="J269" i="21" s="1"/>
  <c r="I286" i="17"/>
  <c r="J286" i="17" s="1"/>
  <c r="G302" i="23"/>
  <c r="I302" i="23" s="1"/>
  <c r="I256" i="21"/>
  <c r="J256" i="21" s="1"/>
  <c r="I259" i="17"/>
  <c r="J259" i="17" s="1"/>
  <c r="G112" i="23"/>
  <c r="I237" i="21"/>
  <c r="J237" i="21" s="1"/>
  <c r="I206" i="17"/>
  <c r="J206" i="17" s="1"/>
  <c r="G215" i="23"/>
  <c r="I215" i="23" s="1"/>
  <c r="I190" i="21"/>
  <c r="J190" i="21" s="1"/>
  <c r="I194" i="17"/>
  <c r="J194" i="17" s="1"/>
  <c r="G301" i="23"/>
  <c r="I301" i="23" s="1"/>
  <c r="I178" i="21"/>
  <c r="J178" i="21" s="1"/>
  <c r="I149" i="17"/>
  <c r="J149" i="17" s="1"/>
  <c r="G8" i="23"/>
  <c r="I134" i="21"/>
  <c r="J134" i="21" s="1"/>
  <c r="I38" i="17"/>
  <c r="G125" i="23"/>
  <c r="I125" i="23" s="1"/>
  <c r="I89" i="17"/>
  <c r="J89" i="17" s="1"/>
  <c r="G307" i="23"/>
  <c r="I307" i="23" s="1"/>
  <c r="I74" i="21"/>
  <c r="J74" i="21" s="1"/>
  <c r="I99" i="17"/>
  <c r="J99" i="17" s="1"/>
  <c r="G214" i="23"/>
  <c r="I214" i="23" s="1"/>
  <c r="I84" i="21"/>
  <c r="J84" i="21" s="1"/>
  <c r="I65" i="17"/>
  <c r="J65" i="17" s="1"/>
  <c r="G74" i="23"/>
  <c r="I50" i="21"/>
  <c r="J50" i="21" s="1"/>
  <c r="I40" i="17"/>
  <c r="G28" i="23"/>
  <c r="I50" i="17"/>
  <c r="G228" i="23"/>
  <c r="I228" i="23" s="1"/>
  <c r="I35" i="21"/>
  <c r="J35" i="21" s="1"/>
  <c r="I53" i="17"/>
  <c r="J53" i="17" s="1"/>
  <c r="G178" i="23"/>
  <c r="I178" i="23" s="1"/>
  <c r="I38" i="21"/>
  <c r="J38" i="21" s="1"/>
  <c r="I56" i="17"/>
  <c r="J56" i="17" s="1"/>
  <c r="G156" i="23"/>
  <c r="I41" i="21"/>
  <c r="J41" i="21" s="1"/>
  <c r="I60" i="17"/>
  <c r="P45" i="21" s="1"/>
  <c r="Q45" i="21" s="1"/>
  <c r="G313" i="23"/>
  <c r="I45" i="21"/>
  <c r="J45" i="21" s="1"/>
  <c r="I66" i="17"/>
  <c r="J66" i="17" s="1"/>
  <c r="G206" i="23"/>
  <c r="I206" i="23" s="1"/>
  <c r="I51" i="21"/>
  <c r="J51" i="21" s="1"/>
  <c r="I72" i="17"/>
  <c r="J72" i="17" s="1"/>
  <c r="G322" i="23"/>
  <c r="I322" i="23" s="1"/>
  <c r="I57" i="21"/>
  <c r="J57" i="21" s="1"/>
  <c r="I81" i="17"/>
  <c r="J81" i="17" s="1"/>
  <c r="G294" i="23"/>
  <c r="I294" i="23" s="1"/>
  <c r="I66" i="21"/>
  <c r="J66" i="21" s="1"/>
  <c r="I84" i="17"/>
  <c r="G185" i="23"/>
  <c r="I185" i="23" s="1"/>
  <c r="I69" i="21"/>
  <c r="J69" i="21" s="1"/>
  <c r="I88" i="17"/>
  <c r="J88" i="17" s="1"/>
  <c r="G136" i="23"/>
  <c r="I136" i="23" s="1"/>
  <c r="I73" i="21"/>
  <c r="J73" i="21" s="1"/>
  <c r="I91" i="17"/>
  <c r="J91" i="17" s="1"/>
  <c r="G278" i="23"/>
  <c r="I278" i="23" s="1"/>
  <c r="I76" i="21"/>
  <c r="J76" i="21" s="1"/>
  <c r="G16" i="23"/>
  <c r="I469" i="21"/>
  <c r="G14" i="23"/>
  <c r="I451" i="21"/>
  <c r="J451" i="21" s="1"/>
  <c r="I448" i="17"/>
  <c r="J448" i="17" s="1"/>
  <c r="G375" i="23"/>
  <c r="I402" i="21"/>
  <c r="J402" i="21" s="1"/>
  <c r="I407" i="17"/>
  <c r="J407" i="17" s="1"/>
  <c r="G116" i="23"/>
  <c r="I363" i="21"/>
  <c r="J363" i="21" s="1"/>
  <c r="G306" i="23"/>
  <c r="I306" i="23" s="1"/>
  <c r="I323" i="21"/>
  <c r="J323" i="21" s="1"/>
  <c r="I298" i="17"/>
  <c r="J298" i="17" s="1"/>
  <c r="G216" i="23"/>
  <c r="I216" i="23" s="1"/>
  <c r="I268" i="21"/>
  <c r="J268" i="21" s="1"/>
  <c r="G187" i="23"/>
  <c r="I187" i="23" s="1"/>
  <c r="I255" i="21"/>
  <c r="J255" i="21" s="1"/>
  <c r="I256" i="17"/>
  <c r="J256" i="17" s="1"/>
  <c r="G274" i="23"/>
  <c r="I234" i="21"/>
  <c r="J234" i="21" s="1"/>
  <c r="I205" i="17"/>
  <c r="J205" i="17" s="1"/>
  <c r="G212" i="23"/>
  <c r="I212" i="23" s="1"/>
  <c r="I189" i="21"/>
  <c r="J189" i="21" s="1"/>
  <c r="I193" i="17"/>
  <c r="J193" i="17" s="1"/>
  <c r="G186" i="23"/>
  <c r="I186" i="23" s="1"/>
  <c r="I177" i="21"/>
  <c r="J177" i="21" s="1"/>
  <c r="G366" i="23"/>
  <c r="I133" i="21"/>
  <c r="J133" i="21" s="1"/>
  <c r="I54" i="17"/>
  <c r="J54" i="17" s="1"/>
  <c r="G277" i="23"/>
  <c r="I277" i="23" s="1"/>
  <c r="I39" i="21"/>
  <c r="J39" i="21" s="1"/>
  <c r="I39" i="17"/>
  <c r="J39" i="17" s="1"/>
  <c r="G68" i="23"/>
  <c r="I68" i="23" s="1"/>
  <c r="G100" i="23"/>
  <c r="I100" i="23" s="1"/>
  <c r="I213" i="21"/>
  <c r="J213" i="21" s="1"/>
  <c r="I196" i="12"/>
  <c r="J196" i="12" s="1"/>
  <c r="G341" i="23"/>
  <c r="I341" i="23" s="1"/>
  <c r="I480" i="17"/>
  <c r="J480" i="17" s="1"/>
  <c r="G336" i="23"/>
  <c r="I434" i="21"/>
  <c r="J434" i="21" s="1"/>
  <c r="I446" i="17"/>
  <c r="J446" i="17" s="1"/>
  <c r="G334" i="23"/>
  <c r="I400" i="21"/>
  <c r="J400" i="21" s="1"/>
  <c r="I397" i="17"/>
  <c r="J397" i="17" s="1"/>
  <c r="G248" i="23"/>
  <c r="I353" i="21"/>
  <c r="J353" i="21" s="1"/>
  <c r="I351" i="17"/>
  <c r="J351" i="17" s="1"/>
  <c r="G310" i="23"/>
  <c r="I310" i="23" s="1"/>
  <c r="I321" i="21"/>
  <c r="J321" i="21" s="1"/>
  <c r="I297" i="17"/>
  <c r="J297" i="17" s="1"/>
  <c r="G213" i="23"/>
  <c r="I213" i="23" s="1"/>
  <c r="I267" i="21"/>
  <c r="J267" i="21" s="1"/>
  <c r="I284" i="17"/>
  <c r="J284" i="17" s="1"/>
  <c r="G160" i="23"/>
  <c r="I160" i="23" s="1"/>
  <c r="I254" i="21"/>
  <c r="J254" i="21" s="1"/>
  <c r="I250" i="17"/>
  <c r="J250" i="17" s="1"/>
  <c r="G73" i="23"/>
  <c r="I228" i="21"/>
  <c r="J228" i="21" s="1"/>
  <c r="I204" i="17"/>
  <c r="J204" i="17" s="1"/>
  <c r="G150" i="23"/>
  <c r="I150" i="23" s="1"/>
  <c r="I188" i="21"/>
  <c r="J188" i="21" s="1"/>
  <c r="I192" i="17"/>
  <c r="G159" i="23"/>
  <c r="I159" i="23" s="1"/>
  <c r="I176" i="21"/>
  <c r="J176" i="21" s="1"/>
  <c r="I146" i="17"/>
  <c r="J146" i="17" s="1"/>
  <c r="G324" i="23"/>
  <c r="I131" i="21"/>
  <c r="J131" i="21" s="1"/>
  <c r="I70" i="17"/>
  <c r="J70" i="17" s="1"/>
  <c r="G108" i="23"/>
  <c r="I55" i="21"/>
  <c r="J55" i="21" s="1"/>
  <c r="I96" i="17"/>
  <c r="J96" i="17" s="1"/>
  <c r="G195" i="23"/>
  <c r="I195" i="23" s="1"/>
  <c r="I81" i="21"/>
  <c r="J81" i="21" s="1"/>
  <c r="I55" i="17"/>
  <c r="G148" i="23"/>
  <c r="I148" i="23" s="1"/>
  <c r="I40" i="21"/>
  <c r="J40" i="21" s="1"/>
  <c r="I548" i="17"/>
  <c r="J548" i="17" s="1"/>
  <c r="G15" i="23"/>
  <c r="I479" i="17"/>
  <c r="J479" i="17" s="1"/>
  <c r="G255" i="23"/>
  <c r="I433" i="21"/>
  <c r="J433" i="21" s="1"/>
  <c r="I445" i="17"/>
  <c r="J445" i="17" s="1"/>
  <c r="G252" i="23"/>
  <c r="I399" i="21"/>
  <c r="J399" i="21" s="1"/>
  <c r="I396" i="17"/>
  <c r="J396" i="17" s="1"/>
  <c r="G105" i="23"/>
  <c r="I105" i="23" s="1"/>
  <c r="I352" i="21"/>
  <c r="J352" i="21" s="1"/>
  <c r="I347" i="17"/>
  <c r="J347" i="17" s="1"/>
  <c r="G25" i="23"/>
  <c r="I25" i="23" s="1"/>
  <c r="I317" i="21"/>
  <c r="J317" i="21" s="1"/>
  <c r="I133" i="12"/>
  <c r="G197" i="23"/>
  <c r="I265" i="21"/>
  <c r="J265" i="21" s="1"/>
  <c r="I283" i="17"/>
  <c r="J283" i="17" s="1"/>
  <c r="G143" i="23"/>
  <c r="I143" i="23" s="1"/>
  <c r="I253" i="21"/>
  <c r="J253" i="21" s="1"/>
  <c r="I248" i="17"/>
  <c r="J248" i="17" s="1"/>
  <c r="G128" i="23"/>
  <c r="I128" i="23" s="1"/>
  <c r="I226" i="21"/>
  <c r="J226" i="21" s="1"/>
  <c r="G196" i="23"/>
  <c r="I187" i="21"/>
  <c r="J187" i="21" s="1"/>
  <c r="I83" i="12"/>
  <c r="J83" i="12" s="1"/>
  <c r="G142" i="23"/>
  <c r="I142" i="23" s="1"/>
  <c r="I175" i="21"/>
  <c r="J175" i="21" s="1"/>
  <c r="G241" i="23"/>
  <c r="I130" i="21"/>
  <c r="J130" i="21" s="1"/>
  <c r="I57" i="17"/>
  <c r="J57" i="17" s="1"/>
  <c r="G22" i="23"/>
  <c r="I22" i="23" s="1"/>
  <c r="I42" i="21"/>
  <c r="J42" i="21" s="1"/>
  <c r="I95" i="17"/>
  <c r="J95" i="17" s="1"/>
  <c r="G191" i="23"/>
  <c r="I191" i="23" s="1"/>
  <c r="I80" i="21"/>
  <c r="J80" i="21" s="1"/>
  <c r="I98" i="17"/>
  <c r="J98" i="17" s="1"/>
  <c r="G211" i="23"/>
  <c r="I211" i="23" s="1"/>
  <c r="I83" i="21"/>
  <c r="J83" i="21" s="1"/>
  <c r="I102" i="17"/>
  <c r="J102" i="17" s="1"/>
  <c r="G5" i="23"/>
  <c r="I87" i="21"/>
  <c r="J87" i="21" s="1"/>
  <c r="I116" i="17"/>
  <c r="J116" i="17" s="1"/>
  <c r="G134" i="23"/>
  <c r="I134" i="23" s="1"/>
  <c r="I101" i="21"/>
  <c r="J101" i="21" s="1"/>
  <c r="I120" i="17"/>
  <c r="J120" i="17" s="1"/>
  <c r="G223" i="23"/>
  <c r="I223" i="23" s="1"/>
  <c r="I105" i="21"/>
  <c r="J105" i="21" s="1"/>
  <c r="I140" i="17"/>
  <c r="J140" i="17" s="1"/>
  <c r="G126" i="23"/>
  <c r="I126" i="23" s="1"/>
  <c r="I125" i="21"/>
  <c r="J125" i="21" s="1"/>
  <c r="I542" i="17"/>
  <c r="J542" i="17" s="1"/>
  <c r="G183" i="23"/>
  <c r="I183" i="23" s="1"/>
  <c r="I478" i="17"/>
  <c r="J478" i="17" s="1"/>
  <c r="G120" i="23"/>
  <c r="I432" i="21"/>
  <c r="J432" i="21" s="1"/>
  <c r="I444" i="17"/>
  <c r="J444" i="17" s="1"/>
  <c r="G118" i="23"/>
  <c r="I398" i="21"/>
  <c r="J398" i="21" s="1"/>
  <c r="I384" i="17"/>
  <c r="J384" i="17" s="1"/>
  <c r="G303" i="23"/>
  <c r="I303" i="23" s="1"/>
  <c r="I340" i="21"/>
  <c r="J340" i="21" s="1"/>
  <c r="I339" i="17"/>
  <c r="J339" i="17" s="1"/>
  <c r="G331" i="23"/>
  <c r="I309" i="21"/>
  <c r="J309" i="21" s="1"/>
  <c r="I294" i="17"/>
  <c r="J294" i="17" s="1"/>
  <c r="G190" i="23"/>
  <c r="I190" i="23" s="1"/>
  <c r="I264" i="21"/>
  <c r="J264" i="21" s="1"/>
  <c r="I282" i="17"/>
  <c r="J282" i="17" s="1"/>
  <c r="G296" i="23"/>
  <c r="I296" i="23" s="1"/>
  <c r="I252" i="21"/>
  <c r="J252" i="21" s="1"/>
  <c r="I240" i="17"/>
  <c r="J240" i="17" s="1"/>
  <c r="G327" i="23"/>
  <c r="I218" i="21"/>
  <c r="J218" i="21" s="1"/>
  <c r="I202" i="17"/>
  <c r="J202" i="17" s="1"/>
  <c r="G189" i="23"/>
  <c r="I189" i="23" s="1"/>
  <c r="I186" i="21"/>
  <c r="J186" i="21" s="1"/>
  <c r="I190" i="17"/>
  <c r="J190" i="17" s="1"/>
  <c r="G295" i="23"/>
  <c r="I295" i="23" s="1"/>
  <c r="I174" i="21"/>
  <c r="J174" i="21" s="1"/>
  <c r="I144" i="17"/>
  <c r="J144" i="17" s="1"/>
  <c r="G104" i="23"/>
  <c r="I129" i="21"/>
  <c r="J129" i="21" s="1"/>
  <c r="I82" i="17"/>
  <c r="J82" i="17" s="1"/>
  <c r="G141" i="23"/>
  <c r="I141" i="23" s="1"/>
  <c r="I67" i="21"/>
  <c r="J67" i="21" s="1"/>
  <c r="I92" i="17"/>
  <c r="J92" i="17" s="1"/>
  <c r="G180" i="23"/>
  <c r="I180" i="23" s="1"/>
  <c r="I77" i="21"/>
  <c r="J77" i="21" s="1"/>
  <c r="I538" i="17"/>
  <c r="J538" i="17" s="1"/>
  <c r="G320" i="23"/>
  <c r="I320" i="23" s="1"/>
  <c r="I474" i="17"/>
  <c r="J474" i="17" s="1"/>
  <c r="G107" i="23"/>
  <c r="I428" i="21"/>
  <c r="J428" i="21" s="1"/>
  <c r="I441" i="17"/>
  <c r="J441" i="17" s="1"/>
  <c r="G251" i="23"/>
  <c r="I395" i="21"/>
  <c r="J395" i="21" s="1"/>
  <c r="I383" i="17"/>
  <c r="J383" i="17" s="1"/>
  <c r="G188" i="23"/>
  <c r="I188" i="23" s="1"/>
  <c r="I339" i="21"/>
  <c r="J339" i="21" s="1"/>
  <c r="I335" i="17"/>
  <c r="J335" i="17" s="1"/>
  <c r="G371" i="23"/>
  <c r="I305" i="21"/>
  <c r="J305" i="21" s="1"/>
  <c r="I293" i="17"/>
  <c r="J293" i="17" s="1"/>
  <c r="G261" i="23"/>
  <c r="I261" i="23" s="1"/>
  <c r="I263" i="21"/>
  <c r="J263" i="21" s="1"/>
  <c r="G314" i="23"/>
  <c r="I225" i="17"/>
  <c r="J225" i="17" s="1"/>
  <c r="G169" i="23"/>
  <c r="I169" i="23" s="1"/>
  <c r="I203" i="21"/>
  <c r="J203" i="21" s="1"/>
  <c r="G260" i="23"/>
  <c r="I260" i="23" s="1"/>
  <c r="I185" i="21"/>
  <c r="J185" i="21" s="1"/>
  <c r="G69" i="23"/>
  <c r="I69" i="23" s="1"/>
  <c r="I170" i="21"/>
  <c r="J170" i="21" s="1"/>
  <c r="I83" i="17"/>
  <c r="J83" i="17" s="1"/>
  <c r="G158" i="23"/>
  <c r="I158" i="23" s="1"/>
  <c r="I64" i="24" s="1"/>
  <c r="I68" i="21"/>
  <c r="J68" i="21" s="1"/>
  <c r="Q207" i="17"/>
  <c r="P191" i="21"/>
  <c r="Q191" i="21" s="1"/>
  <c r="J50" i="17"/>
  <c r="J49" i="17"/>
  <c r="J97" i="17"/>
  <c r="Q114" i="17"/>
  <c r="J292" i="17"/>
  <c r="J200" i="17"/>
  <c r="Q60" i="17"/>
  <c r="I381" i="17"/>
  <c r="I332" i="17"/>
  <c r="J291" i="17"/>
  <c r="J277" i="17"/>
  <c r="J175" i="17"/>
  <c r="J377" i="17"/>
  <c r="J289" i="17"/>
  <c r="J71" i="17"/>
  <c r="I261" i="17"/>
  <c r="J196" i="17"/>
  <c r="I409" i="17"/>
  <c r="I369" i="17"/>
  <c r="I287" i="17"/>
  <c r="J207" i="17"/>
  <c r="Q100" i="17"/>
  <c r="J46" i="17"/>
  <c r="J452" i="17"/>
  <c r="I299" i="17"/>
  <c r="J94" i="17"/>
  <c r="I236" i="17"/>
  <c r="J112" i="17"/>
  <c r="J118" i="17"/>
  <c r="J129" i="17"/>
  <c r="I141" i="17"/>
  <c r="I565" i="17"/>
  <c r="I497" i="17"/>
  <c r="I353" i="17"/>
  <c r="I285" i="17"/>
  <c r="I148" i="17"/>
  <c r="J93" i="17"/>
  <c r="I552" i="17"/>
  <c r="I295" i="17"/>
  <c r="I203" i="17"/>
  <c r="I191" i="17"/>
  <c r="I145" i="17"/>
  <c r="I161" i="17"/>
  <c r="I279" i="17"/>
  <c r="I201" i="17"/>
  <c r="I185" i="17"/>
  <c r="I97" i="12"/>
  <c r="J97" i="12" s="1"/>
  <c r="I95" i="12"/>
  <c r="J95" i="12" s="1"/>
  <c r="I105" i="12"/>
  <c r="J105" i="12" s="1"/>
  <c r="I22" i="12"/>
  <c r="J22" i="12" s="1"/>
  <c r="I14" i="12"/>
  <c r="J14" i="12" s="1"/>
  <c r="I20" i="12"/>
  <c r="J20" i="12" s="1"/>
  <c r="I29" i="12"/>
  <c r="J29" i="12" s="1"/>
  <c r="I41" i="12"/>
  <c r="J41" i="12" s="1"/>
  <c r="I129" i="12"/>
  <c r="J129" i="12" s="1"/>
  <c r="I117" i="12"/>
  <c r="J117" i="12" s="1"/>
  <c r="I103" i="12"/>
  <c r="J103" i="12" s="1"/>
  <c r="I91" i="12"/>
  <c r="J91" i="12" s="1"/>
  <c r="I79" i="12"/>
  <c r="J79" i="12" s="1"/>
  <c r="I180" i="12"/>
  <c r="J180" i="12" s="1"/>
  <c r="I154" i="12"/>
  <c r="J154" i="12" s="1"/>
  <c r="I142" i="12"/>
  <c r="J142" i="12" s="1"/>
  <c r="I118" i="12"/>
  <c r="J118" i="12" s="1"/>
  <c r="I104" i="12"/>
  <c r="J104" i="12" s="1"/>
  <c r="I80" i="12"/>
  <c r="J80" i="12" s="1"/>
  <c r="I179" i="12"/>
  <c r="J179" i="12" s="1"/>
  <c r="I57" i="12"/>
  <c r="J57" i="12" s="1"/>
  <c r="I63" i="12"/>
  <c r="J63" i="12" s="1"/>
  <c r="I190" i="12"/>
  <c r="J190" i="12" s="1"/>
  <c r="I178" i="12"/>
  <c r="J178" i="12" s="1"/>
  <c r="I165" i="12"/>
  <c r="J165" i="12" s="1"/>
  <c r="I152" i="12"/>
  <c r="J152" i="12" s="1"/>
  <c r="I140" i="12"/>
  <c r="J140" i="12" s="1"/>
  <c r="I128" i="12"/>
  <c r="J128" i="12" s="1"/>
  <c r="I116" i="12"/>
  <c r="J116" i="12" s="1"/>
  <c r="I102" i="12"/>
  <c r="J102" i="12" s="1"/>
  <c r="I90" i="12"/>
  <c r="J90" i="12" s="1"/>
  <c r="I78" i="12"/>
  <c r="J78" i="12" s="1"/>
  <c r="I16" i="12"/>
  <c r="J16" i="12" s="1"/>
  <c r="I25" i="12"/>
  <c r="J25" i="12" s="1"/>
  <c r="I23" i="12"/>
  <c r="J23" i="12" s="1"/>
  <c r="I32" i="12"/>
  <c r="J32" i="12" s="1"/>
  <c r="I44" i="12"/>
  <c r="J44" i="12" s="1"/>
  <c r="I181" i="12"/>
  <c r="J181" i="12" s="1"/>
  <c r="I155" i="12"/>
  <c r="J155" i="12" s="1"/>
  <c r="I143" i="12"/>
  <c r="J143" i="12" s="1"/>
  <c r="I192" i="12"/>
  <c r="J192" i="12" s="1"/>
  <c r="I168" i="12"/>
  <c r="J168" i="12" s="1"/>
  <c r="S130" i="12"/>
  <c r="I92" i="12"/>
  <c r="J92" i="12" s="1"/>
  <c r="I191" i="12"/>
  <c r="J191" i="12" s="1"/>
  <c r="I166" i="12"/>
  <c r="J166" i="12" s="1"/>
  <c r="I51" i="12"/>
  <c r="J51" i="12" s="1"/>
  <c r="I60" i="12"/>
  <c r="J60" i="12" s="1"/>
  <c r="I15" i="12"/>
  <c r="J15" i="12" s="1"/>
  <c r="I21" i="12"/>
  <c r="J21" i="12" s="1"/>
  <c r="I24" i="12"/>
  <c r="J24" i="12" s="1"/>
  <c r="I27" i="12"/>
  <c r="J27" i="12" s="1"/>
  <c r="I30" i="12"/>
  <c r="J30" i="12" s="1"/>
  <c r="I33" i="12"/>
  <c r="J33" i="12" s="1"/>
  <c r="I36" i="12"/>
  <c r="J36" i="12" s="1"/>
  <c r="I39" i="12"/>
  <c r="J39" i="12" s="1"/>
  <c r="I42" i="12"/>
  <c r="J42" i="12" s="1"/>
  <c r="I45" i="12"/>
  <c r="J45" i="12" s="1"/>
  <c r="S48" i="12"/>
  <c r="I189" i="12"/>
  <c r="J189" i="12" s="1"/>
  <c r="I177" i="12"/>
  <c r="J177" i="12" s="1"/>
  <c r="I164" i="12"/>
  <c r="J164" i="12" s="1"/>
  <c r="I151" i="12"/>
  <c r="J151" i="12" s="1"/>
  <c r="I139" i="12"/>
  <c r="J139" i="12" s="1"/>
  <c r="I127" i="12"/>
  <c r="J127" i="12" s="1"/>
  <c r="I115" i="12"/>
  <c r="J115" i="12" s="1"/>
  <c r="I101" i="12"/>
  <c r="J101" i="12" s="1"/>
  <c r="I89" i="12"/>
  <c r="J89" i="12" s="1"/>
  <c r="I77" i="12"/>
  <c r="J77" i="12" s="1"/>
  <c r="I38" i="12"/>
  <c r="J38" i="12" s="1"/>
  <c r="I193" i="12"/>
  <c r="J193" i="12" s="1"/>
  <c r="I169" i="12"/>
  <c r="J169" i="12" s="1"/>
  <c r="I131" i="12"/>
  <c r="J131" i="12" s="1"/>
  <c r="I162" i="12"/>
  <c r="J162" i="12" s="1"/>
  <c r="I188" i="12"/>
  <c r="J188" i="12" s="1"/>
  <c r="I176" i="12"/>
  <c r="J176" i="12" s="1"/>
  <c r="I163" i="12"/>
  <c r="J163" i="12" s="1"/>
  <c r="I150" i="12"/>
  <c r="J150" i="12" s="1"/>
  <c r="I138" i="12"/>
  <c r="J138" i="12" s="1"/>
  <c r="I126" i="12"/>
  <c r="J126" i="12" s="1"/>
  <c r="I100" i="12"/>
  <c r="J100" i="12" s="1"/>
  <c r="I88" i="12"/>
  <c r="J88" i="12" s="1"/>
  <c r="I76" i="12"/>
  <c r="J76" i="12" s="1"/>
  <c r="I28" i="12"/>
  <c r="J28" i="12" s="1"/>
  <c r="I17" i="12"/>
  <c r="J17" i="12" s="1"/>
  <c r="I26" i="12"/>
  <c r="J26" i="12" s="1"/>
  <c r="I35" i="12"/>
  <c r="J35" i="12" s="1"/>
  <c r="I47" i="12"/>
  <c r="J47" i="12" s="1"/>
  <c r="I187" i="12"/>
  <c r="J187" i="12" s="1"/>
  <c r="I175" i="12"/>
  <c r="J175" i="12" s="1"/>
  <c r="I137" i="12"/>
  <c r="J137" i="12" s="1"/>
  <c r="I113" i="12"/>
  <c r="J113" i="12" s="1"/>
  <c r="I99" i="12"/>
  <c r="J99" i="12" s="1"/>
  <c r="I87" i="12"/>
  <c r="J87" i="12" s="1"/>
  <c r="I75" i="12"/>
  <c r="J75" i="12" s="1"/>
  <c r="I49" i="12"/>
  <c r="J49" i="12" s="1"/>
  <c r="I52" i="12"/>
  <c r="J52" i="12" s="1"/>
  <c r="I55" i="12"/>
  <c r="J55" i="12" s="1"/>
  <c r="I58" i="12"/>
  <c r="J58" i="12" s="1"/>
  <c r="I61" i="12"/>
  <c r="J61" i="12" s="1"/>
  <c r="I64" i="12"/>
  <c r="J64" i="12" s="1"/>
  <c r="I123" i="12"/>
  <c r="J123" i="12" s="1"/>
  <c r="I186" i="12"/>
  <c r="J186" i="12" s="1"/>
  <c r="I174" i="12"/>
  <c r="J174" i="12" s="1"/>
  <c r="I161" i="12"/>
  <c r="J161" i="12" s="1"/>
  <c r="I148" i="12"/>
  <c r="J148" i="12" s="1"/>
  <c r="I124" i="12"/>
  <c r="J124" i="12" s="1"/>
  <c r="I112" i="12"/>
  <c r="J112" i="12" s="1"/>
  <c r="I98" i="12"/>
  <c r="J98" i="12" s="1"/>
  <c r="I86" i="12"/>
  <c r="J86" i="12" s="1"/>
  <c r="I72" i="12"/>
  <c r="J72" i="12" s="1"/>
  <c r="I173" i="12"/>
  <c r="J173" i="12" s="1"/>
  <c r="I160" i="12"/>
  <c r="J160" i="12" s="1"/>
  <c r="I111" i="12"/>
  <c r="J111" i="12" s="1"/>
  <c r="I85" i="12"/>
  <c r="J85" i="12" s="1"/>
  <c r="I184" i="12"/>
  <c r="J184" i="12" s="1"/>
  <c r="I172" i="12"/>
  <c r="J172" i="12" s="1"/>
  <c r="I159" i="12"/>
  <c r="J159" i="12" s="1"/>
  <c r="I146" i="12"/>
  <c r="J146" i="12" s="1"/>
  <c r="I134" i="12"/>
  <c r="J134" i="12" s="1"/>
  <c r="I122" i="12"/>
  <c r="J122" i="12" s="1"/>
  <c r="I110" i="12"/>
  <c r="J110" i="12" s="1"/>
  <c r="I96" i="12"/>
  <c r="J96" i="12" s="1"/>
  <c r="I84" i="12"/>
  <c r="J84" i="12" s="1"/>
  <c r="I70" i="12"/>
  <c r="J70" i="12" s="1"/>
  <c r="I135" i="12"/>
  <c r="J135" i="12" s="1"/>
  <c r="I195" i="12"/>
  <c r="J195" i="12" s="1"/>
  <c r="I183" i="12"/>
  <c r="J183" i="12" s="1"/>
  <c r="I171" i="12"/>
  <c r="J171" i="12" s="1"/>
  <c r="I158" i="12"/>
  <c r="J158" i="12" s="1"/>
  <c r="I145" i="12"/>
  <c r="J145" i="12" s="1"/>
  <c r="I19" i="12"/>
  <c r="J19" i="12" s="1"/>
  <c r="I31" i="12"/>
  <c r="J31" i="12" s="1"/>
  <c r="I34" i="12"/>
  <c r="J34" i="12" s="1"/>
  <c r="I37" i="12"/>
  <c r="J37" i="12" s="1"/>
  <c r="I40" i="12"/>
  <c r="J40" i="12" s="1"/>
  <c r="I43" i="12"/>
  <c r="J43" i="12" s="1"/>
  <c r="I46" i="12"/>
  <c r="J46" i="12" s="1"/>
  <c r="I121" i="12"/>
  <c r="J121" i="12" s="1"/>
  <c r="I109" i="12"/>
  <c r="J109" i="12" s="1"/>
  <c r="I50" i="12"/>
  <c r="J50" i="12" s="1"/>
  <c r="I53" i="12"/>
  <c r="J53" i="12" s="1"/>
  <c r="I56" i="12"/>
  <c r="J56" i="12" s="1"/>
  <c r="I59" i="12"/>
  <c r="J59" i="12" s="1"/>
  <c r="I62" i="12"/>
  <c r="J62" i="12" s="1"/>
  <c r="I65" i="12"/>
  <c r="J65" i="12" s="1"/>
  <c r="I194" i="12"/>
  <c r="J194" i="12" s="1"/>
  <c r="I182" i="12"/>
  <c r="J182" i="12" s="1"/>
  <c r="I170" i="12"/>
  <c r="J170" i="12" s="1"/>
  <c r="I156" i="12"/>
  <c r="J156" i="12" s="1"/>
  <c r="I144" i="12"/>
  <c r="J144" i="12" s="1"/>
  <c r="I132" i="12"/>
  <c r="J132" i="12" s="1"/>
  <c r="I120" i="12"/>
  <c r="J120" i="12" s="1"/>
  <c r="I108" i="12"/>
  <c r="J108" i="12" s="1"/>
  <c r="I94" i="12"/>
  <c r="J94" i="12" s="1"/>
  <c r="I82" i="12"/>
  <c r="J82" i="12" s="1"/>
  <c r="I68" i="12"/>
  <c r="J68" i="12" s="1"/>
  <c r="I157" i="12"/>
  <c r="J157" i="12" s="1"/>
  <c r="O73" i="12"/>
  <c r="I74" i="12"/>
  <c r="J74" i="12" s="1"/>
  <c r="I167" i="12"/>
  <c r="J167" i="12" s="1"/>
  <c r="I235" i="17"/>
  <c r="S116" i="12"/>
  <c r="S17" i="12"/>
  <c r="S184" i="12"/>
  <c r="S169" i="12"/>
  <c r="S55" i="12"/>
  <c r="S96" i="12"/>
  <c r="S28" i="12"/>
  <c r="S109" i="12"/>
  <c r="S159" i="12"/>
  <c r="S52" i="12"/>
  <c r="S75" i="12"/>
  <c r="S156" i="12"/>
  <c r="S120" i="12"/>
  <c r="S162" i="12"/>
  <c r="S176" i="12"/>
  <c r="S100" i="12"/>
  <c r="S112" i="12"/>
  <c r="S19" i="12"/>
  <c r="S54" i="12"/>
  <c r="S62" i="12"/>
  <c r="S160" i="12"/>
  <c r="S60" i="12"/>
  <c r="S155" i="12"/>
  <c r="S168" i="12"/>
  <c r="S183" i="12"/>
  <c r="S84" i="12"/>
  <c r="S61" i="12"/>
  <c r="S146" i="12"/>
  <c r="S16" i="12"/>
  <c r="S81" i="12"/>
  <c r="S124" i="12"/>
  <c r="S171" i="12"/>
  <c r="S179" i="12"/>
  <c r="S44" i="12"/>
  <c r="S87" i="12"/>
  <c r="S20" i="12"/>
  <c r="S23" i="12"/>
  <c r="S51" i="12"/>
  <c r="S69" i="12"/>
  <c r="S71" i="12"/>
  <c r="S141" i="12"/>
  <c r="S143" i="12"/>
  <c r="S172" i="12"/>
  <c r="S197" i="12"/>
  <c r="S45" i="12"/>
  <c r="S37" i="12"/>
  <c r="S40" i="12"/>
  <c r="S132" i="12"/>
  <c r="S134" i="12"/>
  <c r="S15" i="12"/>
  <c r="S49" i="12"/>
  <c r="S65" i="12"/>
  <c r="S70" i="12"/>
  <c r="S123" i="12"/>
  <c r="S126" i="12"/>
  <c r="S129" i="12"/>
  <c r="S43" i="12"/>
  <c r="S46" i="12"/>
  <c r="S63" i="12"/>
  <c r="S86" i="12"/>
  <c r="S95" i="12"/>
  <c r="S98" i="12"/>
  <c r="S101" i="12"/>
  <c r="S38" i="12"/>
  <c r="S41" i="12"/>
  <c r="S188" i="12"/>
  <c r="S195" i="12"/>
  <c r="S82" i="12"/>
  <c r="S93" i="12"/>
  <c r="S113" i="12"/>
  <c r="S131" i="12"/>
  <c r="S150" i="12"/>
  <c r="S167" i="12"/>
  <c r="S128" i="12"/>
  <c r="S151" i="12"/>
  <c r="S18" i="12"/>
  <c r="S39" i="12"/>
  <c r="S42" i="12"/>
  <c r="S50" i="12"/>
  <c r="S59" i="12"/>
  <c r="S140" i="12"/>
  <c r="S173" i="12"/>
  <c r="S178" i="12"/>
  <c r="S181" i="12"/>
  <c r="S186" i="12"/>
  <c r="S190" i="12"/>
  <c r="S193" i="12"/>
  <c r="S196" i="12"/>
  <c r="S33" i="12"/>
  <c r="S36" i="12"/>
  <c r="S105" i="12"/>
  <c r="S108" i="12"/>
  <c r="S194" i="12"/>
  <c r="S30" i="12"/>
  <c r="S89" i="12"/>
  <c r="S92" i="12"/>
  <c r="T92" i="12" s="1"/>
  <c r="S97" i="12"/>
  <c r="S144" i="12"/>
  <c r="S187" i="12"/>
  <c r="S27" i="12"/>
  <c r="S34" i="12"/>
  <c r="S76" i="12"/>
  <c r="S127" i="12"/>
  <c r="S133" i="12"/>
  <c r="S137" i="12"/>
  <c r="S154" i="12"/>
  <c r="S22" i="12"/>
  <c r="S25" i="12"/>
  <c r="S117" i="12"/>
  <c r="S145" i="12"/>
  <c r="S107" i="12"/>
  <c r="I107" i="12"/>
  <c r="J107" i="12" s="1"/>
  <c r="S64" i="12"/>
  <c r="S118" i="12"/>
  <c r="S122" i="12"/>
  <c r="S139" i="12"/>
  <c r="S158" i="12"/>
  <c r="S161" i="12"/>
  <c r="S165" i="12"/>
  <c r="S166" i="12"/>
  <c r="S47" i="12"/>
  <c r="S67" i="12"/>
  <c r="S77" i="12"/>
  <c r="S138" i="12"/>
  <c r="S149" i="12"/>
  <c r="S163" i="12"/>
  <c r="S21" i="12"/>
  <c r="S57" i="12"/>
  <c r="S85" i="12"/>
  <c r="S90" i="12"/>
  <c r="S115" i="12"/>
  <c r="S31" i="12"/>
  <c r="I48" i="12"/>
  <c r="J48" i="12" s="1"/>
  <c r="S66" i="12"/>
  <c r="S83" i="12"/>
  <c r="S88" i="12"/>
  <c r="S35" i="12"/>
  <c r="S53" i="12"/>
  <c r="S104" i="12"/>
  <c r="S119" i="12"/>
  <c r="S148" i="12"/>
  <c r="S14" i="12"/>
  <c r="I18" i="12"/>
  <c r="J18" i="12" s="1"/>
  <c r="S68" i="12"/>
  <c r="S174" i="12"/>
  <c r="S182" i="12"/>
  <c r="S191" i="12"/>
  <c r="S135" i="12"/>
  <c r="I54" i="12"/>
  <c r="J54" i="12" s="1"/>
  <c r="S72" i="12"/>
  <c r="S78" i="12"/>
  <c r="S102" i="12"/>
  <c r="S121" i="12"/>
  <c r="S32" i="12"/>
  <c r="S80" i="12"/>
  <c r="S94" i="12"/>
  <c r="S99" i="12"/>
  <c r="S111" i="12"/>
  <c r="S58" i="12"/>
  <c r="S142" i="12"/>
  <c r="S175" i="12"/>
  <c r="S177" i="12"/>
  <c r="S180" i="12"/>
  <c r="S91" i="12"/>
  <c r="S74" i="12"/>
  <c r="S79" i="12"/>
  <c r="J93" i="12"/>
  <c r="S114" i="12"/>
  <c r="I114" i="12"/>
  <c r="S26" i="12"/>
  <c r="S56" i="12"/>
  <c r="S103" i="12"/>
  <c r="S24" i="12"/>
  <c r="S29" i="12"/>
  <c r="I153" i="12"/>
  <c r="S153" i="12"/>
  <c r="I66" i="12"/>
  <c r="I67" i="12"/>
  <c r="I147" i="12"/>
  <c r="S147" i="12"/>
  <c r="I125" i="12"/>
  <c r="S125" i="12"/>
  <c r="J133" i="12"/>
  <c r="I136" i="12"/>
  <c r="S136" i="12"/>
  <c r="S110" i="12"/>
  <c r="I141" i="12"/>
  <c r="I149" i="12"/>
  <c r="I185" i="12"/>
  <c r="S185" i="12"/>
  <c r="J119" i="12"/>
  <c r="I130" i="12"/>
  <c r="S152" i="12"/>
  <c r="S170" i="12"/>
  <c r="S192" i="12"/>
  <c r="S189" i="12"/>
  <c r="S157" i="12"/>
  <c r="S164" i="12"/>
  <c r="J114" i="17" l="1"/>
  <c r="J100" i="17"/>
  <c r="H383" i="21"/>
  <c r="H384" i="21" s="1"/>
  <c r="H381" i="21"/>
  <c r="F381" i="21"/>
  <c r="F382" i="21"/>
  <c r="F385" i="21" s="1"/>
  <c r="F417" i="21" s="1"/>
  <c r="F419" i="21" s="1"/>
  <c r="I96" i="24"/>
  <c r="P143" i="17"/>
  <c r="Q143" i="17" s="1"/>
  <c r="I124" i="24"/>
  <c r="P185" i="17"/>
  <c r="Q185" i="17" s="1"/>
  <c r="I399" i="24"/>
  <c r="P538" i="17"/>
  <c r="I128" i="24"/>
  <c r="P190" i="17"/>
  <c r="Q190" i="17" s="1"/>
  <c r="I208" i="24"/>
  <c r="P294" i="17"/>
  <c r="I79" i="24"/>
  <c r="P116" i="17"/>
  <c r="Q116" i="17" s="1"/>
  <c r="I29" i="24"/>
  <c r="P57" i="17"/>
  <c r="Q57" i="17" s="1"/>
  <c r="I80" i="24"/>
  <c r="I19" i="23"/>
  <c r="P118" i="17"/>
  <c r="Q118" i="17" s="1"/>
  <c r="I129" i="24"/>
  <c r="P199" i="17"/>
  <c r="I50" i="24"/>
  <c r="P94" i="17"/>
  <c r="Q94" i="17" s="1"/>
  <c r="I215" i="24"/>
  <c r="P283" i="17"/>
  <c r="I52" i="24"/>
  <c r="I196" i="23"/>
  <c r="P96" i="17"/>
  <c r="Q96" i="17" s="1"/>
  <c r="I134" i="24"/>
  <c r="I151" i="23"/>
  <c r="P204" i="17"/>
  <c r="I269" i="24"/>
  <c r="P351" i="17"/>
  <c r="I411" i="24"/>
  <c r="P552" i="17"/>
  <c r="I212" i="24"/>
  <c r="P298" i="17"/>
  <c r="I45" i="24"/>
  <c r="P81" i="17"/>
  <c r="Q81" i="17" s="1"/>
  <c r="I156" i="23"/>
  <c r="G157" i="23"/>
  <c r="I220" i="24"/>
  <c r="P286" i="17"/>
  <c r="I168" i="23"/>
  <c r="I341" i="24"/>
  <c r="P457" i="17"/>
  <c r="I223" i="24"/>
  <c r="P289" i="17"/>
  <c r="I342" i="24"/>
  <c r="P458" i="17"/>
  <c r="I67" i="24"/>
  <c r="P86" i="17"/>
  <c r="Q86" i="17" s="1"/>
  <c r="I224" i="24"/>
  <c r="P290" i="17"/>
  <c r="I344" i="24"/>
  <c r="P461" i="17"/>
  <c r="I123" i="24"/>
  <c r="P184" i="17"/>
  <c r="Q184" i="17" s="1"/>
  <c r="I143" i="24"/>
  <c r="P195" i="17"/>
  <c r="I131" i="24"/>
  <c r="P201" i="17"/>
  <c r="P185" i="21" s="1"/>
  <c r="Q185" i="21" s="1"/>
  <c r="I141" i="24"/>
  <c r="P193" i="17"/>
  <c r="I43" i="24"/>
  <c r="I326" i="23"/>
  <c r="P77" i="17"/>
  <c r="Q77" i="17" s="1"/>
  <c r="I40" i="24"/>
  <c r="P74" i="17"/>
  <c r="I288" i="24"/>
  <c r="P381" i="17"/>
  <c r="Q381" i="17" s="1"/>
  <c r="I290" i="24"/>
  <c r="P383" i="17"/>
  <c r="I48" i="24"/>
  <c r="P92" i="17"/>
  <c r="Q92" i="17" s="1"/>
  <c r="I132" i="24"/>
  <c r="P202" i="17"/>
  <c r="I402" i="24"/>
  <c r="P542" i="17"/>
  <c r="I5" i="23"/>
  <c r="G6" i="23"/>
  <c r="P275" i="21"/>
  <c r="Q275" i="21" s="1"/>
  <c r="J275" i="21"/>
  <c r="J192" i="17"/>
  <c r="I160" i="17"/>
  <c r="J160" i="17" s="1"/>
  <c r="G99" i="23"/>
  <c r="I99" i="23" s="1"/>
  <c r="I145" i="21"/>
  <c r="J145" i="21" s="1"/>
  <c r="I161" i="24"/>
  <c r="P235" i="17"/>
  <c r="Q235" i="17" s="1"/>
  <c r="I254" i="24"/>
  <c r="P353" i="17"/>
  <c r="Q353" i="17" s="1"/>
  <c r="I47" i="24"/>
  <c r="P91" i="17"/>
  <c r="Q91" i="17" s="1"/>
  <c r="I38" i="24"/>
  <c r="P72" i="17"/>
  <c r="Q72" i="17" s="1"/>
  <c r="I25" i="24"/>
  <c r="P53" i="17"/>
  <c r="Q53" i="17" s="1"/>
  <c r="I55" i="24"/>
  <c r="P99" i="17"/>
  <c r="Q99" i="17" s="1"/>
  <c r="I142" i="24"/>
  <c r="P194" i="17"/>
  <c r="I222" i="24"/>
  <c r="P288" i="17"/>
  <c r="I145" i="24"/>
  <c r="P197" i="17"/>
  <c r="I37" i="24"/>
  <c r="P71" i="17"/>
  <c r="Q71" i="17" s="1"/>
  <c r="I146" i="24"/>
  <c r="P198" i="17"/>
  <c r="I396" i="24"/>
  <c r="P535" i="17"/>
  <c r="I165" i="24"/>
  <c r="P236" i="17"/>
  <c r="P214" i="21" s="1"/>
  <c r="Q214" i="21" s="1"/>
  <c r="I160" i="24"/>
  <c r="P225" i="17"/>
  <c r="I139" i="24"/>
  <c r="P191" i="17"/>
  <c r="P175" i="21" s="1"/>
  <c r="Q175" i="21" s="1"/>
  <c r="I135" i="24"/>
  <c r="P205" i="17"/>
  <c r="I176" i="23"/>
  <c r="I174" i="23"/>
  <c r="I24" i="24"/>
  <c r="P52" i="17"/>
  <c r="Q52" i="17" s="1"/>
  <c r="I340" i="24"/>
  <c r="P456" i="17"/>
  <c r="I219" i="24"/>
  <c r="P285" i="17"/>
  <c r="P255" i="21" s="1"/>
  <c r="Q255" i="21" s="1"/>
  <c r="J38" i="17"/>
  <c r="J60" i="17"/>
  <c r="J40" i="17"/>
  <c r="J117" i="21"/>
  <c r="J118" i="21" s="1"/>
  <c r="J55" i="17"/>
  <c r="I56" i="24"/>
  <c r="P82" i="17"/>
  <c r="Q82" i="17" s="1"/>
  <c r="I291" i="24"/>
  <c r="P384" i="17"/>
  <c r="I92" i="24"/>
  <c r="P140" i="17"/>
  <c r="Q140" i="17" s="1"/>
  <c r="I54" i="24"/>
  <c r="P98" i="17"/>
  <c r="Q98" i="17" s="1"/>
  <c r="I11" i="24"/>
  <c r="P39" i="17"/>
  <c r="Q39" i="17" s="1"/>
  <c r="I103" i="24"/>
  <c r="P161" i="17"/>
  <c r="P146" i="21" s="1"/>
  <c r="Q146" i="21" s="1"/>
  <c r="I30" i="24"/>
  <c r="P64" i="17"/>
  <c r="Q64" i="17" s="1"/>
  <c r="I200" i="24"/>
  <c r="P277" i="17"/>
  <c r="I66" i="24"/>
  <c r="P85" i="17"/>
  <c r="Q85" i="17" s="1"/>
  <c r="I265" i="24"/>
  <c r="P347" i="17"/>
  <c r="I218" i="24"/>
  <c r="P284" i="17"/>
  <c r="I69" i="24"/>
  <c r="P88" i="17"/>
  <c r="Q88" i="17" s="1"/>
  <c r="I32" i="24"/>
  <c r="P66" i="17"/>
  <c r="Q66" i="17" s="1"/>
  <c r="I22" i="24"/>
  <c r="P50" i="17"/>
  <c r="I70" i="24"/>
  <c r="P89" i="17"/>
  <c r="Q89" i="17" s="1"/>
  <c r="I136" i="24"/>
  <c r="P206" i="17"/>
  <c r="I217" i="24"/>
  <c r="P302" i="17"/>
  <c r="I274" i="23"/>
  <c r="I18" i="24"/>
  <c r="P59" i="17"/>
  <c r="Q59" i="17" s="1"/>
  <c r="I156" i="24"/>
  <c r="P221" i="17"/>
  <c r="I277" i="24"/>
  <c r="P377" i="17"/>
  <c r="I16" i="24"/>
  <c r="P49" i="17"/>
  <c r="I157" i="24"/>
  <c r="P222" i="17"/>
  <c r="I287" i="24"/>
  <c r="P380" i="17"/>
  <c r="I159" i="24"/>
  <c r="P224" i="17"/>
  <c r="I289" i="24"/>
  <c r="P382" i="17"/>
  <c r="J90" i="17"/>
  <c r="J84" i="17"/>
  <c r="J51" i="17"/>
  <c r="I8" i="23"/>
  <c r="I91" i="24"/>
  <c r="P131" i="17"/>
  <c r="Q131" i="17" s="1"/>
  <c r="I53" i="24"/>
  <c r="P97" i="17"/>
  <c r="Q97" i="17" s="1"/>
  <c r="I221" i="24"/>
  <c r="P287" i="17"/>
  <c r="P257" i="21" s="1"/>
  <c r="Q257" i="21" s="1"/>
  <c r="I144" i="24"/>
  <c r="P196" i="17"/>
  <c r="I207" i="24"/>
  <c r="I262" i="23"/>
  <c r="P293" i="17"/>
  <c r="I204" i="24"/>
  <c r="P282" i="17"/>
  <c r="I82" i="24"/>
  <c r="I224" i="23"/>
  <c r="P120" i="17"/>
  <c r="Q120" i="17" s="1"/>
  <c r="I51" i="24"/>
  <c r="P95" i="17"/>
  <c r="Q95" i="17" s="1"/>
  <c r="I26" i="24"/>
  <c r="P54" i="17"/>
  <c r="Q54" i="17" s="1"/>
  <c r="I72" i="23"/>
  <c r="I89" i="24"/>
  <c r="P129" i="17"/>
  <c r="Q129" i="17" s="1"/>
  <c r="I205" i="24"/>
  <c r="P291" i="17"/>
  <c r="I6" i="24"/>
  <c r="P46" i="17"/>
  <c r="Q46" i="17" s="1"/>
  <c r="I81" i="24"/>
  <c r="I319" i="23"/>
  <c r="P119" i="17"/>
  <c r="Q119" i="17" s="1"/>
  <c r="I173" i="24"/>
  <c r="P248" i="17"/>
  <c r="I294" i="24"/>
  <c r="I106" i="23"/>
  <c r="P396" i="17"/>
  <c r="I27" i="24"/>
  <c r="P55" i="17"/>
  <c r="Q55" i="17" s="1"/>
  <c r="I140" i="24"/>
  <c r="P192" i="17"/>
  <c r="Q192" i="17" s="1"/>
  <c r="I211" i="24"/>
  <c r="P297" i="17"/>
  <c r="I65" i="24"/>
  <c r="P84" i="17"/>
  <c r="Q84" i="17" s="1"/>
  <c r="G29" i="23"/>
  <c r="I28" i="23"/>
  <c r="I10" i="24"/>
  <c r="P38" i="17"/>
  <c r="Q38" i="17" s="1"/>
  <c r="I216" i="24"/>
  <c r="P301" i="17"/>
  <c r="I286" i="24"/>
  <c r="P370" i="17"/>
  <c r="I46" i="24"/>
  <c r="P90" i="17"/>
  <c r="Q90" i="17" s="1"/>
  <c r="I398" i="24"/>
  <c r="P537" i="17"/>
  <c r="I315" i="24"/>
  <c r="P420" i="17"/>
  <c r="I397" i="24"/>
  <c r="P536" i="17"/>
  <c r="I292" i="23"/>
  <c r="P83" i="17"/>
  <c r="Q83" i="17" s="1"/>
  <c r="P269" i="21"/>
  <c r="Q269" i="21" s="1"/>
  <c r="Q299" i="17"/>
  <c r="Q279" i="17"/>
  <c r="J161" i="17"/>
  <c r="J552" i="17"/>
  <c r="J553" i="17" s="1"/>
  <c r="J285" i="17"/>
  <c r="J141" i="17"/>
  <c r="J299" i="17"/>
  <c r="J235" i="17"/>
  <c r="J295" i="17"/>
  <c r="J435" i="17"/>
  <c r="J463" i="17" s="1"/>
  <c r="J353" i="17"/>
  <c r="J145" i="17"/>
  <c r="J287" i="17"/>
  <c r="J185" i="17"/>
  <c r="J191" i="17"/>
  <c r="J261" i="17"/>
  <c r="J394" i="17"/>
  <c r="J201" i="17"/>
  <c r="J203" i="17"/>
  <c r="J148" i="17"/>
  <c r="J497" i="17"/>
  <c r="J503" i="17" s="1"/>
  <c r="J369" i="17"/>
  <c r="J332" i="17"/>
  <c r="J279" i="17"/>
  <c r="J236" i="17"/>
  <c r="J409" i="17"/>
  <c r="J381" i="17"/>
  <c r="S73" i="12"/>
  <c r="I106" i="12"/>
  <c r="J106" i="12" s="1"/>
  <c r="S106" i="12"/>
  <c r="I73" i="12"/>
  <c r="J73" i="12" s="1"/>
  <c r="J149" i="12"/>
  <c r="J141" i="12"/>
  <c r="J67" i="12"/>
  <c r="J66" i="12"/>
  <c r="J153" i="12"/>
  <c r="J114" i="12"/>
  <c r="J185" i="12"/>
  <c r="J125" i="12"/>
  <c r="J147" i="12"/>
  <c r="J130" i="12"/>
  <c r="J136" i="12"/>
  <c r="J151" i="17" l="1"/>
  <c r="P170" i="21"/>
  <c r="Q170" i="21" s="1"/>
  <c r="P116" i="21"/>
  <c r="Q116" i="21" s="1"/>
  <c r="H385" i="21"/>
  <c r="H417" i="21" s="1"/>
  <c r="H418" i="21" s="1"/>
  <c r="F420" i="21"/>
  <c r="F421" i="21" s="1"/>
  <c r="F418" i="21"/>
  <c r="P128" i="21"/>
  <c r="Q128" i="21" s="1"/>
  <c r="Q191" i="17"/>
  <c r="P71" i="21"/>
  <c r="Q71" i="21" s="1"/>
  <c r="P76" i="21"/>
  <c r="Q76" i="21" s="1"/>
  <c r="P81" i="21"/>
  <c r="Q81" i="21" s="1"/>
  <c r="H419" i="21"/>
  <c r="Q552" i="17"/>
  <c r="P337" i="21"/>
  <c r="Q337" i="21" s="1"/>
  <c r="P323" i="21"/>
  <c r="Q323" i="21" s="1"/>
  <c r="Q236" i="17"/>
  <c r="Q285" i="17"/>
  <c r="P213" i="21"/>
  <c r="Q213" i="21" s="1"/>
  <c r="Q161" i="17"/>
  <c r="Q201" i="17"/>
  <c r="P169" i="21"/>
  <c r="Q169" i="21" s="1"/>
  <c r="P125" i="21"/>
  <c r="Q125" i="21" s="1"/>
  <c r="P83" i="21"/>
  <c r="Q83" i="21" s="1"/>
  <c r="P103" i="21"/>
  <c r="Q103" i="21" s="1"/>
  <c r="J132" i="17"/>
  <c r="J135" i="17" s="1"/>
  <c r="J136" i="17" s="1"/>
  <c r="P77" i="21"/>
  <c r="Q77" i="21" s="1"/>
  <c r="P66" i="21"/>
  <c r="Q66" i="21" s="1"/>
  <c r="P39" i="21"/>
  <c r="Q39" i="21" s="1"/>
  <c r="P80" i="21"/>
  <c r="Q80" i="21" s="1"/>
  <c r="P67" i="21"/>
  <c r="Q67" i="21" s="1"/>
  <c r="P42" i="21"/>
  <c r="Q42" i="21" s="1"/>
  <c r="P174" i="21"/>
  <c r="Q174" i="21" s="1"/>
  <c r="J120" i="21"/>
  <c r="J121" i="21" s="1"/>
  <c r="J119" i="21"/>
  <c r="P51" i="21"/>
  <c r="Q51" i="21" s="1"/>
  <c r="P37" i="21"/>
  <c r="Q37" i="21" s="1"/>
  <c r="Q535" i="17"/>
  <c r="P321" i="21"/>
  <c r="Q321" i="21" s="1"/>
  <c r="Q351" i="17"/>
  <c r="Q297" i="17"/>
  <c r="P267" i="21"/>
  <c r="Q267" i="21" s="1"/>
  <c r="P105" i="21"/>
  <c r="Q105" i="21" s="1"/>
  <c r="I285" i="24"/>
  <c r="P369" i="17"/>
  <c r="P70" i="21"/>
  <c r="Q70" i="21" s="1"/>
  <c r="Q377" i="17"/>
  <c r="P317" i="21"/>
  <c r="Q317" i="21" s="1"/>
  <c r="Q347" i="17"/>
  <c r="P56" i="21"/>
  <c r="Q56" i="21" s="1"/>
  <c r="P189" i="21"/>
  <c r="Q189" i="21" s="1"/>
  <c r="Q205" i="17"/>
  <c r="I102" i="24"/>
  <c r="P160" i="17"/>
  <c r="Q160" i="17" s="1"/>
  <c r="I6" i="23"/>
  <c r="I59" i="24"/>
  <c r="P102" i="17"/>
  <c r="P415" i="21"/>
  <c r="Q415" i="21" s="1"/>
  <c r="Q461" i="17"/>
  <c r="I198" i="24"/>
  <c r="P275" i="17"/>
  <c r="P338" i="21"/>
  <c r="Q338" i="21" s="1"/>
  <c r="Q382" i="17"/>
  <c r="P182" i="21"/>
  <c r="Q182" i="21" s="1"/>
  <c r="Q198" i="17"/>
  <c r="Q542" i="17"/>
  <c r="P177" i="21"/>
  <c r="Q177" i="21" s="1"/>
  <c r="Q193" i="17"/>
  <c r="P256" i="21"/>
  <c r="Q256" i="21" s="1"/>
  <c r="Q286" i="17"/>
  <c r="Q204" i="17"/>
  <c r="P188" i="21"/>
  <c r="Q188" i="21" s="1"/>
  <c r="I94" i="24"/>
  <c r="P141" i="17"/>
  <c r="Q282" i="17"/>
  <c r="P252" i="21"/>
  <c r="Q252" i="21" s="1"/>
  <c r="P199" i="21"/>
  <c r="Q199" i="21" s="1"/>
  <c r="Q221" i="17"/>
  <c r="P410" i="21"/>
  <c r="Q410" i="21" s="1"/>
  <c r="Q456" i="17"/>
  <c r="P260" i="21"/>
  <c r="Q260" i="21" s="1"/>
  <c r="Q290" i="17"/>
  <c r="I210" i="24"/>
  <c r="P296" i="17"/>
  <c r="Q294" i="17"/>
  <c r="P264" i="21"/>
  <c r="Q264" i="21" s="1"/>
  <c r="P202" i="21"/>
  <c r="Q202" i="21" s="1"/>
  <c r="Q224" i="17"/>
  <c r="P35" i="21"/>
  <c r="Q35" i="21" s="1"/>
  <c r="Q50" i="17"/>
  <c r="Q202" i="17"/>
  <c r="P186" i="21"/>
  <c r="Q186" i="21" s="1"/>
  <c r="P59" i="21"/>
  <c r="Q59" i="21" s="1"/>
  <c r="Q74" i="17"/>
  <c r="Q199" i="17"/>
  <c r="P183" i="21"/>
  <c r="Q183" i="21" s="1"/>
  <c r="P263" i="21"/>
  <c r="Q263" i="21" s="1"/>
  <c r="Q293" i="17"/>
  <c r="I157" i="23"/>
  <c r="I28" i="24"/>
  <c r="P56" i="17"/>
  <c r="I162" i="24"/>
  <c r="P244" i="17"/>
  <c r="I49" i="24"/>
  <c r="I263" i="23"/>
  <c r="P93" i="17"/>
  <c r="I93" i="24"/>
  <c r="I9" i="23"/>
  <c r="P149" i="17"/>
  <c r="P49" i="21"/>
  <c r="Q49" i="21" s="1"/>
  <c r="Q197" i="17"/>
  <c r="P181" i="21"/>
  <c r="Q181" i="21" s="1"/>
  <c r="I197" i="23"/>
  <c r="I133" i="24"/>
  <c r="P203" i="17"/>
  <c r="P82" i="21"/>
  <c r="Q82" i="21" s="1"/>
  <c r="Q287" i="17"/>
  <c r="P114" i="21"/>
  <c r="Q114" i="21" s="1"/>
  <c r="P352" i="21"/>
  <c r="Q352" i="21" s="1"/>
  <c r="Q396" i="17"/>
  <c r="P74" i="21"/>
  <c r="Q74" i="21" s="1"/>
  <c r="P336" i="21"/>
  <c r="Q336" i="21" s="1"/>
  <c r="Q380" i="17"/>
  <c r="I182" i="24"/>
  <c r="I275" i="23"/>
  <c r="P256" i="17"/>
  <c r="I23" i="24"/>
  <c r="P51" i="17"/>
  <c r="P203" i="21"/>
  <c r="Q203" i="21" s="1"/>
  <c r="Q225" i="17"/>
  <c r="I329" i="23"/>
  <c r="I120" i="24"/>
  <c r="P175" i="17"/>
  <c r="Q195" i="17"/>
  <c r="P179" i="21"/>
  <c r="Q179" i="21" s="1"/>
  <c r="P412" i="21"/>
  <c r="Q412" i="21" s="1"/>
  <c r="Q458" i="17"/>
  <c r="I75" i="24"/>
  <c r="P112" i="17"/>
  <c r="Q538" i="17"/>
  <c r="Q536" i="17"/>
  <c r="Q301" i="17"/>
  <c r="P271" i="21"/>
  <c r="Q271" i="21" s="1"/>
  <c r="P272" i="21"/>
  <c r="Q272" i="21" s="1"/>
  <c r="Q302" i="17"/>
  <c r="I158" i="24"/>
  <c r="P223" i="17"/>
  <c r="P258" i="21"/>
  <c r="Q258" i="21" s="1"/>
  <c r="Q288" i="17"/>
  <c r="P339" i="21"/>
  <c r="Q339" i="21" s="1"/>
  <c r="Q383" i="17"/>
  <c r="Q298" i="17"/>
  <c r="P268" i="21"/>
  <c r="Q268" i="21" s="1"/>
  <c r="Q283" i="17"/>
  <c r="P253" i="21"/>
  <c r="Q253" i="21" s="1"/>
  <c r="P44" i="21"/>
  <c r="Q44" i="21" s="1"/>
  <c r="P73" i="21"/>
  <c r="Q73" i="21" s="1"/>
  <c r="P200" i="21"/>
  <c r="Q200" i="21" s="1"/>
  <c r="Q222" i="17"/>
  <c r="P84" i="21"/>
  <c r="Q84" i="21" s="1"/>
  <c r="P176" i="21"/>
  <c r="Q176" i="21" s="1"/>
  <c r="Q289" i="17"/>
  <c r="P259" i="21"/>
  <c r="Q259" i="21" s="1"/>
  <c r="P79" i="21"/>
  <c r="Q79" i="21" s="1"/>
  <c r="Q370" i="17"/>
  <c r="P376" i="21"/>
  <c r="Q376" i="21" s="1"/>
  <c r="Q420" i="17"/>
  <c r="I12" i="24"/>
  <c r="I29" i="23"/>
  <c r="P40" i="17"/>
  <c r="I324" i="24"/>
  <c r="P438" i="17"/>
  <c r="Q537" i="17"/>
  <c r="P226" i="21"/>
  <c r="Q226" i="21" s="1"/>
  <c r="Q248" i="17"/>
  <c r="Q291" i="17"/>
  <c r="P261" i="21"/>
  <c r="Q261" i="21" s="1"/>
  <c r="Q196" i="17"/>
  <c r="P180" i="21"/>
  <c r="Q180" i="21" s="1"/>
  <c r="Q277" i="17"/>
  <c r="P38" i="21"/>
  <c r="Q38" i="21" s="1"/>
  <c r="P178" i="21"/>
  <c r="Q178" i="21" s="1"/>
  <c r="Q194" i="17"/>
  <c r="P62" i="21"/>
  <c r="Q62" i="21" s="1"/>
  <c r="P69" i="21"/>
  <c r="Q69" i="21" s="1"/>
  <c r="P104" i="21"/>
  <c r="Q104" i="21" s="1"/>
  <c r="P190" i="21"/>
  <c r="Q190" i="21" s="1"/>
  <c r="Q206" i="17"/>
  <c r="P34" i="21"/>
  <c r="Q34" i="21" s="1"/>
  <c r="Q49" i="17"/>
  <c r="Q284" i="17"/>
  <c r="P254" i="21"/>
  <c r="Q254" i="21" s="1"/>
  <c r="Q384" i="17"/>
  <c r="P340" i="21"/>
  <c r="Q340" i="21" s="1"/>
  <c r="P57" i="21"/>
  <c r="Q57" i="21" s="1"/>
  <c r="P40" i="21"/>
  <c r="Q40" i="21" s="1"/>
  <c r="P411" i="21"/>
  <c r="Q411" i="21" s="1"/>
  <c r="Q457" i="17"/>
  <c r="P101" i="21"/>
  <c r="Q101" i="21" s="1"/>
  <c r="P75" i="21"/>
  <c r="Q75" i="21" s="1"/>
  <c r="P106" i="17"/>
  <c r="P91" i="21" s="1"/>
  <c r="Q91" i="21" s="1"/>
  <c r="I63" i="24"/>
  <c r="P68" i="21"/>
  <c r="Q68" i="21" s="1"/>
  <c r="J152" i="17"/>
  <c r="J385" i="17"/>
  <c r="J386" i="17" s="1"/>
  <c r="J505" i="17"/>
  <c r="J504" i="17"/>
  <c r="J506" i="17"/>
  <c r="J507" i="17" s="1"/>
  <c r="J226" i="17"/>
  <c r="J465" i="17"/>
  <c r="J466" i="17"/>
  <c r="J467" i="17" s="1"/>
  <c r="J464" i="17"/>
  <c r="J555" i="17"/>
  <c r="J554" i="17"/>
  <c r="J556" i="17"/>
  <c r="J557" i="17" s="1"/>
  <c r="J426" i="17"/>
  <c r="J306" i="17"/>
  <c r="J133" i="17" l="1"/>
  <c r="J134" i="17"/>
  <c r="H420" i="21"/>
  <c r="H421" i="21" s="1"/>
  <c r="F422" i="21"/>
  <c r="F457" i="21" s="1"/>
  <c r="F459" i="21" s="1"/>
  <c r="J122" i="21"/>
  <c r="J136" i="21" s="1"/>
  <c r="P145" i="21"/>
  <c r="Q145" i="21" s="1"/>
  <c r="P234" i="21"/>
  <c r="Q234" i="21" s="1"/>
  <c r="Q256" i="17"/>
  <c r="P266" i="21"/>
  <c r="Q266" i="21" s="1"/>
  <c r="Q296" i="17"/>
  <c r="Q275" i="17"/>
  <c r="Q56" i="17"/>
  <c r="P41" i="21"/>
  <c r="Q41" i="21" s="1"/>
  <c r="I203" i="24"/>
  <c r="P280" i="17"/>
  <c r="Q149" i="17"/>
  <c r="P134" i="21"/>
  <c r="Q134" i="21" s="1"/>
  <c r="Q175" i="17"/>
  <c r="P160" i="21"/>
  <c r="Q160" i="21" s="1"/>
  <c r="Q40" i="17"/>
  <c r="I196" i="24"/>
  <c r="P267" i="17"/>
  <c r="I10" i="23"/>
  <c r="I154" i="24"/>
  <c r="P218" i="17"/>
  <c r="I209" i="24"/>
  <c r="P295" i="17"/>
  <c r="P392" i="21"/>
  <c r="Q392" i="21" s="1"/>
  <c r="Q438" i="17"/>
  <c r="I271" i="24"/>
  <c r="P371" i="17"/>
  <c r="P87" i="21"/>
  <c r="Q87" i="21" s="1"/>
  <c r="Q102" i="17"/>
  <c r="Q93" i="17"/>
  <c r="P78" i="21"/>
  <c r="Q78" i="21" s="1"/>
  <c r="Q369" i="17"/>
  <c r="Q51" i="17"/>
  <c r="P36" i="21"/>
  <c r="Q36" i="21" s="1"/>
  <c r="I130" i="24"/>
  <c r="I264" i="23"/>
  <c r="P200" i="17"/>
  <c r="I187" i="24"/>
  <c r="P271" i="17"/>
  <c r="Q112" i="17"/>
  <c r="P97" i="21"/>
  <c r="Q97" i="21" s="1"/>
  <c r="Q203" i="17"/>
  <c r="P187" i="21"/>
  <c r="Q187" i="21" s="1"/>
  <c r="P222" i="21"/>
  <c r="Q222" i="21" s="1"/>
  <c r="Q244" i="17"/>
  <c r="P201" i="21"/>
  <c r="Q201" i="21" s="1"/>
  <c r="Q223" i="17"/>
  <c r="I201" i="24"/>
  <c r="P278" i="17"/>
  <c r="Q141" i="17"/>
  <c r="P126" i="21"/>
  <c r="Q126" i="21" s="1"/>
  <c r="Q106" i="17"/>
  <c r="J153" i="17"/>
  <c r="J154" i="17"/>
  <c r="J155" i="17" s="1"/>
  <c r="J387" i="17"/>
  <c r="J137" i="17"/>
  <c r="J388" i="17"/>
  <c r="J389" i="17" s="1"/>
  <c r="J508" i="17"/>
  <c r="J558" i="17"/>
  <c r="J468" i="17"/>
  <c r="J307" i="17"/>
  <c r="J309" i="17"/>
  <c r="J310" i="17" s="1"/>
  <c r="J308" i="17"/>
  <c r="J428" i="17"/>
  <c r="J429" i="17"/>
  <c r="J430" i="17" s="1"/>
  <c r="J427" i="17"/>
  <c r="J229" i="17"/>
  <c r="J230" i="17" s="1"/>
  <c r="J227" i="17"/>
  <c r="J228" i="17"/>
  <c r="H422" i="21" l="1"/>
  <c r="H457" i="21" s="1"/>
  <c r="H459" i="21" s="1"/>
  <c r="F458" i="21"/>
  <c r="F460" i="21"/>
  <c r="F461" i="21" s="1"/>
  <c r="J139" i="21"/>
  <c r="J140" i="21" s="1"/>
  <c r="J138" i="21"/>
  <c r="J137" i="21"/>
  <c r="P265" i="21"/>
  <c r="Q265" i="21" s="1"/>
  <c r="Q295" i="17"/>
  <c r="I11" i="23"/>
  <c r="I226" i="24"/>
  <c r="P305" i="17"/>
  <c r="Q305" i="17" s="1"/>
  <c r="Q280" i="17"/>
  <c r="P245" i="21"/>
  <c r="Q245" i="21" s="1"/>
  <c r="Q267" i="17"/>
  <c r="P249" i="21"/>
  <c r="Q249" i="21" s="1"/>
  <c r="Q271" i="17"/>
  <c r="Q371" i="17"/>
  <c r="P184" i="21"/>
  <c r="Q184" i="21" s="1"/>
  <c r="Q200" i="17"/>
  <c r="I206" i="24"/>
  <c r="P292" i="17"/>
  <c r="Q278" i="17"/>
  <c r="P196" i="21"/>
  <c r="Q196" i="21" s="1"/>
  <c r="Q218" i="17"/>
  <c r="J156" i="17"/>
  <c r="J390" i="17"/>
  <c r="J231" i="17"/>
  <c r="J431" i="17"/>
  <c r="J311" i="17"/>
  <c r="I10" i="10"/>
  <c r="J10" i="10" s="1"/>
  <c r="L534" i="10"/>
  <c r="E526" i="10"/>
  <c r="F526" i="10" s="1"/>
  <c r="F525" i="10"/>
  <c r="F524" i="10"/>
  <c r="F523" i="10"/>
  <c r="E514" i="10"/>
  <c r="F514" i="10" s="1"/>
  <c r="F513" i="10"/>
  <c r="F512" i="10"/>
  <c r="E510" i="10"/>
  <c r="F510" i="10" s="1"/>
  <c r="F509" i="10"/>
  <c r="F508" i="10"/>
  <c r="F507" i="10"/>
  <c r="F506" i="10"/>
  <c r="F505" i="10"/>
  <c r="E504" i="10"/>
  <c r="F504" i="10" s="1"/>
  <c r="F503" i="10"/>
  <c r="F501" i="10"/>
  <c r="E500" i="10"/>
  <c r="F500" i="10" s="1"/>
  <c r="E499" i="10"/>
  <c r="F499" i="10" s="1"/>
  <c r="E498" i="10"/>
  <c r="F498" i="10" s="1"/>
  <c r="E497" i="10"/>
  <c r="F497" i="10" s="1"/>
  <c r="F496" i="10"/>
  <c r="F495" i="10"/>
  <c r="F493" i="10"/>
  <c r="F492" i="10"/>
  <c r="F491" i="10"/>
  <c r="F490" i="10"/>
  <c r="F489" i="10"/>
  <c r="F488" i="10"/>
  <c r="F487" i="10"/>
  <c r="E487" i="10"/>
  <c r="F486" i="10"/>
  <c r="E485" i="10"/>
  <c r="F485" i="10" s="1"/>
  <c r="E484" i="10"/>
  <c r="F484" i="10" s="1"/>
  <c r="E483" i="10"/>
  <c r="F483" i="10" s="1"/>
  <c r="F481" i="10"/>
  <c r="F480" i="10"/>
  <c r="F479" i="10"/>
  <c r="F478" i="10"/>
  <c r="F477" i="10"/>
  <c r="F476" i="10"/>
  <c r="F475" i="10"/>
  <c r="F474" i="10"/>
  <c r="F465" i="10"/>
  <c r="F464" i="10"/>
  <c r="F463" i="10"/>
  <c r="F462" i="10"/>
  <c r="F461" i="10"/>
  <c r="E460" i="10"/>
  <c r="F460" i="10" s="1"/>
  <c r="F459" i="10"/>
  <c r="F458" i="10"/>
  <c r="F457" i="10"/>
  <c r="F456" i="10"/>
  <c r="F455" i="10"/>
  <c r="F454" i="10"/>
  <c r="F453" i="10"/>
  <c r="F452" i="10"/>
  <c r="F450" i="10"/>
  <c r="F449" i="10"/>
  <c r="F448" i="10"/>
  <c r="F447" i="10"/>
  <c r="F446" i="10"/>
  <c r="F445" i="10"/>
  <c r="F444" i="10"/>
  <c r="E443" i="10"/>
  <c r="F443" i="10" s="1"/>
  <c r="E442" i="10"/>
  <c r="F442" i="10" s="1"/>
  <c r="E441" i="10"/>
  <c r="F441" i="10" s="1"/>
  <c r="F439" i="10"/>
  <c r="F438" i="10"/>
  <c r="E437" i="10"/>
  <c r="F437" i="10" s="1"/>
  <c r="E436" i="10"/>
  <c r="F436" i="10" s="1"/>
  <c r="F435" i="10"/>
  <c r="E426" i="10"/>
  <c r="F426" i="10" s="1"/>
  <c r="E425" i="10"/>
  <c r="F425" i="10" s="1"/>
  <c r="F423" i="10"/>
  <c r="E422" i="10"/>
  <c r="F422" i="10" s="1"/>
  <c r="E421" i="10"/>
  <c r="F421" i="10" s="1"/>
  <c r="E420" i="10"/>
  <c r="F420" i="10" s="1"/>
  <c r="F418" i="10"/>
  <c r="F417" i="10"/>
  <c r="E416" i="10"/>
  <c r="F416" i="10" s="1"/>
  <c r="F415" i="10"/>
  <c r="F414" i="10"/>
  <c r="F413" i="10"/>
  <c r="E412" i="10"/>
  <c r="F412" i="10" s="1"/>
  <c r="F411" i="10"/>
  <c r="E410" i="10"/>
  <c r="F410" i="10" s="1"/>
  <c r="E409" i="10"/>
  <c r="F409" i="10" s="1"/>
  <c r="E408" i="10"/>
  <c r="F408" i="10" s="1"/>
  <c r="F407" i="10"/>
  <c r="E405" i="10"/>
  <c r="F405" i="10" s="1"/>
  <c r="F404" i="10"/>
  <c r="F403" i="10"/>
  <c r="E402" i="10"/>
  <c r="F402" i="10" s="1"/>
  <c r="F401" i="10"/>
  <c r="F400" i="10"/>
  <c r="E399" i="10"/>
  <c r="F399" i="10" s="1"/>
  <c r="F390" i="10"/>
  <c r="F389" i="10"/>
  <c r="F388" i="10"/>
  <c r="E388" i="10"/>
  <c r="F387" i="10"/>
  <c r="F386" i="10"/>
  <c r="E385" i="10"/>
  <c r="F385" i="10" s="1"/>
  <c r="F384" i="10"/>
  <c r="F382" i="10"/>
  <c r="F381" i="10"/>
  <c r="F380" i="10"/>
  <c r="E380" i="10"/>
  <c r="F379" i="10"/>
  <c r="F378" i="10"/>
  <c r="F377" i="10"/>
  <c r="E376" i="10"/>
  <c r="F376" i="10" s="1"/>
  <c r="F375" i="10"/>
  <c r="E374" i="10"/>
  <c r="F374" i="10" s="1"/>
  <c r="E373" i="10"/>
  <c r="F373" i="10" s="1"/>
  <c r="E372" i="10"/>
  <c r="F372" i="10" s="1"/>
  <c r="F370" i="10"/>
  <c r="F369" i="10"/>
  <c r="F368" i="10"/>
  <c r="F367" i="10"/>
  <c r="F366" i="10"/>
  <c r="F364" i="10"/>
  <c r="F363" i="10"/>
  <c r="E362" i="10"/>
  <c r="F362" i="10" s="1"/>
  <c r="E361" i="10"/>
  <c r="F361" i="10" s="1"/>
  <c r="F360" i="10"/>
  <c r="E359" i="10"/>
  <c r="F359" i="10" s="1"/>
  <c r="E350" i="10"/>
  <c r="F350" i="10" s="1"/>
  <c r="E349" i="10"/>
  <c r="F349" i="10" s="1"/>
  <c r="E348" i="10"/>
  <c r="F348" i="10" s="1"/>
  <c r="E347" i="10"/>
  <c r="F347" i="10" s="1"/>
  <c r="E346" i="10"/>
  <c r="F346" i="10" s="1"/>
  <c r="F344" i="10"/>
  <c r="E343" i="10"/>
  <c r="F343" i="10" s="1"/>
  <c r="F342" i="10"/>
  <c r="F341" i="10"/>
  <c r="F340" i="10"/>
  <c r="F339" i="10"/>
  <c r="F338" i="10"/>
  <c r="F337" i="10"/>
  <c r="E336" i="10"/>
  <c r="F336" i="10" s="1"/>
  <c r="E335" i="10"/>
  <c r="F335" i="10" s="1"/>
  <c r="F334" i="10"/>
  <c r="F333" i="10"/>
  <c r="F332" i="10"/>
  <c r="F331" i="10"/>
  <c r="F330" i="10"/>
  <c r="E329" i="10"/>
  <c r="F329" i="10" s="1"/>
  <c r="F328" i="10"/>
  <c r="F326" i="10"/>
  <c r="F325" i="10"/>
  <c r="F324" i="10"/>
  <c r="F323" i="10"/>
  <c r="F322" i="10"/>
  <c r="F321" i="10"/>
  <c r="F320" i="10"/>
  <c r="F319" i="10"/>
  <c r="F318" i="10"/>
  <c r="E317" i="10"/>
  <c r="F317" i="10" s="1"/>
  <c r="F316" i="10"/>
  <c r="F315" i="10"/>
  <c r="F314" i="10"/>
  <c r="E313" i="10"/>
  <c r="F313" i="10" s="1"/>
  <c r="F312" i="10"/>
  <c r="F311" i="10"/>
  <c r="F310" i="10"/>
  <c r="F309" i="10"/>
  <c r="F307" i="10"/>
  <c r="F306" i="10"/>
  <c r="E305" i="10"/>
  <c r="F305" i="10" s="1"/>
  <c r="F304" i="10"/>
  <c r="F303" i="10"/>
  <c r="F302" i="10"/>
  <c r="E301" i="10"/>
  <c r="F301" i="10" s="1"/>
  <c r="F300" i="10"/>
  <c r="E299" i="10"/>
  <c r="F299" i="10" s="1"/>
  <c r="E298" i="10"/>
  <c r="F298" i="10" s="1"/>
  <c r="E297" i="10"/>
  <c r="F297" i="10" s="1"/>
  <c r="F295" i="10"/>
  <c r="F294" i="10"/>
  <c r="F293" i="10"/>
  <c r="F292" i="10"/>
  <c r="F291" i="10"/>
  <c r="F290" i="10"/>
  <c r="F289" i="10"/>
  <c r="F287" i="10"/>
  <c r="F286" i="10"/>
  <c r="F285" i="10"/>
  <c r="F284" i="10"/>
  <c r="F283" i="10"/>
  <c r="F282" i="10"/>
  <c r="F281" i="10"/>
  <c r="E272" i="10"/>
  <c r="F272" i="10" s="1"/>
  <c r="F271" i="10"/>
  <c r="E269" i="10"/>
  <c r="F269" i="10" s="1"/>
  <c r="E268" i="10"/>
  <c r="F268" i="10" s="1"/>
  <c r="F267" i="10"/>
  <c r="E266" i="10"/>
  <c r="F266" i="10" s="1"/>
  <c r="E265" i="10"/>
  <c r="F265" i="10" s="1"/>
  <c r="E264" i="10"/>
  <c r="F264" i="10" s="1"/>
  <c r="E263" i="10"/>
  <c r="F263" i="10" s="1"/>
  <c r="E262" i="10"/>
  <c r="F262" i="10" s="1"/>
  <c r="E261" i="10"/>
  <c r="F261" i="10" s="1"/>
  <c r="E260" i="10"/>
  <c r="F260" i="10" s="1"/>
  <c r="F259" i="10"/>
  <c r="E258" i="10"/>
  <c r="F258" i="10" s="1"/>
  <c r="E257" i="10"/>
  <c r="F257" i="10" s="1"/>
  <c r="E256" i="10"/>
  <c r="F256" i="10" s="1"/>
  <c r="E255" i="10"/>
  <c r="F255" i="10" s="1"/>
  <c r="E254" i="10"/>
  <c r="F254" i="10" s="1"/>
  <c r="E253" i="10"/>
  <c r="F253" i="10" s="1"/>
  <c r="E252" i="10"/>
  <c r="F252" i="10" s="1"/>
  <c r="E251" i="10"/>
  <c r="F251" i="10" s="1"/>
  <c r="E250" i="10"/>
  <c r="F250" i="10" s="1"/>
  <c r="E249" i="10"/>
  <c r="F249" i="10" s="1"/>
  <c r="F247" i="10"/>
  <c r="E246" i="10"/>
  <c r="F246" i="10" s="1"/>
  <c r="E245" i="10"/>
  <c r="F245" i="10" s="1"/>
  <c r="E244" i="10"/>
  <c r="F244" i="10" s="1"/>
  <c r="F243" i="10"/>
  <c r="F242" i="10"/>
  <c r="F241" i="10"/>
  <c r="F239" i="10"/>
  <c r="E238" i="10"/>
  <c r="F238" i="10" s="1"/>
  <c r="F237" i="10"/>
  <c r="F236" i="10"/>
  <c r="F235" i="10"/>
  <c r="E234" i="10"/>
  <c r="F234" i="10" s="1"/>
  <c r="F233" i="10"/>
  <c r="F232" i="10"/>
  <c r="F231" i="10"/>
  <c r="E230" i="10"/>
  <c r="F230" i="10" s="1"/>
  <c r="F229" i="10"/>
  <c r="E228" i="10"/>
  <c r="F228" i="10" s="1"/>
  <c r="E227" i="10"/>
  <c r="F227" i="10" s="1"/>
  <c r="E226" i="10"/>
  <c r="F226" i="10" s="1"/>
  <c r="F224" i="10"/>
  <c r="E223" i="10"/>
  <c r="F223" i="10" s="1"/>
  <c r="F222" i="10"/>
  <c r="F221" i="10"/>
  <c r="F220" i="10"/>
  <c r="E219" i="10"/>
  <c r="F219" i="10" s="1"/>
  <c r="F218" i="10"/>
  <c r="E217" i="10"/>
  <c r="F217" i="10" s="1"/>
  <c r="F216" i="10"/>
  <c r="E215" i="10"/>
  <c r="F215" i="10" s="1"/>
  <c r="F213" i="10"/>
  <c r="F212" i="10"/>
  <c r="F211" i="10"/>
  <c r="F210" i="10"/>
  <c r="F209" i="10"/>
  <c r="F208" i="10"/>
  <c r="E207" i="10"/>
  <c r="F207" i="10" s="1"/>
  <c r="F206" i="10"/>
  <c r="F205" i="10"/>
  <c r="F204" i="10"/>
  <c r="E203" i="10"/>
  <c r="F203" i="10" s="1"/>
  <c r="E202" i="10"/>
  <c r="F202" i="10" s="1"/>
  <c r="E193" i="10"/>
  <c r="F193" i="10" s="1"/>
  <c r="E192" i="10"/>
  <c r="F192" i="10" s="1"/>
  <c r="F191" i="10"/>
  <c r="E191" i="10"/>
  <c r="E190" i="10"/>
  <c r="F190" i="10" s="1"/>
  <c r="E189" i="10"/>
  <c r="F189" i="10" s="1"/>
  <c r="F188" i="10"/>
  <c r="E186" i="10"/>
  <c r="F186" i="10" s="1"/>
  <c r="F185" i="10"/>
  <c r="F184" i="10"/>
  <c r="F183" i="10"/>
  <c r="F182" i="10"/>
  <c r="F181" i="10"/>
  <c r="F179" i="10"/>
  <c r="F178" i="10"/>
  <c r="F176" i="10"/>
  <c r="E175" i="10"/>
  <c r="F175" i="10" s="1"/>
  <c r="E174" i="10"/>
  <c r="F174" i="10" s="1"/>
  <c r="E173" i="10"/>
  <c r="F173" i="10" s="1"/>
  <c r="E172" i="10"/>
  <c r="F172" i="10" s="1"/>
  <c r="E171" i="10"/>
  <c r="F171" i="10" s="1"/>
  <c r="E170" i="10"/>
  <c r="F170" i="10" s="1"/>
  <c r="E169" i="10"/>
  <c r="F169" i="10" s="1"/>
  <c r="F168" i="10"/>
  <c r="E167" i="10"/>
  <c r="F167" i="10" s="1"/>
  <c r="E166" i="10"/>
  <c r="F166" i="10" s="1"/>
  <c r="E165" i="10"/>
  <c r="F165" i="10" s="1"/>
  <c r="E164" i="10"/>
  <c r="F164" i="10" s="1"/>
  <c r="E163" i="10"/>
  <c r="F163" i="10" s="1"/>
  <c r="E162" i="10"/>
  <c r="F162" i="10" s="1"/>
  <c r="E161" i="10"/>
  <c r="F161" i="10" s="1"/>
  <c r="F160" i="10"/>
  <c r="E160" i="10"/>
  <c r="E159" i="10"/>
  <c r="F159" i="10" s="1"/>
  <c r="E158" i="10"/>
  <c r="F158" i="10" s="1"/>
  <c r="F156" i="10"/>
  <c r="F155" i="10"/>
  <c r="F154" i="10"/>
  <c r="F153" i="10"/>
  <c r="E153" i="10"/>
  <c r="E152" i="10"/>
  <c r="F152" i="10" s="1"/>
  <c r="F151" i="10"/>
  <c r="F150" i="10"/>
  <c r="F149" i="10"/>
  <c r="F148" i="10"/>
  <c r="F147" i="10"/>
  <c r="F146" i="10"/>
  <c r="F145" i="10"/>
  <c r="F144" i="10"/>
  <c r="E143" i="10"/>
  <c r="F143" i="10" s="1"/>
  <c r="F142" i="10"/>
  <c r="F141" i="10"/>
  <c r="F140" i="10"/>
  <c r="E139" i="10"/>
  <c r="F139" i="10" s="1"/>
  <c r="F138" i="10"/>
  <c r="E137" i="10"/>
  <c r="F137" i="10" s="1"/>
  <c r="E136" i="10"/>
  <c r="F136" i="10" s="1"/>
  <c r="E135" i="10"/>
  <c r="F135" i="10" s="1"/>
  <c r="F133" i="10"/>
  <c r="F132" i="10"/>
  <c r="F131" i="10"/>
  <c r="F130" i="10"/>
  <c r="E129" i="10"/>
  <c r="F129" i="10" s="1"/>
  <c r="E128" i="10"/>
  <c r="F128" i="10" s="1"/>
  <c r="E119" i="10"/>
  <c r="F119" i="10" s="1"/>
  <c r="E118" i="10"/>
  <c r="F118" i="10" s="1"/>
  <c r="F117" i="10"/>
  <c r="E116" i="10"/>
  <c r="F116" i="10" s="1"/>
  <c r="E115" i="10"/>
  <c r="F115" i="10" s="1"/>
  <c r="E114" i="10"/>
  <c r="F114" i="10" s="1"/>
  <c r="E113" i="10"/>
  <c r="F113" i="10" s="1"/>
  <c r="F112" i="10"/>
  <c r="E111" i="10"/>
  <c r="F111" i="10" s="1"/>
  <c r="E110" i="10"/>
  <c r="F110" i="10" s="1"/>
  <c r="E102" i="10"/>
  <c r="F102" i="10" s="1"/>
  <c r="F101" i="10"/>
  <c r="E100" i="10"/>
  <c r="F100" i="10" s="1"/>
  <c r="F99" i="10"/>
  <c r="F97" i="10"/>
  <c r="F96" i="10"/>
  <c r="F95" i="10"/>
  <c r="F94" i="10"/>
  <c r="F92" i="10"/>
  <c r="E91" i="10"/>
  <c r="F91" i="10" s="1"/>
  <c r="E90" i="10"/>
  <c r="F90" i="10" s="1"/>
  <c r="E89" i="10"/>
  <c r="F89" i="10" s="1"/>
  <c r="F88" i="10"/>
  <c r="E87" i="10"/>
  <c r="F87" i="10" s="1"/>
  <c r="F86" i="10"/>
  <c r="E85" i="10"/>
  <c r="F85" i="10" s="1"/>
  <c r="F84" i="10"/>
  <c r="E83" i="10"/>
  <c r="F83" i="10" s="1"/>
  <c r="F82" i="10"/>
  <c r="F81" i="10"/>
  <c r="F80" i="10"/>
  <c r="F79" i="10"/>
  <c r="E77" i="10"/>
  <c r="F77" i="10" s="1"/>
  <c r="F76" i="10"/>
  <c r="E75" i="10"/>
  <c r="F75" i="10" s="1"/>
  <c r="E74" i="10"/>
  <c r="F74" i="10" s="1"/>
  <c r="E73" i="10"/>
  <c r="F73" i="10" s="1"/>
  <c r="E72" i="10"/>
  <c r="F72" i="10" s="1"/>
  <c r="E71" i="10"/>
  <c r="F71" i="10" s="1"/>
  <c r="E70" i="10"/>
  <c r="F70" i="10" s="1"/>
  <c r="E69" i="10"/>
  <c r="F69" i="10" s="1"/>
  <c r="F68" i="10"/>
  <c r="E67" i="10"/>
  <c r="F67" i="10" s="1"/>
  <c r="E66" i="10"/>
  <c r="F66" i="10" s="1"/>
  <c r="E65" i="10"/>
  <c r="F65" i="10" s="1"/>
  <c r="E64" i="10"/>
  <c r="F64" i="10" s="1"/>
  <c r="E63" i="10"/>
  <c r="F63" i="10" s="1"/>
  <c r="F62" i="10"/>
  <c r="E61" i="10"/>
  <c r="F61" i="10" s="1"/>
  <c r="E60" i="10"/>
  <c r="F60" i="10" s="1"/>
  <c r="E59" i="10"/>
  <c r="F59" i="10" s="1"/>
  <c r="E58" i="10"/>
  <c r="F58" i="10" s="1"/>
  <c r="E57" i="10"/>
  <c r="F57" i="10" s="1"/>
  <c r="E56" i="10"/>
  <c r="F56" i="10" s="1"/>
  <c r="F54" i="10"/>
  <c r="F53" i="10"/>
  <c r="E52" i="10"/>
  <c r="F52" i="10" s="1"/>
  <c r="F51" i="10"/>
  <c r="F50" i="10"/>
  <c r="E49" i="10"/>
  <c r="F49" i="10" s="1"/>
  <c r="F48" i="10"/>
  <c r="E47" i="10"/>
  <c r="F47" i="10" s="1"/>
  <c r="E46" i="10"/>
  <c r="F46" i="10" s="1"/>
  <c r="E45" i="10"/>
  <c r="F45" i="10" s="1"/>
  <c r="F43" i="10"/>
  <c r="F42" i="10"/>
  <c r="E41" i="10"/>
  <c r="F41" i="10" s="1"/>
  <c r="E40" i="10"/>
  <c r="F40" i="10" s="1"/>
  <c r="E39" i="10"/>
  <c r="F39" i="10" s="1"/>
  <c r="F37" i="10"/>
  <c r="F36" i="10"/>
  <c r="E35" i="10"/>
  <c r="F35" i="10" s="1"/>
  <c r="E34" i="10"/>
  <c r="F34" i="10" s="1"/>
  <c r="F33" i="10"/>
  <c r="E32" i="10"/>
  <c r="F32" i="10" s="1"/>
  <c r="E31" i="10"/>
  <c r="F31" i="10" s="1"/>
  <c r="E30" i="10"/>
  <c r="F30" i="10" s="1"/>
  <c r="E29" i="10"/>
  <c r="F29" i="10" s="1"/>
  <c r="E28" i="10"/>
  <c r="F28" i="10" s="1"/>
  <c r="E27" i="10"/>
  <c r="F27" i="10" s="1"/>
  <c r="E26" i="10"/>
  <c r="F26" i="10" s="1"/>
  <c r="E25" i="10"/>
  <c r="F25" i="10" s="1"/>
  <c r="E24" i="10"/>
  <c r="F24" i="10" s="1"/>
  <c r="F23" i="10"/>
  <c r="F22" i="10"/>
  <c r="E21" i="10"/>
  <c r="F21" i="10" s="1"/>
  <c r="F20" i="10"/>
  <c r="F19" i="10"/>
  <c r="F18" i="10"/>
  <c r="F17" i="10"/>
  <c r="F16" i="10"/>
  <c r="E15" i="10"/>
  <c r="F15" i="10" s="1"/>
  <c r="E14" i="10"/>
  <c r="F14" i="10" s="1"/>
  <c r="E13" i="10"/>
  <c r="F13" i="10" s="1"/>
  <c r="F12" i="10"/>
  <c r="F11" i="10"/>
  <c r="E10" i="10"/>
  <c r="F10" i="10" s="1"/>
  <c r="H460" i="21" l="1"/>
  <c r="H461" i="21" s="1"/>
  <c r="H458" i="21"/>
  <c r="F462" i="21"/>
  <c r="J141" i="21"/>
  <c r="J204" i="21" s="1"/>
  <c r="Q292" i="17"/>
  <c r="P262" i="21"/>
  <c r="Q262" i="21" s="1"/>
  <c r="I12" i="23"/>
  <c r="I279" i="24"/>
  <c r="P363" i="17"/>
  <c r="J573" i="17"/>
  <c r="F527" i="10"/>
  <c r="F530" i="10" s="1"/>
  <c r="F531" i="10" s="1"/>
  <c r="F194" i="10"/>
  <c r="F195" i="10" s="1"/>
  <c r="F391" i="10"/>
  <c r="F393" i="10" s="1"/>
  <c r="F351" i="10"/>
  <c r="F427" i="10"/>
  <c r="F103" i="10"/>
  <c r="F120" i="10"/>
  <c r="F273" i="10"/>
  <c r="F515" i="10"/>
  <c r="F466" i="10"/>
  <c r="F528" i="10" l="1"/>
  <c r="H462" i="21"/>
  <c r="J206" i="21"/>
  <c r="J207" i="21"/>
  <c r="J208" i="21" s="1"/>
  <c r="J205" i="21"/>
  <c r="I13" i="23"/>
  <c r="I318" i="24"/>
  <c r="P423" i="17"/>
  <c r="Q363" i="17"/>
  <c r="P332" i="21"/>
  <c r="Q332" i="21" s="1"/>
  <c r="F529" i="10"/>
  <c r="F532" i="10" s="1"/>
  <c r="F394" i="10"/>
  <c r="F395" i="10" s="1"/>
  <c r="F392" i="10"/>
  <c r="F196" i="10"/>
  <c r="F197" i="10"/>
  <c r="F198" i="10" s="1"/>
  <c r="F106" i="10"/>
  <c r="F107" i="10" s="1"/>
  <c r="F105" i="10"/>
  <c r="F104" i="10"/>
  <c r="F354" i="10"/>
  <c r="F355" i="10" s="1"/>
  <c r="F352" i="10"/>
  <c r="F353" i="10"/>
  <c r="F274" i="10"/>
  <c r="F276" i="10"/>
  <c r="F277" i="10" s="1"/>
  <c r="F275" i="10"/>
  <c r="F278" i="10" s="1"/>
  <c r="F122" i="10"/>
  <c r="F123" i="10"/>
  <c r="F124" i="10" s="1"/>
  <c r="F121" i="10"/>
  <c r="F430" i="10"/>
  <c r="F431" i="10" s="1"/>
  <c r="F429" i="10"/>
  <c r="F428" i="10"/>
  <c r="F469" i="10"/>
  <c r="F470" i="10" s="1"/>
  <c r="F468" i="10"/>
  <c r="F467" i="10"/>
  <c r="F518" i="10"/>
  <c r="F519" i="10" s="1"/>
  <c r="F517" i="10"/>
  <c r="F516" i="10"/>
  <c r="F520" i="10" s="1"/>
  <c r="H477" i="21" l="1"/>
  <c r="H470" i="21"/>
  <c r="H472" i="21" s="1"/>
  <c r="J209" i="21"/>
  <c r="J276" i="21" s="1"/>
  <c r="J278" i="21" s="1"/>
  <c r="F396" i="10"/>
  <c r="Q423" i="17"/>
  <c r="P377" i="21"/>
  <c r="Q377" i="21" s="1"/>
  <c r="I345" i="24"/>
  <c r="I14" i="23"/>
  <c r="P462" i="17"/>
  <c r="F432" i="10"/>
  <c r="F471" i="10"/>
  <c r="F356" i="10"/>
  <c r="F199" i="10"/>
  <c r="F125" i="10"/>
  <c r="F108" i="10"/>
  <c r="H473" i="21" l="1"/>
  <c r="H474" i="21" s="1"/>
  <c r="H480" i="21"/>
  <c r="H471" i="21"/>
  <c r="F477" i="21"/>
  <c r="F470" i="21"/>
  <c r="J277" i="21"/>
  <c r="J279" i="21"/>
  <c r="J280" i="21" s="1"/>
  <c r="P416" i="21"/>
  <c r="Q416" i="21" s="1"/>
  <c r="Q462" i="17"/>
  <c r="I374" i="24"/>
  <c r="P497" i="17"/>
  <c r="F534" i="10"/>
  <c r="J198" i="12" s="1"/>
  <c r="J199" i="12" s="1"/>
  <c r="F471" i="21" l="1"/>
  <c r="F472" i="21"/>
  <c r="F480" i="21"/>
  <c r="F473" i="21"/>
  <c r="F474" i="21" s="1"/>
  <c r="J281" i="21"/>
  <c r="J341" i="21" s="1"/>
  <c r="Q497" i="17"/>
  <c r="P451" i="21"/>
  <c r="Q451" i="21" s="1"/>
  <c r="R191" i="7"/>
  <c r="S191" i="7"/>
  <c r="T191" i="7"/>
  <c r="J342" i="21" l="1"/>
  <c r="J344" i="21"/>
  <c r="J345" i="21" s="1"/>
  <c r="J343" i="21"/>
  <c r="F10" i="7"/>
  <c r="G527" i="7"/>
  <c r="G499" i="7" s="1"/>
  <c r="H499" i="7" s="1"/>
  <c r="G511" i="7"/>
  <c r="H511" i="7" s="1"/>
  <c r="G510" i="7"/>
  <c r="H510" i="7" s="1"/>
  <c r="G508" i="7"/>
  <c r="H508" i="7" s="1"/>
  <c r="G507" i="7"/>
  <c r="G500" i="7"/>
  <c r="H500" i="7" s="1"/>
  <c r="G481" i="7"/>
  <c r="H481" i="7" s="1"/>
  <c r="G469" i="7"/>
  <c r="G468" i="7"/>
  <c r="H468" i="7" s="1"/>
  <c r="G467" i="7"/>
  <c r="H467" i="7" s="1"/>
  <c r="G463" i="7"/>
  <c r="H463" i="7" s="1"/>
  <c r="G462" i="7"/>
  <c r="H462" i="7" s="1"/>
  <c r="G461" i="7"/>
  <c r="H461" i="7" s="1"/>
  <c r="G460" i="7"/>
  <c r="G459" i="7"/>
  <c r="H459" i="7" s="1"/>
  <c r="G458" i="7"/>
  <c r="H458" i="7" s="1"/>
  <c r="G457" i="7"/>
  <c r="H457" i="7" s="1"/>
  <c r="I457" i="7" s="1"/>
  <c r="G404" i="7"/>
  <c r="H404" i="7" s="1"/>
  <c r="H392" i="7"/>
  <c r="H393" i="7"/>
  <c r="H394" i="7"/>
  <c r="H402" i="7"/>
  <c r="I402" i="7" s="1"/>
  <c r="H403" i="7"/>
  <c r="I403" i="7" s="1"/>
  <c r="H405" i="7"/>
  <c r="H406" i="7"/>
  <c r="I406" i="7" s="1"/>
  <c r="H407" i="7"/>
  <c r="H408" i="7"/>
  <c r="I408" i="7" s="1"/>
  <c r="H409" i="7"/>
  <c r="I409" i="7" s="1"/>
  <c r="H410" i="7"/>
  <c r="H411" i="7"/>
  <c r="I411" i="7" s="1"/>
  <c r="H412" i="7"/>
  <c r="H413" i="7"/>
  <c r="H414" i="7"/>
  <c r="I414" i="7" s="1"/>
  <c r="H415" i="7"/>
  <c r="H416" i="7"/>
  <c r="I416" i="7" s="1"/>
  <c r="H417" i="7"/>
  <c r="I417" i="7" s="1"/>
  <c r="H418" i="7"/>
  <c r="I418" i="7" s="1"/>
  <c r="H419" i="7"/>
  <c r="I419" i="7" s="1"/>
  <c r="H420" i="7"/>
  <c r="H421" i="7"/>
  <c r="H422" i="7"/>
  <c r="I422" i="7" s="1"/>
  <c r="H423" i="7"/>
  <c r="H424" i="7"/>
  <c r="I424" i="7" s="1"/>
  <c r="H425" i="7"/>
  <c r="H426" i="7"/>
  <c r="I426" i="7" s="1"/>
  <c r="H427" i="7"/>
  <c r="I427" i="7" s="1"/>
  <c r="H428" i="7"/>
  <c r="I428" i="7" s="1"/>
  <c r="H429" i="7"/>
  <c r="H430" i="7"/>
  <c r="I430" i="7" s="1"/>
  <c r="H437" i="7"/>
  <c r="H438" i="7"/>
  <c r="I438" i="7" s="1"/>
  <c r="H439" i="7"/>
  <c r="H440" i="7"/>
  <c r="H441" i="7"/>
  <c r="I441" i="7" s="1"/>
  <c r="H442" i="7"/>
  <c r="H443" i="7"/>
  <c r="I443" i="7" s="1"/>
  <c r="H444" i="7"/>
  <c r="H445" i="7"/>
  <c r="H446" i="7"/>
  <c r="I446" i="7" s="1"/>
  <c r="H447" i="7"/>
  <c r="H448" i="7"/>
  <c r="H449" i="7"/>
  <c r="I449" i="7" s="1"/>
  <c r="H450" i="7"/>
  <c r="H451" i="7"/>
  <c r="H452" i="7"/>
  <c r="I452" i="7" s="1"/>
  <c r="H453" i="7"/>
  <c r="H454" i="7"/>
  <c r="I454" i="7" s="1"/>
  <c r="H455" i="7"/>
  <c r="H456" i="7"/>
  <c r="I456" i="7" s="1"/>
  <c r="H460" i="7"/>
  <c r="I460" i="7" s="1"/>
  <c r="H464" i="7"/>
  <c r="H465" i="7"/>
  <c r="H466" i="7"/>
  <c r="I466" i="7" s="1"/>
  <c r="H469" i="7"/>
  <c r="H476" i="7"/>
  <c r="I476" i="7" s="1"/>
  <c r="H477" i="7"/>
  <c r="I477" i="7" s="1"/>
  <c r="H478" i="7"/>
  <c r="I478" i="7" s="1"/>
  <c r="H479" i="7"/>
  <c r="H480" i="7"/>
  <c r="H482" i="7"/>
  <c r="H483" i="7"/>
  <c r="H484" i="7"/>
  <c r="I484" i="7" s="1"/>
  <c r="H485" i="7"/>
  <c r="H486" i="7"/>
  <c r="I486" i="7" s="1"/>
  <c r="H487" i="7"/>
  <c r="H488" i="7"/>
  <c r="H489" i="7"/>
  <c r="H490" i="7"/>
  <c r="H491" i="7"/>
  <c r="H492" i="7"/>
  <c r="I492" i="7" s="1"/>
  <c r="H493" i="7"/>
  <c r="I493" i="7" s="1"/>
  <c r="H494" i="7"/>
  <c r="I494" i="7" s="1"/>
  <c r="H495" i="7"/>
  <c r="H496" i="7"/>
  <c r="H497" i="7"/>
  <c r="H498" i="7"/>
  <c r="H501" i="7"/>
  <c r="I501" i="7" s="1"/>
  <c r="H502" i="7"/>
  <c r="I502" i="7" s="1"/>
  <c r="H503" i="7"/>
  <c r="H504" i="7"/>
  <c r="H505" i="7"/>
  <c r="H506" i="7"/>
  <c r="H507" i="7"/>
  <c r="I507" i="7" s="1"/>
  <c r="H509" i="7"/>
  <c r="H512" i="7"/>
  <c r="H513" i="7"/>
  <c r="H514" i="7"/>
  <c r="H515" i="7"/>
  <c r="H516" i="7"/>
  <c r="I516" i="7" s="1"/>
  <c r="H517" i="7"/>
  <c r="H518" i="7"/>
  <c r="I518" i="7" s="1"/>
  <c r="H528" i="7"/>
  <c r="H529" i="7"/>
  <c r="H530" i="7"/>
  <c r="I530" i="7" s="1"/>
  <c r="H390" i="7"/>
  <c r="H389" i="7"/>
  <c r="H388" i="7"/>
  <c r="H377" i="7"/>
  <c r="H378" i="7"/>
  <c r="H379" i="7"/>
  <c r="H380" i="7"/>
  <c r="H381" i="7"/>
  <c r="H382" i="7"/>
  <c r="H383" i="7"/>
  <c r="H384" i="7"/>
  <c r="H385" i="7"/>
  <c r="H386" i="7"/>
  <c r="H376" i="7"/>
  <c r="H371" i="7"/>
  <c r="H372" i="7"/>
  <c r="H373" i="7"/>
  <c r="H374" i="7"/>
  <c r="H370" i="7"/>
  <c r="H365" i="7"/>
  <c r="H366" i="7"/>
  <c r="H368" i="7"/>
  <c r="H364" i="7"/>
  <c r="H363" i="7"/>
  <c r="G391" i="7"/>
  <c r="H391" i="7" s="1"/>
  <c r="G367" i="7"/>
  <c r="H367" i="7" s="1"/>
  <c r="I9" i="7"/>
  <c r="I401" i="7"/>
  <c r="I405" i="7"/>
  <c r="I410" i="7"/>
  <c r="I420" i="7"/>
  <c r="I421" i="7"/>
  <c r="I429" i="7"/>
  <c r="I437" i="7"/>
  <c r="I440" i="7"/>
  <c r="I444" i="7"/>
  <c r="I448" i="7"/>
  <c r="I450" i="7"/>
  <c r="I451" i="7"/>
  <c r="I464" i="7"/>
  <c r="I465" i="7"/>
  <c r="I483" i="7"/>
  <c r="I491" i="7"/>
  <c r="I509" i="7"/>
  <c r="I517" i="7"/>
  <c r="I525" i="7"/>
  <c r="I526" i="7"/>
  <c r="I529" i="7"/>
  <c r="H286" i="7"/>
  <c r="H287" i="7"/>
  <c r="H288" i="7"/>
  <c r="H289" i="7"/>
  <c r="H290" i="7"/>
  <c r="H291" i="7"/>
  <c r="H293" i="7"/>
  <c r="H294" i="7"/>
  <c r="H295" i="7"/>
  <c r="H296" i="7"/>
  <c r="H297" i="7"/>
  <c r="H298" i="7"/>
  <c r="H299" i="7"/>
  <c r="H301" i="7"/>
  <c r="H302" i="7"/>
  <c r="H303" i="7"/>
  <c r="H304" i="7"/>
  <c r="H305" i="7"/>
  <c r="H306" i="7"/>
  <c r="H307" i="7"/>
  <c r="H308" i="7"/>
  <c r="H309" i="7"/>
  <c r="H310" i="7"/>
  <c r="H311" i="7"/>
  <c r="H317" i="7"/>
  <c r="H318" i="7"/>
  <c r="H324" i="7"/>
  <c r="H325" i="7"/>
  <c r="H326" i="7"/>
  <c r="H333" i="7"/>
  <c r="H335" i="7"/>
  <c r="H336" i="7"/>
  <c r="H340" i="7"/>
  <c r="H341" i="7"/>
  <c r="H342" i="7"/>
  <c r="H343" i="7"/>
  <c r="H344" i="7"/>
  <c r="H345" i="7"/>
  <c r="H350" i="7"/>
  <c r="H351" i="7"/>
  <c r="H352" i="7"/>
  <c r="H353" i="7"/>
  <c r="H354" i="7"/>
  <c r="H285" i="7"/>
  <c r="G348" i="7"/>
  <c r="H348" i="7" s="1"/>
  <c r="G347" i="7"/>
  <c r="H347" i="7" s="1"/>
  <c r="G346" i="7"/>
  <c r="H346" i="7" s="1"/>
  <c r="G339" i="7"/>
  <c r="H339" i="7" s="1"/>
  <c r="G338" i="7"/>
  <c r="H338" i="7" s="1"/>
  <c r="G337" i="7"/>
  <c r="H337" i="7" s="1"/>
  <c r="G334" i="7"/>
  <c r="H334" i="7" s="1"/>
  <c r="G330" i="7"/>
  <c r="H330" i="7" s="1"/>
  <c r="G329" i="7"/>
  <c r="H329" i="7" s="1"/>
  <c r="G328" i="7"/>
  <c r="H328" i="7" s="1"/>
  <c r="G327" i="7"/>
  <c r="H327" i="7" s="1"/>
  <c r="G323" i="7"/>
  <c r="H323" i="7" s="1"/>
  <c r="G322" i="7"/>
  <c r="H322" i="7" s="1"/>
  <c r="G321" i="7"/>
  <c r="H321" i="7" s="1"/>
  <c r="G320" i="7"/>
  <c r="H320" i="7" s="1"/>
  <c r="G319" i="7"/>
  <c r="H319" i="7" s="1"/>
  <c r="G316" i="7"/>
  <c r="H316" i="7" s="1"/>
  <c r="G315" i="7"/>
  <c r="H315" i="7" s="1"/>
  <c r="G314" i="7"/>
  <c r="H314" i="7" s="1"/>
  <c r="G313" i="7"/>
  <c r="H313" i="7" s="1"/>
  <c r="G272" i="7"/>
  <c r="G271" i="7"/>
  <c r="G266" i="7"/>
  <c r="G243" i="7"/>
  <c r="G227" i="7"/>
  <c r="G226" i="7"/>
  <c r="G225" i="7"/>
  <c r="G215" i="7"/>
  <c r="G214" i="7"/>
  <c r="G213" i="7"/>
  <c r="G212" i="7"/>
  <c r="G210" i="7"/>
  <c r="G208" i="7"/>
  <c r="G192" i="7"/>
  <c r="G188" i="7"/>
  <c r="G186" i="7"/>
  <c r="G180" i="7"/>
  <c r="G175" i="7"/>
  <c r="G137" i="7"/>
  <c r="G135" i="7"/>
  <c r="G134" i="7"/>
  <c r="J346" i="21" l="1"/>
  <c r="J380" i="21" s="1"/>
  <c r="J382" i="21" s="1"/>
  <c r="G332" i="7"/>
  <c r="H332" i="7" s="1"/>
  <c r="H527" i="7"/>
  <c r="I468" i="7"/>
  <c r="H470" i="7"/>
  <c r="H395" i="7"/>
  <c r="I514" i="7"/>
  <c r="I498" i="7"/>
  <c r="R498" i="7"/>
  <c r="S498" i="7"/>
  <c r="T498" i="7"/>
  <c r="I469" i="7"/>
  <c r="I510" i="7"/>
  <c r="H355" i="7"/>
  <c r="H357" i="7" s="1"/>
  <c r="I500" i="7"/>
  <c r="I513" i="7"/>
  <c r="I497" i="7"/>
  <c r="I453" i="7"/>
  <c r="I423" i="7"/>
  <c r="R423" i="7"/>
  <c r="S423" i="7"/>
  <c r="T423" i="7"/>
  <c r="I511" i="7"/>
  <c r="I512" i="7"/>
  <c r="I496" i="7"/>
  <c r="R410" i="7"/>
  <c r="S410" i="7"/>
  <c r="T410" i="7"/>
  <c r="I455" i="7"/>
  <c r="R455" i="7"/>
  <c r="S455" i="7"/>
  <c r="T455" i="7"/>
  <c r="I495" i="7"/>
  <c r="I439" i="7"/>
  <c r="I482" i="7"/>
  <c r="I487" i="7"/>
  <c r="R288" i="7"/>
  <c r="S288" i="7"/>
  <c r="T288" i="7"/>
  <c r="I506" i="7"/>
  <c r="R506" i="7"/>
  <c r="S506" i="7"/>
  <c r="T506" i="7"/>
  <c r="I481" i="7"/>
  <c r="I463" i="7"/>
  <c r="I407" i="7"/>
  <c r="I458" i="7"/>
  <c r="I413" i="7"/>
  <c r="I528" i="7"/>
  <c r="I505" i="7"/>
  <c r="I480" i="7"/>
  <c r="I459" i="7"/>
  <c r="I508" i="7"/>
  <c r="R287" i="7"/>
  <c r="S287" i="7"/>
  <c r="T287" i="7"/>
  <c r="R286" i="7"/>
  <c r="S286" i="7"/>
  <c r="T286" i="7"/>
  <c r="I485" i="7"/>
  <c r="I462" i="7"/>
  <c r="I412" i="7"/>
  <c r="I504" i="7"/>
  <c r="I479" i="7"/>
  <c r="I461" i="7"/>
  <c r="I447" i="7"/>
  <c r="I467" i="7"/>
  <c r="I515" i="7"/>
  <c r="I442" i="7"/>
  <c r="I425" i="7"/>
  <c r="I503" i="7"/>
  <c r="I490" i="7"/>
  <c r="I404" i="7"/>
  <c r="I489" i="7"/>
  <c r="I445" i="7"/>
  <c r="I415" i="7"/>
  <c r="I488" i="7"/>
  <c r="S444" i="7"/>
  <c r="T444" i="7"/>
  <c r="R444" i="7"/>
  <c r="H431" i="7"/>
  <c r="I499" i="7"/>
  <c r="H519" i="7"/>
  <c r="J383" i="21" l="1"/>
  <c r="J384" i="21" s="1"/>
  <c r="J381" i="21"/>
  <c r="H358" i="7"/>
  <c r="H359" i="7" s="1"/>
  <c r="H356" i="7"/>
  <c r="H531" i="7"/>
  <c r="I527" i="7"/>
  <c r="H398" i="7"/>
  <c r="H399" i="7" s="1"/>
  <c r="H397" i="7"/>
  <c r="H396" i="7"/>
  <c r="I431" i="7"/>
  <c r="H432" i="7"/>
  <c r="I432" i="7" s="1"/>
  <c r="H434" i="7"/>
  <c r="H433" i="7"/>
  <c r="I433" i="7" s="1"/>
  <c r="H473" i="7"/>
  <c r="H472" i="7"/>
  <c r="I472" i="7" s="1"/>
  <c r="H471" i="7"/>
  <c r="I471" i="7" s="1"/>
  <c r="I470" i="7"/>
  <c r="H360" i="7"/>
  <c r="H522" i="7"/>
  <c r="H521" i="7"/>
  <c r="I521" i="7" s="1"/>
  <c r="I519" i="7"/>
  <c r="H520" i="7"/>
  <c r="I520" i="7" s="1"/>
  <c r="J385" i="21" l="1"/>
  <c r="J417" i="21" s="1"/>
  <c r="H534" i="7"/>
  <c r="I531" i="7"/>
  <c r="H533" i="7"/>
  <c r="I533" i="7" s="1"/>
  <c r="H532" i="7"/>
  <c r="I532" i="7" s="1"/>
  <c r="H400" i="7"/>
  <c r="I473" i="7"/>
  <c r="H474" i="7"/>
  <c r="I434" i="7"/>
  <c r="H435" i="7"/>
  <c r="I435" i="7" s="1"/>
  <c r="H523" i="7"/>
  <c r="I523" i="7" s="1"/>
  <c r="I522" i="7"/>
  <c r="J419" i="21" l="1"/>
  <c r="J420" i="21"/>
  <c r="J421" i="21" s="1"/>
  <c r="J418" i="21"/>
  <c r="I534" i="7"/>
  <c r="H535" i="7"/>
  <c r="H524" i="7"/>
  <c r="I524" i="7" s="1"/>
  <c r="H436" i="7"/>
  <c r="I436" i="7" s="1"/>
  <c r="I474" i="7"/>
  <c r="H475" i="7"/>
  <c r="I475" i="7" s="1"/>
  <c r="H10" i="7"/>
  <c r="H11" i="7"/>
  <c r="H12" i="7"/>
  <c r="H13" i="7"/>
  <c r="H14" i="7"/>
  <c r="H15" i="7"/>
  <c r="H16" i="7"/>
  <c r="H17" i="7"/>
  <c r="H18" i="7"/>
  <c r="H19" i="7"/>
  <c r="H24" i="7"/>
  <c r="H25" i="7"/>
  <c r="H26" i="7"/>
  <c r="H27" i="7"/>
  <c r="H28" i="7"/>
  <c r="H29" i="7"/>
  <c r="H30" i="7"/>
  <c r="H31" i="7"/>
  <c r="H32" i="7"/>
  <c r="H33" i="7"/>
  <c r="H34" i="7"/>
  <c r="H35" i="7"/>
  <c r="H36" i="7"/>
  <c r="H37" i="7"/>
  <c r="H39" i="7"/>
  <c r="H40" i="7"/>
  <c r="H41" i="7"/>
  <c r="H42" i="7"/>
  <c r="H43" i="7"/>
  <c r="H45" i="7"/>
  <c r="H46" i="7"/>
  <c r="H47" i="7"/>
  <c r="H48" i="7"/>
  <c r="H49" i="7"/>
  <c r="H50" i="7"/>
  <c r="H51" i="7"/>
  <c r="H52" i="7"/>
  <c r="H53" i="7"/>
  <c r="H54" i="7"/>
  <c r="H56" i="7"/>
  <c r="H57" i="7"/>
  <c r="H58" i="7"/>
  <c r="H59" i="7"/>
  <c r="H60" i="7"/>
  <c r="H61" i="7"/>
  <c r="H62" i="7"/>
  <c r="H63" i="7"/>
  <c r="H64" i="7"/>
  <c r="H65" i="7"/>
  <c r="H66" i="7"/>
  <c r="H67" i="7"/>
  <c r="H68" i="7"/>
  <c r="H69" i="7"/>
  <c r="H70" i="7"/>
  <c r="H72" i="7"/>
  <c r="H73" i="7"/>
  <c r="H74" i="7"/>
  <c r="H75" i="7"/>
  <c r="H77" i="7"/>
  <c r="H78" i="7"/>
  <c r="H79" i="7"/>
  <c r="H80" i="7"/>
  <c r="H81" i="7"/>
  <c r="H83" i="7"/>
  <c r="H85" i="7"/>
  <c r="H86" i="7"/>
  <c r="H87" i="7"/>
  <c r="H88" i="7"/>
  <c r="H89" i="7"/>
  <c r="H90" i="7"/>
  <c r="H91" i="7"/>
  <c r="H92" i="7"/>
  <c r="H93" i="7"/>
  <c r="H95" i="7"/>
  <c r="H99" i="7"/>
  <c r="H100" i="7"/>
  <c r="H101" i="7"/>
  <c r="H102" i="7"/>
  <c r="H103" i="7"/>
  <c r="H104" i="7"/>
  <c r="H105" i="7"/>
  <c r="H106" i="7"/>
  <c r="H113" i="7"/>
  <c r="H114" i="7"/>
  <c r="H115" i="7"/>
  <c r="H116" i="7"/>
  <c r="H117" i="7"/>
  <c r="H118" i="7"/>
  <c r="H119" i="7"/>
  <c r="H120" i="7"/>
  <c r="H121" i="7"/>
  <c r="H122" i="7"/>
  <c r="H123" i="7"/>
  <c r="H130" i="7"/>
  <c r="H132" i="7"/>
  <c r="H133" i="7"/>
  <c r="H134" i="7"/>
  <c r="H135" i="7"/>
  <c r="H136" i="7"/>
  <c r="H137" i="7"/>
  <c r="H139" i="7"/>
  <c r="H140" i="7"/>
  <c r="H141" i="7"/>
  <c r="H142" i="7"/>
  <c r="H143" i="7"/>
  <c r="H144" i="7"/>
  <c r="H145" i="7"/>
  <c r="H146" i="7"/>
  <c r="H147" i="7"/>
  <c r="H148" i="7"/>
  <c r="H149" i="7"/>
  <c r="H150" i="7"/>
  <c r="H151" i="7"/>
  <c r="H153" i="7"/>
  <c r="H154" i="7"/>
  <c r="H156" i="7"/>
  <c r="H157" i="7"/>
  <c r="H158" i="7"/>
  <c r="H159" i="7"/>
  <c r="H160" i="7"/>
  <c r="H162" i="7"/>
  <c r="H163" i="7"/>
  <c r="H164" i="7"/>
  <c r="H165" i="7"/>
  <c r="H166" i="7"/>
  <c r="H167" i="7"/>
  <c r="H168" i="7"/>
  <c r="H169" i="7"/>
  <c r="H170" i="7"/>
  <c r="H171" i="7"/>
  <c r="H172" i="7"/>
  <c r="H173" i="7"/>
  <c r="H174" i="7"/>
  <c r="H175" i="7"/>
  <c r="H176" i="7"/>
  <c r="H177" i="7"/>
  <c r="H178" i="7"/>
  <c r="H179" i="7"/>
  <c r="H180" i="7"/>
  <c r="H182" i="7"/>
  <c r="H183" i="7"/>
  <c r="H185" i="7"/>
  <c r="H186" i="7"/>
  <c r="H187" i="7"/>
  <c r="H188" i="7"/>
  <c r="H189" i="7"/>
  <c r="H190" i="7"/>
  <c r="H192" i="7"/>
  <c r="H193" i="7"/>
  <c r="H194" i="7"/>
  <c r="H195" i="7"/>
  <c r="H196" i="7"/>
  <c r="H197" i="7"/>
  <c r="H206" i="7"/>
  <c r="H207" i="7"/>
  <c r="H208" i="7"/>
  <c r="H209" i="7"/>
  <c r="H210" i="7"/>
  <c r="H211" i="7"/>
  <c r="H212" i="7"/>
  <c r="H213" i="7"/>
  <c r="H214" i="7"/>
  <c r="H215" i="7"/>
  <c r="H216" i="7"/>
  <c r="H217" i="7"/>
  <c r="H219" i="7"/>
  <c r="H220" i="7"/>
  <c r="H221" i="7"/>
  <c r="H222" i="7"/>
  <c r="H223" i="7"/>
  <c r="H224" i="7"/>
  <c r="H225" i="7"/>
  <c r="H226" i="7"/>
  <c r="H227" i="7"/>
  <c r="H228" i="7"/>
  <c r="H230" i="7"/>
  <c r="H231" i="7"/>
  <c r="H232" i="7"/>
  <c r="H233" i="7"/>
  <c r="H234" i="7"/>
  <c r="H235" i="7"/>
  <c r="H236" i="7"/>
  <c r="H237" i="7"/>
  <c r="H238" i="7"/>
  <c r="H239" i="7"/>
  <c r="H240" i="7"/>
  <c r="H241" i="7"/>
  <c r="H242" i="7"/>
  <c r="H243" i="7"/>
  <c r="H245" i="7"/>
  <c r="H246" i="7"/>
  <c r="H247" i="7"/>
  <c r="H248" i="7"/>
  <c r="H249" i="7"/>
  <c r="H250" i="7"/>
  <c r="H251" i="7"/>
  <c r="H253" i="7"/>
  <c r="H254" i="7"/>
  <c r="H255" i="7"/>
  <c r="H256" i="7"/>
  <c r="H257" i="7"/>
  <c r="H258" i="7"/>
  <c r="H259" i="7"/>
  <c r="H260" i="7"/>
  <c r="H261" i="7"/>
  <c r="H262" i="7"/>
  <c r="H263" i="7"/>
  <c r="H264" i="7"/>
  <c r="H265" i="7"/>
  <c r="H266" i="7"/>
  <c r="H267" i="7"/>
  <c r="H268" i="7"/>
  <c r="H269" i="7"/>
  <c r="H270" i="7"/>
  <c r="H271" i="7"/>
  <c r="H272" i="7"/>
  <c r="H273" i="7"/>
  <c r="H275" i="7"/>
  <c r="H276" i="7"/>
  <c r="H283" i="7"/>
  <c r="H361" i="7"/>
  <c r="H362" i="7"/>
  <c r="J422" i="21" l="1"/>
  <c r="J457" i="21" s="1"/>
  <c r="J458" i="21" s="1"/>
  <c r="I535" i="7"/>
  <c r="H536" i="7"/>
  <c r="I536" i="7" s="1"/>
  <c r="H198" i="7"/>
  <c r="H277" i="7"/>
  <c r="R10" i="7"/>
  <c r="T10" i="7"/>
  <c r="S10" i="7"/>
  <c r="H124" i="7"/>
  <c r="G98" i="7"/>
  <c r="H98" i="7" s="1"/>
  <c r="G96" i="7"/>
  <c r="H96" i="7" s="1"/>
  <c r="G94" i="7"/>
  <c r="H94" i="7" s="1"/>
  <c r="G84" i="7"/>
  <c r="H84" i="7" s="1"/>
  <c r="G76" i="7"/>
  <c r="H76" i="7" s="1"/>
  <c r="G71" i="7"/>
  <c r="H71" i="7" s="1"/>
  <c r="G22" i="7"/>
  <c r="H22" i="7" s="1"/>
  <c r="G21" i="7"/>
  <c r="H21" i="7" s="1"/>
  <c r="G20" i="7"/>
  <c r="H20" i="7" s="1"/>
  <c r="J460" i="21" l="1"/>
  <c r="J461" i="21" s="1"/>
  <c r="J459" i="21"/>
  <c r="H107" i="7"/>
  <c r="H543" i="7" s="1"/>
  <c r="H126" i="7"/>
  <c r="H127" i="7"/>
  <c r="H128" i="7" s="1"/>
  <c r="H125" i="7"/>
  <c r="H280" i="7"/>
  <c r="H281" i="7" s="1"/>
  <c r="H279" i="7"/>
  <c r="H278" i="7"/>
  <c r="H201" i="7"/>
  <c r="H202" i="7" s="1"/>
  <c r="H200" i="7"/>
  <c r="H199" i="7"/>
  <c r="F374" i="7"/>
  <c r="F412" i="7"/>
  <c r="F413" i="7"/>
  <c r="F414" i="7"/>
  <c r="F415" i="7"/>
  <c r="F416" i="7"/>
  <c r="F417" i="7"/>
  <c r="F418" i="7"/>
  <c r="F419" i="7"/>
  <c r="F420" i="7"/>
  <c r="F421" i="7"/>
  <c r="F422" i="7"/>
  <c r="F424" i="7"/>
  <c r="F425" i="7"/>
  <c r="F426" i="7"/>
  <c r="F427" i="7"/>
  <c r="F428" i="7"/>
  <c r="F429" i="7"/>
  <c r="F411" i="7"/>
  <c r="J462" i="21" l="1"/>
  <c r="H282" i="7"/>
  <c r="H203" i="7"/>
  <c r="H129" i="7"/>
  <c r="I206" i="12" s="1"/>
  <c r="S415" i="7"/>
  <c r="T415" i="7"/>
  <c r="R415" i="7"/>
  <c r="S414" i="7"/>
  <c r="T414" i="7"/>
  <c r="R414" i="7"/>
  <c r="S425" i="7"/>
  <c r="T425" i="7"/>
  <c r="R425" i="7"/>
  <c r="H110" i="7"/>
  <c r="H111" i="7" s="1"/>
  <c r="H109" i="7"/>
  <c r="H108" i="7"/>
  <c r="S412" i="7"/>
  <c r="T412" i="7"/>
  <c r="R412" i="7"/>
  <c r="S424" i="7"/>
  <c r="T424" i="7"/>
  <c r="R424" i="7"/>
  <c r="S416" i="7"/>
  <c r="T416" i="7"/>
  <c r="R416" i="7"/>
  <c r="S426" i="7"/>
  <c r="T426" i="7"/>
  <c r="R426" i="7"/>
  <c r="S429" i="7"/>
  <c r="T429" i="7"/>
  <c r="R429" i="7"/>
  <c r="S421" i="7"/>
  <c r="T421" i="7"/>
  <c r="R421" i="7"/>
  <c r="S411" i="7"/>
  <c r="T411" i="7"/>
  <c r="R411" i="7"/>
  <c r="S428" i="7"/>
  <c r="T428" i="7"/>
  <c r="R428" i="7"/>
  <c r="S427" i="7"/>
  <c r="T427" i="7"/>
  <c r="R427" i="7"/>
  <c r="S413" i="7"/>
  <c r="T413" i="7"/>
  <c r="R413" i="7"/>
  <c r="S422" i="7"/>
  <c r="T422" i="7"/>
  <c r="R422" i="7"/>
  <c r="S420" i="7"/>
  <c r="T420" i="7"/>
  <c r="R420" i="7"/>
  <c r="S419" i="7"/>
  <c r="T419" i="7"/>
  <c r="R419" i="7"/>
  <c r="S374" i="7"/>
  <c r="T374" i="7"/>
  <c r="R374" i="7"/>
  <c r="S418" i="7"/>
  <c r="T418" i="7"/>
  <c r="R418" i="7"/>
  <c r="S417" i="7"/>
  <c r="T417" i="7"/>
  <c r="R417" i="7"/>
  <c r="H112" i="7" l="1"/>
  <c r="H538" i="7" s="1"/>
  <c r="H479" i="21" s="1"/>
  <c r="H481" i="21" s="1"/>
  <c r="F404" i="7"/>
  <c r="F405" i="7"/>
  <c r="F406" i="7"/>
  <c r="F407" i="7"/>
  <c r="F408" i="7"/>
  <c r="F409" i="7"/>
  <c r="F403" i="7"/>
  <c r="F11" i="7"/>
  <c r="F12" i="7"/>
  <c r="F13" i="7"/>
  <c r="F14" i="7"/>
  <c r="F15" i="7"/>
  <c r="F16" i="7"/>
  <c r="F17" i="7"/>
  <c r="F18" i="7"/>
  <c r="F19" i="7"/>
  <c r="F20" i="7"/>
  <c r="F21" i="7"/>
  <c r="F22" i="7"/>
  <c r="F24" i="7"/>
  <c r="F25" i="7"/>
  <c r="F26" i="7"/>
  <c r="F27" i="7"/>
  <c r="F28" i="7"/>
  <c r="F29" i="7"/>
  <c r="F30" i="7"/>
  <c r="F31" i="7"/>
  <c r="F32" i="7"/>
  <c r="F33" i="7"/>
  <c r="F34" i="7"/>
  <c r="F35" i="7"/>
  <c r="F36" i="7"/>
  <c r="F37" i="7"/>
  <c r="F39" i="7"/>
  <c r="F40" i="7"/>
  <c r="F41" i="7"/>
  <c r="F42" i="7"/>
  <c r="F43" i="7"/>
  <c r="F45" i="7"/>
  <c r="F46" i="7"/>
  <c r="F47" i="7"/>
  <c r="F48" i="7"/>
  <c r="F49" i="7"/>
  <c r="F50" i="7"/>
  <c r="F51" i="7"/>
  <c r="F52" i="7"/>
  <c r="F53" i="7"/>
  <c r="F54" i="7"/>
  <c r="F56" i="7"/>
  <c r="F57" i="7"/>
  <c r="F58" i="7"/>
  <c r="F59" i="7"/>
  <c r="F61" i="7"/>
  <c r="F62" i="7"/>
  <c r="F63" i="7"/>
  <c r="F64" i="7"/>
  <c r="F65" i="7"/>
  <c r="F66" i="7"/>
  <c r="F67" i="7"/>
  <c r="F68" i="7"/>
  <c r="F69" i="7"/>
  <c r="F70" i="7"/>
  <c r="F71" i="7"/>
  <c r="F72" i="7"/>
  <c r="F73" i="7"/>
  <c r="F74" i="7"/>
  <c r="F75" i="7"/>
  <c r="F76" i="7"/>
  <c r="F77" i="7"/>
  <c r="F78" i="7"/>
  <c r="F79" i="7"/>
  <c r="F80" i="7"/>
  <c r="F81" i="7"/>
  <c r="F83" i="7"/>
  <c r="F84" i="7"/>
  <c r="F85" i="7"/>
  <c r="F86" i="7"/>
  <c r="F87" i="7"/>
  <c r="F88" i="7"/>
  <c r="F89" i="7"/>
  <c r="F90" i="7"/>
  <c r="F91" i="7"/>
  <c r="F93" i="7"/>
  <c r="F94" i="7"/>
  <c r="F95" i="7"/>
  <c r="F96" i="7"/>
  <c r="F98" i="7"/>
  <c r="F99" i="7"/>
  <c r="F100" i="7"/>
  <c r="F101" i="7"/>
  <c r="F103" i="7"/>
  <c r="F104" i="7"/>
  <c r="F105" i="7"/>
  <c r="F106" i="7"/>
  <c r="F114" i="7"/>
  <c r="F115" i="7"/>
  <c r="F116" i="7"/>
  <c r="F117" i="7"/>
  <c r="F118" i="7"/>
  <c r="F119" i="7"/>
  <c r="F120" i="7"/>
  <c r="F121" i="7"/>
  <c r="F122" i="7"/>
  <c r="F123" i="7"/>
  <c r="F132" i="7"/>
  <c r="F133" i="7"/>
  <c r="F134" i="7"/>
  <c r="F135" i="7"/>
  <c r="F136" i="7"/>
  <c r="F137" i="7"/>
  <c r="F139" i="7"/>
  <c r="F140" i="7"/>
  <c r="F141" i="7"/>
  <c r="F142" i="7"/>
  <c r="F143" i="7"/>
  <c r="F144" i="7"/>
  <c r="F145" i="7"/>
  <c r="F146" i="7"/>
  <c r="F147" i="7"/>
  <c r="F148" i="7"/>
  <c r="F149" i="7"/>
  <c r="F150" i="7"/>
  <c r="F151" i="7"/>
  <c r="F153" i="7"/>
  <c r="F154" i="7"/>
  <c r="F156" i="7"/>
  <c r="F157" i="7"/>
  <c r="F158" i="7"/>
  <c r="F159" i="7"/>
  <c r="F160" i="7"/>
  <c r="F162" i="7"/>
  <c r="F163" i="7"/>
  <c r="F164" i="7"/>
  <c r="F165" i="7"/>
  <c r="F166" i="7"/>
  <c r="F167" i="7"/>
  <c r="F168" i="7"/>
  <c r="F169" i="7"/>
  <c r="F170" i="7"/>
  <c r="F171" i="7"/>
  <c r="F172" i="7"/>
  <c r="F173" i="7"/>
  <c r="F174" i="7"/>
  <c r="F175" i="7"/>
  <c r="F176" i="7"/>
  <c r="F177" i="7"/>
  <c r="F178" i="7"/>
  <c r="F179" i="7"/>
  <c r="F180" i="7"/>
  <c r="F182" i="7"/>
  <c r="F183" i="7"/>
  <c r="F185" i="7"/>
  <c r="F186" i="7"/>
  <c r="F187" i="7"/>
  <c r="F188" i="7"/>
  <c r="F189" i="7"/>
  <c r="F190" i="7"/>
  <c r="F192" i="7"/>
  <c r="F193" i="7"/>
  <c r="F194" i="7"/>
  <c r="F195" i="7"/>
  <c r="F196" i="7"/>
  <c r="F197" i="7"/>
  <c r="F206" i="7"/>
  <c r="F207" i="7"/>
  <c r="F208" i="7"/>
  <c r="F209" i="7"/>
  <c r="F210" i="7"/>
  <c r="F211" i="7"/>
  <c r="F212" i="7"/>
  <c r="F213" i="7"/>
  <c r="F214" i="7"/>
  <c r="F215" i="7"/>
  <c r="F216" i="7"/>
  <c r="F217" i="7"/>
  <c r="F219" i="7"/>
  <c r="F220" i="7"/>
  <c r="F221" i="7"/>
  <c r="F222" i="7"/>
  <c r="F223" i="7"/>
  <c r="F224" i="7"/>
  <c r="F225" i="7"/>
  <c r="F226" i="7"/>
  <c r="F227" i="7"/>
  <c r="F228" i="7"/>
  <c r="F230" i="7"/>
  <c r="F231" i="7"/>
  <c r="F232" i="7"/>
  <c r="F233" i="7"/>
  <c r="F234" i="7"/>
  <c r="F235" i="7"/>
  <c r="F236" i="7"/>
  <c r="F237" i="7"/>
  <c r="F238" i="7"/>
  <c r="F239" i="7"/>
  <c r="F240" i="7"/>
  <c r="F241" i="7"/>
  <c r="F242" i="7"/>
  <c r="F243" i="7"/>
  <c r="F245" i="7"/>
  <c r="F246" i="7"/>
  <c r="F247" i="7"/>
  <c r="F248" i="7"/>
  <c r="F249" i="7"/>
  <c r="F250" i="7"/>
  <c r="F251" i="7"/>
  <c r="F253" i="7"/>
  <c r="F254" i="7"/>
  <c r="F255" i="7"/>
  <c r="F256" i="7"/>
  <c r="F257" i="7"/>
  <c r="F258" i="7"/>
  <c r="F259" i="7"/>
  <c r="F260" i="7"/>
  <c r="F261" i="7"/>
  <c r="F262" i="7"/>
  <c r="F263" i="7"/>
  <c r="F264" i="7"/>
  <c r="F265" i="7"/>
  <c r="F266" i="7"/>
  <c r="F267" i="7"/>
  <c r="F268" i="7"/>
  <c r="F269" i="7"/>
  <c r="F270" i="7"/>
  <c r="F271" i="7"/>
  <c r="F272" i="7"/>
  <c r="F273" i="7"/>
  <c r="F275" i="7"/>
  <c r="F276" i="7"/>
  <c r="F285" i="7"/>
  <c r="F289" i="7"/>
  <c r="F290" i="7"/>
  <c r="F291" i="7"/>
  <c r="F293" i="7"/>
  <c r="F294" i="7"/>
  <c r="F295" i="7"/>
  <c r="F296" i="7"/>
  <c r="F297" i="7"/>
  <c r="F298" i="7"/>
  <c r="F299" i="7"/>
  <c r="F301" i="7"/>
  <c r="F302" i="7"/>
  <c r="F303" i="7"/>
  <c r="F304" i="7"/>
  <c r="F305" i="7"/>
  <c r="F306" i="7"/>
  <c r="F307" i="7"/>
  <c r="F308" i="7"/>
  <c r="F309" i="7"/>
  <c r="F310" i="7"/>
  <c r="F311" i="7"/>
  <c r="F313" i="7"/>
  <c r="F314" i="7"/>
  <c r="F315" i="7"/>
  <c r="F316" i="7"/>
  <c r="F317" i="7"/>
  <c r="F318" i="7"/>
  <c r="F319" i="7"/>
  <c r="F320" i="7"/>
  <c r="F321" i="7"/>
  <c r="F322" i="7"/>
  <c r="F323" i="7"/>
  <c r="F324" i="7"/>
  <c r="F325" i="7"/>
  <c r="F326" i="7"/>
  <c r="F327" i="7"/>
  <c r="F328" i="7"/>
  <c r="F329" i="7"/>
  <c r="F330" i="7"/>
  <c r="F331" i="7"/>
  <c r="F332" i="7"/>
  <c r="F333" i="7"/>
  <c r="F334" i="7"/>
  <c r="F335" i="7"/>
  <c r="F336" i="7"/>
  <c r="F337" i="7"/>
  <c r="F338" i="7"/>
  <c r="F339" i="7"/>
  <c r="F340" i="7"/>
  <c r="F341" i="7"/>
  <c r="F342" i="7"/>
  <c r="F343" i="7"/>
  <c r="F344" i="7"/>
  <c r="F345" i="7"/>
  <c r="F346" i="7"/>
  <c r="F347" i="7"/>
  <c r="F348" i="7"/>
  <c r="F349" i="7"/>
  <c r="F350" i="7"/>
  <c r="F351" i="7"/>
  <c r="F352" i="7"/>
  <c r="F353" i="7"/>
  <c r="F354" i="7"/>
  <c r="F361" i="7"/>
  <c r="F363" i="7"/>
  <c r="F364" i="7"/>
  <c r="F365" i="7"/>
  <c r="F366" i="7"/>
  <c r="F367" i="7"/>
  <c r="F368" i="7"/>
  <c r="F370" i="7"/>
  <c r="F371" i="7"/>
  <c r="F372" i="7"/>
  <c r="F373" i="7"/>
  <c r="F375" i="7"/>
  <c r="F376" i="7"/>
  <c r="F377" i="7"/>
  <c r="F378" i="7"/>
  <c r="F379" i="7"/>
  <c r="F380" i="7"/>
  <c r="F381" i="7"/>
  <c r="F382" i="7"/>
  <c r="F383" i="7"/>
  <c r="F384" i="7"/>
  <c r="F385" i="7"/>
  <c r="F386" i="7"/>
  <c r="F388" i="7"/>
  <c r="F389" i="7"/>
  <c r="F390" i="7"/>
  <c r="F391" i="7"/>
  <c r="F392" i="7"/>
  <c r="F393" i="7"/>
  <c r="F394" i="7"/>
  <c r="F430" i="7"/>
  <c r="F439" i="7"/>
  <c r="F440" i="7"/>
  <c r="F441" i="7"/>
  <c r="F442" i="7"/>
  <c r="F443" i="7"/>
  <c r="F445" i="7"/>
  <c r="F446" i="7"/>
  <c r="F447" i="7"/>
  <c r="F448" i="7"/>
  <c r="F449" i="7"/>
  <c r="F450" i="7"/>
  <c r="F451" i="7"/>
  <c r="F452" i="7"/>
  <c r="F453" i="7"/>
  <c r="F454" i="7"/>
  <c r="F456" i="7"/>
  <c r="F457" i="7"/>
  <c r="F458" i="7"/>
  <c r="F459" i="7"/>
  <c r="F460" i="7"/>
  <c r="F461" i="7"/>
  <c r="F462" i="7"/>
  <c r="F463" i="7"/>
  <c r="F464" i="7"/>
  <c r="F465" i="7"/>
  <c r="F466" i="7"/>
  <c r="F467" i="7"/>
  <c r="F468" i="7"/>
  <c r="F469" i="7"/>
  <c r="F478" i="7"/>
  <c r="F479" i="7"/>
  <c r="F480" i="7"/>
  <c r="F481" i="7"/>
  <c r="F482" i="7"/>
  <c r="F483" i="7"/>
  <c r="F484" i="7"/>
  <c r="F485" i="7"/>
  <c r="F486" i="7"/>
  <c r="F487" i="7"/>
  <c r="F488" i="7"/>
  <c r="F489" i="7"/>
  <c r="F490" i="7"/>
  <c r="F491" i="7"/>
  <c r="F492" i="7"/>
  <c r="F493" i="7"/>
  <c r="F494" i="7"/>
  <c r="F495" i="7"/>
  <c r="F496" i="7"/>
  <c r="F497" i="7"/>
  <c r="F499" i="7"/>
  <c r="F500" i="7"/>
  <c r="F501" i="7"/>
  <c r="F502" i="7"/>
  <c r="F503" i="7"/>
  <c r="F504" i="7"/>
  <c r="F505" i="7"/>
  <c r="F507" i="7"/>
  <c r="F508" i="7"/>
  <c r="F509" i="7"/>
  <c r="F510" i="7"/>
  <c r="F511" i="7"/>
  <c r="F512" i="7"/>
  <c r="F513" i="7"/>
  <c r="F514" i="7"/>
  <c r="F515" i="7"/>
  <c r="F516" i="7"/>
  <c r="F517" i="7"/>
  <c r="F518" i="7"/>
  <c r="F527" i="7"/>
  <c r="F528" i="7"/>
  <c r="F529" i="7"/>
  <c r="F530" i="7"/>
  <c r="P531" i="7"/>
  <c r="P532" i="7"/>
  <c r="P533" i="7"/>
  <c r="P534" i="7"/>
  <c r="P535" i="7"/>
  <c r="P536" i="7"/>
  <c r="J477" i="21" l="1"/>
  <c r="H198" i="12"/>
  <c r="H199" i="12" s="1"/>
  <c r="S513" i="7"/>
  <c r="T513" i="7"/>
  <c r="R513" i="7"/>
  <c r="S340" i="7"/>
  <c r="T340" i="7"/>
  <c r="R340" i="7"/>
  <c r="S166" i="7"/>
  <c r="T166" i="7"/>
  <c r="R166" i="7"/>
  <c r="S495" i="7"/>
  <c r="T495" i="7"/>
  <c r="R495" i="7"/>
  <c r="S450" i="7"/>
  <c r="T450" i="7"/>
  <c r="R450" i="7"/>
  <c r="T336" i="7"/>
  <c r="S336" i="7"/>
  <c r="R336" i="7"/>
  <c r="S261" i="7"/>
  <c r="T261" i="7"/>
  <c r="R261" i="7"/>
  <c r="S209" i="7"/>
  <c r="T209" i="7"/>
  <c r="R209" i="7"/>
  <c r="S147" i="7"/>
  <c r="T147" i="7"/>
  <c r="R147" i="7"/>
  <c r="S93" i="7"/>
  <c r="T93" i="7"/>
  <c r="R93" i="7"/>
  <c r="T67" i="7"/>
  <c r="S67" i="7"/>
  <c r="R67" i="7"/>
  <c r="T41" i="7"/>
  <c r="S41" i="7"/>
  <c r="R41" i="7"/>
  <c r="S494" i="7"/>
  <c r="T494" i="7"/>
  <c r="R494" i="7"/>
  <c r="S482" i="7"/>
  <c r="T482" i="7"/>
  <c r="R482" i="7"/>
  <c r="S462" i="7"/>
  <c r="T462" i="7"/>
  <c r="R462" i="7"/>
  <c r="S449" i="7"/>
  <c r="T449" i="7"/>
  <c r="R449" i="7"/>
  <c r="S393" i="7"/>
  <c r="T393" i="7"/>
  <c r="R393" i="7"/>
  <c r="S380" i="7"/>
  <c r="T380" i="7"/>
  <c r="R380" i="7"/>
  <c r="S366" i="7"/>
  <c r="T366" i="7"/>
  <c r="R366" i="7"/>
  <c r="S347" i="7"/>
  <c r="T347" i="7"/>
  <c r="R347" i="7"/>
  <c r="S335" i="7"/>
  <c r="T335" i="7"/>
  <c r="R335" i="7"/>
  <c r="S323" i="7"/>
  <c r="T323" i="7"/>
  <c r="R323" i="7"/>
  <c r="S310" i="7"/>
  <c r="T310" i="7"/>
  <c r="R310" i="7"/>
  <c r="S297" i="7"/>
  <c r="T297" i="7"/>
  <c r="R297" i="7"/>
  <c r="S272" i="7"/>
  <c r="T272" i="7"/>
  <c r="R272" i="7"/>
  <c r="S260" i="7"/>
  <c r="T260" i="7"/>
  <c r="R260" i="7"/>
  <c r="S247" i="7"/>
  <c r="T247" i="7"/>
  <c r="R247" i="7"/>
  <c r="S234" i="7"/>
  <c r="T234" i="7"/>
  <c r="R234" i="7"/>
  <c r="S221" i="7"/>
  <c r="T221" i="7"/>
  <c r="R221" i="7"/>
  <c r="S208" i="7"/>
  <c r="T208" i="7"/>
  <c r="R208" i="7"/>
  <c r="S187" i="7"/>
  <c r="T187" i="7"/>
  <c r="R187" i="7"/>
  <c r="S173" i="7"/>
  <c r="T173" i="7"/>
  <c r="R173" i="7"/>
  <c r="S160" i="7"/>
  <c r="T160" i="7"/>
  <c r="R160" i="7"/>
  <c r="S146" i="7"/>
  <c r="T146" i="7"/>
  <c r="R146" i="7"/>
  <c r="S133" i="7"/>
  <c r="T133" i="7"/>
  <c r="R133" i="7"/>
  <c r="S106" i="7"/>
  <c r="T106" i="7"/>
  <c r="R106" i="7"/>
  <c r="S91" i="7"/>
  <c r="T91" i="7"/>
  <c r="R91" i="7"/>
  <c r="S78" i="7"/>
  <c r="T78" i="7"/>
  <c r="R78" i="7"/>
  <c r="S66" i="7"/>
  <c r="T66" i="7"/>
  <c r="R66" i="7"/>
  <c r="S53" i="7"/>
  <c r="T53" i="7"/>
  <c r="R53" i="7"/>
  <c r="S40" i="7"/>
  <c r="T40" i="7"/>
  <c r="R40" i="7"/>
  <c r="S27" i="7"/>
  <c r="T27" i="7"/>
  <c r="R27" i="7"/>
  <c r="S14" i="7"/>
  <c r="T14" i="7"/>
  <c r="R14" i="7"/>
  <c r="S467" i="7"/>
  <c r="T467" i="7"/>
  <c r="R467" i="7"/>
  <c r="S316" i="7"/>
  <c r="T316" i="7"/>
  <c r="R316" i="7"/>
  <c r="S178" i="7"/>
  <c r="T178" i="7"/>
  <c r="R178" i="7"/>
  <c r="S509" i="7"/>
  <c r="T509" i="7"/>
  <c r="R509" i="7"/>
  <c r="S394" i="7"/>
  <c r="T394" i="7"/>
  <c r="R394" i="7"/>
  <c r="S311" i="7"/>
  <c r="T311" i="7"/>
  <c r="R311" i="7"/>
  <c r="S162" i="7"/>
  <c r="T162" i="7"/>
  <c r="R162" i="7"/>
  <c r="S448" i="7"/>
  <c r="T448" i="7"/>
  <c r="R448" i="7"/>
  <c r="S392" i="7"/>
  <c r="T392" i="7"/>
  <c r="R392" i="7"/>
  <c r="S379" i="7"/>
  <c r="T379" i="7"/>
  <c r="R379" i="7"/>
  <c r="S365" i="7"/>
  <c r="T365" i="7"/>
  <c r="R365" i="7"/>
  <c r="S346" i="7"/>
  <c r="T346" i="7"/>
  <c r="R346" i="7"/>
  <c r="S334" i="7"/>
  <c r="T334" i="7"/>
  <c r="R334" i="7"/>
  <c r="S322" i="7"/>
  <c r="T322" i="7"/>
  <c r="R322" i="7"/>
  <c r="S309" i="7"/>
  <c r="T309" i="7"/>
  <c r="R309" i="7"/>
  <c r="S296" i="7"/>
  <c r="T296" i="7"/>
  <c r="R296" i="7"/>
  <c r="S271" i="7"/>
  <c r="T271" i="7"/>
  <c r="R271" i="7"/>
  <c r="S259" i="7"/>
  <c r="T259" i="7"/>
  <c r="R259" i="7"/>
  <c r="S246" i="7"/>
  <c r="T246" i="7"/>
  <c r="R246" i="7"/>
  <c r="S233" i="7"/>
  <c r="T233" i="7"/>
  <c r="R233" i="7"/>
  <c r="S220" i="7"/>
  <c r="T220" i="7"/>
  <c r="R220" i="7"/>
  <c r="S207" i="7"/>
  <c r="T207" i="7"/>
  <c r="R207" i="7"/>
  <c r="S186" i="7"/>
  <c r="T186" i="7"/>
  <c r="R186" i="7"/>
  <c r="S172" i="7"/>
  <c r="T172" i="7"/>
  <c r="R172" i="7"/>
  <c r="S159" i="7"/>
  <c r="T159" i="7"/>
  <c r="R159" i="7"/>
  <c r="S145" i="7"/>
  <c r="T145" i="7"/>
  <c r="R145" i="7"/>
  <c r="S132" i="7"/>
  <c r="T132" i="7"/>
  <c r="R132" i="7"/>
  <c r="F198" i="7"/>
  <c r="S105" i="7"/>
  <c r="T105" i="7"/>
  <c r="R105" i="7"/>
  <c r="S90" i="7"/>
  <c r="T90" i="7"/>
  <c r="R90" i="7"/>
  <c r="S77" i="7"/>
  <c r="T77" i="7"/>
  <c r="R77" i="7"/>
  <c r="S65" i="7"/>
  <c r="T65" i="7"/>
  <c r="R65" i="7"/>
  <c r="S52" i="7"/>
  <c r="T52" i="7"/>
  <c r="R52" i="7"/>
  <c r="S39" i="7"/>
  <c r="T39" i="7"/>
  <c r="R39" i="7"/>
  <c r="S26" i="7"/>
  <c r="T26" i="7"/>
  <c r="R26" i="7"/>
  <c r="S13" i="7"/>
  <c r="T13" i="7"/>
  <c r="R13" i="7"/>
  <c r="S381" i="7"/>
  <c r="T381" i="7"/>
  <c r="R381" i="7"/>
  <c r="S324" i="7"/>
  <c r="T324" i="7"/>
  <c r="R324" i="7"/>
  <c r="S248" i="7"/>
  <c r="T248" i="7"/>
  <c r="R248" i="7"/>
  <c r="S174" i="7"/>
  <c r="T174" i="7"/>
  <c r="R174" i="7"/>
  <c r="T15" i="7"/>
  <c r="S15" i="7"/>
  <c r="R15" i="7"/>
  <c r="S527" i="7"/>
  <c r="T527" i="7"/>
  <c r="R527" i="7"/>
  <c r="F531" i="7"/>
  <c r="S518" i="7"/>
  <c r="T518" i="7"/>
  <c r="R518" i="7"/>
  <c r="S447" i="7"/>
  <c r="T447" i="7"/>
  <c r="R447" i="7"/>
  <c r="S378" i="7"/>
  <c r="T378" i="7"/>
  <c r="R378" i="7"/>
  <c r="S364" i="7"/>
  <c r="T364" i="7"/>
  <c r="R364" i="7"/>
  <c r="S345" i="7"/>
  <c r="T345" i="7"/>
  <c r="R345" i="7"/>
  <c r="S333" i="7"/>
  <c r="T333" i="7"/>
  <c r="R333" i="7"/>
  <c r="S321" i="7"/>
  <c r="T321" i="7"/>
  <c r="R321" i="7"/>
  <c r="S308" i="7"/>
  <c r="T308" i="7"/>
  <c r="R308" i="7"/>
  <c r="S295" i="7"/>
  <c r="T295" i="7"/>
  <c r="R295" i="7"/>
  <c r="S270" i="7"/>
  <c r="T270" i="7"/>
  <c r="R270" i="7"/>
  <c r="S258" i="7"/>
  <c r="T258" i="7"/>
  <c r="R258" i="7"/>
  <c r="S245" i="7"/>
  <c r="T245" i="7"/>
  <c r="R245" i="7"/>
  <c r="S232" i="7"/>
  <c r="T232" i="7"/>
  <c r="R232" i="7"/>
  <c r="S219" i="7"/>
  <c r="T219" i="7"/>
  <c r="R219" i="7"/>
  <c r="S206" i="7"/>
  <c r="T206" i="7"/>
  <c r="R206" i="7"/>
  <c r="F277" i="7"/>
  <c r="S185" i="7"/>
  <c r="T185" i="7"/>
  <c r="R185" i="7"/>
  <c r="S171" i="7"/>
  <c r="T171" i="7"/>
  <c r="R171" i="7"/>
  <c r="S158" i="7"/>
  <c r="T158" i="7"/>
  <c r="R158" i="7"/>
  <c r="S144" i="7"/>
  <c r="T144" i="7"/>
  <c r="R144" i="7"/>
  <c r="S123" i="7"/>
  <c r="T123" i="7"/>
  <c r="R123" i="7"/>
  <c r="S104" i="7"/>
  <c r="T104" i="7"/>
  <c r="R104" i="7"/>
  <c r="S89" i="7"/>
  <c r="T89" i="7"/>
  <c r="R89" i="7"/>
  <c r="S76" i="7"/>
  <c r="T76" i="7"/>
  <c r="R76" i="7"/>
  <c r="S64" i="7"/>
  <c r="T64" i="7"/>
  <c r="R64" i="7"/>
  <c r="S51" i="7"/>
  <c r="T51" i="7"/>
  <c r="R51" i="7"/>
  <c r="S37" i="7"/>
  <c r="T37" i="7"/>
  <c r="R37" i="7"/>
  <c r="S25" i="7"/>
  <c r="T25" i="7"/>
  <c r="R25" i="7"/>
  <c r="S12" i="7"/>
  <c r="T12" i="7"/>
  <c r="R12" i="7"/>
  <c r="S372" i="7"/>
  <c r="T372" i="7"/>
  <c r="R372" i="7"/>
  <c r="S139" i="7"/>
  <c r="T139" i="7"/>
  <c r="R139" i="7"/>
  <c r="S483" i="7"/>
  <c r="T483" i="7"/>
  <c r="R483" i="7"/>
  <c r="S348" i="7"/>
  <c r="T348" i="7"/>
  <c r="R348" i="7"/>
  <c r="S273" i="7"/>
  <c r="T273" i="7"/>
  <c r="R273" i="7"/>
  <c r="S222" i="7"/>
  <c r="T222" i="7"/>
  <c r="R222" i="7"/>
  <c r="S134" i="7"/>
  <c r="T134" i="7"/>
  <c r="R134" i="7"/>
  <c r="T28" i="7"/>
  <c r="S28" i="7"/>
  <c r="R28" i="7"/>
  <c r="S508" i="7"/>
  <c r="T508" i="7"/>
  <c r="R508" i="7"/>
  <c r="S507" i="7"/>
  <c r="T507" i="7"/>
  <c r="R507" i="7"/>
  <c r="S481" i="7"/>
  <c r="T481" i="7"/>
  <c r="R481" i="7"/>
  <c r="S492" i="7"/>
  <c r="T492" i="7"/>
  <c r="R492" i="7"/>
  <c r="S460" i="7"/>
  <c r="T460" i="7"/>
  <c r="R460" i="7"/>
  <c r="S391" i="7"/>
  <c r="T391" i="7"/>
  <c r="R391" i="7"/>
  <c r="S517" i="7"/>
  <c r="T517" i="7"/>
  <c r="R517" i="7"/>
  <c r="S504" i="7"/>
  <c r="T504" i="7"/>
  <c r="R504" i="7"/>
  <c r="S491" i="7"/>
  <c r="T491" i="7"/>
  <c r="R491" i="7"/>
  <c r="S479" i="7"/>
  <c r="T479" i="7"/>
  <c r="R479" i="7"/>
  <c r="S459" i="7"/>
  <c r="T459" i="7"/>
  <c r="R459" i="7"/>
  <c r="S446" i="7"/>
  <c r="T446" i="7"/>
  <c r="R446" i="7"/>
  <c r="S390" i="7"/>
  <c r="T390" i="7"/>
  <c r="R390" i="7"/>
  <c r="S377" i="7"/>
  <c r="T377" i="7"/>
  <c r="R377" i="7"/>
  <c r="S363" i="7"/>
  <c r="T363" i="7"/>
  <c r="R363" i="7"/>
  <c r="F395" i="7"/>
  <c r="T344" i="7"/>
  <c r="S344" i="7"/>
  <c r="R344" i="7"/>
  <c r="T332" i="7"/>
  <c r="S332" i="7"/>
  <c r="R332" i="7"/>
  <c r="S320" i="7"/>
  <c r="T320" i="7"/>
  <c r="R320" i="7"/>
  <c r="S307" i="7"/>
  <c r="T307" i="7"/>
  <c r="R307" i="7"/>
  <c r="S294" i="7"/>
  <c r="T294" i="7"/>
  <c r="R294" i="7"/>
  <c r="S269" i="7"/>
  <c r="T269" i="7"/>
  <c r="R269" i="7"/>
  <c r="S257" i="7"/>
  <c r="T257" i="7"/>
  <c r="R257" i="7"/>
  <c r="S243" i="7"/>
  <c r="T243" i="7"/>
  <c r="R243" i="7"/>
  <c r="S231" i="7"/>
  <c r="T231" i="7"/>
  <c r="R231" i="7"/>
  <c r="S217" i="7"/>
  <c r="T217" i="7"/>
  <c r="R217" i="7"/>
  <c r="S197" i="7"/>
  <c r="T197" i="7"/>
  <c r="R197" i="7"/>
  <c r="S183" i="7"/>
  <c r="T183" i="7"/>
  <c r="R183" i="7"/>
  <c r="S170" i="7"/>
  <c r="T170" i="7"/>
  <c r="R170" i="7"/>
  <c r="S157" i="7"/>
  <c r="T157" i="7"/>
  <c r="R157" i="7"/>
  <c r="S143" i="7"/>
  <c r="T143" i="7"/>
  <c r="R143" i="7"/>
  <c r="S122" i="7"/>
  <c r="T122" i="7"/>
  <c r="R122" i="7"/>
  <c r="S103" i="7"/>
  <c r="T103" i="7"/>
  <c r="R103" i="7"/>
  <c r="S88" i="7"/>
  <c r="T88" i="7"/>
  <c r="R88" i="7"/>
  <c r="S75" i="7"/>
  <c r="T75" i="7"/>
  <c r="R75" i="7"/>
  <c r="T63" i="7"/>
  <c r="S63" i="7"/>
  <c r="R63" i="7"/>
  <c r="T50" i="7"/>
  <c r="S50" i="7"/>
  <c r="R50" i="7"/>
  <c r="T36" i="7"/>
  <c r="S36" i="7"/>
  <c r="R36" i="7"/>
  <c r="T24" i="7"/>
  <c r="S24" i="7"/>
  <c r="R24" i="7"/>
  <c r="T11" i="7"/>
  <c r="S11" i="7"/>
  <c r="R11" i="7"/>
  <c r="F107" i="7"/>
  <c r="S500" i="7"/>
  <c r="T500" i="7"/>
  <c r="R500" i="7"/>
  <c r="S352" i="7"/>
  <c r="T352" i="7"/>
  <c r="R352" i="7"/>
  <c r="S193" i="7"/>
  <c r="T193" i="7"/>
  <c r="R193" i="7"/>
  <c r="S529" i="7"/>
  <c r="T529" i="7"/>
  <c r="R529" i="7"/>
  <c r="S463" i="7"/>
  <c r="T463" i="7"/>
  <c r="R463" i="7"/>
  <c r="S367" i="7"/>
  <c r="T367" i="7"/>
  <c r="R367" i="7"/>
  <c r="T298" i="7"/>
  <c r="S298" i="7"/>
  <c r="R298" i="7"/>
  <c r="S235" i="7"/>
  <c r="T235" i="7"/>
  <c r="R235" i="7"/>
  <c r="S188" i="7"/>
  <c r="T188" i="7"/>
  <c r="R188" i="7"/>
  <c r="S114" i="7"/>
  <c r="T114" i="7"/>
  <c r="R114" i="7"/>
  <c r="F124" i="7"/>
  <c r="S79" i="7"/>
  <c r="T79" i="7"/>
  <c r="R79" i="7"/>
  <c r="T54" i="7"/>
  <c r="S54" i="7"/>
  <c r="R54" i="7"/>
  <c r="S528" i="7"/>
  <c r="T528" i="7"/>
  <c r="R528" i="7"/>
  <c r="S493" i="7"/>
  <c r="T493" i="7"/>
  <c r="R493" i="7"/>
  <c r="S461" i="7"/>
  <c r="T461" i="7"/>
  <c r="R461" i="7"/>
  <c r="S505" i="7"/>
  <c r="T505" i="7"/>
  <c r="R505" i="7"/>
  <c r="S480" i="7"/>
  <c r="T480" i="7"/>
  <c r="R480" i="7"/>
  <c r="S516" i="7"/>
  <c r="T516" i="7"/>
  <c r="R516" i="7"/>
  <c r="S503" i="7"/>
  <c r="T503" i="7"/>
  <c r="R503" i="7"/>
  <c r="S490" i="7"/>
  <c r="T490" i="7"/>
  <c r="R490" i="7"/>
  <c r="S478" i="7"/>
  <c r="T478" i="7"/>
  <c r="R478" i="7"/>
  <c r="F519" i="7"/>
  <c r="S458" i="7"/>
  <c r="T458" i="7"/>
  <c r="R458" i="7"/>
  <c r="S445" i="7"/>
  <c r="T445" i="7"/>
  <c r="R445" i="7"/>
  <c r="S389" i="7"/>
  <c r="T389" i="7"/>
  <c r="R389" i="7"/>
  <c r="S376" i="7"/>
  <c r="T376" i="7"/>
  <c r="R376" i="7"/>
  <c r="S343" i="7"/>
  <c r="T343" i="7"/>
  <c r="R343" i="7"/>
  <c r="R331" i="7"/>
  <c r="S331" i="7"/>
  <c r="T331" i="7"/>
  <c r="S319" i="7"/>
  <c r="T319" i="7"/>
  <c r="R319" i="7"/>
  <c r="S306" i="7"/>
  <c r="T306" i="7"/>
  <c r="R306" i="7"/>
  <c r="S293" i="7"/>
  <c r="T293" i="7"/>
  <c r="R293" i="7"/>
  <c r="S268" i="7"/>
  <c r="T268" i="7"/>
  <c r="R268" i="7"/>
  <c r="S256" i="7"/>
  <c r="T256" i="7"/>
  <c r="R256" i="7"/>
  <c r="S242" i="7"/>
  <c r="T242" i="7"/>
  <c r="R242" i="7"/>
  <c r="S230" i="7"/>
  <c r="T230" i="7"/>
  <c r="R230" i="7"/>
  <c r="S216" i="7"/>
  <c r="T216" i="7"/>
  <c r="R216" i="7"/>
  <c r="S196" i="7"/>
  <c r="T196" i="7"/>
  <c r="R196" i="7"/>
  <c r="S182" i="7"/>
  <c r="T182" i="7"/>
  <c r="R182" i="7"/>
  <c r="S169" i="7"/>
  <c r="T169" i="7"/>
  <c r="R169" i="7"/>
  <c r="S156" i="7"/>
  <c r="T156" i="7"/>
  <c r="R156" i="7"/>
  <c r="S142" i="7"/>
  <c r="T142" i="7"/>
  <c r="R142" i="7"/>
  <c r="S121" i="7"/>
  <c r="T121" i="7"/>
  <c r="R121" i="7"/>
  <c r="S101" i="7"/>
  <c r="T101" i="7"/>
  <c r="R101" i="7"/>
  <c r="S87" i="7"/>
  <c r="T87" i="7"/>
  <c r="R87" i="7"/>
  <c r="S74" i="7"/>
  <c r="T74" i="7"/>
  <c r="R74" i="7"/>
  <c r="S62" i="7"/>
  <c r="T62" i="7"/>
  <c r="R62" i="7"/>
  <c r="S49" i="7"/>
  <c r="T49" i="7"/>
  <c r="R49" i="7"/>
  <c r="S35" i="7"/>
  <c r="T35" i="7"/>
  <c r="R35" i="7"/>
  <c r="S22" i="7"/>
  <c r="T22" i="7"/>
  <c r="R22" i="7"/>
  <c r="S403" i="7"/>
  <c r="T403" i="7"/>
  <c r="R403" i="7"/>
  <c r="F431" i="7"/>
  <c r="S502" i="7"/>
  <c r="T502" i="7"/>
  <c r="R502" i="7"/>
  <c r="S469" i="7"/>
  <c r="T469" i="7"/>
  <c r="R469" i="7"/>
  <c r="S388" i="7"/>
  <c r="T388" i="7"/>
  <c r="R388" i="7"/>
  <c r="S354" i="7"/>
  <c r="T354" i="7"/>
  <c r="R354" i="7"/>
  <c r="S330" i="7"/>
  <c r="T330" i="7"/>
  <c r="R330" i="7"/>
  <c r="S305" i="7"/>
  <c r="T305" i="7"/>
  <c r="R305" i="7"/>
  <c r="S267" i="7"/>
  <c r="T267" i="7"/>
  <c r="R267" i="7"/>
  <c r="S241" i="7"/>
  <c r="T241" i="7"/>
  <c r="R241" i="7"/>
  <c r="S195" i="7"/>
  <c r="T195" i="7"/>
  <c r="R195" i="7"/>
  <c r="S168" i="7"/>
  <c r="T168" i="7"/>
  <c r="R168" i="7"/>
  <c r="S141" i="7"/>
  <c r="T141" i="7"/>
  <c r="R141" i="7"/>
  <c r="S86" i="7"/>
  <c r="T86" i="7"/>
  <c r="R86" i="7"/>
  <c r="S21" i="7"/>
  <c r="T21" i="7"/>
  <c r="R21" i="7"/>
  <c r="S487" i="7"/>
  <c r="T487" i="7"/>
  <c r="R487" i="7"/>
  <c r="S515" i="7"/>
  <c r="T515" i="7"/>
  <c r="R515" i="7"/>
  <c r="S489" i="7"/>
  <c r="T489" i="7"/>
  <c r="R489" i="7"/>
  <c r="S457" i="7"/>
  <c r="T457" i="7"/>
  <c r="R457" i="7"/>
  <c r="S443" i="7"/>
  <c r="T443" i="7"/>
  <c r="R443" i="7"/>
  <c r="S342" i="7"/>
  <c r="T342" i="7"/>
  <c r="R342" i="7"/>
  <c r="S318" i="7"/>
  <c r="T318" i="7"/>
  <c r="R318" i="7"/>
  <c r="S291" i="7"/>
  <c r="T291" i="7"/>
  <c r="R291" i="7"/>
  <c r="S255" i="7"/>
  <c r="T255" i="7"/>
  <c r="R255" i="7"/>
  <c r="S228" i="7"/>
  <c r="T228" i="7"/>
  <c r="R228" i="7"/>
  <c r="S215" i="7"/>
  <c r="T215" i="7"/>
  <c r="R215" i="7"/>
  <c r="S180" i="7"/>
  <c r="T180" i="7"/>
  <c r="R180" i="7"/>
  <c r="S154" i="7"/>
  <c r="T154" i="7"/>
  <c r="R154" i="7"/>
  <c r="S120" i="7"/>
  <c r="T120" i="7"/>
  <c r="R120" i="7"/>
  <c r="S100" i="7"/>
  <c r="T100" i="7"/>
  <c r="R100" i="7"/>
  <c r="S73" i="7"/>
  <c r="T73" i="7"/>
  <c r="R73" i="7"/>
  <c r="S61" i="7"/>
  <c r="T61" i="7"/>
  <c r="R61" i="7"/>
  <c r="S48" i="7"/>
  <c r="T48" i="7"/>
  <c r="R48" i="7"/>
  <c r="S34" i="7"/>
  <c r="T34" i="7"/>
  <c r="R34" i="7"/>
  <c r="S409" i="7"/>
  <c r="T409" i="7"/>
  <c r="R409" i="7"/>
  <c r="S514" i="7"/>
  <c r="T514" i="7"/>
  <c r="R514" i="7"/>
  <c r="S501" i="7"/>
  <c r="T501" i="7"/>
  <c r="R501" i="7"/>
  <c r="S488" i="7"/>
  <c r="T488" i="7"/>
  <c r="R488" i="7"/>
  <c r="S468" i="7"/>
  <c r="T468" i="7"/>
  <c r="R468" i="7"/>
  <c r="S456" i="7"/>
  <c r="T456" i="7"/>
  <c r="R456" i="7"/>
  <c r="S442" i="7"/>
  <c r="T442" i="7"/>
  <c r="R442" i="7"/>
  <c r="S386" i="7"/>
  <c r="T386" i="7"/>
  <c r="R386" i="7"/>
  <c r="S373" i="7"/>
  <c r="T373" i="7"/>
  <c r="R373" i="7"/>
  <c r="S353" i="7"/>
  <c r="T353" i="7"/>
  <c r="R353" i="7"/>
  <c r="S341" i="7"/>
  <c r="T341" i="7"/>
  <c r="R341" i="7"/>
  <c r="S329" i="7"/>
  <c r="T329" i="7"/>
  <c r="R329" i="7"/>
  <c r="S317" i="7"/>
  <c r="T317" i="7"/>
  <c r="R317" i="7"/>
  <c r="S304" i="7"/>
  <c r="T304" i="7"/>
  <c r="R304" i="7"/>
  <c r="S290" i="7"/>
  <c r="T290" i="7"/>
  <c r="R290" i="7"/>
  <c r="S266" i="7"/>
  <c r="T266" i="7"/>
  <c r="R266" i="7"/>
  <c r="S254" i="7"/>
  <c r="T254" i="7"/>
  <c r="R254" i="7"/>
  <c r="S240" i="7"/>
  <c r="T240" i="7"/>
  <c r="R240" i="7"/>
  <c r="S227" i="7"/>
  <c r="T227" i="7"/>
  <c r="R227" i="7"/>
  <c r="S214" i="7"/>
  <c r="T214" i="7"/>
  <c r="R214" i="7"/>
  <c r="S194" i="7"/>
  <c r="T194" i="7"/>
  <c r="R194" i="7"/>
  <c r="S179" i="7"/>
  <c r="T179" i="7"/>
  <c r="R179" i="7"/>
  <c r="S167" i="7"/>
  <c r="T167" i="7"/>
  <c r="R167" i="7"/>
  <c r="S153" i="7"/>
  <c r="T153" i="7"/>
  <c r="R153" i="7"/>
  <c r="S140" i="7"/>
  <c r="T140" i="7"/>
  <c r="R140" i="7"/>
  <c r="S119" i="7"/>
  <c r="T119" i="7"/>
  <c r="R119" i="7"/>
  <c r="S99" i="7"/>
  <c r="T99" i="7"/>
  <c r="R99" i="7"/>
  <c r="S85" i="7"/>
  <c r="T85" i="7"/>
  <c r="R85" i="7"/>
  <c r="S72" i="7"/>
  <c r="T72" i="7"/>
  <c r="R72" i="7"/>
  <c r="S60" i="7"/>
  <c r="T60" i="7"/>
  <c r="R60" i="7"/>
  <c r="S47" i="7"/>
  <c r="T47" i="7"/>
  <c r="R47" i="7"/>
  <c r="S33" i="7"/>
  <c r="T33" i="7"/>
  <c r="R33" i="7"/>
  <c r="S20" i="7"/>
  <c r="T20" i="7"/>
  <c r="R20" i="7"/>
  <c r="S408" i="7"/>
  <c r="T408" i="7"/>
  <c r="R408" i="7"/>
  <c r="S454" i="7"/>
  <c r="T454" i="7"/>
  <c r="R454" i="7"/>
  <c r="S328" i="7"/>
  <c r="T328" i="7"/>
  <c r="R328" i="7"/>
  <c r="S265" i="7"/>
  <c r="T265" i="7"/>
  <c r="R265" i="7"/>
  <c r="S226" i="7"/>
  <c r="T226" i="7"/>
  <c r="R226" i="7"/>
  <c r="S98" i="7"/>
  <c r="T98" i="7"/>
  <c r="R98" i="7"/>
  <c r="T32" i="7"/>
  <c r="S32" i="7"/>
  <c r="R32" i="7"/>
  <c r="S466" i="7"/>
  <c r="T466" i="7"/>
  <c r="R466" i="7"/>
  <c r="T251" i="7"/>
  <c r="S251" i="7"/>
  <c r="R251" i="7"/>
  <c r="S385" i="7"/>
  <c r="T385" i="7"/>
  <c r="R385" i="7"/>
  <c r="T289" i="7"/>
  <c r="S289" i="7"/>
  <c r="R289" i="7"/>
  <c r="T253" i="7"/>
  <c r="S253" i="7"/>
  <c r="R253" i="7"/>
  <c r="S213" i="7"/>
  <c r="T213" i="7"/>
  <c r="R213" i="7"/>
  <c r="S118" i="7"/>
  <c r="T118" i="7"/>
  <c r="R118" i="7"/>
  <c r="S71" i="7"/>
  <c r="T71" i="7"/>
  <c r="R71" i="7"/>
  <c r="T19" i="7"/>
  <c r="S19" i="7"/>
  <c r="R19" i="7"/>
  <c r="S499" i="7"/>
  <c r="T499" i="7"/>
  <c r="R499" i="7"/>
  <c r="S453" i="7"/>
  <c r="T453" i="7"/>
  <c r="R453" i="7"/>
  <c r="S384" i="7"/>
  <c r="T384" i="7"/>
  <c r="R384" i="7"/>
  <c r="S351" i="7"/>
  <c r="T351" i="7"/>
  <c r="R351" i="7"/>
  <c r="S327" i="7"/>
  <c r="T327" i="7"/>
  <c r="R327" i="7"/>
  <c r="S302" i="7"/>
  <c r="T302" i="7"/>
  <c r="R302" i="7"/>
  <c r="S264" i="7"/>
  <c r="T264" i="7"/>
  <c r="R264" i="7"/>
  <c r="S225" i="7"/>
  <c r="T225" i="7"/>
  <c r="R225" i="7"/>
  <c r="S192" i="7"/>
  <c r="T192" i="7"/>
  <c r="R192" i="7"/>
  <c r="S150" i="7"/>
  <c r="T150" i="7"/>
  <c r="R150" i="7"/>
  <c r="S117" i="7"/>
  <c r="T117" i="7"/>
  <c r="R117" i="7"/>
  <c r="S96" i="7"/>
  <c r="T96" i="7"/>
  <c r="R96" i="7"/>
  <c r="S18" i="7"/>
  <c r="T18" i="7"/>
  <c r="R18" i="7"/>
  <c r="S485" i="7"/>
  <c r="T485" i="7"/>
  <c r="R485" i="7"/>
  <c r="S452" i="7"/>
  <c r="T452" i="7"/>
  <c r="R452" i="7"/>
  <c r="S439" i="7"/>
  <c r="T439" i="7"/>
  <c r="R439" i="7"/>
  <c r="F470" i="7"/>
  <c r="S383" i="7"/>
  <c r="T383" i="7"/>
  <c r="R383" i="7"/>
  <c r="S370" i="7"/>
  <c r="T370" i="7"/>
  <c r="R370" i="7"/>
  <c r="S350" i="7"/>
  <c r="T350" i="7"/>
  <c r="R350" i="7"/>
  <c r="S338" i="7"/>
  <c r="T338" i="7"/>
  <c r="R338" i="7"/>
  <c r="S326" i="7"/>
  <c r="T326" i="7"/>
  <c r="R326" i="7"/>
  <c r="S314" i="7"/>
  <c r="T314" i="7"/>
  <c r="R314" i="7"/>
  <c r="S301" i="7"/>
  <c r="T301" i="7"/>
  <c r="R301" i="7"/>
  <c r="S276" i="7"/>
  <c r="T276" i="7"/>
  <c r="R276" i="7"/>
  <c r="S263" i="7"/>
  <c r="T263" i="7"/>
  <c r="R263" i="7"/>
  <c r="S250" i="7"/>
  <c r="T250" i="7"/>
  <c r="R250" i="7"/>
  <c r="S237" i="7"/>
  <c r="T237" i="7"/>
  <c r="R237" i="7"/>
  <c r="S224" i="7"/>
  <c r="T224" i="7"/>
  <c r="R224" i="7"/>
  <c r="S211" i="7"/>
  <c r="T211" i="7"/>
  <c r="R211" i="7"/>
  <c r="S190" i="7"/>
  <c r="T190" i="7"/>
  <c r="R190" i="7"/>
  <c r="S176" i="7"/>
  <c r="T176" i="7"/>
  <c r="R176" i="7"/>
  <c r="S164" i="7"/>
  <c r="T164" i="7"/>
  <c r="R164" i="7"/>
  <c r="S149" i="7"/>
  <c r="T149" i="7"/>
  <c r="R149" i="7"/>
  <c r="S136" i="7"/>
  <c r="T136" i="7"/>
  <c r="R136" i="7"/>
  <c r="S116" i="7"/>
  <c r="T116" i="7"/>
  <c r="R116" i="7"/>
  <c r="S95" i="7"/>
  <c r="T95" i="7"/>
  <c r="R95" i="7"/>
  <c r="S81" i="7"/>
  <c r="T81" i="7"/>
  <c r="R81" i="7"/>
  <c r="S69" i="7"/>
  <c r="T69" i="7"/>
  <c r="R69" i="7"/>
  <c r="S57" i="7"/>
  <c r="T57" i="7"/>
  <c r="R57" i="7"/>
  <c r="S43" i="7"/>
  <c r="T43" i="7"/>
  <c r="R43" i="7"/>
  <c r="S30" i="7"/>
  <c r="T30" i="7"/>
  <c r="R30" i="7"/>
  <c r="S17" i="7"/>
  <c r="T17" i="7"/>
  <c r="R17" i="7"/>
  <c r="S405" i="7"/>
  <c r="T405" i="7"/>
  <c r="R405" i="7"/>
  <c r="S441" i="7"/>
  <c r="T441" i="7"/>
  <c r="R441" i="7"/>
  <c r="T303" i="7"/>
  <c r="S303" i="7"/>
  <c r="R303" i="7"/>
  <c r="S239" i="7"/>
  <c r="T239" i="7"/>
  <c r="R239" i="7"/>
  <c r="S151" i="7"/>
  <c r="T151" i="7"/>
  <c r="R151" i="7"/>
  <c r="S84" i="7"/>
  <c r="T84" i="7"/>
  <c r="R84" i="7"/>
  <c r="T59" i="7"/>
  <c r="S59" i="7"/>
  <c r="R59" i="7"/>
  <c r="T46" i="7"/>
  <c r="S46" i="7"/>
  <c r="R46" i="7"/>
  <c r="S407" i="7"/>
  <c r="T407" i="7"/>
  <c r="R407" i="7"/>
  <c r="S512" i="7"/>
  <c r="T512" i="7"/>
  <c r="R512" i="7"/>
  <c r="S486" i="7"/>
  <c r="T486" i="7"/>
  <c r="R486" i="7"/>
  <c r="S440" i="7"/>
  <c r="T440" i="7"/>
  <c r="R440" i="7"/>
  <c r="S371" i="7"/>
  <c r="T371" i="7"/>
  <c r="R371" i="7"/>
  <c r="S339" i="7"/>
  <c r="T339" i="7"/>
  <c r="R339" i="7"/>
  <c r="S315" i="7"/>
  <c r="T315" i="7"/>
  <c r="R315" i="7"/>
  <c r="T285" i="7"/>
  <c r="S285" i="7"/>
  <c r="R285" i="7"/>
  <c r="F355" i="7"/>
  <c r="S238" i="7"/>
  <c r="T238" i="7"/>
  <c r="R238" i="7"/>
  <c r="S212" i="7"/>
  <c r="T212" i="7"/>
  <c r="R212" i="7"/>
  <c r="S177" i="7"/>
  <c r="T177" i="7"/>
  <c r="R177" i="7"/>
  <c r="S165" i="7"/>
  <c r="T165" i="7"/>
  <c r="R165" i="7"/>
  <c r="S137" i="7"/>
  <c r="T137" i="7"/>
  <c r="R137" i="7"/>
  <c r="S83" i="7"/>
  <c r="T83" i="7"/>
  <c r="R83" i="7"/>
  <c r="S70" i="7"/>
  <c r="T70" i="7"/>
  <c r="R70" i="7"/>
  <c r="S58" i="7"/>
  <c r="T58" i="7"/>
  <c r="R58" i="7"/>
  <c r="S45" i="7"/>
  <c r="T45" i="7"/>
  <c r="R45" i="7"/>
  <c r="S31" i="7"/>
  <c r="T31" i="7"/>
  <c r="R31" i="7"/>
  <c r="S406" i="7"/>
  <c r="T406" i="7"/>
  <c r="R406" i="7"/>
  <c r="S511" i="7"/>
  <c r="T511" i="7"/>
  <c r="R511" i="7"/>
  <c r="S497" i="7"/>
  <c r="T497" i="7"/>
  <c r="R497" i="7"/>
  <c r="S465" i="7"/>
  <c r="T465" i="7"/>
  <c r="R465" i="7"/>
  <c r="S530" i="7"/>
  <c r="T530" i="7"/>
  <c r="R530" i="7"/>
  <c r="S510" i="7"/>
  <c r="T510" i="7"/>
  <c r="R510" i="7"/>
  <c r="S496" i="7"/>
  <c r="T496" i="7"/>
  <c r="R496" i="7"/>
  <c r="S484" i="7"/>
  <c r="T484" i="7"/>
  <c r="R484" i="7"/>
  <c r="S464" i="7"/>
  <c r="T464" i="7"/>
  <c r="R464" i="7"/>
  <c r="S451" i="7"/>
  <c r="T451" i="7"/>
  <c r="R451" i="7"/>
  <c r="S430" i="7"/>
  <c r="T430" i="7"/>
  <c r="R430" i="7"/>
  <c r="S382" i="7"/>
  <c r="T382" i="7"/>
  <c r="R382" i="7"/>
  <c r="S368" i="7"/>
  <c r="T368" i="7"/>
  <c r="R368" i="7"/>
  <c r="R349" i="7"/>
  <c r="S349" i="7"/>
  <c r="T349" i="7"/>
  <c r="S337" i="7"/>
  <c r="T337" i="7"/>
  <c r="R337" i="7"/>
  <c r="S325" i="7"/>
  <c r="T325" i="7"/>
  <c r="R325" i="7"/>
  <c r="S313" i="7"/>
  <c r="T313" i="7"/>
  <c r="R313" i="7"/>
  <c r="S299" i="7"/>
  <c r="T299" i="7"/>
  <c r="R299" i="7"/>
  <c r="S275" i="7"/>
  <c r="T275" i="7"/>
  <c r="R275" i="7"/>
  <c r="S262" i="7"/>
  <c r="T262" i="7"/>
  <c r="R262" i="7"/>
  <c r="S249" i="7"/>
  <c r="T249" i="7"/>
  <c r="R249" i="7"/>
  <c r="S236" i="7"/>
  <c r="T236" i="7"/>
  <c r="R236" i="7"/>
  <c r="S223" i="7"/>
  <c r="T223" i="7"/>
  <c r="R223" i="7"/>
  <c r="S210" i="7"/>
  <c r="T210" i="7"/>
  <c r="R210" i="7"/>
  <c r="S189" i="7"/>
  <c r="T189" i="7"/>
  <c r="R189" i="7"/>
  <c r="S175" i="7"/>
  <c r="T175" i="7"/>
  <c r="R175" i="7"/>
  <c r="S163" i="7"/>
  <c r="T163" i="7"/>
  <c r="R163" i="7"/>
  <c r="S148" i="7"/>
  <c r="T148" i="7"/>
  <c r="R148" i="7"/>
  <c r="S135" i="7"/>
  <c r="T135" i="7"/>
  <c r="R135" i="7"/>
  <c r="S115" i="7"/>
  <c r="T115" i="7"/>
  <c r="R115" i="7"/>
  <c r="S94" i="7"/>
  <c r="T94" i="7"/>
  <c r="R94" i="7"/>
  <c r="S80" i="7"/>
  <c r="T80" i="7"/>
  <c r="R80" i="7"/>
  <c r="S68" i="7"/>
  <c r="T68" i="7"/>
  <c r="R68" i="7"/>
  <c r="S56" i="7"/>
  <c r="T56" i="7"/>
  <c r="R56" i="7"/>
  <c r="S42" i="7"/>
  <c r="T42" i="7"/>
  <c r="R42" i="7"/>
  <c r="S29" i="7"/>
  <c r="T29" i="7"/>
  <c r="R29" i="7"/>
  <c r="S16" i="7"/>
  <c r="T16" i="7"/>
  <c r="R16" i="7"/>
  <c r="S404" i="7"/>
  <c r="T404" i="7"/>
  <c r="R404" i="7"/>
  <c r="J470" i="21" l="1"/>
  <c r="J472" i="21" s="1"/>
  <c r="F278" i="7"/>
  <c r="F279" i="7"/>
  <c r="F280" i="7"/>
  <c r="F281" i="7" s="1"/>
  <c r="T536" i="7"/>
  <c r="F127" i="7"/>
  <c r="F128" i="7" s="1"/>
  <c r="F126" i="7"/>
  <c r="F125" i="7"/>
  <c r="F434" i="7"/>
  <c r="F435" i="7" s="1"/>
  <c r="F433" i="7"/>
  <c r="F432" i="7"/>
  <c r="S536" i="7"/>
  <c r="F358" i="7"/>
  <c r="F359" i="7" s="1"/>
  <c r="F356" i="7"/>
  <c r="F357" i="7"/>
  <c r="F522" i="7"/>
  <c r="F523" i="7" s="1"/>
  <c r="F521" i="7"/>
  <c r="F524" i="7" s="1"/>
  <c r="F520" i="7"/>
  <c r="F199" i="7"/>
  <c r="F200" i="7"/>
  <c r="F201" i="7"/>
  <c r="F202" i="7" s="1"/>
  <c r="F473" i="7"/>
  <c r="F474" i="7" s="1"/>
  <c r="F472" i="7"/>
  <c r="F471" i="7"/>
  <c r="F475" i="7" s="1"/>
  <c r="F110" i="7"/>
  <c r="F111" i="7" s="1"/>
  <c r="F109" i="7"/>
  <c r="F108" i="7"/>
  <c r="F543" i="7"/>
  <c r="F534" i="7"/>
  <c r="F535" i="7" s="1"/>
  <c r="F532" i="7"/>
  <c r="F533" i="7"/>
  <c r="R536" i="7"/>
  <c r="F398" i="7"/>
  <c r="F399" i="7" s="1"/>
  <c r="F396" i="7"/>
  <c r="F397" i="7"/>
  <c r="J471" i="21" l="1"/>
  <c r="J473" i="21"/>
  <c r="J474" i="21" s="1"/>
  <c r="F129" i="7"/>
  <c r="F436" i="7"/>
  <c r="F536" i="7"/>
  <c r="F203" i="7"/>
  <c r="F282" i="7"/>
  <c r="F112" i="7"/>
  <c r="F360" i="7"/>
  <c r="F400" i="7"/>
  <c r="F538" i="7" l="1"/>
  <c r="F479" i="21" s="1"/>
  <c r="F481" i="21" s="1"/>
  <c r="F198" i="12" l="1"/>
  <c r="F199" i="12" s="1"/>
  <c r="I250" i="23" l="1"/>
  <c r="P414" i="17" l="1"/>
  <c r="P370" i="21" s="1"/>
  <c r="Q370" i="21" s="1"/>
  <c r="I312" i="24"/>
  <c r="I404" i="23"/>
  <c r="I330" i="24" s="1"/>
  <c r="Q414" i="17" l="1"/>
  <c r="P453" i="17"/>
  <c r="Q453" i="17" l="1"/>
  <c r="P407" i="21"/>
  <c r="Q407" i="21" s="1"/>
  <c r="I388" i="23" l="1"/>
  <c r="I349" i="24" s="1"/>
  <c r="I253" i="23"/>
  <c r="I339" i="24" s="1"/>
  <c r="P451" i="17" l="1"/>
  <c r="P405" i="21" s="1"/>
  <c r="Q405" i="21" s="1"/>
  <c r="I257" i="23"/>
  <c r="P475" i="17"/>
  <c r="P528" i="17" l="1"/>
  <c r="Q528" i="17" s="1"/>
  <c r="I392" i="24"/>
  <c r="Q451" i="17"/>
  <c r="P429" i="21"/>
  <c r="Q429" i="21" s="1"/>
  <c r="Q475" i="17"/>
  <c r="I405" i="23" l="1"/>
  <c r="I384" i="24" s="1"/>
  <c r="P530" i="17"/>
  <c r="Q530" i="17" s="1"/>
  <c r="P251" i="17"/>
  <c r="P229" i="21" s="1"/>
  <c r="Q229" i="21" s="1"/>
  <c r="I400" i="23"/>
  <c r="I100" i="24" s="1"/>
  <c r="P147" i="17"/>
  <c r="P132" i="21" s="1"/>
  <c r="Q132" i="21" s="1"/>
  <c r="I15" i="23"/>
  <c r="I346" i="23"/>
  <c r="I208" i="23"/>
  <c r="I178" i="24" s="1"/>
  <c r="P252" i="17"/>
  <c r="Q252" i="17" s="1"/>
  <c r="P145" i="17"/>
  <c r="Q145" i="17" s="1"/>
  <c r="I43" i="23"/>
  <c r="P401" i="17" s="1"/>
  <c r="P357" i="21" s="1"/>
  <c r="Q357" i="21" s="1"/>
  <c r="I353" i="23"/>
  <c r="P399" i="17"/>
  <c r="P355" i="21" s="1"/>
  <c r="Q355" i="21" s="1"/>
  <c r="I73" i="23"/>
  <c r="I27" i="23"/>
  <c r="I372" i="23"/>
  <c r="I243" i="24" s="1"/>
  <c r="I115" i="23"/>
  <c r="I331" i="23"/>
  <c r="I251" i="24" s="1"/>
  <c r="P339" i="17"/>
  <c r="Q339" i="17" s="1"/>
  <c r="I241" i="23"/>
  <c r="I104" i="23"/>
  <c r="I97" i="24" s="1"/>
  <c r="I324" i="23"/>
  <c r="I366" i="23"/>
  <c r="P148" i="17"/>
  <c r="Q148" i="17" s="1"/>
  <c r="I333" i="23" l="1"/>
  <c r="P415" i="17" s="1"/>
  <c r="P371" i="21" s="1"/>
  <c r="Q371" i="21" s="1"/>
  <c r="I352" i="23"/>
  <c r="I297" i="24"/>
  <c r="I44" i="23"/>
  <c r="I298" i="24"/>
  <c r="I345" i="23"/>
  <c r="I95" i="24" s="1"/>
  <c r="I177" i="24"/>
  <c r="P341" i="17"/>
  <c r="Q341" i="17" s="1"/>
  <c r="P146" i="17"/>
  <c r="P131" i="21" s="1"/>
  <c r="Q131" i="21" s="1"/>
  <c r="I99" i="24"/>
  <c r="I335" i="23"/>
  <c r="I329" i="24" s="1"/>
  <c r="I313" i="24"/>
  <c r="I367" i="23"/>
  <c r="I116" i="24" s="1"/>
  <c r="I101" i="24"/>
  <c r="I117" i="23"/>
  <c r="I311" i="24" s="1"/>
  <c r="I249" i="24"/>
  <c r="I16" i="23"/>
  <c r="I408" i="24"/>
  <c r="I242" i="23"/>
  <c r="I113" i="24" s="1"/>
  <c r="I98" i="24"/>
  <c r="P144" i="17"/>
  <c r="Q144" i="17" s="1"/>
  <c r="P250" i="17"/>
  <c r="Q250" i="17" s="1"/>
  <c r="I176" i="24"/>
  <c r="P249" i="17"/>
  <c r="P227" i="21" s="1"/>
  <c r="Q227" i="21" s="1"/>
  <c r="I175" i="24"/>
  <c r="P230" i="21"/>
  <c r="Q230" i="21" s="1"/>
  <c r="P130" i="21"/>
  <c r="Q130" i="21" s="1"/>
  <c r="I344" i="23"/>
  <c r="P142" i="17"/>
  <c r="P133" i="21"/>
  <c r="Q133" i="21" s="1"/>
  <c r="Q399" i="17"/>
  <c r="P309" i="21"/>
  <c r="Q309" i="21" s="1"/>
  <c r="Q401" i="17"/>
  <c r="I337" i="23"/>
  <c r="I359" i="24" s="1"/>
  <c r="P452" i="17"/>
  <c r="I325" i="23"/>
  <c r="I114" i="24" s="1"/>
  <c r="P337" i="17"/>
  <c r="P548" i="17"/>
  <c r="Q147" i="17"/>
  <c r="I74" i="23"/>
  <c r="Q251" i="17"/>
  <c r="Q415" i="17" l="1"/>
  <c r="P413" i="17"/>
  <c r="Q413" i="17" s="1"/>
  <c r="P311" i="21"/>
  <c r="Q311" i="21" s="1"/>
  <c r="I119" i="23"/>
  <c r="I338" i="24" s="1"/>
  <c r="P168" i="17"/>
  <c r="Q168" i="17" s="1"/>
  <c r="P547" i="17"/>
  <c r="Q547" i="17" s="1"/>
  <c r="I407" i="24"/>
  <c r="P171" i="17"/>
  <c r="P156" i="21" s="1"/>
  <c r="Q156" i="21" s="1"/>
  <c r="I369" i="23"/>
  <c r="I192" i="24" s="1"/>
  <c r="P518" i="17"/>
  <c r="I381" i="24"/>
  <c r="P440" i="17"/>
  <c r="I326" i="24"/>
  <c r="Q146" i="17"/>
  <c r="P228" i="21"/>
  <c r="Q228" i="21" s="1"/>
  <c r="I244" i="23"/>
  <c r="I189" i="24" s="1"/>
  <c r="Q249" i="17"/>
  <c r="P565" i="17"/>
  <c r="I415" i="24"/>
  <c r="P65" i="17"/>
  <c r="Q65" i="17" s="1"/>
  <c r="I31" i="24"/>
  <c r="P129" i="21"/>
  <c r="Q129" i="21" s="1"/>
  <c r="Q142" i="17"/>
  <c r="P127" i="21"/>
  <c r="Q127" i="21" s="1"/>
  <c r="Q136" i="21" s="1"/>
  <c r="Q548" i="17"/>
  <c r="P307" i="21"/>
  <c r="Q307" i="21" s="1"/>
  <c r="Q337" i="17"/>
  <c r="P450" i="17"/>
  <c r="I121" i="23"/>
  <c r="I357" i="24" s="1"/>
  <c r="P406" i="21"/>
  <c r="Q406" i="21" s="1"/>
  <c r="Q452" i="17"/>
  <c r="P485" i="17"/>
  <c r="I339" i="23"/>
  <c r="I327" i="23"/>
  <c r="I169" i="24" s="1"/>
  <c r="P169" i="17"/>
  <c r="P263" i="17"/>
  <c r="I371" i="23"/>
  <c r="I247" i="24" s="1"/>
  <c r="Q151" i="17" l="1"/>
  <c r="P369" i="21"/>
  <c r="Q369" i="21" s="1"/>
  <c r="P260" i="17"/>
  <c r="P238" i="21" s="1"/>
  <c r="Q238" i="21" s="1"/>
  <c r="P153" i="21"/>
  <c r="Q153" i="21" s="1"/>
  <c r="I246" i="23"/>
  <c r="I244" i="24" s="1"/>
  <c r="Q171" i="17"/>
  <c r="P394" i="21"/>
  <c r="Q394" i="21" s="1"/>
  <c r="Q440" i="17"/>
  <c r="Q518" i="17"/>
  <c r="P529" i="17"/>
  <c r="Q529" i="17" s="1"/>
  <c r="I393" i="24"/>
  <c r="P50" i="21"/>
  <c r="Q50" i="21" s="1"/>
  <c r="P469" i="21"/>
  <c r="Q469" i="21" s="1"/>
  <c r="Q470" i="21" s="1"/>
  <c r="Q565" i="17"/>
  <c r="Q566" i="17" s="1"/>
  <c r="I248" i="23"/>
  <c r="I295" i="24" s="1"/>
  <c r="P332" i="17"/>
  <c r="P439" i="21"/>
  <c r="Q439" i="21" s="1"/>
  <c r="Q485" i="17"/>
  <c r="I373" i="23"/>
  <c r="I309" i="24" s="1"/>
  <c r="P335" i="17"/>
  <c r="P483" i="17"/>
  <c r="I123" i="23"/>
  <c r="Q450" i="17"/>
  <c r="P404" i="21"/>
  <c r="Q404" i="21" s="1"/>
  <c r="P241" i="21"/>
  <c r="Q241" i="21" s="1"/>
  <c r="Q263" i="17"/>
  <c r="Q169" i="17"/>
  <c r="P154" i="21"/>
  <c r="Q154" i="21" s="1"/>
  <c r="P240" i="17"/>
  <c r="I328" i="23"/>
  <c r="I190" i="24" s="1"/>
  <c r="Q260" i="17" l="1"/>
  <c r="Q152" i="17"/>
  <c r="Q153" i="17"/>
  <c r="Q154" i="17"/>
  <c r="Q155" i="17" s="1"/>
  <c r="Q568" i="17"/>
  <c r="Q567" i="17"/>
  <c r="Q569" i="17"/>
  <c r="Q570" i="17" s="1"/>
  <c r="Q472" i="21"/>
  <c r="Q473" i="21"/>
  <c r="Q474" i="21" s="1"/>
  <c r="D13" i="21"/>
  <c r="Q471" i="21"/>
  <c r="D6" i="21"/>
  <c r="Q139" i="21"/>
  <c r="Q140" i="21" s="1"/>
  <c r="Q137" i="21"/>
  <c r="Q138" i="21"/>
  <c r="P527" i="17"/>
  <c r="Q527" i="17" s="1"/>
  <c r="I391" i="24"/>
  <c r="P218" i="21"/>
  <c r="Q218" i="21" s="1"/>
  <c r="Q240" i="17"/>
  <c r="P302" i="21"/>
  <c r="Q302" i="21" s="1"/>
  <c r="Q332" i="17"/>
  <c r="P261" i="17"/>
  <c r="I330" i="23"/>
  <c r="I245" i="24" s="1"/>
  <c r="I249" i="23"/>
  <c r="I306" i="24" s="1"/>
  <c r="P397" i="17"/>
  <c r="P411" i="17"/>
  <c r="I375" i="23"/>
  <c r="I336" i="24" s="1"/>
  <c r="P437" i="21"/>
  <c r="Q437" i="21" s="1"/>
  <c r="Q483" i="17"/>
  <c r="P305" i="21"/>
  <c r="Q305" i="21" s="1"/>
  <c r="Q335" i="17"/>
  <c r="Q156" i="17" l="1"/>
  <c r="Q141" i="21"/>
  <c r="O6" i="21" s="1"/>
  <c r="Q475" i="21"/>
  <c r="Q571" i="17"/>
  <c r="D14" i="17" s="1"/>
  <c r="I377" i="23"/>
  <c r="I356" i="24" s="1"/>
  <c r="P448" i="17"/>
  <c r="P353" i="21"/>
  <c r="Q353" i="21" s="1"/>
  <c r="Q397" i="17"/>
  <c r="Q261" i="17"/>
  <c r="P239" i="21"/>
  <c r="Q239" i="21" s="1"/>
  <c r="I251" i="23"/>
  <c r="P408" i="17"/>
  <c r="I252" i="23"/>
  <c r="I333" i="24" s="1"/>
  <c r="I332" i="23"/>
  <c r="I307" i="24" s="1"/>
  <c r="P333" i="17"/>
  <c r="P367" i="21"/>
  <c r="Q367" i="21" s="1"/>
  <c r="Q411" i="17"/>
  <c r="D6" i="17" l="1"/>
  <c r="O13" i="21"/>
  <c r="P441" i="17"/>
  <c r="Q441" i="17" s="1"/>
  <c r="I327" i="24"/>
  <c r="P303" i="21"/>
  <c r="Q303" i="21" s="1"/>
  <c r="Q333" i="17"/>
  <c r="P409" i="17"/>
  <c r="I334" i="23"/>
  <c r="I334" i="24" s="1"/>
  <c r="P445" i="17"/>
  <c r="I254" i="23"/>
  <c r="I347" i="24" s="1"/>
  <c r="Q448" i="17"/>
  <c r="P402" i="21"/>
  <c r="Q402" i="21" s="1"/>
  <c r="Q408" i="17"/>
  <c r="P364" i="21"/>
  <c r="Q364" i="21" s="1"/>
  <c r="P482" i="17"/>
  <c r="I379" i="23"/>
  <c r="P395" i="21" l="1"/>
  <c r="Q395" i="21" s="1"/>
  <c r="P525" i="17"/>
  <c r="Q525" i="17" s="1"/>
  <c r="I389" i="24"/>
  <c r="I107" i="23"/>
  <c r="I348" i="24" s="1"/>
  <c r="P473" i="17"/>
  <c r="I255" i="23"/>
  <c r="I353" i="24" s="1"/>
  <c r="Q445" i="17"/>
  <c r="P399" i="21"/>
  <c r="Q399" i="21" s="1"/>
  <c r="P365" i="21"/>
  <c r="Q365" i="21" s="1"/>
  <c r="Q409" i="17"/>
  <c r="I336" i="23"/>
  <c r="I354" i="24" s="1"/>
  <c r="P446" i="17"/>
  <c r="P436" i="21"/>
  <c r="Q436" i="21" s="1"/>
  <c r="Q482" i="17"/>
  <c r="P400" i="21" l="1"/>
  <c r="Q400" i="21" s="1"/>
  <c r="Q446" i="17"/>
  <c r="I338" i="23"/>
  <c r="P480" i="17"/>
  <c r="I108" i="23"/>
  <c r="I35" i="24" s="1"/>
  <c r="P474" i="17"/>
  <c r="P427" i="21"/>
  <c r="Q427" i="21" s="1"/>
  <c r="Q473" i="17"/>
  <c r="I256" i="23"/>
  <c r="P479" i="17"/>
  <c r="P522" i="17" l="1"/>
  <c r="Q522" i="17" s="1"/>
  <c r="I386" i="24"/>
  <c r="P523" i="17"/>
  <c r="Q523" i="17" s="1"/>
  <c r="I387" i="24"/>
  <c r="P433" i="21"/>
  <c r="Q433" i="21" s="1"/>
  <c r="Q479" i="17"/>
  <c r="Q474" i="17"/>
  <c r="P428" i="21"/>
  <c r="Q428" i="21" s="1"/>
  <c r="I110" i="23"/>
  <c r="I108" i="24" s="1"/>
  <c r="P70" i="17"/>
  <c r="Q480" i="17"/>
  <c r="P434" i="21"/>
  <c r="Q434" i="21" s="1"/>
  <c r="P55" i="21" l="1"/>
  <c r="Q55" i="21" s="1"/>
  <c r="Q117" i="21" s="1"/>
  <c r="Q70" i="17"/>
  <c r="Q132" i="17" s="1"/>
  <c r="I112" i="23"/>
  <c r="I183" i="24" s="1"/>
  <c r="P167" i="17"/>
  <c r="Q134" i="17" l="1"/>
  <c r="Q135" i="17"/>
  <c r="Q136" i="17" s="1"/>
  <c r="Q133" i="17"/>
  <c r="Q119" i="21"/>
  <c r="Q120" i="21"/>
  <c r="Q118" i="21"/>
  <c r="D5" i="21"/>
  <c r="I114" i="23"/>
  <c r="I241" i="24" s="1"/>
  <c r="P259" i="17"/>
  <c r="P152" i="21"/>
  <c r="Q152" i="21" s="1"/>
  <c r="Q204" i="21" s="1"/>
  <c r="Q167" i="17"/>
  <c r="Q226" i="17" s="1"/>
  <c r="Q121" i="21" l="1"/>
  <c r="Q227" i="17"/>
  <c r="Q229" i="17"/>
  <c r="Q230" i="17" s="1"/>
  <c r="Q228" i="17"/>
  <c r="Q207" i="21"/>
  <c r="Q208" i="21" s="1"/>
  <c r="Q205" i="21"/>
  <c r="Q206" i="21"/>
  <c r="D7" i="21"/>
  <c r="Q137" i="17"/>
  <c r="P237" i="21"/>
  <c r="Q237" i="21" s="1"/>
  <c r="Q276" i="21" s="1"/>
  <c r="Q259" i="17"/>
  <c r="Q306" i="17" s="1"/>
  <c r="I116" i="23"/>
  <c r="I303" i="24" s="1"/>
  <c r="P331" i="17"/>
  <c r="D5" i="17" l="1"/>
  <c r="Q122" i="21"/>
  <c r="O5" i="21" s="1"/>
  <c r="Q231" i="17"/>
  <c r="D7" i="17" s="1"/>
  <c r="Q309" i="17"/>
  <c r="Q310" i="17" s="1"/>
  <c r="Q307" i="17"/>
  <c r="Q308" i="17"/>
  <c r="Q278" i="21"/>
  <c r="Q279" i="21"/>
  <c r="Q280" i="21" s="1"/>
  <c r="D8" i="21"/>
  <c r="Q277" i="21"/>
  <c r="Q209" i="21"/>
  <c r="O7" i="21" s="1"/>
  <c r="P407" i="17"/>
  <c r="I118" i="23"/>
  <c r="I332" i="24" s="1"/>
  <c r="P301" i="21"/>
  <c r="Q301" i="21" s="1"/>
  <c r="Q341" i="21" s="1"/>
  <c r="Q331" i="17"/>
  <c r="Q385" i="17" s="1"/>
  <c r="Q386" i="17" l="1"/>
  <c r="Q388" i="17"/>
  <c r="Q389" i="17" s="1"/>
  <c r="Q387" i="17"/>
  <c r="Q344" i="21"/>
  <c r="Q345" i="21" s="1"/>
  <c r="Q343" i="21"/>
  <c r="D9" i="21"/>
  <c r="Q342" i="21"/>
  <c r="Q311" i="17"/>
  <c r="D8" i="17" s="1"/>
  <c r="Q281" i="21"/>
  <c r="O8" i="21" s="1"/>
  <c r="P444" i="17"/>
  <c r="I120" i="23"/>
  <c r="I351" i="24" s="1"/>
  <c r="P363" i="21"/>
  <c r="Q363" i="21" s="1"/>
  <c r="Q380" i="21" s="1"/>
  <c r="Q407" i="17"/>
  <c r="Q426" i="17" s="1"/>
  <c r="Q429" i="17" l="1"/>
  <c r="Q430" i="17" s="1"/>
  <c r="Q428" i="17"/>
  <c r="Q427" i="17"/>
  <c r="Q381" i="21"/>
  <c r="D10" i="21"/>
  <c r="Q382" i="21"/>
  <c r="Q383" i="21"/>
  <c r="Q384" i="21" s="1"/>
  <c r="Q390" i="17"/>
  <c r="D9" i="17" s="1"/>
  <c r="Q346" i="21"/>
  <c r="O9" i="21" s="1"/>
  <c r="P478" i="17"/>
  <c r="I122" i="23"/>
  <c r="Q444" i="17"/>
  <c r="Q463" i="17" s="1"/>
  <c r="P398" i="21"/>
  <c r="Q398" i="21" s="1"/>
  <c r="Q417" i="21" s="1"/>
  <c r="Q465" i="17" l="1"/>
  <c r="Q464" i="17"/>
  <c r="Q466" i="17"/>
  <c r="Q467" i="17" s="1"/>
  <c r="Q419" i="21"/>
  <c r="Q420" i="21"/>
  <c r="Q421" i="21" s="1"/>
  <c r="Q418" i="21"/>
  <c r="D11" i="21"/>
  <c r="P521" i="17"/>
  <c r="Q521" i="17" s="1"/>
  <c r="Q553" i="17" s="1"/>
  <c r="I383" i="24"/>
  <c r="Q385" i="21"/>
  <c r="O10" i="21" s="1"/>
  <c r="Q431" i="17"/>
  <c r="D10" i="17" s="1"/>
  <c r="P432" i="21"/>
  <c r="Q432" i="21" s="1"/>
  <c r="Q457" i="21" s="1"/>
  <c r="B20" i="20" s="1"/>
  <c r="Q478" i="17"/>
  <c r="Q503" i="17" s="1"/>
  <c r="Q505" i="17" l="1"/>
  <c r="Q504" i="17"/>
  <c r="Q506" i="17"/>
  <c r="Q507" i="17" s="1"/>
  <c r="Q555" i="17"/>
  <c r="Q556" i="17"/>
  <c r="Q557" i="17" s="1"/>
  <c r="Q554" i="17"/>
  <c r="D12" i="21"/>
  <c r="Q459" i="21"/>
  <c r="B22" i="20" s="1"/>
  <c r="Q458" i="21"/>
  <c r="B21" i="20" s="1"/>
  <c r="Q460" i="21"/>
  <c r="Q461" i="21" s="1"/>
  <c r="B24" i="20" s="1"/>
  <c r="Q422" i="21"/>
  <c r="O11" i="21" s="1"/>
  <c r="Q468" i="17"/>
  <c r="D11" i="17" s="1"/>
  <c r="B23" i="20" l="1"/>
  <c r="Q558" i="17"/>
  <c r="Q508" i="17"/>
  <c r="D12" i="17" s="1"/>
  <c r="Q462" i="21"/>
  <c r="Q477" i="21" s="1"/>
  <c r="D13" i="17" l="1"/>
  <c r="Q573" i="17"/>
  <c r="O12" i="21"/>
  <c r="C20" i="20"/>
  <c r="D14" i="21"/>
  <c r="C24" i="20" l="1"/>
  <c r="B30" i="20"/>
  <c r="C22" i="20"/>
  <c r="D15" i="21"/>
  <c r="D16" i="21"/>
  <c r="D17" i="21"/>
  <c r="D18" i="21" s="1"/>
  <c r="C23" i="20" l="1"/>
  <c r="C21" i="20"/>
  <c r="C30" i="20" s="1"/>
  <c r="D19" i="21"/>
  <c r="O21" i="21" s="1"/>
  <c r="F49" i="20"/>
  <c r="F47" i="20"/>
  <c r="F51" i="20"/>
  <c r="F46" i="20"/>
  <c r="F48" i="20"/>
  <c r="I41" i="20"/>
  <c r="I37" i="20"/>
  <c r="I38" i="20"/>
  <c r="I39" i="20"/>
  <c r="I40" i="20"/>
  <c r="I34" i="20"/>
  <c r="O22" i="17"/>
  <c r="B25" i="20" l="1"/>
  <c r="C25" i="20" s="1"/>
  <c r="V19" i="21"/>
  <c r="V14" i="21" s="1"/>
  <c r="V15" i="21" s="1"/>
  <c r="G6" i="25"/>
  <c r="W70" i="25" s="1"/>
  <c r="G9" i="25"/>
  <c r="G3" i="25"/>
  <c r="G5" i="25"/>
  <c r="G8" i="25"/>
  <c r="G2" i="25"/>
  <c r="G4" i="25"/>
  <c r="W37" i="25" s="1"/>
  <c r="G10" i="25"/>
  <c r="C53" i="20" l="1"/>
  <c r="E53" i="20" s="1"/>
  <c r="F53" i="20" s="1"/>
  <c r="C52" i="20"/>
  <c r="E52" i="20" s="1"/>
  <c r="F52" i="20" s="1"/>
  <c r="C54" i="20"/>
  <c r="E54" i="20" s="1"/>
  <c r="F54" i="20" s="1"/>
  <c r="H4" i="21"/>
  <c r="B2" i="25" s="1"/>
  <c r="H6" i="21"/>
  <c r="B4" i="25" s="1"/>
  <c r="G7" i="25"/>
  <c r="G11" i="25" s="1"/>
  <c r="W21" i="25"/>
  <c r="H3" i="25"/>
  <c r="W3" i="25"/>
  <c r="W104" i="25"/>
  <c r="I8" i="25"/>
  <c r="K8" i="25" s="1"/>
  <c r="H8" i="25"/>
  <c r="W53" i="25"/>
  <c r="H5" i="25"/>
  <c r="I5" i="25"/>
  <c r="K5" i="25" s="1"/>
  <c r="W121" i="25"/>
  <c r="I9" i="25"/>
  <c r="K9" i="25" s="1"/>
  <c r="H9" i="25"/>
  <c r="I10" i="25"/>
  <c r="K10" i="25" s="1"/>
  <c r="H10" i="25"/>
  <c r="W138" i="25"/>
  <c r="Y76" i="25"/>
  <c r="Y79" i="25"/>
  <c r="AB79" i="25" s="1"/>
  <c r="Y78" i="25"/>
  <c r="AB78" i="25" s="1"/>
  <c r="Y81" i="25"/>
  <c r="AB81" i="25" s="1"/>
  <c r="Y80" i="25"/>
  <c r="AB80" i="25" s="1"/>
  <c r="Y77" i="25"/>
  <c r="D15" i="17"/>
  <c r="H5" i="21"/>
  <c r="H7" i="21"/>
  <c r="O14" i="21"/>
  <c r="C55" i="20" l="1"/>
  <c r="J8" i="25"/>
  <c r="L8" i="25" s="1"/>
  <c r="M8" i="25" s="1"/>
  <c r="Y115" i="25"/>
  <c r="AB115" i="25" s="1"/>
  <c r="Y114" i="25"/>
  <c r="AB114" i="25" s="1"/>
  <c r="Y111" i="25"/>
  <c r="AB111" i="25" s="1"/>
  <c r="Y113" i="25"/>
  <c r="AB113" i="25" s="1"/>
  <c r="Y110" i="25"/>
  <c r="Y112" i="25"/>
  <c r="AB112" i="25" s="1"/>
  <c r="J9" i="25"/>
  <c r="L9" i="25" s="1"/>
  <c r="Y129" i="25"/>
  <c r="AB129" i="25" s="1"/>
  <c r="Y127" i="25"/>
  <c r="Y131" i="25"/>
  <c r="AB131" i="25" s="1"/>
  <c r="Y128" i="25"/>
  <c r="AB128" i="25" s="1"/>
  <c r="Y132" i="25"/>
  <c r="AB132" i="25" s="1"/>
  <c r="Y130" i="25"/>
  <c r="AB130" i="25" s="1"/>
  <c r="I7" i="25"/>
  <c r="K7" i="25" s="1"/>
  <c r="W87" i="25"/>
  <c r="H6" i="25"/>
  <c r="J6" i="25" s="1"/>
  <c r="L6" i="25" s="1"/>
  <c r="AB76" i="25"/>
  <c r="Z76" i="25"/>
  <c r="Z77" i="25" s="1"/>
  <c r="Z78" i="25" s="1"/>
  <c r="Z79" i="25" s="1"/>
  <c r="Z80" i="25" s="1"/>
  <c r="Z81" i="25" s="1"/>
  <c r="Y82" i="25"/>
  <c r="Y149" i="25"/>
  <c r="AB149" i="25" s="1"/>
  <c r="Y144" i="25"/>
  <c r="Y148" i="25"/>
  <c r="AB148" i="25" s="1"/>
  <c r="Y145" i="25"/>
  <c r="AB145" i="25" s="1"/>
  <c r="Y147" i="25"/>
  <c r="AB147" i="25" s="1"/>
  <c r="Y146" i="25"/>
  <c r="AB146" i="25" s="1"/>
  <c r="J10" i="25"/>
  <c r="L10" i="25" s="1"/>
  <c r="M10" i="25" s="1"/>
  <c r="I6" i="25"/>
  <c r="K6" i="25" s="1"/>
  <c r="AB77" i="25"/>
  <c r="E55" i="20"/>
  <c r="F55" i="20" s="1"/>
  <c r="C56" i="20"/>
  <c r="E56" i="20" s="1"/>
  <c r="F56" i="20" s="1"/>
  <c r="B3" i="25"/>
  <c r="H8" i="21"/>
  <c r="B5" i="25"/>
  <c r="Y11" i="25"/>
  <c r="J2" i="25" s="1"/>
  <c r="Y13" i="25"/>
  <c r="Y14" i="25"/>
  <c r="Y12" i="25"/>
  <c r="K2" i="25" s="1"/>
  <c r="Y9" i="25"/>
  <c r="H2" i="25" s="1"/>
  <c r="Y10" i="25"/>
  <c r="I2" i="25" s="1"/>
  <c r="M6" i="25" l="1"/>
  <c r="Z127" i="25"/>
  <c r="Z128" i="25" s="1"/>
  <c r="Z129" i="25" s="1"/>
  <c r="Z130" i="25" s="1"/>
  <c r="Z131" i="25" s="1"/>
  <c r="Z132" i="25" s="1"/>
  <c r="Y133" i="25"/>
  <c r="AB127" i="25"/>
  <c r="AB133" i="25" s="1"/>
  <c r="Z144" i="25"/>
  <c r="Z145" i="25" s="1"/>
  <c r="Z146" i="25" s="1"/>
  <c r="Z147" i="25" s="1"/>
  <c r="Z148" i="25" s="1"/>
  <c r="Z149" i="25" s="1"/>
  <c r="AB144" i="25"/>
  <c r="AB150" i="25" s="1"/>
  <c r="Y150" i="25"/>
  <c r="M9" i="25"/>
  <c r="AB110" i="25"/>
  <c r="AB116" i="25" s="1"/>
  <c r="Z110" i="25"/>
  <c r="Z111" i="25" s="1"/>
  <c r="Z112" i="25" s="1"/>
  <c r="Z113" i="25" s="1"/>
  <c r="Z114" i="25" s="1"/>
  <c r="Z115" i="25" s="1"/>
  <c r="Y116" i="25"/>
  <c r="AB82" i="25"/>
  <c r="Y96" i="25"/>
  <c r="AB96" i="25" s="1"/>
  <c r="Y98" i="25"/>
  <c r="AB98" i="25" s="1"/>
  <c r="Y97" i="25"/>
  <c r="AB97" i="25" s="1"/>
  <c r="Y93" i="25"/>
  <c r="Y95" i="25"/>
  <c r="AB95" i="25" s="1"/>
  <c r="Y94" i="25"/>
  <c r="AB94" i="25" s="1"/>
  <c r="B6" i="25"/>
  <c r="J8" i="21"/>
  <c r="J4" i="21"/>
  <c r="J6" i="21"/>
  <c r="J5" i="21"/>
  <c r="J7" i="21"/>
  <c r="AB14" i="25"/>
  <c r="AB9" i="25"/>
  <c r="Z9" i="25"/>
  <c r="Z10" i="25" s="1"/>
  <c r="Z11" i="25" s="1"/>
  <c r="Z12" i="25" s="1"/>
  <c r="Z13" i="25" s="1"/>
  <c r="Z14" i="25" s="1"/>
  <c r="Y15" i="25"/>
  <c r="AB12" i="25"/>
  <c r="AB11" i="25"/>
  <c r="Y62" i="25"/>
  <c r="Y63" i="25"/>
  <c r="Y59" i="25"/>
  <c r="Y60" i="25"/>
  <c r="Y61" i="25"/>
  <c r="Y64" i="25"/>
  <c r="AB10" i="25"/>
  <c r="AB13" i="25"/>
  <c r="H7" i="25" l="1"/>
  <c r="Z93" i="25"/>
  <c r="Z94" i="25" s="1"/>
  <c r="Z95" i="25" s="1"/>
  <c r="Z96" i="25" s="1"/>
  <c r="Z97" i="25" s="1"/>
  <c r="Z98" i="25" s="1"/>
  <c r="Y99" i="25"/>
  <c r="AB93" i="25"/>
  <c r="AB99" i="25" s="1"/>
  <c r="AB64" i="25"/>
  <c r="J5" i="25"/>
  <c r="L5" i="25" s="1"/>
  <c r="AB60" i="25"/>
  <c r="AB63" i="25"/>
  <c r="AB15" i="25"/>
  <c r="AB61" i="25"/>
  <c r="AB59" i="25"/>
  <c r="Z59" i="25"/>
  <c r="Z60" i="25" s="1"/>
  <c r="Z61" i="25" s="1"/>
  <c r="Z62" i="25" s="1"/>
  <c r="Z63" i="25" s="1"/>
  <c r="Z64" i="25" s="1"/>
  <c r="Y65" i="25"/>
  <c r="AB62" i="25"/>
  <c r="M2" i="25"/>
  <c r="J7" i="25" l="1"/>
  <c r="L7" i="25" s="1"/>
  <c r="AB65" i="25"/>
  <c r="M5" i="25"/>
  <c r="M7" i="25" l="1"/>
  <c r="W20" i="25"/>
  <c r="I5" i="21"/>
  <c r="U28" i="25"/>
  <c r="U29" i="25" l="1"/>
  <c r="V29" i="25" s="1"/>
  <c r="AA29" i="25" s="1"/>
  <c r="V28" i="25"/>
  <c r="AA28" i="25" s="1"/>
  <c r="U30" i="25" l="1"/>
  <c r="U31" i="25" s="1"/>
  <c r="V30" i="25" l="1"/>
  <c r="AA30" i="25" s="1"/>
  <c r="U32" i="25"/>
  <c r="I3" i="25" s="1"/>
  <c r="K3" i="25" s="1"/>
  <c r="V31" i="25"/>
  <c r="AA31" i="25" s="1"/>
  <c r="Z20" i="25" l="1"/>
  <c r="Z21" i="25"/>
  <c r="W32" i="25" s="1"/>
  <c r="V32" i="25"/>
  <c r="AA32" i="25" s="1"/>
  <c r="W30" i="25" l="1"/>
  <c r="W28" i="25"/>
  <c r="W31" i="25"/>
  <c r="W29" i="25"/>
  <c r="X29" i="25" s="1"/>
  <c r="Y29" i="25" s="1"/>
  <c r="AB29" i="25" s="1"/>
  <c r="W27" i="25"/>
  <c r="X28" i="25"/>
  <c r="Y28" i="25" s="1"/>
  <c r="X30" i="25" l="1"/>
  <c r="Y30" i="25" s="1"/>
  <c r="AB30" i="25" s="1"/>
  <c r="X27" i="25"/>
  <c r="X31" i="25"/>
  <c r="Y31" i="25" s="1"/>
  <c r="AB31" i="25" s="1"/>
  <c r="X32" i="25"/>
  <c r="Y32" i="25" s="1"/>
  <c r="AB32" i="25" s="1"/>
  <c r="J3" i="25"/>
  <c r="L3" i="25" s="1"/>
  <c r="Y27" i="25"/>
  <c r="AB28" i="25"/>
  <c r="X33" i="25" l="1"/>
  <c r="AB27" i="25"/>
  <c r="AB33" i="25" s="1"/>
  <c r="Z27" i="25"/>
  <c r="Z28" i="25" s="1"/>
  <c r="Z29" i="25" s="1"/>
  <c r="Z30" i="25" s="1"/>
  <c r="Z31" i="25" s="1"/>
  <c r="Z32" i="25" s="1"/>
  <c r="Y33" i="25"/>
  <c r="M3" i="25" l="1"/>
  <c r="C6" i="25"/>
  <c r="G35" i="20"/>
  <c r="H35" i="20" s="1"/>
  <c r="I35" i="20" s="1"/>
  <c r="I6" i="21"/>
  <c r="I8" i="21" s="1"/>
  <c r="V44" i="25"/>
  <c r="AA44" i="25" s="1"/>
  <c r="G36" i="20" l="1"/>
  <c r="H36" i="20" s="1"/>
  <c r="I36" i="20" s="1"/>
  <c r="B50" i="20"/>
  <c r="E50" i="20" s="1"/>
  <c r="H42" i="20" l="1"/>
  <c r="I42" i="20" s="1"/>
  <c r="E57" i="20"/>
  <c r="F57" i="20" s="1"/>
  <c r="F50" i="20"/>
  <c r="V45" i="25"/>
  <c r="AA45" i="25" s="1"/>
  <c r="E59" i="20" l="1"/>
  <c r="V46" i="25"/>
  <c r="AA46" i="25" s="1"/>
  <c r="U47" i="25"/>
  <c r="F59" i="20" l="1"/>
  <c r="E61" i="20"/>
  <c r="V47" i="25"/>
  <c r="AA47" i="25" s="1"/>
  <c r="U48" i="25"/>
  <c r="Z36" i="25" s="1"/>
  <c r="V48" i="25" l="1"/>
  <c r="AA48" i="25" s="1"/>
  <c r="Z37" i="25"/>
  <c r="W43" i="25" s="1"/>
  <c r="W48" i="25" l="1"/>
  <c r="W45" i="25"/>
  <c r="W47" i="25"/>
  <c r="W46" i="25"/>
  <c r="W44" i="25"/>
  <c r="X47" i="25" l="1"/>
  <c r="Y47" i="25" s="1"/>
  <c r="AB47" i="25" s="1"/>
  <c r="X44" i="25"/>
  <c r="Y44" i="25" s="1"/>
  <c r="I4" i="25" s="1"/>
  <c r="X46" i="25"/>
  <c r="Y46" i="25" s="1"/>
  <c r="AB46" i="25" s="1"/>
  <c r="X45" i="25"/>
  <c r="Y45" i="25" s="1"/>
  <c r="X48" i="25"/>
  <c r="Y48" i="25" s="1"/>
  <c r="X43" i="25"/>
  <c r="AB44" i="25" l="1"/>
  <c r="K4" i="25"/>
  <c r="K11" i="25" s="1"/>
  <c r="I11" i="25"/>
  <c r="Y43" i="25"/>
  <c r="H4" i="25" s="1"/>
  <c r="X49" i="25"/>
  <c r="AB45" i="25"/>
  <c r="AB48" i="25"/>
  <c r="J4" i="25" l="1"/>
  <c r="H11" i="25"/>
  <c r="Z43" i="25"/>
  <c r="Z44" i="25" s="1"/>
  <c r="Z45" i="25" s="1"/>
  <c r="Z46" i="25" s="1"/>
  <c r="Z47" i="25" s="1"/>
  <c r="Z48" i="25" s="1"/>
  <c r="AB43" i="25"/>
  <c r="AB49" i="25" s="1"/>
  <c r="Y49" i="25"/>
  <c r="L4" i="25" l="1"/>
  <c r="L11" i="25" s="1"/>
  <c r="J11" i="25"/>
  <c r="M4" i="25" l="1"/>
  <c r="M11" i="25" s="1"/>
  <c r="N9" i="25" s="1"/>
  <c r="H15" i="25"/>
  <c r="H12" i="25" l="1"/>
  <c r="N7" i="25"/>
  <c r="N10" i="25"/>
  <c r="N6" i="25"/>
  <c r="N8" i="25"/>
  <c r="N2" i="25"/>
  <c r="N11" i="25"/>
  <c r="N5" i="25"/>
  <c r="M12" i="25"/>
  <c r="N3" i="25"/>
  <c r="I12" i="25"/>
  <c r="L12" i="25"/>
  <c r="K12" i="25"/>
  <c r="J12" i="25"/>
  <c r="N4" i="25"/>
  <c r="H16" i="25"/>
  <c r="I15" i="25"/>
  <c r="I16" i="25" l="1"/>
  <c r="J15" i="25"/>
  <c r="J16" i="25" l="1"/>
  <c r="K15" i="25"/>
  <c r="K16" i="25" l="1"/>
  <c r="L15" i="25"/>
  <c r="L16"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eveta</author>
  </authors>
  <commentList>
    <comment ref="G75" authorId="0" shapeId="0" xr:uid="{00000000-0006-0000-0100-000001000000}">
      <text>
        <r>
          <rPr>
            <b/>
            <sz val="9"/>
            <color rgb="FF000000"/>
            <rFont val="Tahoma"/>
            <family val="2"/>
          </rPr>
          <t>eveta:</t>
        </r>
        <r>
          <rPr>
            <sz val="9"/>
            <color rgb="FF000000"/>
            <rFont val="Tahoma"/>
            <family val="2"/>
          </rPr>
          <t xml:space="preserve">
</t>
        </r>
        <r>
          <rPr>
            <sz val="9"/>
            <color rgb="FF000000"/>
            <rFont val="Tahoma"/>
            <family val="2"/>
          </rPr>
          <t xml:space="preserve">No es exactamente el item que aparece en el decreto
</t>
        </r>
        <r>
          <rPr>
            <sz val="9"/>
            <color rgb="FF000000"/>
            <rFont val="Tahoma"/>
            <family val="2"/>
          </rPr>
          <t>Suministro, instalación y configuración de Switch 24 puertos 10Base-T/100Base</t>
        </r>
      </text>
    </comment>
    <comment ref="G80" authorId="0" shapeId="0" xr:uid="{00000000-0006-0000-0100-000002000000}">
      <text>
        <r>
          <rPr>
            <b/>
            <sz val="9"/>
            <color rgb="FF000000"/>
            <rFont val="Tahoma"/>
            <family val="2"/>
          </rPr>
          <t>eveta:</t>
        </r>
        <r>
          <rPr>
            <sz val="9"/>
            <color rgb="FF000000"/>
            <rFont val="Tahoma"/>
            <family val="2"/>
          </rPr>
          <t xml:space="preserve">
</t>
        </r>
        <r>
          <rPr>
            <sz val="9"/>
            <color rgb="FF000000"/>
            <rFont val="Tahoma"/>
            <family val="2"/>
          </rPr>
          <t>Precio en m2 porque no tenemos las dimensiones de la imagen 1</t>
        </r>
      </text>
    </comment>
    <comment ref="G88" authorId="0" shapeId="0" xr:uid="{00000000-0006-0000-0100-000003000000}">
      <text>
        <r>
          <rPr>
            <b/>
            <sz val="9"/>
            <color rgb="FF000000"/>
            <rFont val="Tahoma"/>
            <family val="2"/>
          </rPr>
          <t>eveta:</t>
        </r>
        <r>
          <rPr>
            <sz val="9"/>
            <color rgb="FF000000"/>
            <rFont val="Tahoma"/>
            <family val="2"/>
          </rPr>
          <t xml:space="preserve">
</t>
        </r>
        <r>
          <rPr>
            <sz val="9"/>
            <color rgb="FF000000"/>
            <rFont val="Tahoma"/>
            <family val="2"/>
          </rPr>
          <t>Frank aporto el valor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Cesar Augusto Rendón Díaz</author>
  </authors>
  <commentList>
    <comment ref="G98" authorId="0" shapeId="0" xr:uid="{00000000-0006-0000-0200-000001000000}">
      <text>
        <r>
          <rPr>
            <b/>
            <sz val="9"/>
            <color indexed="81"/>
            <rFont val="Tahoma"/>
            <family val="2"/>
          </rPr>
          <t>precio solamente material $24700</t>
        </r>
        <r>
          <rPr>
            <sz val="9"/>
            <color indexed="81"/>
            <rFont val="Tahoma"/>
            <family val="2"/>
          </rPr>
          <t xml:space="preserve">
</t>
        </r>
      </text>
    </comment>
    <comment ref="G99" authorId="0" shapeId="0" xr:uid="{00000000-0006-0000-0200-000002000000}">
      <text>
        <r>
          <rPr>
            <sz val="9"/>
            <color indexed="81"/>
            <rFont val="Tahoma"/>
            <family val="2"/>
          </rPr>
          <t xml:space="preserve">
</t>
        </r>
      </text>
    </comment>
    <comment ref="G109" authorId="0" shapeId="0" xr:uid="{00000000-0006-0000-0200-000003000000}">
      <text>
        <r>
          <rPr>
            <sz val="9"/>
            <color indexed="81"/>
            <rFont val="Tahoma"/>
            <family val="2"/>
          </rPr>
          <t>valor solo del muro</t>
        </r>
      </text>
    </comment>
    <comment ref="E188" authorId="0" shapeId="0" xr:uid="{00000000-0006-0000-0200-000004000000}">
      <text>
        <r>
          <rPr>
            <sz val="9"/>
            <color indexed="81"/>
            <rFont val="Tahoma"/>
            <family val="2"/>
          </rPr>
          <t>el césped cuesta $40,000 x m2 en Homecenter</t>
        </r>
      </text>
    </comment>
    <comment ref="G216" authorId="0" shapeId="0" xr:uid="{00000000-0006-0000-0200-000005000000}">
      <text>
        <r>
          <rPr>
            <b/>
            <sz val="9"/>
            <color indexed="81"/>
            <rFont val="Tahoma"/>
            <family val="2"/>
          </rPr>
          <t>precio $290,000</t>
        </r>
      </text>
    </comment>
    <comment ref="E316" authorId="0" shapeId="0" xr:uid="{00000000-0006-0000-0200-000006000000}">
      <text>
        <r>
          <rPr>
            <b/>
            <sz val="9"/>
            <color indexed="81"/>
            <rFont val="Tahoma"/>
            <family val="2"/>
          </rPr>
          <t>Ítem cotizado posteriormente</t>
        </r>
      </text>
    </comment>
    <comment ref="G316" authorId="0" shapeId="0" xr:uid="{00000000-0006-0000-0200-000007000000}">
      <text>
        <r>
          <rPr>
            <b/>
            <sz val="9"/>
            <color indexed="81"/>
            <rFont val="Tahoma"/>
            <family val="2"/>
          </rPr>
          <t>Ítem cotizado posteriormente</t>
        </r>
        <r>
          <rPr>
            <sz val="9"/>
            <color indexed="81"/>
            <rFont val="Tahoma"/>
            <family val="2"/>
          </rPr>
          <t xml:space="preserve">
</t>
        </r>
      </text>
    </comment>
    <comment ref="E317" authorId="0" shapeId="0" xr:uid="{00000000-0006-0000-0200-000008000000}">
      <text>
        <r>
          <rPr>
            <b/>
            <sz val="9"/>
            <color indexed="81"/>
            <rFont val="Tahoma"/>
            <family val="2"/>
          </rPr>
          <t>Ítem cotizado posteriormente</t>
        </r>
        <r>
          <rPr>
            <sz val="9"/>
            <color indexed="81"/>
            <rFont val="Tahoma"/>
            <family val="2"/>
          </rPr>
          <t xml:space="preserve">
</t>
        </r>
      </text>
    </comment>
    <comment ref="G317" authorId="0" shapeId="0" xr:uid="{00000000-0006-0000-0200-000009000000}">
      <text>
        <r>
          <rPr>
            <b/>
            <sz val="9"/>
            <color indexed="81"/>
            <rFont val="Tahoma"/>
            <family val="2"/>
          </rPr>
          <t>ítem cotizado posteriormente</t>
        </r>
      </text>
    </comment>
    <comment ref="E318" authorId="0" shapeId="0" xr:uid="{00000000-0006-0000-0200-00000A000000}">
      <text>
        <r>
          <rPr>
            <b/>
            <sz val="9"/>
            <color indexed="81"/>
            <rFont val="Tahoma"/>
            <family val="2"/>
          </rPr>
          <t>Ítem cotizado posteriormente</t>
        </r>
      </text>
    </comment>
    <comment ref="G318" authorId="0" shapeId="0" xr:uid="{00000000-0006-0000-0200-00000B000000}">
      <text>
        <r>
          <rPr>
            <b/>
            <sz val="9"/>
            <color indexed="81"/>
            <rFont val="Tahoma"/>
            <family val="2"/>
          </rPr>
          <t>ítem cotizado posteriormente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Cesar Augusto Rendón Díaz</author>
  </authors>
  <commentList>
    <comment ref="G94" authorId="0" shapeId="0" xr:uid="{00000000-0006-0000-0300-000001000000}">
      <text>
        <r>
          <rPr>
            <sz val="9"/>
            <color indexed="81"/>
            <rFont val="Tahoma"/>
            <family val="2"/>
          </rPr>
          <t>valor solo del muro</t>
        </r>
      </text>
    </comment>
    <comment ref="E286" authorId="0" shapeId="0" xr:uid="{00000000-0006-0000-0300-000002000000}">
      <text>
        <r>
          <rPr>
            <b/>
            <sz val="9"/>
            <color indexed="81"/>
            <rFont val="Tahoma"/>
            <family val="2"/>
          </rPr>
          <t>Ítem cotizado posteriormente</t>
        </r>
      </text>
    </comment>
    <comment ref="G286" authorId="0" shapeId="0" xr:uid="{00000000-0006-0000-0300-000003000000}">
      <text>
        <r>
          <rPr>
            <b/>
            <sz val="9"/>
            <color indexed="81"/>
            <rFont val="Tahoma"/>
            <family val="2"/>
          </rPr>
          <t>Ítem cotizado posteriormente</t>
        </r>
        <r>
          <rPr>
            <sz val="9"/>
            <color indexed="81"/>
            <rFont val="Tahoma"/>
            <family val="2"/>
          </rPr>
          <t xml:space="preserve">
</t>
        </r>
      </text>
    </comment>
    <comment ref="E287" authorId="0" shapeId="0" xr:uid="{00000000-0006-0000-0300-000004000000}">
      <text>
        <r>
          <rPr>
            <b/>
            <sz val="9"/>
            <color indexed="81"/>
            <rFont val="Tahoma"/>
            <family val="2"/>
          </rPr>
          <t>Ítem cotizado posteriormente</t>
        </r>
        <r>
          <rPr>
            <sz val="9"/>
            <color indexed="81"/>
            <rFont val="Tahoma"/>
            <family val="2"/>
          </rPr>
          <t xml:space="preserve">
</t>
        </r>
      </text>
    </comment>
    <comment ref="G287" authorId="0" shapeId="0" xr:uid="{00000000-0006-0000-0300-000005000000}">
      <text>
        <r>
          <rPr>
            <b/>
            <sz val="9"/>
            <color indexed="81"/>
            <rFont val="Tahoma"/>
            <family val="2"/>
          </rPr>
          <t>ítem cotizado posteriormente</t>
        </r>
      </text>
    </comment>
    <comment ref="E288" authorId="0" shapeId="0" xr:uid="{00000000-0006-0000-0300-000006000000}">
      <text>
        <r>
          <rPr>
            <b/>
            <sz val="9"/>
            <color indexed="81"/>
            <rFont val="Tahoma"/>
            <family val="2"/>
          </rPr>
          <t>Ítem cotizado posteriormente</t>
        </r>
      </text>
    </comment>
    <comment ref="G288" authorId="0" shapeId="0" xr:uid="{00000000-0006-0000-0300-000007000000}">
      <text>
        <r>
          <rPr>
            <b/>
            <sz val="9"/>
            <color indexed="81"/>
            <rFont val="Tahoma"/>
            <family val="2"/>
          </rPr>
          <t>ítem cotizado posteriormente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Cesar Augusto Rendón Díaz</author>
  </authors>
  <commentList>
    <comment ref="F59" authorId="0" shapeId="0" xr:uid="{00000000-0006-0000-0500-000001000000}">
      <text>
        <r>
          <rPr>
            <sz val="9"/>
            <color indexed="81"/>
            <rFont val="Tahoma"/>
            <family val="2"/>
          </rPr>
          <t>valor solo del muro</t>
        </r>
      </text>
    </comment>
    <comment ref="E80" authorId="0" shapeId="0" xr:uid="{00000000-0006-0000-0500-000002000000}">
      <text>
        <r>
          <rPr>
            <sz val="9"/>
            <color indexed="81"/>
            <rFont val="Tahoma"/>
            <family val="2"/>
          </rPr>
          <t>esto es casi construirla de nueno</t>
        </r>
      </text>
    </comment>
    <comment ref="F80" authorId="0" shapeId="0" xr:uid="{00000000-0006-0000-0500-000003000000}">
      <text>
        <r>
          <rPr>
            <b/>
            <sz val="9"/>
            <color indexed="81"/>
            <rFont val="Tahoma"/>
            <family val="2"/>
          </rPr>
          <t>esto es solamente mano de obra</t>
        </r>
        <r>
          <rPr>
            <sz val="9"/>
            <color indexed="81"/>
            <rFont val="Tahoma"/>
            <family val="2"/>
          </rPr>
          <t xml:space="preserve">
</t>
        </r>
      </text>
    </comment>
    <comment ref="E93" authorId="0" shapeId="0" xr:uid="{00000000-0006-0000-0500-000004000000}">
      <text>
        <r>
          <rPr>
            <b/>
            <sz val="9"/>
            <color indexed="81"/>
            <rFont val="Tahoma"/>
            <family val="2"/>
          </rPr>
          <t>Ítem cotizado posteriormente</t>
        </r>
        <r>
          <rPr>
            <sz val="9"/>
            <color indexed="81"/>
            <rFont val="Tahoma"/>
            <family val="2"/>
          </rPr>
          <t xml:space="preserve">
</t>
        </r>
      </text>
    </comment>
    <comment ref="F93" authorId="0" shapeId="0" xr:uid="{00000000-0006-0000-0500-000005000000}">
      <text>
        <r>
          <rPr>
            <b/>
            <sz val="9"/>
            <color indexed="81"/>
            <rFont val="Tahoma"/>
            <family val="2"/>
          </rPr>
          <t>ítem cotizado posteriormente</t>
        </r>
      </text>
    </comment>
    <comment ref="E94" authorId="0" shapeId="0" xr:uid="{00000000-0006-0000-0500-000006000000}">
      <text>
        <r>
          <rPr>
            <b/>
            <sz val="9"/>
            <color indexed="81"/>
            <rFont val="Tahoma"/>
            <family val="2"/>
          </rPr>
          <t>Ítem cotizado posteriormente</t>
        </r>
      </text>
    </comment>
    <comment ref="F94" authorId="0" shapeId="0" xr:uid="{00000000-0006-0000-0500-000007000000}">
      <text>
        <r>
          <rPr>
            <b/>
            <sz val="9"/>
            <color indexed="81"/>
            <rFont val="Tahoma"/>
            <family val="2"/>
          </rPr>
          <t>ítem cotizado posteriormente</t>
        </r>
      </text>
    </comment>
    <comment ref="E95" authorId="0" shapeId="0" xr:uid="{00000000-0006-0000-0500-000008000000}">
      <text>
        <r>
          <rPr>
            <b/>
            <sz val="9"/>
            <color indexed="81"/>
            <rFont val="Tahoma"/>
            <family val="2"/>
          </rPr>
          <t>Ítem cotizado posteriormente</t>
        </r>
      </text>
    </comment>
    <comment ref="F95" authorId="0" shapeId="0" xr:uid="{00000000-0006-0000-0500-000009000000}">
      <text>
        <r>
          <rPr>
            <b/>
            <sz val="9"/>
            <color indexed="81"/>
            <rFont val="Tahoma"/>
            <family val="2"/>
          </rPr>
          <t>Ítem cotizado posteriormente</t>
        </r>
        <r>
          <rPr>
            <sz val="9"/>
            <color indexed="81"/>
            <rFont val="Tahoma"/>
            <family val="2"/>
          </rPr>
          <t xml:space="preserve">
</t>
        </r>
      </text>
    </comment>
    <comment ref="E163" authorId="0" shapeId="0" xr:uid="{00000000-0006-0000-0500-00000A000000}">
      <text>
        <r>
          <rPr>
            <sz val="9"/>
            <color indexed="81"/>
            <rFont val="Tahoma"/>
            <family val="2"/>
          </rPr>
          <t>el césped cuesta $40,000 x m2 en Homecenter</t>
        </r>
      </text>
    </comment>
    <comment ref="F209" authorId="0" shapeId="0" xr:uid="{00000000-0006-0000-0500-00000B000000}">
      <text>
        <r>
          <rPr>
            <b/>
            <sz val="9"/>
            <color indexed="81"/>
            <rFont val="Tahoma"/>
            <family val="2"/>
          </rPr>
          <t>precio $290,000</t>
        </r>
      </text>
    </comment>
    <comment ref="F211" authorId="0" shapeId="0" xr:uid="{00000000-0006-0000-0500-00000C000000}">
      <text>
        <r>
          <rPr>
            <b/>
            <sz val="9"/>
            <color indexed="81"/>
            <rFont val="Tahoma"/>
            <family val="2"/>
          </rPr>
          <t>precio solamente material $24700</t>
        </r>
        <r>
          <rPr>
            <sz val="9"/>
            <color indexed="81"/>
            <rFont val="Tahoma"/>
            <family val="2"/>
          </rPr>
          <t xml:space="preserve">
</t>
        </r>
      </text>
    </comment>
    <comment ref="F214" authorId="0" shapeId="0" xr:uid="{00000000-0006-0000-0500-00000D000000}">
      <text>
        <r>
          <rPr>
            <sz val="9"/>
            <color indexed="81"/>
            <rFont val="Tahoma"/>
            <family val="2"/>
          </rPr>
          <t xml:space="preserve">
</t>
        </r>
      </text>
    </comment>
    <comment ref="F289" authorId="0" shapeId="0" xr:uid="{00000000-0006-0000-0500-00000E000000}">
      <text>
        <r>
          <rPr>
            <b/>
            <sz val="9"/>
            <color indexed="81"/>
            <rFont val="Tahoma"/>
            <family val="2"/>
          </rPr>
          <t>esto es precio x m2</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Cesar Augusto Rendón Díaz</author>
  </authors>
  <commentList>
    <comment ref="F54" authorId="0" shapeId="0" xr:uid="{00000000-0006-0000-0600-000001000000}">
      <text>
        <r>
          <rPr>
            <b/>
            <sz val="9"/>
            <color indexed="81"/>
            <rFont val="Tahoma"/>
            <family val="2"/>
          </rPr>
          <t>precio solamente material $24700</t>
        </r>
        <r>
          <rPr>
            <sz val="9"/>
            <color indexed="81"/>
            <rFont val="Tahoma"/>
            <family val="2"/>
          </rPr>
          <t xml:space="preserve">
</t>
        </r>
      </text>
    </comment>
    <comment ref="F55" authorId="0" shapeId="0" xr:uid="{00000000-0006-0000-0600-000002000000}">
      <text>
        <r>
          <rPr>
            <sz val="9"/>
            <color indexed="81"/>
            <rFont val="Tahoma"/>
            <family val="2"/>
          </rPr>
          <t xml:space="preserve">
</t>
        </r>
      </text>
    </comment>
    <comment ref="F72" authorId="0" shapeId="0" xr:uid="{00000000-0006-0000-0600-000003000000}">
      <text>
        <r>
          <rPr>
            <sz val="9"/>
            <color indexed="81"/>
            <rFont val="Tahoma"/>
            <family val="2"/>
          </rPr>
          <t>valor solo del muro</t>
        </r>
      </text>
    </comment>
    <comment ref="E127" authorId="0" shapeId="0" xr:uid="{00000000-0006-0000-0600-000004000000}">
      <text>
        <r>
          <rPr>
            <sz val="9"/>
            <color indexed="81"/>
            <rFont val="Tahoma"/>
            <family val="2"/>
          </rPr>
          <t>el césped cuesta $40,000 x m2 en Homecenter</t>
        </r>
      </text>
    </comment>
    <comment ref="F152" authorId="0" shapeId="0" xr:uid="{00000000-0006-0000-0600-000005000000}">
      <text>
        <r>
          <rPr>
            <b/>
            <sz val="9"/>
            <color indexed="81"/>
            <rFont val="Tahoma"/>
            <family val="2"/>
          </rPr>
          <t>precio $290,000</t>
        </r>
      </text>
    </comment>
    <comment ref="F216" authorId="0" shapeId="0" xr:uid="{00000000-0006-0000-0600-000006000000}">
      <text>
        <r>
          <rPr>
            <b/>
            <sz val="9"/>
            <color indexed="81"/>
            <rFont val="Tahoma"/>
            <family val="2"/>
          </rPr>
          <t>esto es precio x m2</t>
        </r>
        <r>
          <rPr>
            <sz val="9"/>
            <color indexed="81"/>
            <rFont val="Tahoma"/>
            <family val="2"/>
          </rPr>
          <t xml:space="preserve">
</t>
        </r>
      </text>
    </comment>
    <comment ref="E228" authorId="0" shapeId="0" xr:uid="{00000000-0006-0000-0600-000007000000}">
      <text>
        <r>
          <rPr>
            <b/>
            <sz val="9"/>
            <color indexed="81"/>
            <rFont val="Tahoma"/>
            <family val="2"/>
          </rPr>
          <t>Ítem cotizado posteriormente</t>
        </r>
      </text>
    </comment>
    <comment ref="F228" authorId="0" shapeId="0" xr:uid="{00000000-0006-0000-0600-000008000000}">
      <text>
        <r>
          <rPr>
            <b/>
            <sz val="9"/>
            <color indexed="81"/>
            <rFont val="Tahoma"/>
            <family val="2"/>
          </rPr>
          <t>Ítem cotizado posteriormente</t>
        </r>
        <r>
          <rPr>
            <sz val="9"/>
            <color indexed="81"/>
            <rFont val="Tahoma"/>
            <family val="2"/>
          </rPr>
          <t xml:space="preserve">
</t>
        </r>
      </text>
    </comment>
    <comment ref="E229" authorId="0" shapeId="0" xr:uid="{00000000-0006-0000-0600-000009000000}">
      <text>
        <r>
          <rPr>
            <b/>
            <sz val="9"/>
            <color indexed="81"/>
            <rFont val="Tahoma"/>
            <family val="2"/>
          </rPr>
          <t>Ítem cotizado posteriormente</t>
        </r>
        <r>
          <rPr>
            <sz val="9"/>
            <color indexed="81"/>
            <rFont val="Tahoma"/>
            <family val="2"/>
          </rPr>
          <t xml:space="preserve">
</t>
        </r>
      </text>
    </comment>
    <comment ref="F229" authorId="0" shapeId="0" xr:uid="{00000000-0006-0000-0600-00000A000000}">
      <text>
        <r>
          <rPr>
            <b/>
            <sz val="9"/>
            <color indexed="81"/>
            <rFont val="Tahoma"/>
            <family val="2"/>
          </rPr>
          <t>ítem cotizado posteriormente</t>
        </r>
      </text>
    </comment>
    <comment ref="E230" authorId="0" shapeId="0" xr:uid="{00000000-0006-0000-0600-00000B000000}">
      <text>
        <r>
          <rPr>
            <b/>
            <sz val="9"/>
            <color indexed="81"/>
            <rFont val="Tahoma"/>
            <family val="2"/>
          </rPr>
          <t>Ítem cotizado posteriormente</t>
        </r>
      </text>
    </comment>
    <comment ref="F230" authorId="0" shapeId="0" xr:uid="{00000000-0006-0000-0600-00000C000000}">
      <text>
        <r>
          <rPr>
            <b/>
            <sz val="9"/>
            <color indexed="81"/>
            <rFont val="Tahoma"/>
            <family val="2"/>
          </rPr>
          <t>ítem cotizado posteriormente</t>
        </r>
      </text>
    </comment>
    <comment ref="E252" authorId="0" shapeId="0" xr:uid="{00000000-0006-0000-0600-00000D000000}">
      <text>
        <r>
          <rPr>
            <sz val="9"/>
            <color indexed="81"/>
            <rFont val="Tahoma"/>
            <family val="2"/>
          </rPr>
          <t>esto es casi construirla de nueno</t>
        </r>
      </text>
    </comment>
    <comment ref="F252" authorId="0" shapeId="0" xr:uid="{00000000-0006-0000-0600-00000E000000}">
      <text>
        <r>
          <rPr>
            <b/>
            <sz val="9"/>
            <color indexed="81"/>
            <rFont val="Tahoma"/>
            <family val="2"/>
          </rPr>
          <t>esto es solamente mano de obra</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Cesar Augusto Rendón Díaz</author>
  </authors>
  <commentList>
    <comment ref="H199" authorId="0" shapeId="0" xr:uid="{00000000-0006-0000-0700-000001000000}">
      <text>
        <r>
          <rPr>
            <sz val="9"/>
            <color indexed="81"/>
            <rFont val="Tahoma"/>
            <family val="2"/>
          </rPr>
          <t>3 cotizaciones posteriores de Buevaventura</t>
        </r>
      </text>
    </comment>
  </commentList>
</comments>
</file>

<file path=xl/sharedStrings.xml><?xml version="1.0" encoding="utf-8"?>
<sst xmlns="http://schemas.openxmlformats.org/spreadsheetml/2006/main" count="12224" uniqueCount="1636">
  <si>
    <t xml:space="preserve"> Consejo Superior de la Judicatura 
Dirección Ejecutiva Seccional de Administración Judicial de Cali – Valle del Cauca</t>
  </si>
  <si>
    <t xml:space="preserve">FORMATO CONTROL  DE EJECUCIÓN DE OBRA - BALANCE Y CORTE DE OBRA </t>
  </si>
  <si>
    <t xml:space="preserve">Condiciones contractuales </t>
  </si>
  <si>
    <t>A. Palacio de Justicia de Cali "PEDRO ELIAS SERRANO ABADIA</t>
  </si>
  <si>
    <t>ITEM</t>
  </si>
  <si>
    <t>DESCRIPCION</t>
  </si>
  <si>
    <t>UND</t>
  </si>
  <si>
    <t xml:space="preserve">CANTIDAD </t>
  </si>
  <si>
    <t xml:space="preserve">VALOR UNITARIO </t>
  </si>
  <si>
    <t>VALOR TOTAL</t>
  </si>
  <si>
    <t>A. 1</t>
  </si>
  <si>
    <t xml:space="preserve">Reparación (filtraciones) rampa y anden ingreso calle 12 </t>
  </si>
  <si>
    <t>A. 1,1</t>
  </si>
  <si>
    <t>Cerramiento en tela verde o polisombra (incluye postes de madera para soporte) altura: 2.10 mts.</t>
  </si>
  <si>
    <t>ML</t>
  </si>
  <si>
    <t>A. 1,2</t>
  </si>
  <si>
    <t>Desmonte y reinstalación de pasamanos metálico cuyas medidas son 130 cm de largo x 90 cm de alto</t>
  </si>
  <si>
    <t>A. 1,3</t>
  </si>
  <si>
    <t>Demolición de piso existente (enchape tráfico alto), incluye retiro de escombros</t>
  </si>
  <si>
    <t>M2</t>
  </si>
  <si>
    <t>A. 1,4</t>
  </si>
  <si>
    <t>Retiro de manto existente, incluye retiro de escombros</t>
  </si>
  <si>
    <t>A. 1,5</t>
  </si>
  <si>
    <t>Lavada y destronque a máquina (para retirar material existente y preparación de superficie)</t>
  </si>
  <si>
    <t>A. 1,6</t>
  </si>
  <si>
    <t>Demolición mortero existente  (incluye retiro de escombros)</t>
  </si>
  <si>
    <t>A. 1,7</t>
  </si>
  <si>
    <t>Suministro y aplicación de pintura sellante elongable autonivelante.</t>
  </si>
  <si>
    <t>A. 1,8</t>
  </si>
  <si>
    <t>Suministro y aplicación de mortero 1:3 con aditivo impermeabilizante espesor 4cm incluye media caña en mortero perimetral (superficie con pendiente) </t>
  </si>
  <si>
    <t>A. 1,9</t>
  </si>
  <si>
    <t xml:space="preserve">Suministro e instalación de membrana liquida en poliuretano, con refuerzo en poliéster, acabado transitable para impermeabilización de losa de terraza, con remates perimetrales en media caña, Incluye cárcamos de desagüe. </t>
  </si>
  <si>
    <t>A. 1,10</t>
  </si>
  <si>
    <t xml:space="preserve">Fabricación de borde de escalera en granito lavado  (Borde de escalera ancho 10 cm a lo largo de la huella y la contrahuella de 13 cm) incluye dilatacion en bronce 5 mm
</t>
  </si>
  <si>
    <t>A. 1,11</t>
  </si>
  <si>
    <t xml:space="preserve">Suministro e instalación de enchape para piso exterior (tráfico alto, incluye junta de dilatación en aluminio) </t>
  </si>
  <si>
    <t>A. 1,12</t>
  </si>
  <si>
    <t xml:space="preserve">Suministro y fabricación guardaescoba en granito en media caña 10 cm </t>
  </si>
  <si>
    <t>A. 1,13</t>
  </si>
  <si>
    <t xml:space="preserve">Suministro y Fabricación de cenefa piso en granito lavado  ancho 20 cm </t>
  </si>
  <si>
    <t>A. 2</t>
  </si>
  <si>
    <t>Actividades para cubierta de la  terraza torre A - Fase C</t>
  </si>
  <si>
    <t>A. 2,1</t>
  </si>
  <si>
    <t>Suministro e instalación de bases en concreto de 20 cm x 20 cm fundidos sobre losa de terraza</t>
  </si>
  <si>
    <t>A. 2,2</t>
  </si>
  <si>
    <t>Suministro e instalación de platina 3/8 cuyas medidas oscilan así: 10 cm x 15 cm y 15 cm x 15 cm, incluye materiales complementarios de conexión, acero, corte, soldadura, anclajes, cartelas, tornillos, varilla de 1/2 soldada para anclaje sobre bases de concreto.</t>
  </si>
  <si>
    <t>A. 2,3</t>
  </si>
  <si>
    <t>Suministro e instalación de estructura metálica para cubierta en tubería 100 cm x 100 cm calibre 2 mm, incluye pintura 3 en 2</t>
  </si>
  <si>
    <t>A. 2,4</t>
  </si>
  <si>
    <t>Suministro e instalación de estructura metálica para cubierta en tubería 100 cm x 50 cm calibre 2 mm, incluye pintura 3 en 1</t>
  </si>
  <si>
    <t>A. 2,5</t>
  </si>
  <si>
    <t xml:space="preserve">Suministro e instalación de estructura metálica para cubierta en tubería 80 cm x 40 cm calibre 2 mm, incluye pintura 3 en 1 
</t>
  </si>
  <si>
    <t>A. 2,6</t>
  </si>
  <si>
    <t>Suministro e instalación de teja upvc 2.5 mm, incluye tornillería para su correcta instalación sobre estructura metálica</t>
  </si>
  <si>
    <t>A. 2,7</t>
  </si>
  <si>
    <t>Suministro e instalación de caballete para teja upvc 2.5 mm, incluye accesorios para su correcta instalación</t>
  </si>
  <si>
    <t>A. 2,8</t>
  </si>
  <si>
    <t>Suministro e instalación de Canal en lamina galvanizada cal 22, incluye platina para soporte canal</t>
  </si>
  <si>
    <t>A. 2,9</t>
  </si>
  <si>
    <t>Corte de muro con pulidora</t>
  </si>
  <si>
    <t>A. 2,10</t>
  </si>
  <si>
    <t>Suministro e instalación de Solapa en lamina galvanizada Cal 24, incluye sellador sobre muro</t>
  </si>
  <si>
    <t>A. 2,11</t>
  </si>
  <si>
    <t>Suministro e instalación de soscos para canal en 3"</t>
  </si>
  <si>
    <t>A. 2,12</t>
  </si>
  <si>
    <t>Suministro e instalación tubería sanitaria de 4 " incluye accesorios.</t>
  </si>
  <si>
    <t>A. 2,13</t>
  </si>
  <si>
    <t>Suministro e instalación tubo de pasamanos de 2"</t>
  </si>
  <si>
    <t>A. 2,14</t>
  </si>
  <si>
    <t>A. 3</t>
  </si>
  <si>
    <t>Impermeabilización cubierta de cuartos técnicos terraza torre A</t>
  </si>
  <si>
    <t>A. 3,1</t>
  </si>
  <si>
    <t xml:space="preserve">Retiro de manto existente, incluye retiro de escombros
</t>
  </si>
  <si>
    <t>A. 3,2</t>
  </si>
  <si>
    <t>Lavada y destronque de terraza a máquina (para retirar material bituminoso, incluye retiro)</t>
  </si>
  <si>
    <t>A. 3,3</t>
  </si>
  <si>
    <t>Suministro e instalación de membrana pvc (incluye perlines de fijación)</t>
  </si>
  <si>
    <t>A. 3,4</t>
  </si>
  <si>
    <t xml:space="preserve">Suministro e instalación de enchape antideslizante </t>
  </si>
  <si>
    <t>A. 3,5</t>
  </si>
  <si>
    <t>Suministro y aplicación de mortero 1:3 con aditivo impermeabilizante espesor 5 cm con pendiente y terminacion en cero.</t>
  </si>
  <si>
    <t>A. 4</t>
  </si>
  <si>
    <t>Tratamiento de humedades en muros y cielos, incluye resane, estuco y pintura (gimnasio, despachos, cuartos técnicos terraza Torre A)</t>
  </si>
  <si>
    <t>A. 4,1</t>
  </si>
  <si>
    <t xml:space="preserve">Rasqueteada de pintura y retiro de mortero en mal estado  </t>
  </si>
  <si>
    <t>A. 4,2</t>
  </si>
  <si>
    <t xml:space="preserve">Suministro e instalación de recubrimiento cementoso (Recubrimiento a base de cemento, arena y aditivos especiales), impermeable para muros color blanco </t>
  </si>
  <si>
    <t>A. 4,3</t>
  </si>
  <si>
    <t xml:space="preserve">Suministro y aplicación de estuco plástico </t>
  </si>
  <si>
    <t>A. 4,4</t>
  </si>
  <si>
    <t>Suministro y aplicación de vinilo tipo 1 (3 manos)</t>
  </si>
  <si>
    <t>A. 4,5</t>
  </si>
  <si>
    <t>Suministro y aplicación de pintura en esmalte</t>
  </si>
  <si>
    <t>A. 4,6</t>
  </si>
  <si>
    <t>Suministro y aplicación de pintura cielo vinilo tipo 1</t>
  </si>
  <si>
    <t>A. 4,7</t>
  </si>
  <si>
    <t>A. 4,8</t>
  </si>
  <si>
    <t>A. 4,9</t>
  </si>
  <si>
    <t>Suministro y aplicación de vinilo tipo 2 (3 manos)</t>
  </si>
  <si>
    <t>A. 4,10</t>
  </si>
  <si>
    <t>A. 5</t>
  </si>
  <si>
    <t>Divisiones en panel yeso - Instalaciones Electricas de voz y datos</t>
  </si>
  <si>
    <t>A. 5,1</t>
  </si>
  <si>
    <t>Suministro e instalación muro en perfilería de 90mm en panel yeso de 1/2 , doble cara insonorizado. Altura piso techo</t>
  </si>
  <si>
    <t>A. 5,2</t>
  </si>
  <si>
    <t>Suministro e instalación de alma en madera de 88mm</t>
  </si>
  <si>
    <t>A. 5,3</t>
  </si>
  <si>
    <t>Suminsitro e instalación de cartera en panel yeso de 12 cm incluye filos, con estructura galvanizada base 9 cal.24 encintada, masillada y rematada, con acabado en pintura de vinilo</t>
  </si>
  <si>
    <t>A. 5,4</t>
  </si>
  <si>
    <t>Suministro e instalación de guarda escoba en pvc</t>
  </si>
  <si>
    <t>A. 5,5</t>
  </si>
  <si>
    <t>Suministro e instalación puerta entamborada (diseño similar a las existentes) cuyas medidas son de 80 cms de ancho x 200 cm alto, incluye marco y chapa, inmunización y pintura en Barniz</t>
  </si>
  <si>
    <t>A. 5,6</t>
  </si>
  <si>
    <t>Suministro e instalación de guarda escoba en ceramica</t>
  </si>
  <si>
    <t>A. 5,7</t>
  </si>
  <si>
    <t>Suministro e instalación de panel yeso de 1/2 , una cara, encintada, masillada y rematada, con acabado en pintura de vinilo</t>
  </si>
  <si>
    <t>A. 5,8</t>
  </si>
  <si>
    <t>Suministro e instalación Canaleta 100 mm x 45 mm Plástica con división. Blanco PVC auto extinguible y Resistente a impactos hasta de 1 kg, Humedad, Aceites y Químicos., con sus respectivos elementos de Certificado_RETIE_</t>
  </si>
  <si>
    <t>A. 5,9</t>
  </si>
  <si>
    <t xml:space="preserve">Suministro e instalación troquel para toma regulada, toma normal y toma de datos, incluye accesorios para su correcta instalación </t>
  </si>
  <si>
    <t>A. 5,10</t>
  </si>
  <si>
    <t>Suministro e instalación de cable UTP Categoría 6A libre de halógeno LSZH</t>
  </si>
  <si>
    <t>A. 5,11</t>
  </si>
  <si>
    <t>Suministro e instalación de toma hembra tipo jack rj 45 cat 6ª, utp, para puesto de trabajo o herraje. (incluye jacks rj45 cat. 6a amp, ponchada, maquillado y accesorios necesarios para su instalación)</t>
  </si>
  <si>
    <t>A. 5,12</t>
  </si>
  <si>
    <t>Suministro e instalación de faceplate de 1 salida (SOLO DATOS)</t>
  </si>
  <si>
    <t>A. 5,13</t>
  </si>
  <si>
    <t>Suministro e instalación de salida eléctrica red regulada en puesto de trabajo con cable trenzado 3# 12 rojo, verde, blanco con aislamiento libre de halógeno, longitud de 1,5m incluye tomacorriente polo a tierra aislado</t>
  </si>
  <si>
    <t>A. 5,14</t>
  </si>
  <si>
    <t xml:space="preserve">Suministro e instalación de salida eléctrica red normal en puesto de trabajo con  cable trenzado 3# 12 azul, verde, blanco con aislamiento libre de halógeno,  longitud de 1,5m incluye tomacorriente polo a tierra </t>
  </si>
  <si>
    <t>A. 5,15</t>
  </si>
  <si>
    <t>Suministro e instalación de interruptor sencillo incluye caja de sobreponer y salida de iluminación</t>
  </si>
  <si>
    <t>A. 5,16</t>
  </si>
  <si>
    <t>Suministro e instalación de Lámpara panel led de sobreponer 24w 100 -240 - 1680Lm de 6,500 K - horas mínimas de vida útil 25,000</t>
  </si>
  <si>
    <t>A. 5,17</t>
  </si>
  <si>
    <t>Suministro e instalación de cable trenzado 3#12 AWG para circuito normal o regulado</t>
  </si>
  <si>
    <t>A. 5,18</t>
  </si>
  <si>
    <t>Suministro e instalacion de patch cord 1.5mts CAT 6A</t>
  </si>
  <si>
    <t>A. 5,19</t>
  </si>
  <si>
    <t>Suministro e instalacion de patch cord 3mts CAT 6A</t>
  </si>
  <si>
    <t>A. 5,20</t>
  </si>
  <si>
    <t>Suministro, instalación y configuración de Switch 24 puertos 10Base-T/100Base-T/1000Base-T</t>
  </si>
  <si>
    <t>A. 5,21</t>
  </si>
  <si>
    <t>Suministro e instalación de patch panel de 24 puertos cat. 6a (incluye elementos de fijación)</t>
  </si>
  <si>
    <t>A. 5,22</t>
  </si>
  <si>
    <t xml:space="preserve">Apertura de vano en muro de panel yeso, incluye retiro de material </t>
  </si>
  <si>
    <t>A. 6</t>
  </si>
  <si>
    <t>Muro de Contención antiderrame</t>
  </si>
  <si>
    <t>A. 6,1</t>
  </si>
  <si>
    <t xml:space="preserve">Demolición muro existente </t>
  </si>
  <si>
    <t>M3</t>
  </si>
  <si>
    <t>A. 6,2</t>
  </si>
  <si>
    <t>Fabricación muro en ladrillo estructural - altura 70 cm incluye viga, dovelas, grouting, ladrillo estrcutural 14x19x39 cm, mortero</t>
  </si>
  <si>
    <t>A. 6,3</t>
  </si>
  <si>
    <t xml:space="preserve">Suministro y fabricación guardaescoba en concreto en media caña 10 cm </t>
  </si>
  <si>
    <t>A. 6,4</t>
  </si>
  <si>
    <t>Suministro y aplicación de mortero 1:3 esmaltado</t>
  </si>
  <si>
    <t>A. 6,5</t>
  </si>
  <si>
    <t>Corte de concreto con pulidora y/o cortadora</t>
  </si>
  <si>
    <t>A. 6,6</t>
  </si>
  <si>
    <t>excavación tierra  a mano 30 cm</t>
  </si>
  <si>
    <t>A. 6,7</t>
  </si>
  <si>
    <t>Suministro e instalación tuberia sanitaria PVC 4"  con sus respectivos accesorios</t>
  </si>
  <si>
    <t>A. 6,8</t>
  </si>
  <si>
    <t>Suministro e instalación muro en perfilería de 90mm en placa de RF espesor 12,7 mm , una cara, incluye estructura</t>
  </si>
  <si>
    <t>A. 6,9</t>
  </si>
  <si>
    <t>Retiro escombros en Volqueta, a centro de acopio certificado</t>
  </si>
  <si>
    <t>A. 7</t>
  </si>
  <si>
    <t>Sellamiento de fisuras piso y muros</t>
  </si>
  <si>
    <t>A. 7,1</t>
  </si>
  <si>
    <t>A. 7,2</t>
  </si>
  <si>
    <t>suministro y aplicación de adhesivo  y sellador de juntas elastico para interior y exterior</t>
  </si>
  <si>
    <t>A. 7,3</t>
  </si>
  <si>
    <t>Suministro e instalación de perlfil o dilatación aluminio para piso</t>
  </si>
  <si>
    <t>A. 7,4</t>
  </si>
  <si>
    <t>Suministro e instalación de dilatacion  Z  plastica (junta de expansión drywall)</t>
  </si>
  <si>
    <t>A. 8</t>
  </si>
  <si>
    <t>Reparación de fachada flotante calle 10</t>
  </si>
  <si>
    <t>A. 8,1</t>
  </si>
  <si>
    <t>Desmonte de láminas metálicas en mal estado</t>
  </si>
  <si>
    <t>A. 8,2</t>
  </si>
  <si>
    <t>Desmonte de estructura metálica en mal estado</t>
  </si>
  <si>
    <t>A. 8,3</t>
  </si>
  <si>
    <t>Suministro e instalación de lámina metálica perforada redonda 5mm calibre 3mm</t>
  </si>
  <si>
    <t>A. 8,4</t>
  </si>
  <si>
    <t>Suministro e instalación de estructura o perfíles metálicos 50mm x 50mm x 3mm</t>
  </si>
  <si>
    <t>A. 9</t>
  </si>
  <si>
    <t xml:space="preserve">Impermeabilización piso de cuarto de residuos sólidos </t>
  </si>
  <si>
    <t>A. 9,1</t>
  </si>
  <si>
    <t xml:space="preserve">Retiro de pintura epoxica existente con cloruro de metileno
</t>
  </si>
  <si>
    <t>A. 9,2</t>
  </si>
  <si>
    <t>lavada y destronque a máquina (para retirar material existente y preparación de superficie) </t>
  </si>
  <si>
    <t>A. 9,3</t>
  </si>
  <si>
    <t>Suministro y aplicación de pintura epoxica para piso con acabado en barniz (2 capas de pintura epoxica)</t>
  </si>
  <si>
    <t>A. 9,4</t>
  </si>
  <si>
    <t>Aseo general.</t>
  </si>
  <si>
    <t>COSTO DIRECTO</t>
  </si>
  <si>
    <t xml:space="preserve">ADMINISTRACION </t>
  </si>
  <si>
    <t xml:space="preserve">IMPREVISTO </t>
  </si>
  <si>
    <t>UTILIDAD</t>
  </si>
  <si>
    <t xml:space="preserve">IVA SOBRE UTILIDAD </t>
  </si>
  <si>
    <t xml:space="preserve">VALOR TOTAL INCLUIDO AIU E IVA </t>
  </si>
  <si>
    <t>B</t>
  </si>
  <si>
    <t>Juzgado Promiscuo Municipal de el Dovio -Tratamiento de humedad</t>
  </si>
  <si>
    <t>B. 1,1</t>
  </si>
  <si>
    <t>B. 1,2</t>
  </si>
  <si>
    <t>Lavada y destronque a máquina (para retirar material existente)</t>
  </si>
  <si>
    <t>B. 1,3</t>
  </si>
  <si>
    <t>Suministro y aplicación de mortero 1:3 con aditivo impermeabilizante espesor 4cm (superficie con pendiente)</t>
  </si>
  <si>
    <t>B. 1,4</t>
  </si>
  <si>
    <t>B. 1,5</t>
  </si>
  <si>
    <t>Rasqueteada de Pintura</t>
  </si>
  <si>
    <t>B. 1,6</t>
  </si>
  <si>
    <t>B. 1,7</t>
  </si>
  <si>
    <t>B. 1,8</t>
  </si>
  <si>
    <t>B. 1,9</t>
  </si>
  <si>
    <t>B. 1,10</t>
  </si>
  <si>
    <t>C</t>
  </si>
  <si>
    <t>Palacio de Justicia "SIMON DAVID CARREJO BEJARANO"</t>
  </si>
  <si>
    <t>C. 1</t>
  </si>
  <si>
    <t xml:space="preserve">Reparaciones y Tratamiento de humedades externas </t>
  </si>
  <si>
    <t>C. 1,1</t>
  </si>
  <si>
    <t>Pasarela cercada que permita la circulación de vehículos, y contenga, (soporte) la caída de materiales de la obra al espacio público (ancho mínimo de 2 metros)</t>
  </si>
  <si>
    <t>C. 1,2</t>
  </si>
  <si>
    <t xml:space="preserve">Malla sombra, elemento de protección perimetral para mitigar el riesgo de caída de herramientas o materiales.  </t>
  </si>
  <si>
    <t>C. 1,3</t>
  </si>
  <si>
    <t>Lijada con maquina pulidora (piedra esmeril)</t>
  </si>
  <si>
    <t>C. 1,4</t>
  </si>
  <si>
    <t>Lavado  de la fachada con hidrolavadora, incluye ventaneria y piedra.</t>
  </si>
  <si>
    <t>C. 1,5</t>
  </si>
  <si>
    <t>Suministro y aplicación de hidrofugo-(protección de penetración de agua sobre piedra, 2 manos)</t>
  </si>
  <si>
    <t>C. 1,6</t>
  </si>
  <si>
    <t>Suministro e instalación de ángulo en aluminio anoloc de 1/2, (gotero en ventana)</t>
  </si>
  <si>
    <t>C. 2</t>
  </si>
  <si>
    <t xml:space="preserve">Reparaciones y Tratamiento de humedades internas </t>
  </si>
  <si>
    <t>C. 2,1</t>
  </si>
  <si>
    <t>C. 2,2</t>
  </si>
  <si>
    <t>C. 2,3</t>
  </si>
  <si>
    <t>C. 2,4</t>
  </si>
  <si>
    <t>C. 2,5</t>
  </si>
  <si>
    <t>C. 2,6</t>
  </si>
  <si>
    <t>C. 2,7</t>
  </si>
  <si>
    <t>C. 2,8</t>
  </si>
  <si>
    <t>C. 2,9</t>
  </si>
  <si>
    <t>C. 2,10</t>
  </si>
  <si>
    <t>C. 2,11</t>
  </si>
  <si>
    <t>C. 2,12</t>
  </si>
  <si>
    <t>Suministro y aplicación de pintura para fachada en acrílico a dos manos (muro terraza)</t>
  </si>
  <si>
    <t>C. 2,13</t>
  </si>
  <si>
    <t>Suministro y aplicación de pintura para fachada en acrílico a 3 manos (muro terraza)</t>
  </si>
  <si>
    <t>C.3</t>
  </si>
  <si>
    <t xml:space="preserve">Puerta garage </t>
  </si>
  <si>
    <t>C. 3,1</t>
  </si>
  <si>
    <t>Desmonte puerta electrica existente 320 cm x 270 cm(incluye motor)</t>
  </si>
  <si>
    <t>C. 3,2</t>
  </si>
  <si>
    <t>suministro e instalación de puerta eléctrica de 320 cm de ancho x 270 cm de alto (Inlcuye motor)</t>
  </si>
  <si>
    <t>C.4</t>
  </si>
  <si>
    <t>Impermeabilización Terraza-  materas</t>
  </si>
  <si>
    <t>C. 4,1</t>
  </si>
  <si>
    <t>C. 4,2</t>
  </si>
  <si>
    <t>C. 4,3</t>
  </si>
  <si>
    <t>C. 4,4</t>
  </si>
  <si>
    <t>Suministro e instalación de membrana líquida impermeabilizante para cubiertas y terrazas, con base en tecnología poliuretano acrílico base agua mejorado.</t>
  </si>
  <si>
    <t>C. 4,5</t>
  </si>
  <si>
    <t xml:space="preserve">Suministro e instalación de cesped sintetico de 13 mm para uso exterior </t>
  </si>
  <si>
    <t>C. 5</t>
  </si>
  <si>
    <t>C. 5,1</t>
  </si>
  <si>
    <t>C. 5,2</t>
  </si>
  <si>
    <t>C. 5,3</t>
  </si>
  <si>
    <t>C. 5,4</t>
  </si>
  <si>
    <t>C. 5,5</t>
  </si>
  <si>
    <t>C. 5,6</t>
  </si>
  <si>
    <t>C. 5,7</t>
  </si>
  <si>
    <t>C. 5,8</t>
  </si>
  <si>
    <t>C. 5,9</t>
  </si>
  <si>
    <t>C. 5,10</t>
  </si>
  <si>
    <t>C. 5,11</t>
  </si>
  <si>
    <t>C. 5,12</t>
  </si>
  <si>
    <t>C. 5,13</t>
  </si>
  <si>
    <t xml:space="preserve">Suministro e instalación de interruptor sencillo incluye caja de sobreponer y salida </t>
  </si>
  <si>
    <t>C. 5,14</t>
  </si>
  <si>
    <t>C. 5,15</t>
  </si>
  <si>
    <t>C. 5,16</t>
  </si>
  <si>
    <t>C. 5,17</t>
  </si>
  <si>
    <t>C. 5,18</t>
  </si>
  <si>
    <t>C. 5,19</t>
  </si>
  <si>
    <t>Suministro e instalación de patch panel de 24 puestos cat. 6a (incluye elementos de fijación)</t>
  </si>
  <si>
    <t>C. 6</t>
  </si>
  <si>
    <t>Mantenimiento de rejas metálicas incluye limpieza de suciedad y oxido, reparación o reemplazo de partes dañadas, aplicación de anticorrosivo y pintura en poliuretano</t>
  </si>
  <si>
    <t>C. 6,1</t>
  </si>
  <si>
    <t>Lavada de rejas existentes, incluye retiro de oxido, residuos, lijada y masillado.</t>
  </si>
  <si>
    <t>C. 6,2</t>
  </si>
  <si>
    <t>Suministro y aplicación de pintura anticorrosiva aplicación de pintura en esmalte (2 capas)</t>
  </si>
  <si>
    <t>C. 7</t>
  </si>
  <si>
    <t xml:space="preserve">otros </t>
  </si>
  <si>
    <t>C. 7,1</t>
  </si>
  <si>
    <t>Suministro e instalación de puerta en madera con marco metálico cuyas medidas son 96 cm x 197 cm,  incluye marco, pintura y cerradura</t>
  </si>
  <si>
    <t>C. 7,2</t>
  </si>
  <si>
    <t>Suministro e instalación de sellador para uso exterior (para ventanas)</t>
  </si>
  <si>
    <t>C. 7,3</t>
  </si>
  <si>
    <t>Desmonte orinal existente incluye tuberia de desague</t>
  </si>
  <si>
    <t>C. 7,4</t>
  </si>
  <si>
    <t>Suministro e instalación de orinal incluye la tuberia de desague</t>
  </si>
  <si>
    <t>C. 7,5</t>
  </si>
  <si>
    <t xml:space="preserve">Suministro e instalación de tubería sanitaria de 2" incluye accesorios para su correcta instalación y elementos de fijación </t>
  </si>
  <si>
    <t>C. 7,6</t>
  </si>
  <si>
    <t>C. 8</t>
  </si>
  <si>
    <t>Teja upvc</t>
  </si>
  <si>
    <t>C. 8,1</t>
  </si>
  <si>
    <t>Desmonte de teja en policarbonato , incluye estructura en mal estado</t>
  </si>
  <si>
    <t>C. 8,2</t>
  </si>
  <si>
    <t>C. 8,3</t>
  </si>
  <si>
    <t>C. 8,4</t>
  </si>
  <si>
    <t>C. 8,5</t>
  </si>
  <si>
    <t>Suministro e instalación de estructura metálica para cubierta en tubería 80 cm x 40 cm calibre 2 mm, incluye pintura 3 en 1</t>
  </si>
  <si>
    <t>C. 8,6</t>
  </si>
  <si>
    <t>Suministro e instalación de cubierta en teja upvc blanca con tramos translucidos intercalados</t>
  </si>
  <si>
    <t>D</t>
  </si>
  <si>
    <t>Sede de Familia de Palmira</t>
  </si>
  <si>
    <t>D. 1</t>
  </si>
  <si>
    <t>Arreglo humedades fachada</t>
  </si>
  <si>
    <t>D. 1,1</t>
  </si>
  <si>
    <t>D. 1,2</t>
  </si>
  <si>
    <t>D. 1,3</t>
  </si>
  <si>
    <t>Desmonte de placa en fibrocemento (superboard)</t>
  </si>
  <si>
    <t>D. 1,4</t>
  </si>
  <si>
    <t>D. 1,5</t>
  </si>
  <si>
    <t>Suministro e instalación de placa en fibrocemento 8mm, incluye masillada, filos y pintura para exterior</t>
  </si>
  <si>
    <t>D. 1,6</t>
  </si>
  <si>
    <t>D. 1,7</t>
  </si>
  <si>
    <t>Suministro y aplicación de pintura para superboard para exterior a dos manos color similar al existente</t>
  </si>
  <si>
    <t>D. 1,8</t>
  </si>
  <si>
    <t>Mantenimiento alfajia metalica existente incluye desmonte y nivelación (pendiente)</t>
  </si>
  <si>
    <t>D. 1,9</t>
  </si>
  <si>
    <t>Suministro e instalación de alfajía metalica cuyas medidas oscilan entre 70 a 200 cm de largo</t>
  </si>
  <si>
    <t>D. 1,10</t>
  </si>
  <si>
    <t>suministro y aplicación de adhesivo y/o sellador para exteriro para elemento metalica</t>
  </si>
  <si>
    <t>D. 1,11</t>
  </si>
  <si>
    <t>Suministro e instalación de perfil de dilatacion tipo U</t>
  </si>
  <si>
    <t>D. 1,12</t>
  </si>
  <si>
    <t>suministro e instalación de placa en fibrocemento 8mm, incluye masillada, estructura, filos y pintura para exterior </t>
  </si>
  <si>
    <t>D. 2</t>
  </si>
  <si>
    <t>Arreglo humedades en losa de cubierta</t>
  </si>
  <si>
    <t>D. 2,1</t>
  </si>
  <si>
    <t>D. 2,2</t>
  </si>
  <si>
    <t>Demolicion mortero existente</t>
  </si>
  <si>
    <t>D. 2,3</t>
  </si>
  <si>
    <t>D. 2,4</t>
  </si>
  <si>
    <t>D. 2,5</t>
  </si>
  <si>
    <t>D. 2,6</t>
  </si>
  <si>
    <t>Perforación de muro en concreto 3"</t>
  </si>
  <si>
    <t>D. 2,7</t>
  </si>
  <si>
    <t>Suministro e instalación de Canal en lámina galvanizada cal 16,  pintura con base epoxica con acabado en esmalte.</t>
  </si>
  <si>
    <t>D. 2,8</t>
  </si>
  <si>
    <t>Suministro e instalación de tubo cuadrado 50 mm x 50 mm x 2mm incluye angulo conector para perfil estructural existente</t>
  </si>
  <si>
    <t>D. 2,9</t>
  </si>
  <si>
    <t>D. 2,10</t>
  </si>
  <si>
    <t xml:space="preserve">Suministro e instalación tubería sanitaria de 4 " pintada color fachda,  incluye accesorios </t>
  </si>
  <si>
    <t>D. 3</t>
  </si>
  <si>
    <t>D. 3,1</t>
  </si>
  <si>
    <t>D. 3,2</t>
  </si>
  <si>
    <t>D. 3,3</t>
  </si>
  <si>
    <t>D. 3,4</t>
  </si>
  <si>
    <t>D. 3,5</t>
  </si>
  <si>
    <t>D. 3,6</t>
  </si>
  <si>
    <t>D. 3,7</t>
  </si>
  <si>
    <t>D. 3,8</t>
  </si>
  <si>
    <t>D. 3,9</t>
  </si>
  <si>
    <t>D. 3,10</t>
  </si>
  <si>
    <t>D. 3,11</t>
  </si>
  <si>
    <t>D. 3,12</t>
  </si>
  <si>
    <t xml:space="preserve">Desmonte y retiro de cielo en panel yeso </t>
  </si>
  <si>
    <t>D. 3,13</t>
  </si>
  <si>
    <t>D. 3,14</t>
  </si>
  <si>
    <t xml:space="preserve">Suministro e instalación cielo falso en panel yeso </t>
  </si>
  <si>
    <t>D. 4</t>
  </si>
  <si>
    <t>Cuarto de residuos Solidos</t>
  </si>
  <si>
    <t>D. 4,1</t>
  </si>
  <si>
    <t>Suministro e instalación de perfil metálico para cubierta sección de 76 mm x 38 mm espesor 2mm, incluye soldadura, platinas y elementos de anclaje en muro, anticorrosivo y pintura.</t>
  </si>
  <si>
    <t>D. 4,2</t>
  </si>
  <si>
    <t>Suministro e instalación de cubierta en teja ondulada en Policarbonato, opalizado incluye elementos de fijación</t>
  </si>
  <si>
    <t>D. 4,3</t>
  </si>
  <si>
    <t>D. 4,4</t>
  </si>
  <si>
    <t>D. 4,5</t>
  </si>
  <si>
    <t>D. 4,6</t>
  </si>
  <si>
    <t>D. 4,7</t>
  </si>
  <si>
    <t>D. 5</t>
  </si>
  <si>
    <t>D. 5,1</t>
  </si>
  <si>
    <t>D. 5,2</t>
  </si>
  <si>
    <t>D. 5,3</t>
  </si>
  <si>
    <t>D. 5,4</t>
  </si>
  <si>
    <t>D. 5,5</t>
  </si>
  <si>
    <t>D. 5,6</t>
  </si>
  <si>
    <t>D. 5,7</t>
  </si>
  <si>
    <t>D. 5,8</t>
  </si>
  <si>
    <t>D. 5,9</t>
  </si>
  <si>
    <t>D. 5,10</t>
  </si>
  <si>
    <t>D. 5,11</t>
  </si>
  <si>
    <t>D. 5,12</t>
  </si>
  <si>
    <t>D. 5,13</t>
  </si>
  <si>
    <t>D. 5,14</t>
  </si>
  <si>
    <t>D. 5,15</t>
  </si>
  <si>
    <t>D. 5,16</t>
  </si>
  <si>
    <t>D. 5,17</t>
  </si>
  <si>
    <t>D. 5,18</t>
  </si>
  <si>
    <t>D. 5,19</t>
  </si>
  <si>
    <t>D. 5,20</t>
  </si>
  <si>
    <t>Suministro e instalación de vidrio templado incoloro de 8mm con perforaciones para dilatadores medida 120 cm x 100 cm</t>
  </si>
  <si>
    <t>D. 5,21</t>
  </si>
  <si>
    <t>Suministro e instalación mesón o cubierta en aglomerado RH de 30mm, ancho de 50cm, incluye soportes de fijación (color miel hacer  aprobar)</t>
  </si>
  <si>
    <t>D. 6</t>
  </si>
  <si>
    <t>D. 6,1</t>
  </si>
  <si>
    <t>Suministro y aplicación de masilla fibra de vidrio</t>
  </si>
  <si>
    <t>E.</t>
  </si>
  <si>
    <t>Palacio Nacional de Buenaventura</t>
  </si>
  <si>
    <t>E. 1</t>
  </si>
  <si>
    <t>Mantenimiento de puertas y ventanas metálicas</t>
  </si>
  <si>
    <t>E. 1,1</t>
  </si>
  <si>
    <t>Lavada de ventanas y rejas existentes, incluye retiro de oxido, residuos, lijada y masillado.</t>
  </si>
  <si>
    <t>E. 1,2</t>
  </si>
  <si>
    <t>E. 1,3</t>
  </si>
  <si>
    <t>E. 1,4</t>
  </si>
  <si>
    <t>E. 1,5</t>
  </si>
  <si>
    <t>Mantenimiento de puerta metalica cuyas medidas son entre 80 -100 cm de ancho x 170 - 240 cm alto, incluye limpieza de suciedad y oxido, reparación o reemplazo de partes dañadas, aplicación de anticorrosivo y pintura en esmalte de poliuretano</t>
  </si>
  <si>
    <t>E. 1,6</t>
  </si>
  <si>
    <t>Suministro y aplicación de pintura anticorrosiva y aplicación de pintura en esmalte (2 capas) en rejas existentes</t>
  </si>
  <si>
    <t>E. 1,7</t>
  </si>
  <si>
    <t>Mantenimiento de puerta metalica cuyas medidas es 300 cm de ancho x 600 cm alto, incluye limpieza de suciedad y oxido, reparación o reemplazo de partes dañadas, aplicación de anticorrosivo y pintura en esmalte de poliuretano</t>
  </si>
  <si>
    <t>E. 2</t>
  </si>
  <si>
    <t>Restauración puertas  en madera</t>
  </si>
  <si>
    <t>E. 2,1</t>
  </si>
  <si>
    <t xml:space="preserve">Mantenimiento de puertas de una nave en madera maciza, cuyas medidas son entre  70 -  105 cm de ancho x 200 cm 260  cm de alto - incluido marco, largueros, travesaños, hojas o panel y cerrajería </t>
  </si>
  <si>
    <t>E. 2,2</t>
  </si>
  <si>
    <t xml:space="preserve">Mantenimiento de puertas de dos naves en madera maciza, diseño con celosia cuyas medidas son entre  70  a 100 cm de ancho x 190 -240 cm de alto - incluido marco, largueros, travesaños, hojas o panel y cerrajería </t>
  </si>
  <si>
    <t>E. 2,3</t>
  </si>
  <si>
    <t xml:space="preserve">Mantenimiento de puertas de dos naves en madera maciza, cuyas medidas son entre  100  a 140 cm de ancho x 200 -260 cm de alto - incluido marco, largueros, travesaños, hojas o panel y cerrajería </t>
  </si>
  <si>
    <t>E. 2,4</t>
  </si>
  <si>
    <t xml:space="preserve">Mantenimiento de puertas de una nave en madera maciza, con diseño que incluye vidrio cuyas medidas son entre  70  a 100 cm de ancho x 190 -280 cm de alto - incluido marco, largueros, travesaños, hojas o panel y cerrajería </t>
  </si>
  <si>
    <t>E. 2,5</t>
  </si>
  <si>
    <t xml:space="preserve">Mantenimiento de ventanas en madera con diseño que incluye vidrio, cuyas medidas son entre 70 -  170 cm de ancho x 100 cm 180 cm alto,  incluido marco, largueros, travesaños, hojas o panel y cerrajería </t>
  </si>
  <si>
    <t>E. 2,6</t>
  </si>
  <si>
    <t>Desmonte de puertas en madera (se refiere a las que no se reinstalaran)</t>
  </si>
  <si>
    <t>E. 2,7</t>
  </si>
  <si>
    <t>Suministro e instalación puertas de madera maciza inmunizada y pintada con barniz, cuyas medidas son entre 70  a 100 cm de ancho x 190 -280 conformada por 2 naves diseño igual al existente.</t>
  </si>
  <si>
    <t>E. 3</t>
  </si>
  <si>
    <t>E. 3,1</t>
  </si>
  <si>
    <t>E. 3,2</t>
  </si>
  <si>
    <t>E. 3,3</t>
  </si>
  <si>
    <t>E. 3,4</t>
  </si>
  <si>
    <t>E. 3,5</t>
  </si>
  <si>
    <t>E. 3,6</t>
  </si>
  <si>
    <t>E. 3,7</t>
  </si>
  <si>
    <t>E. 3,8</t>
  </si>
  <si>
    <t>E. 3,9</t>
  </si>
  <si>
    <t>E. 3,10</t>
  </si>
  <si>
    <t>E. 3,11</t>
  </si>
  <si>
    <t>E. 4</t>
  </si>
  <si>
    <t xml:space="preserve">Mantenimiento de las redes hidrosanitarias </t>
  </si>
  <si>
    <t>E. 4,1</t>
  </si>
  <si>
    <t>Mantenimiento de cajas de inspección existentes, incluye limpieza, reparación de pañetes y tapa de concreto</t>
  </si>
  <si>
    <t>E. 4,2</t>
  </si>
  <si>
    <t xml:space="preserve">Suministro y fabricación de  caja de aguas negras (100 cm x 100 cm) incluye tapa divida en 2 </t>
  </si>
  <si>
    <t>E. 4,3</t>
  </si>
  <si>
    <t>Excavación de tierra a mano para tuberia de 6"</t>
  </si>
  <si>
    <t>E. 4,4</t>
  </si>
  <si>
    <t xml:space="preserve">Suministro e instalación de ladrillo sucio </t>
  </si>
  <si>
    <t>E. 4,5</t>
  </si>
  <si>
    <t xml:space="preserve">Corte de muro en concreto con pulidora </t>
  </si>
  <si>
    <t>E. 4,6</t>
  </si>
  <si>
    <t>Perforación de piso en concreto 6"</t>
  </si>
  <si>
    <t>E. 4,7</t>
  </si>
  <si>
    <t>Retiro de tuberia PVC existente de 2"  a 6"</t>
  </si>
  <si>
    <t>E. 4,8</t>
  </si>
  <si>
    <t>Retiro de tuberia galvanizada</t>
  </si>
  <si>
    <t xml:space="preserve">ML </t>
  </si>
  <si>
    <t>E. 4,9</t>
  </si>
  <si>
    <t>Suministro e instalación tuberia  PVC de 4" con sus respectivos accesorios y elementos de soporte, para su correcto funcionamiento.</t>
  </si>
  <si>
    <t>E. 4,10</t>
  </si>
  <si>
    <t>Suministro e instalación tuberia en PVC de 1 1/2"" con sus respectivos accesorios y elementos de soporte, para su correcto funcionamiento.</t>
  </si>
  <si>
    <t>E. 4,11</t>
  </si>
  <si>
    <t>Suministro e instalación tapa de inspección en aluminio de 60 cm x 120 cm, tipo celosia, incluye marco y pasador</t>
  </si>
  <si>
    <t>E. 4,12</t>
  </si>
  <si>
    <t>Demolición muro existente incluye retiro</t>
  </si>
  <si>
    <t>E. 4,13</t>
  </si>
  <si>
    <t>Suministro e instalación bajante aguas lluvias en PVC de 3" con sus respectivos accesorios y elementos de soporte, para su correcto funcionamiento.</t>
  </si>
  <si>
    <t>E. 4,14</t>
  </si>
  <si>
    <t>Suministro e instalación tuberia en PVC de  1/2"" con sus respectivos accesorios y elementos de soporte, para su correcto funcionamiento.</t>
  </si>
  <si>
    <t>E. 4,15</t>
  </si>
  <si>
    <t>Suministro y fabricación de tapa en concreto para caja de aguas negras (100 cm x 50 cm) incluye marco metálico</t>
  </si>
  <si>
    <t>E. 4,16</t>
  </si>
  <si>
    <t>Corte de losa  en concreto con pulidora incluye retiro</t>
  </si>
  <si>
    <t>E. 4,17</t>
  </si>
  <si>
    <t>Suministro e instalación de tuberia novafort de 6"</t>
  </si>
  <si>
    <t>E. 4,18</t>
  </si>
  <si>
    <t>Suministro e instalación de yee de 4" con tapón de inspección</t>
  </si>
  <si>
    <t>E. 5,1</t>
  </si>
  <si>
    <t>E. 5,2</t>
  </si>
  <si>
    <t>E. 5,3</t>
  </si>
  <si>
    <t>Suministro e instalación de tuberia de PVC 1" pintada color fachada</t>
  </si>
  <si>
    <t>E. 5,4</t>
  </si>
  <si>
    <t>Instalación de pasamanos en acero (existente) incluye elementos de fijación como varilla 1/4", abrazadera. (12 mt de largo)</t>
  </si>
  <si>
    <t xml:space="preserve">UND </t>
  </si>
  <si>
    <t>E. 5,5</t>
  </si>
  <si>
    <t>Demolición piso en granito existente, incluye retiro</t>
  </si>
  <si>
    <t>E. 5,6</t>
  </si>
  <si>
    <t>Desmonte de listones de madera de banca existente medida 145 cm x 9 cm</t>
  </si>
  <si>
    <t>E. 5,7</t>
  </si>
  <si>
    <t>Suministro e instalación de listones en madera plástica para banca cuyas medidas oscilan entre 5 cm - 8cm ancho x 145 cm de largo altura entre 3cm - 5cm</t>
  </si>
  <si>
    <t>E. 5,8</t>
  </si>
  <si>
    <t>E. 5,9</t>
  </si>
  <si>
    <t>E. 5,10</t>
  </si>
  <si>
    <t>E. 5,11</t>
  </si>
  <si>
    <t>E. 5,12</t>
  </si>
  <si>
    <t>E. 5,13</t>
  </si>
  <si>
    <t>E. 5,14</t>
  </si>
  <si>
    <t>E. 5,15</t>
  </si>
  <si>
    <t>E. 5,16</t>
  </si>
  <si>
    <t>E. 5,17</t>
  </si>
  <si>
    <t>E. 6</t>
  </si>
  <si>
    <t>E. 6,1</t>
  </si>
  <si>
    <t>E. 6,2</t>
  </si>
  <si>
    <t>E. 6,3</t>
  </si>
  <si>
    <t>E. 6,4</t>
  </si>
  <si>
    <t>E. 6,5</t>
  </si>
  <si>
    <t>F</t>
  </si>
  <si>
    <t>Edificio de Transferencia de Buenaventura</t>
  </si>
  <si>
    <t>F. 1</t>
  </si>
  <si>
    <t xml:space="preserve">Tratamiento de humedades fachada </t>
  </si>
  <si>
    <t>F. 1,1</t>
  </si>
  <si>
    <t xml:space="preserve">suministro e instalación de protector sobre fachada en poli sombra, incluye accesorios y elementos para su fijación. </t>
  </si>
  <si>
    <t>F. 1,2</t>
  </si>
  <si>
    <t>Lavada de fachada con agua a chorro de aspersión con hipoclorito.(incluye retiro de material extraño y piezas rotas)</t>
  </si>
  <si>
    <t>F. 1,3</t>
  </si>
  <si>
    <t>Rasqueteada de pintura y retiro de material  en mal estado</t>
  </si>
  <si>
    <t>F. 1,4</t>
  </si>
  <si>
    <t>F. 1,5</t>
  </si>
  <si>
    <t>Suministro y aplicación de sellador para superficie altamente alcalina</t>
  </si>
  <si>
    <t>F. 1,6</t>
  </si>
  <si>
    <t xml:space="preserve">Suministro y aplicación de pintura crílica resistente a climas tropicales como la humedad y el calor extremo (para exterior)  a 3 manos </t>
  </si>
  <si>
    <t>F. 2</t>
  </si>
  <si>
    <t>Mantenimiento de puertas  en madera</t>
  </si>
  <si>
    <t>F. 2,1</t>
  </si>
  <si>
    <t>Desmonte de puertas en madera incluye hoja y marco metalico</t>
  </si>
  <si>
    <t>F. 2,2</t>
  </si>
  <si>
    <t xml:space="preserve">Mantenimiento de puertas de una nave en madera , cuyas medidas son entre  70  a 90 cm de ancho x 180 -220 cm de alto - incluido marco, largueros, travesaños, hojas o panel y cerrajería </t>
  </si>
  <si>
    <t>F. 2,3</t>
  </si>
  <si>
    <t>Suministro e instalación de puerta de una nave de madera, diseño y color igual a las existentes, debidamente lijada, masillada y pintada, cuyas medidas son entre  70 a 100 cm de ancho x 180 -210 cm de alto, incluye marco, tapa luz, bisagras, herrajes y cerradura.</t>
  </si>
  <si>
    <t>F. 2,4</t>
  </si>
  <si>
    <t>Suministro e instalación de marco metalico para puerta en madera de medidas entre  70 a 100 cm de ancho x 180 -210 cm de alto</t>
  </si>
  <si>
    <t>F. 2,5</t>
  </si>
  <si>
    <t xml:space="preserve">Suministro e instalación de chapa bola para puerta en madera </t>
  </si>
  <si>
    <t>F. 3</t>
  </si>
  <si>
    <t>F. 3,1</t>
  </si>
  <si>
    <t>F. 3,2</t>
  </si>
  <si>
    <t>F. 3,3</t>
  </si>
  <si>
    <t>F. 3,4</t>
  </si>
  <si>
    <t>F. 3,5</t>
  </si>
  <si>
    <t>F. 3,6</t>
  </si>
  <si>
    <t>F. 3,7</t>
  </si>
  <si>
    <t>F. 3,8</t>
  </si>
  <si>
    <t>F. 3,9</t>
  </si>
  <si>
    <t>F. 3,10</t>
  </si>
  <si>
    <t>F. 3,11</t>
  </si>
  <si>
    <t>F. 4</t>
  </si>
  <si>
    <t xml:space="preserve"> Mantenimiento de cubierta </t>
  </si>
  <si>
    <t>F. 4,1</t>
  </si>
  <si>
    <t>Lavada de cubierta con agua a chorro de aspersión con hipoclorito.(incluye retiro de material extraño  y debe realizarse con belt manlift)</t>
  </si>
  <si>
    <t>F. 4,2</t>
  </si>
  <si>
    <t xml:space="preserve">Suministro e instalación de manto asfáltica Foil de aluminio adhesivo </t>
  </si>
  <si>
    <t>F. 4,3</t>
  </si>
  <si>
    <t>F. 4,4</t>
  </si>
  <si>
    <t>F. 4,5</t>
  </si>
  <si>
    <t>F. 4,6</t>
  </si>
  <si>
    <t>retiro de rejlla sifón (incluye demolición y retiro)</t>
  </si>
  <si>
    <t>F. 4,7</t>
  </si>
  <si>
    <t>Suministro e instalación de sifon de 3"</t>
  </si>
  <si>
    <t>G</t>
  </si>
  <si>
    <t xml:space="preserve">Juzgado Promiscuo Municipal de Obando </t>
  </si>
  <si>
    <t xml:space="preserve">G.1 </t>
  </si>
  <si>
    <t>G. 1,1</t>
  </si>
  <si>
    <t>G. 1,2</t>
  </si>
  <si>
    <t>G. 1,3</t>
  </si>
  <si>
    <t>Tratamiento de fisura el cual consiste en sellado con mortero especial para reparaciones.</t>
  </si>
  <si>
    <t>G. 1,4</t>
  </si>
  <si>
    <t>G. 1,5</t>
  </si>
  <si>
    <t xml:space="preserve">Suministro y aplicación de emulsión acrílica al 50% generador de adherencia, (ó sellador acrílico) </t>
  </si>
  <si>
    <t>G. 1,6</t>
  </si>
  <si>
    <t xml:space="preserve">Suministro y aplicación de pintura acrilica para exterior a 3 manos - tipo 1 </t>
  </si>
  <si>
    <t>G. 1,7</t>
  </si>
  <si>
    <t>G. 2</t>
  </si>
  <si>
    <t xml:space="preserve"> Tratamiento de humedades muros internos y fachada</t>
  </si>
  <si>
    <t>G. 2,1</t>
  </si>
  <si>
    <t>Fabricación e instalación filtro francés tuberia  4" ( incluye retiro de tierra a mano)</t>
  </si>
  <si>
    <t>G. 2,2</t>
  </si>
  <si>
    <t>G. 2,3</t>
  </si>
  <si>
    <t>G. 2,4</t>
  </si>
  <si>
    <t>G. 2,5</t>
  </si>
  <si>
    <t>G. 2,6</t>
  </si>
  <si>
    <t>G. 2,7</t>
  </si>
  <si>
    <t>G. 2,8</t>
  </si>
  <si>
    <t>G. 2,9</t>
  </si>
  <si>
    <t>G. 2,10</t>
  </si>
  <si>
    <t>G. 2,11</t>
  </si>
  <si>
    <t>G. 2,12</t>
  </si>
  <si>
    <t>G. 3</t>
  </si>
  <si>
    <t>Cubierta en teja plastica</t>
  </si>
  <si>
    <t>G. 3,1</t>
  </si>
  <si>
    <t xml:space="preserve">Desmonte de cubierta en teja plástica </t>
  </si>
  <si>
    <t>G. 3,2</t>
  </si>
  <si>
    <t>Suministro e instalación de cubierta en teja ondulada en Policarbonato, opalizado</t>
  </si>
  <si>
    <t>G. 3,3</t>
  </si>
  <si>
    <t>G. 3,4</t>
  </si>
  <si>
    <t>G. 4</t>
  </si>
  <si>
    <t>G. 4,1</t>
  </si>
  <si>
    <t xml:space="preserve">Suministro e instalación de película opalizada para ventanas </t>
  </si>
  <si>
    <t>G. 4,2</t>
  </si>
  <si>
    <t>H</t>
  </si>
  <si>
    <t>Juzgado Promiscuo Municipal de San José del Palmar</t>
  </si>
  <si>
    <t>H. 1</t>
  </si>
  <si>
    <t xml:space="preserve"> Tratamiento de humedades fachada</t>
  </si>
  <si>
    <t>H. 1,1</t>
  </si>
  <si>
    <t>Lavada de fachada con agua a chorro de aspersión con hipoclorito.(incluye ventaneria y retiro de material afectado por humedad)</t>
  </si>
  <si>
    <t>H. 1,2</t>
  </si>
  <si>
    <t>H. 1,3</t>
  </si>
  <si>
    <t>H. 1,4</t>
  </si>
  <si>
    <t>H. 1,5</t>
  </si>
  <si>
    <t>H. 2</t>
  </si>
  <si>
    <t xml:space="preserve"> Tratamiento de humedades muros internos </t>
  </si>
  <si>
    <t>H. 2,1</t>
  </si>
  <si>
    <t>H. 2,2</t>
  </si>
  <si>
    <t>H. 2,3</t>
  </si>
  <si>
    <t>H. 2,4</t>
  </si>
  <si>
    <t>Suministro y aplicación de vinilo tipo 1 (2 manos)</t>
  </si>
  <si>
    <t>H. 2,5</t>
  </si>
  <si>
    <t>H. 2,6</t>
  </si>
  <si>
    <t>H. 2,7</t>
  </si>
  <si>
    <t xml:space="preserve">Suministro e instalación de recubrimiento cementoso (Recubrimiento a base de cemento, arena y aditivos especiales), impermeable para muros </t>
  </si>
  <si>
    <t>H. 2,8</t>
  </si>
  <si>
    <t>H. 2,9</t>
  </si>
  <si>
    <t>Suministro y aplicación de vinilo tipo 2 (2 manos)</t>
  </si>
  <si>
    <t>H. 2,10</t>
  </si>
  <si>
    <t>H. 3</t>
  </si>
  <si>
    <t>Otros</t>
  </si>
  <si>
    <t>H. 3,1</t>
  </si>
  <si>
    <t>Mantenimiento de reja exterior existente  con puerta de 2 naves, consiste en soldar, lijar y pintar colo crema.</t>
  </si>
  <si>
    <t>H. 3,2</t>
  </si>
  <si>
    <t>excavación tierra  a mano (tipo terraceo), incluye retiro</t>
  </si>
  <si>
    <t>H. 3,3</t>
  </si>
  <si>
    <t>Suministro y fabricación de Viga en concreto  H=30-40 cm de 21 Mpa incluye acero y flejes de 3/8"</t>
  </si>
  <si>
    <t>H. 3,4</t>
  </si>
  <si>
    <t>Suministro e instalación de cerramiento en malla eslabonada calibre 12 hueco 2 1/2" altura 200 cm</t>
  </si>
  <si>
    <t>H. 3,5</t>
  </si>
  <si>
    <t>Suministro e instalación de poste cilindrico con brazo, diametro 2 1/2" para cerramiento.,incluye alambre de pues y concertina</t>
  </si>
  <si>
    <t>H. 3,6</t>
  </si>
  <si>
    <t>Suministro e instalación de reja de seguridad en tubo cuadrado de 1" x 1" fabricada en fundición, separacion entre barras de 10 cm, , incluye  perforación, pernos y demás elementos para su correcta instalación.</t>
  </si>
  <si>
    <t>H. 3,7</t>
  </si>
  <si>
    <t>Desmonte ventana metalica existente</t>
  </si>
  <si>
    <t>H. 3,8</t>
  </si>
  <si>
    <t xml:space="preserve">Suministro e instalación de ventana  en aluminio corrediza </t>
  </si>
  <si>
    <t>H. 3,9</t>
  </si>
  <si>
    <t>H. 3,10</t>
  </si>
  <si>
    <t>Fabricación e instalación filtro francés tuberia 4" ( incluye retiro de tierra a mano)</t>
  </si>
  <si>
    <t>H. 3,11</t>
  </si>
  <si>
    <t>Suministro y fabricación de protección a talud existente- consiste en suministrar e instalar un manto control de erosión, incluye manto geotextil, malla y varilla de acero 1/2" </t>
  </si>
  <si>
    <t>H. 3,12</t>
  </si>
  <si>
    <t>Suministro e instalación de marco metalico cuyas  medidas oscilan entre 100 cm de ancho x 247 cm de alto</t>
  </si>
  <si>
    <t>H. 3,13</t>
  </si>
  <si>
    <t>Desmonte de puerta metalica existente 100 cm x 200 cm</t>
  </si>
  <si>
    <t>H. 3,14</t>
  </si>
  <si>
    <t>Suministro e instalación de puerta metálica 100 cm x 200 cm</t>
  </si>
  <si>
    <t xml:space="preserve">I </t>
  </si>
  <si>
    <t>Palacio de Justicia "Oscar Lerma Trujillo" Roldanillo</t>
  </si>
  <si>
    <t>I.1</t>
  </si>
  <si>
    <t xml:space="preserve">Restauración de puertas en madera, consiste en realizar verificación del estado de la ventana, se procede con desmontar la ventana, limpiar polvo o suciedad, lijar para corregir irregularidades de la superficie, masillar, aplicar inmunizante, aplicar pintura o tinte según corresponda y posteriormente reinstalarla.
</t>
  </si>
  <si>
    <t>I. 1,1</t>
  </si>
  <si>
    <t>Mantenimiento de puertas en madera maciza con diseño de dos naves cuyas medidas son de 150 cm de ancho x 350 cm de alto, (Consiste en desmontar naves, cambiar piezas en mal estado, inmunizar, cambiar bisagras, lijar recuperar color natural, inmunizar y aplicar Barniz, suministrar e instalar tapa luz, suministro e instalar burlete en U en caucho incluye mantenimiento del marco )</t>
  </si>
  <si>
    <t>I. 1,2</t>
  </si>
  <si>
    <t>Mantenimiento de puertas en madera maciza con diseño de dos naves cuyas medidas son de 120- 140 cm de ancho x 290 - 310 cm de alto, (Consiste en desmontar naves, cambiar piezas en mal estado, inmunizar, cambiar bisagras, lijar recuperar color natural, inmunizar y aplicar Barniz, suministrar e instalar tapa luz, suministro e instalar burlete en U en caucho incluye mantenimiento del marco )</t>
  </si>
  <si>
    <t>I. 1,3</t>
  </si>
  <si>
    <t>Mantenimiento de puertas en madera maciza con diseño de dos naves y baranda en madera- cuyas medidas son de 130 cm de ancho x 290 cm de alto, (Consiste en desmontar naves, cambiar piezas en mal estado, inmunizar, cambiar bisagras, lijar recuperar color natural, inmunizar y aplicar Barniz, suministrar e instalar tapa luz, suministro e instalar burlete en U en caucho incluye mantenimiento del marco )</t>
  </si>
  <si>
    <t>I. 1,4</t>
  </si>
  <si>
    <t>Mantenimiento de puertas en madera maciza de una nave cuyas medidas son entre 60 - 100 cm de ancho x 170 -300 cm de alto, (Consiste en desmontar naves, cambiar piezas en mal estado, inmunizar, cambiar bisagras, lijar recuperar color natural, inmunizar y aplicar Barniz, suministrar e instalar tapa luz, suministro e instalar burlete en U en caucho incluye mantenimiento del marco )</t>
  </si>
  <si>
    <t>I. 1,5</t>
  </si>
  <si>
    <t>Suministro e instalación de puertas de 2 naves de madera maciza inmunizada, diseño y color igual a las existentes, debidamente lijada, masillada y pintada, cuyas medidas son  120- 140 cm de ancho x 290 - 310 cm de alto, incluye marco,  tapa luz, bisagras y pestillo con diseño igual a la existente.</t>
  </si>
  <si>
    <t>I. 1,6</t>
  </si>
  <si>
    <t>Suministro e instalación de puertas de una nave de madera maciza inmunizada, diseño y color igual a las existentes, debidamente lijada, masillada y pintada, cuyas medidas son entre 60 - 100 cm de ancho x 170 -230 cm de alto, incluye marco,  tapa luz, bisagras y pestillo con diseño igual a la existente.</t>
  </si>
  <si>
    <t>I. 1,7</t>
  </si>
  <si>
    <t>Desmonte de puertas en madera, incluye  marco (se refiere a las que no se reinstalaran)</t>
  </si>
  <si>
    <t>I. 1,8</t>
  </si>
  <si>
    <t>Suministro e instalación de pestillo- manilas o herrajes según diseño existente</t>
  </si>
  <si>
    <t>I. 2</t>
  </si>
  <si>
    <t>I. 2,1</t>
  </si>
  <si>
    <t>I. 2,2</t>
  </si>
  <si>
    <t>I. 2,3</t>
  </si>
  <si>
    <t>I. 2,4</t>
  </si>
  <si>
    <t>I. 2,5</t>
  </si>
  <si>
    <t>I. 2,6</t>
  </si>
  <si>
    <t>I. 2,7</t>
  </si>
  <si>
    <t>I. 2,8</t>
  </si>
  <si>
    <t>I. 2,9</t>
  </si>
  <si>
    <t>I. 2,10</t>
  </si>
  <si>
    <t>I. 2,11</t>
  </si>
  <si>
    <t>I. 3</t>
  </si>
  <si>
    <t>Reparacion de cubierta en teja de barro</t>
  </si>
  <si>
    <t>I. 3,1</t>
  </si>
  <si>
    <t>mantenimiento general de cubierta tipo colonial, incluye cambio de tejas en mal estado, reacomodación y atraques nuevos para el área general de cubierta, manto asfaltico,incluir el retiro de escombros. </t>
  </si>
  <si>
    <t>I. 3,2</t>
  </si>
  <si>
    <t xml:space="preserve">Pega de teja existente incluye retiro de teja, limpieza y alineación </t>
  </si>
  <si>
    <t>I. 3,3</t>
  </si>
  <si>
    <t>Demolición y limpieza de revestimiento (Boñiga o repello) en área afectada del Cielo falso, resguardando la integridad de la construcción.</t>
  </si>
  <si>
    <t>I. 3,4</t>
  </si>
  <si>
    <t xml:space="preserve">Suministro e instalación de varillones en caña menuda </t>
  </si>
  <si>
    <t>I. 3,5</t>
  </si>
  <si>
    <t>Suministro e instalación de malla venada, incluye los elementos necesarios para su fijación a la estructura de cielo falso.</t>
  </si>
  <si>
    <t>I. 3,6</t>
  </si>
  <si>
    <t>Suministro y aplicación de Cal y canto</t>
  </si>
  <si>
    <t>I. 3,7</t>
  </si>
  <si>
    <t>Restauración de cielo en boñiga</t>
  </si>
  <si>
    <t>I. 4</t>
  </si>
  <si>
    <t>I. 4,1</t>
  </si>
  <si>
    <t>Desmonte grifo de lavamanos existente</t>
  </si>
  <si>
    <t>I. 4,2</t>
  </si>
  <si>
    <t>Suministro e instalación de grifo para lavamanos conexión 1/2", acabado cromo.</t>
  </si>
  <si>
    <t>I. 4,3</t>
  </si>
  <si>
    <t>Desmonte de desague de orinal existente</t>
  </si>
  <si>
    <t>I. 4,4</t>
  </si>
  <si>
    <t xml:space="preserve">suministro e instalacion sifon para orinales </t>
  </si>
  <si>
    <t>I. 4,5</t>
  </si>
  <si>
    <t xml:space="preserve">Suministro e instalación de juego de accesorios (check en bronce, flotador en cobre, registro   para tanque de agua de reserva </t>
  </si>
  <si>
    <t>I. 4,6</t>
  </si>
  <si>
    <t>I. 4,7</t>
  </si>
  <si>
    <t xml:space="preserve">Suministro y aplicación de mortero 1:3 con aditivo impermeabilizante espesor 4cm </t>
  </si>
  <si>
    <t>I. 4,8</t>
  </si>
  <si>
    <t>I. 5</t>
  </si>
  <si>
    <t>Arreglo zocalo fachada</t>
  </si>
  <si>
    <t>I. 5,1</t>
  </si>
  <si>
    <t>Lavada de zocalo con ácido nítrico</t>
  </si>
  <si>
    <t>I. 5,2</t>
  </si>
  <si>
    <t>Suministro y aplicación de fragua color tabaco</t>
  </si>
  <si>
    <t>I. 5,3</t>
  </si>
  <si>
    <t>Suministro y aplicación de hidrofugo-(protección de penetración de agua sobre piedra)</t>
  </si>
  <si>
    <t>J</t>
  </si>
  <si>
    <t>Palacio de Justicia de Tulua</t>
  </si>
  <si>
    <t>J. 1</t>
  </si>
  <si>
    <t>Reparación de cubierta en teja de barro</t>
  </si>
  <si>
    <t>J. 1,1</t>
  </si>
  <si>
    <t>mantenimiento general de cubierta tipo colonial, incluye cambio de tejas en mal estado, reacomodación y atraques nuevos para el área general de cubierta, incluir el retiro de escombros. </t>
  </si>
  <si>
    <t>J. 1,2</t>
  </si>
  <si>
    <t>Suministro e instalación de teja de barro</t>
  </si>
  <si>
    <t>J. 1,3</t>
  </si>
  <si>
    <t>TOTAL</t>
  </si>
  <si>
    <t>D. 6,2</t>
  </si>
  <si>
    <t>J. 1,4</t>
  </si>
  <si>
    <r>
      <t>OBJETO DEL CONTRATO:</t>
    </r>
    <r>
      <rPr>
        <sz val="9"/>
        <rFont val="Arial"/>
        <family val="2"/>
      </rPr>
      <t xml:space="preserve"> Realizar mantenimiento, adecuaciones y reparaciones a los inmuebles Palacio de Justicia de Cali "PEDRO ELIAS SERRANO ABADIA",Juzgado Promiscuo Municipal de el Dovio,</t>
    </r>
    <r>
      <rPr>
        <b/>
        <sz val="9"/>
        <rFont val="Arial"/>
        <family val="2"/>
      </rPr>
      <t xml:space="preserve"> </t>
    </r>
    <r>
      <rPr>
        <sz val="9"/>
        <rFont val="Arial"/>
        <family val="2"/>
      </rPr>
      <t>Palacio de Justicia "SIMON DAVID CARREJO BEJARANO",</t>
    </r>
    <r>
      <rPr>
        <b/>
        <sz val="9"/>
        <rFont val="Arial"/>
        <family val="2"/>
      </rPr>
      <t xml:space="preserve"> </t>
    </r>
    <r>
      <rPr>
        <sz val="9"/>
        <rFont val="Arial"/>
        <family val="2"/>
      </rPr>
      <t>Sede Familia de Palmira, Palacio Nacional de Buenaventura,</t>
    </r>
    <r>
      <rPr>
        <b/>
        <sz val="9"/>
        <rFont val="Arial"/>
        <family val="2"/>
      </rPr>
      <t xml:space="preserve"> </t>
    </r>
    <r>
      <rPr>
        <sz val="9"/>
        <rFont val="Arial"/>
        <family val="2"/>
      </rPr>
      <t>Edificio Transferencias, Juzgado Promiscuo Municipal de Obando, Juzgado Promiscuo Municipal de San Jose del Palmar, Palacio de Justicia "Oscar Lerma Trujillo" Roldanillo</t>
    </r>
  </si>
  <si>
    <r>
      <t xml:space="preserve">Mantenimiento de ventanas en aluminio con diseño que incluye celosias cuyas medidas son entre 70 -100 cm de ancho x 120 - 200 cm alto, incluye limpieza de suciedad y oxido, reparación o reemplazo de partes dañadas, aplicación de anticorrosivo y pintura en esmalte de </t>
    </r>
    <r>
      <rPr>
        <sz val="9"/>
        <rFont val="Arial"/>
        <family val="2"/>
      </rPr>
      <t>poliuretano</t>
    </r>
  </si>
  <si>
    <r>
      <t xml:space="preserve">Mantenimiento de ventanas en aluminio cuyas medidas son entre 200 -  400 cm de ancho x 200 cm 400 cm alto, incluye limpieza de suciedad y oxido, reparación o reemplazo de partes dañadas, aplicación de anticorrosivo y pintura en esmalte de </t>
    </r>
    <r>
      <rPr>
        <sz val="9"/>
        <rFont val="Arial"/>
        <family val="2"/>
      </rPr>
      <t>poliuretano</t>
    </r>
  </si>
  <si>
    <t>Suministro e instalación pasarela o plaforma metálica en rejilla de acero con 2 pasos en cada extremo cuyas medidas son  80 cm ancho, 160cm de largo y 40 cm de latura, incluye  pasamanos</t>
  </si>
  <si>
    <t>A. 5,23</t>
  </si>
  <si>
    <t>A. 5,24</t>
  </si>
  <si>
    <t>Suministro e instalación de vidrio templado incoloro de 8mm con perforaciones para dilatadores,  (ver imagen1)</t>
  </si>
  <si>
    <t>A. 5,25</t>
  </si>
  <si>
    <t>A. 5,26</t>
  </si>
  <si>
    <t>Suministro e instalacion de tubería SCH 40  1 1/2"</t>
  </si>
  <si>
    <t>Suministro e instalacion de tubería SCH 40  1"</t>
  </si>
  <si>
    <t>COTIZACIÓN 1 - KCV</t>
  </si>
  <si>
    <t>VALOR UNITARIO 2</t>
  </si>
  <si>
    <t>VALOR TOTAL3</t>
  </si>
  <si>
    <t>VALOR UNITARIO 3</t>
  </si>
  <si>
    <t xml:space="preserve">COTIZACIÓN 2 </t>
  </si>
  <si>
    <t>COTIZACIÓN 3</t>
  </si>
  <si>
    <t xml:space="preserve">COTIZACIÓN 4 </t>
  </si>
  <si>
    <t xml:space="preserve">VALOR TOTAL </t>
  </si>
  <si>
    <t>VALOR UNITARIO</t>
  </si>
  <si>
    <t>VALOR TOTAL 2</t>
  </si>
  <si>
    <t>VALOR UNITARIO2</t>
  </si>
  <si>
    <t>VALOR TOTAL4</t>
  </si>
  <si>
    <t>VALOR UNITARIO3</t>
  </si>
  <si>
    <t>VALOR TOTAL 3</t>
  </si>
  <si>
    <t xml:space="preserve">COTIZACIÓN 5 </t>
  </si>
  <si>
    <t xml:space="preserve">COTIZACIÓN 6 </t>
  </si>
  <si>
    <t>EL ALUMINIO SOLO PUEDE SER PINTADO CON ELECTROSTATICA, LAS PIEZAS OXIDADES NO ES POSIBLE LIMPIARLAS DEBEN SER CAMBIADAS</t>
  </si>
  <si>
    <t>E.5</t>
  </si>
  <si>
    <t>MAYORES</t>
  </si>
  <si>
    <t>MENORES</t>
  </si>
  <si>
    <t>PROMEDIO</t>
  </si>
  <si>
    <r>
      <t xml:space="preserve">Mantenimiento de ventanas en aluminio cuyas medidas son entre 70 -  105 cm de ancho x 120 cm 180 cm alto, incluye limpieza de suciedad y salpicadura de oxido, reparación o reemplazo de partes dañadas, aplicación de anticorrosivo y pintura en esmalte de </t>
    </r>
    <r>
      <rPr>
        <sz val="9"/>
        <rFont val="Arial"/>
        <family val="2"/>
      </rPr>
      <t>poliuretano</t>
    </r>
  </si>
  <si>
    <t>58-2022</t>
  </si>
  <si>
    <t>41-2023</t>
  </si>
  <si>
    <t>13 -2023</t>
  </si>
  <si>
    <t>28-2023</t>
  </si>
  <si>
    <t>013-2023</t>
  </si>
  <si>
    <t>041-2023</t>
  </si>
  <si>
    <t>028-2023</t>
  </si>
  <si>
    <t>058-2022</t>
  </si>
  <si>
    <r>
      <t xml:space="preserve">Mantenimiento de ventanas en aluminio cuyas medidas son entre 70 -  105 cm de ancho x 120 cm 180 cm alto, incluye limpieza de suciedad y oxido, reparación o reemplazo de partes dañadas, aplicación de anticorrosivo y pintura en esmalte de </t>
    </r>
    <r>
      <rPr>
        <sz val="9"/>
        <rFont val="Arial"/>
        <family val="2"/>
      </rPr>
      <t>poliuretano</t>
    </r>
  </si>
  <si>
    <t>Mantenimiento de ventanas en aluminio cuyas medidas son entre 70 -  105 cm de ancho x 120 cm 180 cm alto, incluye limpieza de suciedad, rasqueteada de residuos de pintura, salpicadura de oxido (con limpiador industrial apto para aluminio), reparación o reemplazo de elementos deteriorados (perfiles, bisagras, cerraduras, pasadores, etc.) y limpieza de vidrios</t>
  </si>
  <si>
    <t>OTROS CONTRATOS REALIZADOS POR LA ENTIDAD</t>
  </si>
  <si>
    <t>No. Contrato</t>
  </si>
  <si>
    <t>V/unit</t>
  </si>
  <si>
    <t>IPC</t>
  </si>
  <si>
    <t>Lijada de rejas de ventanas en fachada (eliminación óxido),  aplicación de anticorrosivo y pintura en esmalte de poliuretano</t>
  </si>
  <si>
    <t>diferencia</t>
  </si>
  <si>
    <t>Actividad no cotizada</t>
  </si>
  <si>
    <t>Actividad no promediada por precio artificialmente elevedo</t>
  </si>
  <si>
    <r>
      <t xml:space="preserve">OBJETO DEL CONTRATO: </t>
    </r>
    <r>
      <rPr>
        <sz val="10"/>
        <rFont val="Arial"/>
        <family val="2"/>
      </rPr>
      <t>Realizar mantenimiento, adecuaciones y reparaciones a los inmuebles Palacio de Justicia de Cali "PEDRO ELIAS SERRANO ABADIA",Juzgado Promiscuo Municipal de el Dovio, Palacio de Justicia "SIMON DAVID CARREJO BEJARANO", Sede Familia de Palmira, Palacio Nacional de Buenaventura, Edificio Transferencias, Juzgado Promiscuo Municipal de Obando, Juzgado Promiscuo Municipal de San Jose del Palmar, Palacio de Justicia "Oscar Lerma Trujillo" Roldanillo</t>
    </r>
  </si>
  <si>
    <t>V/unitarios otros contratos realizados por la entidad</t>
  </si>
  <si>
    <t xml:space="preserve">A. </t>
  </si>
  <si>
    <t>Palacio de Justicia de Cali "PEDRO ELIAS SERRANO ABADIA</t>
  </si>
  <si>
    <t>MNTY</t>
  </si>
  <si>
    <t>Forma de selección del valor unitario</t>
  </si>
  <si>
    <t>Consejo Superior de la Judicatura</t>
  </si>
  <si>
    <t>CONTRATISTA:  AMBIENTE VIABLE SAS</t>
  </si>
  <si>
    <t>BALANCE DE OBRA No. 01</t>
  </si>
  <si>
    <t>OBJETO: OBJETO DEL CONTRATO: CONTRATAR EN NOMBRE DE LA NACIÓN – CONSEJO SUPERIOR DE LA JUDICATURA – DIRECCIÓN EJECUTIVA SECCIONAL DE ADMINISTRACIÓN JUDICIAL DE CALI – VALLE DEL CAUCA, LAS REPARACIONES Y ADECUACIONES LOCATIVAS REQUERIDAS EN LOS INMUEBLES DONDE FUNCIONAN LAS CORPORACIONES Y DESPACHOS JUDICIALES DEL VALLE DEL CAUCA, INCLUYENDO MATERIALES A TODO COSTO</t>
  </si>
  <si>
    <t>RECIBO DE OBRAS (BALANCE)</t>
  </si>
  <si>
    <t xml:space="preserve">Valor Inicial               </t>
  </si>
  <si>
    <t xml:space="preserve">Nuevo Valor Final           </t>
  </si>
  <si>
    <t>Acta Final</t>
  </si>
  <si>
    <t>FECHA PRESENTE:  26 DE MAYO DE 2023</t>
  </si>
  <si>
    <t>Tiempo Adic.</t>
  </si>
  <si>
    <t>Valor Adicion</t>
  </si>
  <si>
    <t>Fecha Liquidacion</t>
  </si>
  <si>
    <t>Acta Final-Adicion</t>
  </si>
  <si>
    <t>CONDICIONES CONTRACTUALES INICIALES</t>
  </si>
  <si>
    <t>REPLANTEO</t>
  </si>
  <si>
    <t>TOTAL ACUMULADO</t>
  </si>
  <si>
    <t>CORTE No. 01</t>
  </si>
  <si>
    <t>CORTE No. 02</t>
  </si>
  <si>
    <t>CORTE FINAL</t>
  </si>
  <si>
    <t>DESCRIPCION ACTIVIDAD</t>
  </si>
  <si>
    <t>CANT.</t>
  </si>
  <si>
    <t>VR. UNIT.</t>
  </si>
  <si>
    <t>VR. TOTAL</t>
  </si>
  <si>
    <t>MAYORES/MENORES CANTIDADES</t>
  </si>
  <si>
    <t>VR BALANCE</t>
  </si>
  <si>
    <t>CANT EJECUTADA</t>
  </si>
  <si>
    <t>VR EJECUTADO</t>
  </si>
  <si>
    <t>CANT EJECUTADAS</t>
  </si>
  <si>
    <t>A.</t>
  </si>
  <si>
    <t xml:space="preserve">ACTIVIDADES DE MANTENIMIENTO </t>
  </si>
  <si>
    <t>Suministro y aplicación de mortero 1:3 impermeabilizado.</t>
  </si>
  <si>
    <t>Suministro y aplicación de pintura para fachada en acrílico a dos manos</t>
  </si>
  <si>
    <t>m2</t>
  </si>
  <si>
    <t>Corte de piedra con pulidora.</t>
  </si>
  <si>
    <t>M L</t>
  </si>
  <si>
    <t>Suministro y aplicación de guarda escoba en gravilla lavada, en media caña altura de 10cm</t>
  </si>
  <si>
    <t xml:space="preserve">Corte de muro en concreto con pulidora incluye retiro </t>
  </si>
  <si>
    <t xml:space="preserve">M L </t>
  </si>
  <si>
    <t>Und</t>
  </si>
  <si>
    <t>Suministro e instalación de lámina para cielo falso de 60 x 60 en fibra mineral, incluye la nivelación de la estructura existente</t>
  </si>
  <si>
    <t xml:space="preserve">Suministro e instalación de tubería sanitaria de 3" incluye accesorios para su correcta instalación y elementos de fijación </t>
  </si>
  <si>
    <t>Pase muro para tubo de 3"</t>
  </si>
  <si>
    <t xml:space="preserve">Suministro e instalación de tapa de inspección en aluminio de 60 x 60 </t>
  </si>
  <si>
    <t xml:space="preserve">Suministro e instalación de manto foil de aluminio de 4mm </t>
  </si>
  <si>
    <t xml:space="preserve">Suministro e instalación de buitrón en laminina galvanizada (recto y curvas) cuya sección es de 1,2 x 1,2 con revestimiento externo en aislante térmico acabado en aluminio, incluye accesorios para anclaje sobre pared. </t>
  </si>
  <si>
    <t>Suministro e instalación de vidrio templado incoloro de 8mm con perforaciones para dilatadores, altura de 80cm incluye dilatador en acero 304 plafón 2" y barra de 1/2</t>
  </si>
  <si>
    <t>Cable UTP Categoría 6A libre de halógeno LSZH</t>
  </si>
  <si>
    <t>Toma RJ 45 cat 6A para puesto de trabajo o herraje</t>
  </si>
  <si>
    <t>Faceplate de 1 salida (SOLO DATOS)</t>
  </si>
  <si>
    <t xml:space="preserve">Salida eléctrica red regulada en puesto de trabajo con cable trenzado 3# 12 rojo, verde, blanco con aislamiento libre de halógeno, longitud de 1,5m incluye tomacorriente polo a tierra aislado </t>
  </si>
  <si>
    <t xml:space="preserve">Salida eléctrica red normal en puesto de trabajo con cable trenzado 3# 12 azul, verde, blanco con aislamiento libre de halógeno, longitud de 1,5m incluye tomacorriente polo a tierra </t>
  </si>
  <si>
    <t xml:space="preserve">Suministro e instalación de cable trenzado 3#12 AWG para circuito normal o regulado, </t>
  </si>
  <si>
    <t>Suministro e instalación de breacker 1 x 15 a 20Amp</t>
  </si>
  <si>
    <t>Suministro e instalación de Lámpara panel led de sobreponer 60 x 60, 24w 100 -240 - 1680Lm de 6,500 K - horas mínimas de vida útil 25,000</t>
  </si>
  <si>
    <t>Suministro e instalación muro en perfilería de 90mm en panel yeso de 1/2 , doble cara, insonorizado. Altura piso techo</t>
  </si>
  <si>
    <t>Suministro e instalación muro en perfilería de 90mm en panel yeso de 1/2 , doble cara. Altura piso techo</t>
  </si>
  <si>
    <t>Cartera en panel yeso de 12cm incluye filos</t>
  </si>
  <si>
    <t xml:space="preserve">Apertura de vano en muro de panel yeso </t>
  </si>
  <si>
    <t>suministro e instalación tubería Conduit de 3/4" incluye los elementos para su instalación y correcta fijación.</t>
  </si>
  <si>
    <t xml:space="preserve">suministro e instalación mesón o cubierta en aglomerado RH de 30mm, ancho de 50cm, incluye soportes de fijación </t>
  </si>
  <si>
    <t>Suministro e instalación puerta entamborada cuyas medidas son de 80 cms de ancho, altura 2m, incluye marco y chapa.</t>
  </si>
  <si>
    <t>Suministro e instalación de guarda escoba en cerámica</t>
  </si>
  <si>
    <t xml:space="preserve">Suministro y aplicación de recubrimiento cementoso (Recubrimiento a base de cemento, arena y aditivos especiales), impermeable para muros color blanco </t>
  </si>
  <si>
    <t>Suministro y aplicación de pintura en aceite</t>
  </si>
  <si>
    <t xml:space="preserve">Demolición de pañete o repello </t>
  </si>
  <si>
    <t>Suministro y aplicación de adhesivo elástico de poliuretano-especial para metal, consiste en la aplicación del producto en juntas o traslapos.</t>
  </si>
  <si>
    <t>Demolición de guarda escoba</t>
  </si>
  <si>
    <t>Corte de piso con pulidora incluye retiro (franja de 10 cm de ancho)</t>
  </si>
  <si>
    <t xml:space="preserve">Demolición de mortero franja de 10 centímetros </t>
  </si>
  <si>
    <t xml:space="preserve">Suministro y aplicación de pintura epóxica para paredes </t>
  </si>
  <si>
    <t xml:space="preserve"> m2 </t>
  </si>
  <si>
    <t xml:space="preserve">fabricación de ducto en fibro cemento de 6mm sección máx. 50 cm x 50 cm, incluye masillada, filos y pintura para exterior </t>
  </si>
  <si>
    <t xml:space="preserve"> M L  </t>
  </si>
  <si>
    <t xml:space="preserve">m2 </t>
  </si>
  <si>
    <t>Suministro e instalación cielo falso en panel yeso incluye nivelación de estructura.</t>
  </si>
  <si>
    <t>Suministro e instalación de tablero eléctrico de sobreponer monofásico de 18 circuitos, con espacio para totalizador, certificado RETIE</t>
  </si>
  <si>
    <t>Desmonte de puertas existentes</t>
  </si>
  <si>
    <t>Desmontes ventanas existentes</t>
  </si>
  <si>
    <t>Demolición de divisiones o muros en estructura livianas</t>
  </si>
  <si>
    <t>Suministro e instalación de tubería EMT 1/2 incluye accesorios para su correcta instalación</t>
  </si>
  <si>
    <t xml:space="preserve">Suministro e instalación de cable 3x10 AWG </t>
  </si>
  <si>
    <t>Suministro e instalación de coraza americana 3/4 incluye accesorios para su correcta instalación y fijación</t>
  </si>
  <si>
    <t>suministro e instalación de caja de paso de 20 x 20 cm plástica IP 43 de sobreponer</t>
  </si>
  <si>
    <t>Suministro e instalación Tubo galvanizado de 1" incluye accesorios para su correcta instalación.</t>
  </si>
  <si>
    <t>Perforación de muro para paso de canaleta 10x5 cm</t>
  </si>
  <si>
    <t>Suministro, instalación y configuración de Switch 8 puertos 10Base-T/100Base-T/1000Base</t>
  </si>
  <si>
    <t>Suministro de acometida eléctrica (3#6 +1#6 + 1#8) cable THW</t>
  </si>
  <si>
    <t>Instalación, peinada, marquillada de Rack</t>
  </si>
  <si>
    <t>Suministro e instalación de enchape cerámico para pared formato 30 x 60</t>
  </si>
  <si>
    <t>Suministro e instalación de enchape cerámico para piso 45 x 45</t>
  </si>
  <si>
    <t>Instalación de puerta existente</t>
  </si>
  <si>
    <t>Suministro e instalación de sanitario 4.8 lts</t>
  </si>
  <si>
    <t xml:space="preserve">Suministro e instalación lavamanos incluye sifón </t>
  </si>
  <si>
    <t xml:space="preserve">Suministro e instalación de tubería PVC de 1/2 incluye accesorios </t>
  </si>
  <si>
    <t>m3</t>
  </si>
  <si>
    <t>ITEMS NO PREVISTOS</t>
  </si>
  <si>
    <t>DEMOLICION MUROS SOBRE PISO  Y DESMOSTE TOMA CORRIENTES  Y REPARACION  DE PISO CON GRANITO..</t>
  </si>
  <si>
    <t>und</t>
  </si>
  <si>
    <t>SUMISTRO E INTALACION DE SOLAPA EN GALVANIZADO PARA CORRECION DE HUMEDAD SOBRE CUBIERTA. En medidas 4 x 0.90 mts</t>
  </si>
  <si>
    <t>Suministro e instalación de tablero eléctrico de sobreponer trifasico de 12 circuitos,  certificado RETIE</t>
  </si>
  <si>
    <t>SUMINISTRO E INSTALACION GUARDA ESCOBA EN PVC X 8CM</t>
  </si>
  <si>
    <t>Fabricación e instalación de buitron en fibrocemento de sección de 80 x 20 incluye perfileria y acabado</t>
  </si>
  <si>
    <t>ml</t>
  </si>
  <si>
    <t xml:space="preserve">Suministro e instalacion de totalizador de 50 amperios </t>
  </si>
  <si>
    <t>Suministro e instalacion de flanche metalico cal 30 ancho 0,30m</t>
  </si>
  <si>
    <t xml:space="preserve">SUBTOTAL COSTO DIRECTO </t>
  </si>
  <si>
    <t>ADMINISTRACION</t>
  </si>
  <si>
    <t>IVA SOBRE UTILIDAD</t>
  </si>
  <si>
    <t>RESUMEN DEL CONTRATO</t>
  </si>
  <si>
    <t>Vr contrato</t>
  </si>
  <si>
    <t xml:space="preserve">Vr adicion </t>
  </si>
  <si>
    <t>Vr acta N° 1</t>
  </si>
  <si>
    <t>Vr acta N° 2</t>
  </si>
  <si>
    <t>Vr acta N° 3</t>
  </si>
  <si>
    <t>Saldo</t>
  </si>
  <si>
    <t>Sumas iguales</t>
  </si>
  <si>
    <t xml:space="preserve">FRANKLIN ANTONIO PAZ CALVACHE </t>
  </si>
  <si>
    <t xml:space="preserve">Arq. RANDY NEUTA CORTES </t>
  </si>
  <si>
    <t>PIEDAD LORENA HERNÁNDEZ FERNÁNDEZ</t>
  </si>
  <si>
    <t>MARIA DEL SOCORRO MARÍN CATAÑO</t>
  </si>
  <si>
    <t xml:space="preserve">REPRESENTANTE LEGAL </t>
  </si>
  <si>
    <t xml:space="preserve">DIRECTOR DE OBR </t>
  </si>
  <si>
    <t>ARQUITECTA APOYO ASPECTOS TÉCNICOS</t>
  </si>
  <si>
    <t>SUPERVISORA  DE CONTRATO</t>
  </si>
  <si>
    <t>AMBIENTE VIABLE SAS</t>
  </si>
  <si>
    <t xml:space="preserve">AMBIENTE VIABLE SAS </t>
  </si>
  <si>
    <t>CONTRATANTE: Consejo Superior de la Judicatura - Dirección Ejecutiva Seccional de Administración Judicial de Cali – Valle del Cauca</t>
  </si>
  <si>
    <t>Dirección Ejecutiva Seccional de Administración Judicial</t>
  </si>
  <si>
    <t>Cali – Valle del Cauca</t>
  </si>
  <si>
    <t>CONTRATISTA:  CONSORCIO TOM 2</t>
  </si>
  <si>
    <t>Objeto:</t>
  </si>
  <si>
    <t>OBJETO: Contratar en nombre de la Nación – Consejo Superior de la Judicatura – Dirección Ejecutiva Seccional de Administración Judicial de Cali – Valle del Cauca, LAS ADECUACIONES Y REPARACIONES LOCATIVAS EN LOS INMUEBLES DEL PALACIO DE JUSTICIA DE BUGA "MANUEL ANTONIO SANCLEMENTE" FASE II, PALACIO NACIONAL Y DE TRANSFERENCIA DE BUENAVENTURA Y LA SEDE DE FAMILIA DE PALMIRA, INCLUYENDO MATERIALES A TODO COSTO</t>
  </si>
  <si>
    <t>BALANCE DE OBRA</t>
  </si>
  <si>
    <t xml:space="preserve">Valor                 </t>
  </si>
  <si>
    <t xml:space="preserve">Nuevo Valor Final  Obra           </t>
  </si>
  <si>
    <t>FECHA PRESENTE: 18 de agosto de 2023</t>
  </si>
  <si>
    <t>Valor Adicion. $</t>
  </si>
  <si>
    <t xml:space="preserve">Fecha Acta Inicio: </t>
  </si>
  <si>
    <t>Fecha Venc.</t>
  </si>
  <si>
    <t>Fecha Liquidac.</t>
  </si>
  <si>
    <t>TOTAL EJECUTADO A LA FECHA</t>
  </si>
  <si>
    <t>CORTE No1</t>
  </si>
  <si>
    <t>PALACIO DE JSUTICIA DE BUGA</t>
  </si>
  <si>
    <t>1.</t>
  </si>
  <si>
    <t>ÍTEMS CONTRACTUALES</t>
  </si>
  <si>
    <t>1.1</t>
  </si>
  <si>
    <t>1.2</t>
  </si>
  <si>
    <t>Suministro e instalación bajante aguas lluvias en PVC de 2" con sus respectivos accesorios y elementos de soporte, para su correcto funcionamiento.</t>
  </si>
  <si>
    <t>1.3</t>
  </si>
  <si>
    <t>Pase losa de 3"</t>
  </si>
  <si>
    <t>1.4</t>
  </si>
  <si>
    <t>1.5</t>
  </si>
  <si>
    <t>1.6</t>
  </si>
  <si>
    <t>1.7</t>
  </si>
  <si>
    <t>1.8</t>
  </si>
  <si>
    <t xml:space="preserve">Suministro y aplicación de pintura a base de cal </t>
  </si>
  <si>
    <t>1.9</t>
  </si>
  <si>
    <t>Mantenimiento de puertas en madera maciza cuyas medidas son:  1,20 a 1.50 X 2.30, de apariencia rustica, conformada por dos naves incluye marco. (Consiste en desmontar naves, cambiar piezas en mal estado, inmunizar, cambiar bisagras, lijar recuperar color natural, inmunizar y aplicar Barniz</t>
  </si>
  <si>
    <t>1.10</t>
  </si>
  <si>
    <t>Mantenimiento de Barandas de puerta ventana ancho de 1.20 a 1.50 de apariencia rustica, conformada por dos naves incluye marco. (consiste en desmontar naves, cambiar piezas en mal estado, inmunizar, cambiar bisagras, lijar recuperar color natural, inmunizar y aplicar Barniz</t>
  </si>
  <si>
    <t>1.11</t>
  </si>
  <si>
    <t>Mantenimiento de ventana ancho de 1.20 a 1.50 de apariencia rústica, conformada por dos naves incluye marco. (Consiste en desmontar naves, cambiar piezas en mal estado, inmunizar, cambiar bisagras, lijar recuperar color natural, inmunizar y aplicar Barniz</t>
  </si>
  <si>
    <t>1.12</t>
  </si>
  <si>
    <t>Suministro e instalación puertas de madera maciza inmunizada y pintada con barniz, cuyas medidas son de 1: 20 a 1:50 X 2:30 conformada por 2 naves diseño igual al existente.</t>
  </si>
  <si>
    <t>1.13</t>
  </si>
  <si>
    <t xml:space="preserve">Suministro e instalación puerta entamborada diseño similar a las existentes cuyas medidas son de 86 cm de ancho, altura 1 m, incluye bisagra y marco debidamente inmunizados y pintada con Barniz </t>
  </si>
  <si>
    <t>1.14</t>
  </si>
  <si>
    <t>Suministro e instalación puerta entamborada (diseño similar a las existentes) cuyas medidas son de 80 cms de ancho, altura 2,20 m, incluye marco y chapa, inmunización y pintura en Barniz.</t>
  </si>
  <si>
    <t>1.15</t>
  </si>
  <si>
    <t>Suministro e instalación de marco para puerta en madera, inmunizada y pintada con barniz de 1,20 a 1,50 x 2,30 incluye carteras de tapa luz</t>
  </si>
  <si>
    <t>1.16</t>
  </si>
  <si>
    <t>Desmonte de marco puertas/ventanas.</t>
  </si>
  <si>
    <t>1.17</t>
  </si>
  <si>
    <t>1.18</t>
  </si>
  <si>
    <t xml:space="preserve">Suministro y aplicación de pintura Vinílica tipo 2 a dos manos </t>
  </si>
  <si>
    <t>1.19</t>
  </si>
  <si>
    <t>Suministro y aplicación de pintura Vinilo acrílico para exterior a 2 manos, colores similares a los existentes, incluye: molduras, balaustres de ventanas y baranda remate de fachada.</t>
  </si>
  <si>
    <t>1.20</t>
  </si>
  <si>
    <t xml:space="preserve">Rasqueteada pintura </t>
  </si>
  <si>
    <t>1.21</t>
  </si>
  <si>
    <t>Suministro e instalación muro en perfilería de 90mm en panel yeso de 1/2, doble cara insonorizado. Altura piso techo</t>
  </si>
  <si>
    <t>1.22</t>
  </si>
  <si>
    <t>Suministro e instalación muro en perfilería de 90mm en panel yeso de 1/2, doble cara. Altura 1 m, incluye refuerzo en madera, filos y cartera.</t>
  </si>
  <si>
    <t>1.23</t>
  </si>
  <si>
    <t xml:space="preserve">Suministro e instalación de malla venada </t>
  </si>
  <si>
    <t>1.24</t>
  </si>
  <si>
    <t>Suministro y aplicación de mortero 1:3</t>
  </si>
  <si>
    <t>1.25</t>
  </si>
  <si>
    <t>1.26</t>
  </si>
  <si>
    <t>1.27</t>
  </si>
  <si>
    <t xml:space="preserve">Suministro e instalación mesón o cubierta en madera, inmunizada y pintura en barniz espesor de 1", ancho de 40cm </t>
  </si>
  <si>
    <t>1.28</t>
  </si>
  <si>
    <t xml:space="preserve">Pase muro de 40 a 80 cm diámetro de 1" </t>
  </si>
  <si>
    <t>1.29</t>
  </si>
  <si>
    <t>Tratamiento de fisura con Sellador elástico de poliuretano para sello de juntas.</t>
  </si>
  <si>
    <t>1.30</t>
  </si>
  <si>
    <t>Demolición enchape cerámico, incluye retiro de escombros</t>
  </si>
  <si>
    <t>1.31</t>
  </si>
  <si>
    <t>Suministro e instalación enchape formato 0,60 X 0,30 para pared, color a definir por la Entidad</t>
  </si>
  <si>
    <t>1.32</t>
  </si>
  <si>
    <t>Suministro e instalación enchape piso formato 0,40 X 0,40, color a definir por la Entidad</t>
  </si>
  <si>
    <t>1.33</t>
  </si>
  <si>
    <t>Suministro e instalación de mesón para lavamanos en mármol, color crema marfil e= 20 mm, ancho de 55 cms, incluye estructura metálica y soporte al muro o similar que garantice estabilidad, babero de 15 cms y salpicadero de 10 cms.</t>
  </si>
  <si>
    <t>1.34</t>
  </si>
  <si>
    <t>Desmonte aparatos sanitarios</t>
  </si>
  <si>
    <t>1.35</t>
  </si>
  <si>
    <t>Pase muro de 2"</t>
  </si>
  <si>
    <t>1.36</t>
  </si>
  <si>
    <t>Reinstalación de los aparatos sanitarios</t>
  </si>
  <si>
    <t>1.37</t>
  </si>
  <si>
    <t>Suministro e instalación de lavamanos de sobreponer, porcelana blanca redondo u ovalado, certificado, incluye sifón.</t>
  </si>
  <si>
    <t>1.38</t>
  </si>
  <si>
    <t>Suministro e instalación de grifería sistema push en bronce para Orinal</t>
  </si>
  <si>
    <t>1.39</t>
  </si>
  <si>
    <t>Suministro e instalación de espejo de 4 mm biselado de 2 cm flotante incluye base en aluminio</t>
  </si>
  <si>
    <t>1.40</t>
  </si>
  <si>
    <t>Suministro e instalación de tubería sanitaria de 2" incluye todos los elementos para su instalación y fijación.</t>
  </si>
  <si>
    <t>1.41</t>
  </si>
  <si>
    <t>Suministro e instalación de tubería sanitaria de 3" incluye todos los elementos para su instalación y fijación.</t>
  </si>
  <si>
    <t>1.42</t>
  </si>
  <si>
    <t>Suministro e instalación de puntos sanitario de 3"</t>
  </si>
  <si>
    <t>1.43</t>
  </si>
  <si>
    <t xml:space="preserve">Suministro e instalación de sanitario 4,4 litros </t>
  </si>
  <si>
    <t>1.44</t>
  </si>
  <si>
    <t>Suministro e instalación de sifón de SOSCO de 2" incluye todos los elementos para su correcta instalación</t>
  </si>
  <si>
    <t>1.45</t>
  </si>
  <si>
    <t>Suministro e instalación de tubería hidráulica de 1/2" incluye accesorios</t>
  </si>
  <si>
    <t>1.46</t>
  </si>
  <si>
    <t>Suministro e instalación de tubería hidráulica de 1" incluye accesorios</t>
  </si>
  <si>
    <t>1.47</t>
  </si>
  <si>
    <t>Suministro e instalación de tubería hidráulica de 1 1/2" incluye accesorios</t>
  </si>
  <si>
    <t>1.48</t>
  </si>
  <si>
    <t>Suministro e instalación de tubería hidráulica de 2" incluye accesorios</t>
  </si>
  <si>
    <t>1.49</t>
  </si>
  <si>
    <t>Suministro e instalación punto hidráulico 1/2"</t>
  </si>
  <si>
    <t>1.50</t>
  </si>
  <si>
    <t>Suministro e instalación de Grifería de Push para lavamanos</t>
  </si>
  <si>
    <t>1.51</t>
  </si>
  <si>
    <t>Suministro e instalación Registro de corte en bronce 1/2"</t>
  </si>
  <si>
    <t>1.52</t>
  </si>
  <si>
    <t xml:space="preserve">Suministro e instalación de Acople con Válvula de Regulación, para sanitario </t>
  </si>
  <si>
    <t>1.53</t>
  </si>
  <si>
    <t>Alistado piso 4cm mortero 1:3</t>
  </si>
  <si>
    <t>1.54</t>
  </si>
  <si>
    <t>Desmontar y retirar las divisiones de baño existentes</t>
  </si>
  <si>
    <t>1.55</t>
  </si>
  <si>
    <t>Suministro e instalación buitrón en fibrocemento de 10mm, recubrimiento bajante de PVC 3" (ITEM 6,14sobre fachada (incluye estructura, acabado con tratamiento de juntas, filos, estuco y pintura para exteriores tipo 1, colores iguales a los existentes.</t>
  </si>
  <si>
    <t>1.56</t>
  </si>
  <si>
    <t>Suministro e instalación de cadena plástica para bajante u desagües</t>
  </si>
  <si>
    <t>1.57</t>
  </si>
  <si>
    <t xml:space="preserve">Suministro e instalación de tubería hidráulica de 3/4" incluye accesorios y elementos de fijación </t>
  </si>
  <si>
    <t>1.58</t>
  </si>
  <si>
    <t>Corte de piso en concreto con pulidora</t>
  </si>
  <si>
    <t>1.59</t>
  </si>
  <si>
    <t xml:space="preserve">Regata en piso para tubo de 2" a 3" incluye retiro </t>
  </si>
  <si>
    <t>1.60</t>
  </si>
  <si>
    <t xml:space="preserve">Regata en piso para tubo de 1/2" a 1" incluye retiro </t>
  </si>
  <si>
    <t>1.61</t>
  </si>
  <si>
    <t xml:space="preserve">Suministro e instalación de tableta de gress formato 30 x 30 (Aprox) </t>
  </si>
  <si>
    <t>1.62</t>
  </si>
  <si>
    <t>1.63</t>
  </si>
  <si>
    <t>retiro tubería hidráulica existente de 1/2</t>
  </si>
  <si>
    <t>1.64</t>
  </si>
  <si>
    <t>demolición mesón en concreto acabado en granito lavamanos, muretes en concreto y desmonte mueble en madera</t>
  </si>
  <si>
    <t>1.65</t>
  </si>
  <si>
    <t>demolición de poyo en concreto</t>
  </si>
  <si>
    <t>1.66</t>
  </si>
  <si>
    <t>regatas en muros</t>
  </si>
  <si>
    <t>1.67</t>
  </si>
  <si>
    <t xml:space="preserve">suministro y aplicación estuco relleno muros  </t>
  </si>
  <si>
    <t>1.68</t>
  </si>
  <si>
    <t>suministro e instalación de carteras ancho 22cm y altura 2.70 mts para vanos de puertas, incluye laterales, dintel, pintados y guarda luz</t>
  </si>
  <si>
    <t>1.69</t>
  </si>
  <si>
    <t>suministro e instalación de tapa registro de 15 x 15</t>
  </si>
  <si>
    <t>1.70</t>
  </si>
  <si>
    <t>suministro e instalación de juego de aparatos sanitario para personas en situación de discapacidad, incluye sanitario, barra de seguridad de apoyo, ducha tipo teléfono con llave de paso, lavamanos y barras de anclaje para su soporte, espejo biselado, y con una inclinación de 10°.</t>
  </si>
  <si>
    <t>JGO</t>
  </si>
  <si>
    <t>1.71</t>
  </si>
  <si>
    <t xml:space="preserve">Suministro e instalación de puerta de 1.00 x 2mts con pasador y manija fabricados en tubular t77 (2.5x2.5), paneles f06 de 7.06 cm, platina de ensamble ai5, ángulo 1/2, y demás accesorios para su correcta instalación. </t>
  </si>
  <si>
    <t>1.72</t>
  </si>
  <si>
    <t>suministro e instalación de división en aluminio para baños   de 1.21x2 mts, fabricados en tubular t77 (2.5x2.5), paneles f06 de 7.06 cm, platina de ensamble ai5, ángulo 1/2, y demás accesorios para su correcta instalación. según diseño</t>
  </si>
  <si>
    <t>1.73</t>
  </si>
  <si>
    <t>suministro e instalación de división en aluminio para orinal de 0,45 x1 mts,   fabricados en tubular t77 (2.5x2.5), paneles f06 de 7.06 cm, platina de ensamble ai5, ángulo 1/2,  y demás accesorios para su correcta instalación. según diseño</t>
  </si>
  <si>
    <t>1.74</t>
  </si>
  <si>
    <t>suministro e instalación de puerta de 0.80x2mts con pasador y manija, fabricados en tubular t77 (2.5x2.5), paneles f06 de 7.06 cm, platina de ensamble ai5, ángulo 1/2,  y demás accesorios para su correcta instalación. según diseño</t>
  </si>
  <si>
    <t>1.75</t>
  </si>
  <si>
    <t>suministro e instalación de división en aluminio para baños de 0,20 a 0,50 x2 mts,   fabricados en tubular t77 (2.5x2.5), paneles f06 de 7.06 cm, platina de ensamble ai5, ángulo 1/2,  y demás accesorios para su correcta instalación. según diseño</t>
  </si>
  <si>
    <t>1.76</t>
  </si>
  <si>
    <t>suministro y fabricación de muro en perfilería de 90mm en super board de 8mm, doble cara, totalmente acabado.</t>
  </si>
  <si>
    <t>1.77</t>
  </si>
  <si>
    <t>corte de muro, incluye demolición, retiro, empaque y trasiego de escombros.</t>
  </si>
  <si>
    <t>1.78</t>
  </si>
  <si>
    <t>suministro e instalación de tubería sanitaria de 4" incluye todos los elementos para su instalación y fijación.</t>
  </si>
  <si>
    <t>1.79</t>
  </si>
  <si>
    <t>suministro e instalación de puntos sanitario de 4"</t>
  </si>
  <si>
    <t>1.80</t>
  </si>
  <si>
    <t xml:space="preserve">COSTO DIRECTO </t>
  </si>
  <si>
    <t>IMPREVISTO</t>
  </si>
  <si>
    <t>UTILDAD</t>
  </si>
  <si>
    <t>IVA / UTILIDAD</t>
  </si>
  <si>
    <t xml:space="preserve">COSTO TOTAL </t>
  </si>
  <si>
    <t>COSTO TOTAL</t>
  </si>
  <si>
    <t>PALACIO NACIONAL BUENAVENTURA</t>
  </si>
  <si>
    <t>2.1.1</t>
  </si>
  <si>
    <t>Retiro de manto existente</t>
  </si>
  <si>
    <t>2.1.2</t>
  </si>
  <si>
    <t xml:space="preserve"> Lavada y destronque de terraza a máquina (para retirar material bituminoso)</t>
  </si>
  <si>
    <t>2.1.3</t>
  </si>
  <si>
    <t>Resane de superficie de losa, (agrietamiento y fisuras) con material sellador elástico de poliuretano</t>
  </si>
  <si>
    <t>2.1.4</t>
  </si>
  <si>
    <t>Suministro y aplicación de mortero 1:3 con aditivo impermeabilizante espesor 4cm incluye media caña en mortero perimetral (superficie con pendiente)</t>
  </si>
  <si>
    <t>2.1.5</t>
  </si>
  <si>
    <t>Suministro y aplicación de membrana líquida en poliuretano con refuerzo en poliéster y riego de cuarzo, acabado transitable para impermeabilización de losa de terraza, con remates perimetrales en media caña</t>
  </si>
  <si>
    <t xml:space="preserve">M2 </t>
  </si>
  <si>
    <t>2.1.6</t>
  </si>
  <si>
    <t>Suministro e instalación de bajantes de agua lluvia tubería PVC de 3" incluye accesorios</t>
  </si>
  <si>
    <t>2.1.7</t>
  </si>
  <si>
    <t>Perforación de losa en concreto 3"</t>
  </si>
  <si>
    <t>2.1.8</t>
  </si>
  <si>
    <t>2.1.9</t>
  </si>
  <si>
    <t xml:space="preserve">Rasqueteada de Pintura </t>
  </si>
  <si>
    <t>2.1.10</t>
  </si>
  <si>
    <t>2.1.11</t>
  </si>
  <si>
    <t>2.1.12</t>
  </si>
  <si>
    <t>2.1.13</t>
  </si>
  <si>
    <t>2.</t>
  </si>
  <si>
    <t>ÍTEMS NO PREVISTOS</t>
  </si>
  <si>
    <t>NP1</t>
  </si>
  <si>
    <t xml:space="preserve">Suministro e instalación de membrana pvc </t>
  </si>
  <si>
    <t>NP2</t>
  </si>
  <si>
    <t>Limpieza y lavada a presión superficie a impermeabilizar (presión mínima 2000 PSI)</t>
  </si>
  <si>
    <t>EDIFICIO TRANSFERENCIAS BUENAVENTURA</t>
  </si>
  <si>
    <t>2.2.1</t>
  </si>
  <si>
    <t>2.2.2</t>
  </si>
  <si>
    <t>2.2.3</t>
  </si>
  <si>
    <t>2.2.4</t>
  </si>
  <si>
    <t>Suministro y aplicación de mortero 1:3 con aditivo impermeabilizante espesor 4 cm incluye media caña en mortero perimetral (superficie con pendiente)</t>
  </si>
  <si>
    <t>2.2.5</t>
  </si>
  <si>
    <t>2.2.6</t>
  </si>
  <si>
    <t>2.2.7</t>
  </si>
  <si>
    <t>2.2.8</t>
  </si>
  <si>
    <t>2.2.9</t>
  </si>
  <si>
    <t>2.2.10</t>
  </si>
  <si>
    <t>2.2.11</t>
  </si>
  <si>
    <t>2.2.12</t>
  </si>
  <si>
    <t>2.2.13</t>
  </si>
  <si>
    <t>SEDE DE JUSTICIA PALMIRA</t>
  </si>
  <si>
    <t>3.1</t>
  </si>
  <si>
    <t>Suministro e instalación de Thermolon 8 mm a 2 caras metalizadas</t>
  </si>
  <si>
    <t>3.2</t>
  </si>
  <si>
    <t>Suministro e instalación de ángulo de aluminio liso 3/4", incluye elementos de fijación y soporte.</t>
  </si>
  <si>
    <t>3.11</t>
  </si>
  <si>
    <t>Suministro e instalación de perfil metálico para cubierta sección de 76 x 38 espesor 2mm, incluye soldadura, platinas y elementos de anclaje en muro, anticorrosivo y pintura.</t>
  </si>
  <si>
    <t>3.12</t>
  </si>
  <si>
    <t>3.16</t>
  </si>
  <si>
    <t>TOTAL A+B+C+D</t>
  </si>
  <si>
    <t>VALOR A COBRAR</t>
  </si>
  <si>
    <t>Se exceptua cobro de improviso</t>
  </si>
  <si>
    <t>JUAN PABLO MONTOYA GIRALDO</t>
  </si>
  <si>
    <t xml:space="preserve">MARIA DEL SOCORRO MARÍN CATAÑO </t>
  </si>
  <si>
    <t>LIDA ANDREA AYALA</t>
  </si>
  <si>
    <t xml:space="preserve">Director de obra </t>
  </si>
  <si>
    <t xml:space="preserve">Coordinador Área Administrativa           </t>
  </si>
  <si>
    <t xml:space="preserve">Directora Administrativa (E ) </t>
  </si>
  <si>
    <t>Consorcio TOM 2</t>
  </si>
  <si>
    <t xml:space="preserve">Supervisión Administrativa para Palmira   </t>
  </si>
  <si>
    <t xml:space="preserve">Coordinación Administrativa de Buga   </t>
  </si>
  <si>
    <t>Supervisión Administrativa para Buga (E )</t>
  </si>
  <si>
    <t>EDWIN REYNALDO CANTE</t>
  </si>
  <si>
    <t>PIEDAD LORENA HERNANDEZ FERNANDEZ</t>
  </si>
  <si>
    <t xml:space="preserve">Apoyo técnico </t>
  </si>
  <si>
    <t>Entidad</t>
  </si>
  <si>
    <t xml:space="preserve"> Directora Administrativa</t>
  </si>
  <si>
    <t xml:space="preserve"> Coordinación Administrativa de Buga   </t>
  </si>
  <si>
    <t xml:space="preserve"> Supervisión Administrativa para Buga</t>
  </si>
  <si>
    <t>Consejo Superior de la Judicatura 
 Dirección Ejecutiva Seccional de Administración Judicial 
 Cali – Valle del Cauca</t>
  </si>
  <si>
    <t>CONTRATISTA: KCV CONSTRUCTORES SAS</t>
  </si>
  <si>
    <t>CONTRATANTE:</t>
  </si>
  <si>
    <t>OBJETO:</t>
  </si>
  <si>
    <t>CONTRATO 041 DE 2023 - SAMC-2023-05</t>
  </si>
  <si>
    <t>CONSEJO SUPERIOR DE LA JUDICATURA - DIRECCIÓN EJECUTIVA SECCIONAL DE ADMINISTRACIÓN JUDICIAL DE CALI – VALLE DEL CAUCA</t>
  </si>
  <si>
    <t>CONTRATAR EN NOMBRE DE LA NACIÓN – CONSEJO SUPERIOR DE LA JUDICATURA – DIRECCIÓN EJECUTIVA SECCIONAL DE ADMINISTRACIÓN JUDICIAL DE CALI – VALLE DEL CAUCA, LAS OBRAS DE ADECUACIONES, MANTENIMIENTO Y REPARACIONES LOCATIVAS, INCLUYENDO MATERIALES – A TODO COSTO, PARA EL CORRECTO FUNCIONAMIENTO DE LOS DESPACHOS JUDICIALES EN EL PALACIO DE JUSTICIA “PEDRO ELÍAS SERRANO ABADÍA”, EDIFICIO OTERO Y PALACIO NACIONAL DE LA CIUDAD DE CALI.</t>
  </si>
  <si>
    <t>FECHA PRESENTE: 17 OCTUBRE 2023</t>
  </si>
  <si>
    <t>FECHA ACTA DE INICIO: 25 DE AGOSTO DE 2023</t>
  </si>
  <si>
    <t>VALOR CONTRATO:</t>
  </si>
  <si>
    <t>TIEMPO ADICIÓN:</t>
  </si>
  <si>
    <t>N/A</t>
  </si>
  <si>
    <t>VALOR ADICIÓN AL CONTRATO:</t>
  </si>
  <si>
    <t>VALOR ACTA:</t>
  </si>
  <si>
    <t>FECHA TERMINACION CONTRATO:24 DE OCTUBRE DE 2023</t>
  </si>
  <si>
    <t>VALOR TOTAL CONTRATO:</t>
  </si>
  <si>
    <t>SALDO</t>
  </si>
  <si>
    <t>PALACIO DE JUSTICIA "PEDRO ELIAS SERRANO" - CALI</t>
  </si>
  <si>
    <t>VALOR CONTRACTUAL</t>
  </si>
  <si>
    <t>MODIFICACION 1</t>
  </si>
  <si>
    <t>CORTE 1 KCV</t>
  </si>
  <si>
    <t>TOTAL EJECUTADO</t>
  </si>
  <si>
    <t>VALOR UNITARIO ANTES DE AIU E IVA</t>
  </si>
  <si>
    <t xml:space="preserve">VALOR </t>
  </si>
  <si>
    <t>Desmonte  y reinstalación de  láminas de  0,60 x 0,60 cieloraso modular  existente incluye  nivelación de cielo</t>
  </si>
  <si>
    <t xml:space="preserve">Mantenimiento de lamina en fibra mineral 0,60x0,60 incluye pintura en aceite y 2 capas de pintura vinilica </t>
  </si>
  <si>
    <t>Suministro e instalacion de aislante de junta de dilatacion 1/4"</t>
  </si>
  <si>
    <t>Suministro e instalacion de perlfil o dilatación aluminio para piso</t>
  </si>
  <si>
    <t>Resane de piso (regata) con marmolina color similar al existente con acabado similar al sitio.</t>
  </si>
  <si>
    <t>Suministro y aplicación de membrana liquida de  poliuretano- para impermeablizacion de terrazas</t>
  </si>
  <si>
    <t>Suministro y aplicación de mortero espesor de  2 a 5 cm</t>
  </si>
  <si>
    <t>Suministro y aplicación de mortero esmaltado espesor de  3 cm</t>
  </si>
  <si>
    <t>Lavada y destronque a máquina (para retirar material bituminoso)</t>
  </si>
  <si>
    <t xml:space="preserve">Suministro e instalación de mantos foil de aluminio de 4mm </t>
  </si>
  <si>
    <t>Suminsitro y aplicación de media caña en mortero</t>
  </si>
  <si>
    <t>Suministro e instalación puerta entamborada (diseño similar a las existentes) cuyas medidas son de 80 cms de ancho, altura 2 m, incluye marco y chapa, inmunización y pintura en Barniz.</t>
  </si>
  <si>
    <t>Suministro e instalacion de enchape 60x60</t>
  </si>
  <si>
    <t>Suministro e instalación de reja para ventana en tubería cuadrada aluminio anolock de 1, 1/2" x 1, 1/2” cuyas medidas son 1,16 x 0,96 calle 12 vano</t>
  </si>
  <si>
    <t>Suministro e instalación de angulo de aluminio de 2" incluye elementos de fijacion sobre pared y estructura metalica</t>
  </si>
  <si>
    <t>Suministro e instalación de platina en aluminio 1" x 1/8" incluye elementos de fijacion sobre pared y estructura metalica</t>
  </si>
  <si>
    <t xml:space="preserve">Salida eléctrica red regulada en puesto de trabajo con  cable trenzado 3# 12 rojo, verde, blanco con aislamiento libre de halógeno, longitud de 1,5m incluye tomacorriente polo a tierra aislado </t>
  </si>
  <si>
    <t xml:space="preserve">Salida eléctrica red normal en puesto de trabajo con  cable trenzado 3# 12 azul, verde, blanco con aislamiento libre de halógeno,  longitud de 1,5m incluye tomacorriente polo a tierra </t>
  </si>
  <si>
    <t>Suministro e instalación tubería Conduit de 3/4" incluye los elementos para su instalación y correcta fijación.</t>
  </si>
  <si>
    <t>Organización, peinada y marquillada de Rack existente</t>
  </si>
  <si>
    <t>Pase losa para tubo de 3"</t>
  </si>
  <si>
    <t>Pase muro para tubo de 2"</t>
  </si>
  <si>
    <t>SUBTOTAL COSTO DIRECTO</t>
  </si>
  <si>
    <t>VALOR TOTAL INCLUIDO AIU E IVA (A)</t>
  </si>
  <si>
    <t>Nota: El contratista presentó informe de imprevisto por valor de $1,425,600, es decir, $244 pesos por debajo del valor del 2%  estipulado contractual</t>
  </si>
  <si>
    <t>EDIFICIO OTERO - CALI</t>
  </si>
  <si>
    <t xml:space="preserve">Mantenimiento de lamina en fibra mineral 0,60x0,60 incluye pntura en aceite y 2 capas de pintura vinilica </t>
  </si>
  <si>
    <t>Desinstalacion de guardaescoba en tableta de grano existente</t>
  </si>
  <si>
    <t>Reinstalacion de guardaescoba en tableta de grano existente</t>
  </si>
  <si>
    <t>Desmonte de ventana existente</t>
  </si>
  <si>
    <t>VALOR TOTAL INCLUIDO AIU E IVA (B)</t>
  </si>
  <si>
    <t>Nota: El contratista presentó informe de imprevisto por valor de $1,330,395, es decir, $506 pesos por debajo del valor del 2%  estipulado contractual</t>
  </si>
  <si>
    <t>PALACIO NACIONAL - CALI</t>
  </si>
  <si>
    <t xml:space="preserve">Mantenimiento de canal metálica (sobre fachada) consiste en limpieza general, revisión de juntas y sello de las mismas con cinta impermeabilizante a base de asfalto </t>
  </si>
  <si>
    <t>Suministro y aplicación de adhesivo elástico de poliuretano-especial para metal, consiste en la aplicación del producto en todas las juntas o traslapos de la cubierta , incluye limpieza de cubierta para su correcta aplicación.</t>
  </si>
  <si>
    <t>Suministro y aplicación de repello o pañete en mortero 1:2 impermeabilizado espesor de 15mm interior y/o exterior</t>
  </si>
  <si>
    <t xml:space="preserve">Corte de muro en concreto con pulidora incluye demolición y retiro </t>
  </si>
  <si>
    <t xml:space="preserve">Desmonte cielo en panel yeso </t>
  </si>
  <si>
    <t>Apertura de vano en  panel yeso (cielo)</t>
  </si>
  <si>
    <t>Desmonte lampara existente</t>
  </si>
  <si>
    <t xml:space="preserve">Desmonte canaleta 100 mm x 45 mm Plástica existente </t>
  </si>
  <si>
    <t>Instalación lampara existente</t>
  </si>
  <si>
    <t>Suministro y aplicación de pintura epoxica para paredes (pozo ascensor)</t>
  </si>
  <si>
    <t xml:space="preserve">Suministro e instalación lámina en panel yeso para cielo falso incluye masilla y pintura (No incluye estructura) </t>
  </si>
  <si>
    <t>Suministro e instalación de manto asfaltica adhesivo para caballete de teja, incluye retiro del material existente y limpieza del bitumen</t>
  </si>
  <si>
    <t xml:space="preserve">Suministro e instalación de solapa en lamina galvanizada calibre 22 </t>
  </si>
  <si>
    <t xml:space="preserve">Suministro e instalacion de puntos de anclaje en acero tipo D, debidamente certificados. Incluye epoxico, carilla roscada B7 de 5/82con tuerca arandela de presión </t>
  </si>
  <si>
    <t xml:space="preserve">Suministro y aplicacion de adhesivo elástico multiproposito para interior y exterior (marco de ventanas) </t>
  </si>
  <si>
    <t>Restauracion de alfagia de madera de ventana (90 -120 cm x 20cm), consiste en  retiro d epieza, ranurara  para gotero aplicación de braniz y  reinstalar</t>
  </si>
  <si>
    <t>Mantenimiento de caballete, consiste en limpieza de seccion y aplicación de pintura reflectiva de aluminio con base asfaltica.</t>
  </si>
  <si>
    <t>Desintalación de válvula para sanitario tipo push </t>
  </si>
  <si>
    <t>Suminsitro e instalación de válvula para sanitario tipo push </t>
  </si>
  <si>
    <t>Suministro e instalación de alumanto asfaltica adhesivo para caballete de teja, incluye retiro del material existente y limpieza del bitumen</t>
  </si>
  <si>
    <t>VALOR TOTAL INCLUIDO AIU E IVA (C)</t>
  </si>
  <si>
    <t>Nota: El contratista presentó informe de imprevisto por valor de $1,254,140, es decir, $26 pesos por debajo del valor del 2%  estipulado contractual</t>
  </si>
  <si>
    <t>VALOR TOTAL INCLUIDO AIU E IVA (A+B+C)</t>
  </si>
  <si>
    <t>Arq. SUSEN KATHERINE CUELLAR</t>
  </si>
  <si>
    <t>REPRESENTANTE LEGAL -KCV CONSTRUCTORES SAS</t>
  </si>
  <si>
    <t xml:space="preserve">MARIA DEL SOCORRO MARÍN CATAÑO 
Coordinador Área Administrativa 
Supervisión del Contrato          </t>
  </si>
  <si>
    <t>PIEDAD LORENA HERNANDEZ FERNANDEZ 
Apoyo técnico Entidad</t>
  </si>
  <si>
    <t>CONTRATISTA:  GRUPO CONSTRUCTORES INTELIGENTES SAS- CONSTRUINTEL</t>
  </si>
  <si>
    <t>OBJETO: LAS OBRAS DE REPARACIONES LOCATIVAS Y MANTENIMIENTO, A TODO COSTO, EN LOS INMUEBLES PALACIO DE JUSTICIA “PEDRO ELÍAS SERRANO ABADÍA” DE CALI, PALACIO NACIONAL DE CALI, EDIFICIO OTERO DE CALI Y EL JUZGADO PROMISCUO MUNICIPAL DE OBANDO DONDE FUNCIONAN LAS CORPORACIONES Y DESPACHOS JUDICIALES DEL VALLE DEL CAUCA</t>
  </si>
  <si>
    <t xml:space="preserve">Nuevo Valor Final  OBRA            </t>
  </si>
  <si>
    <t>FECHA PRESENTE:  09 de  NOVIEMBRE DE 2022</t>
  </si>
  <si>
    <t xml:space="preserve">FECHA DE ACTA INICIO : </t>
  </si>
  <si>
    <t>FECHA TERMINACION</t>
  </si>
  <si>
    <t>CORTE No. 03</t>
  </si>
  <si>
    <t>PALACIO DE  JUSTICIA  PEDRO ELIAS SERRANO BADIA</t>
  </si>
  <si>
    <t>FACHADA</t>
  </si>
  <si>
    <t>Lavado mecánico de la fachada, incluye ventaneria y piedra.</t>
  </si>
  <si>
    <t>Suministro y aplicación de hidrófugo-(protección de penetración de agua sobre piedra)</t>
  </si>
  <si>
    <t xml:space="preserve">Suministro e instalación alfajía-alero, conformada por estructura soporte en aluminio calibre 14, con todos los elementos para su correcta fijación y funcionamiento, con 30 grados de inclinación, fibro cemento de 10mm con acabado en pintura acrílica y sello de juntas con pernos y producto de poliuretano,  </t>
  </si>
  <si>
    <t xml:space="preserve">Reparación de alfajía consiste en lavado, Suministro y aplicación de repello o pañete en mortero 1:2 impermeabilizado espesor de 20mm, </t>
  </si>
  <si>
    <t>OBRA CIVIL</t>
  </si>
  <si>
    <t>Retiro adoquín (reutilizable)</t>
  </si>
  <si>
    <t xml:space="preserve">Fabricación de viga cinta  cuya sección es de 20 x 15 con acero de refuerzo 1/8" y ganchos en S </t>
  </si>
  <si>
    <t xml:space="preserve">Relleno tierra </t>
  </si>
  <si>
    <t xml:space="preserve">Reconstrucción loza concreto E 10 cms </t>
  </si>
  <si>
    <t xml:space="preserve">Instalación de adoquín </t>
  </si>
  <si>
    <t>Reparación placa de entrepiso de casetón consiste en demoler parte en mal estado o suelta, suministrar e instalar malla en acero de refuerzo, suministra y aplicar concreto con su respectivo adhesivo epoxico para juntas de concreto</t>
  </si>
  <si>
    <t>Suministro y aplicación de repello o pañete en mortero 1:2 impermeabilizado espesor de 15mm</t>
  </si>
  <si>
    <t xml:space="preserve"> ml </t>
  </si>
  <si>
    <t>REDES  HIDROSANITARIAS</t>
  </si>
  <si>
    <t xml:space="preserve">Demolición loza de concreto E: 10 cms  (incluye retiro) </t>
  </si>
  <si>
    <t xml:space="preserve">Excavación a mano </t>
  </si>
  <si>
    <t>Suministro e instalación de tubería Novafort de 10"</t>
  </si>
  <si>
    <t>CARPINTERIA  METALICA</t>
  </si>
  <si>
    <t>Reparación rejilla pasa calle de 5 m x 0,50m consiste en; suministrar y soldar 12 metros de platina de pulgada x 3/16   enderezar marcos, y marco y soldar partes sueltas</t>
  </si>
  <si>
    <t xml:space="preserve">Suministro e instalación de buitrón en lamina galvanizada (recto y curvas) cuya sección es de 1,2 x 1,2 con revestimiento externo en aislante térmico acabado en aluminio, incluye accesorios para anclaje sobre pared. </t>
  </si>
  <si>
    <t>REDES ELECTRICAS, VOZ, DATOS</t>
  </si>
  <si>
    <t>SISTEMA LIVIANO</t>
  </si>
  <si>
    <t>CARPINTEIA EN MADERA</t>
  </si>
  <si>
    <t xml:space="preserve">ASEO </t>
  </si>
  <si>
    <t>PALACIO NACIONAL</t>
  </si>
  <si>
    <t>OBRAS DE RESTAURACION DE MANSARDA</t>
  </si>
  <si>
    <t>Suministro y aplicación de adhesivo elástico de poliuretano-especial para metal. (sobre fachada), consiste en la aplicación del producto en todas las juntas o traslapos de la cubierta en estilo escama de pescado, incluye limpieza de cubierta para su correcta aplicación.</t>
  </si>
  <si>
    <t>PINTURA</t>
  </si>
  <si>
    <t>Suministro y aplicación de pintura para exteriores (2 manos)</t>
  </si>
  <si>
    <t xml:space="preserve">Suministro y aplicación de pintura epoxica para paredes </t>
  </si>
  <si>
    <t>Demolición de guarda escoba (patio central)</t>
  </si>
  <si>
    <t>SISTEMA  LIVIANO</t>
  </si>
  <si>
    <t xml:space="preserve">Revestimiento de ducto en fibro cemento de 6mm sección máx. 50 cm x 50 cm, incluye masillada, filos y pintura para exterior </t>
  </si>
  <si>
    <t>REDES HIDROSANITARIAS</t>
  </si>
  <si>
    <t>Suministro e instalación de accesorio silla YEE 6" X 4"</t>
  </si>
  <si>
    <t xml:space="preserve"> Und </t>
  </si>
  <si>
    <t xml:space="preserve">Suministro e instalación de accesorio sosco para canal tipo amazonas </t>
  </si>
  <si>
    <t>Suministro e instalación de tapa de inspección en aluminio de 60 x 60 (adiela  lombana)</t>
  </si>
  <si>
    <t>CARPINTERIA EN MADERA</t>
  </si>
  <si>
    <t xml:space="preserve">Mantenimiento de puertas de dos naves c/u cuyas medidas son de 75 cm de ancho x 1,93 de alto con vidrios consiste en desmontar, lijar, inmunizar, masillar, aplicar pintura en aceite, suministrar e instalar tapa luz, suministro e instalar burlete en U en caucho incluye mantenimiento del marco </t>
  </si>
  <si>
    <t>Mantenimiento de ventanas conformadas por dos naves c/u cuyas medidas 41 cm de acho x 1 m de alto con vidrios, consiste en desmontar, lijar, inmunizar, masillar, aplicar pintura en aceite, suministrar e instalar tapa luz, incluye marco</t>
  </si>
  <si>
    <t>ASEO</t>
  </si>
  <si>
    <t>EDIFICIO OTERO</t>
  </si>
  <si>
    <t>PALACIO DE  JUSTICIA DE OBANDO</t>
  </si>
  <si>
    <t>NP01</t>
  </si>
  <si>
    <t>Impermeabilizacion con esmulsion  asfaltica y refuerzo de tela poliester</t>
  </si>
  <si>
    <t>m</t>
  </si>
  <si>
    <t>NP02</t>
  </si>
  <si>
    <t>Desmonte  y reinstalación de  laminas de  0,60 x 0,60 cielorraso modular  existente incluye  nivelacion de cielo</t>
  </si>
  <si>
    <t>Un</t>
  </si>
  <si>
    <t>NP03</t>
  </si>
  <si>
    <t>Soldadura de superficie  en cobre con estaño de plata en superficie mansarda</t>
  </si>
  <si>
    <t>NP04</t>
  </si>
  <si>
    <t>Retiro del  manto  existente en cubierta de  buhardillas</t>
  </si>
  <si>
    <t>NP05</t>
  </si>
  <si>
    <t>Restauración de  babero o solapa de mansarda fijación con remaches,  arandelas, incluye aplicación de   espuma  expansiva y cordón de poliuretano</t>
  </si>
  <si>
    <t>Vr actas anteriores</t>
  </si>
  <si>
    <t>CONSTRUCTORES INTELIGENTES S.A.S</t>
  </si>
  <si>
    <t>ARQ JULIAN RINCON ROMAN</t>
  </si>
  <si>
    <t>ING ALVARO OBREGON</t>
  </si>
  <si>
    <t>MARIA DEL SOCORRO MARIN CATAÑO</t>
  </si>
  <si>
    <t>DIRECTOR  DE  OBRA</t>
  </si>
  <si>
    <t>APOYO TECNICO</t>
  </si>
  <si>
    <t xml:space="preserve">         Coordinadora  Area Administartiva</t>
  </si>
  <si>
    <t>Esmulsion  aslfatica</t>
  </si>
  <si>
    <t>gl</t>
  </si>
  <si>
    <t>Poliester  de 95 grms</t>
  </si>
  <si>
    <t xml:space="preserve">Pintura  tipo 2 </t>
  </si>
  <si>
    <t>0,6*0,6</t>
  </si>
  <si>
    <t>+FC[-2]*FC[-3]</t>
  </si>
  <si>
    <t>Impermabilizacion con base de esmulsion asfaltica y poliester en 2 capas de refuerzo</t>
  </si>
  <si>
    <t>Poliuretano de alta resistencia</t>
  </si>
  <si>
    <t xml:space="preserve">Espuma expansiva </t>
  </si>
  <si>
    <t>Grata plana 4pg vastago 1/4pg cobre hawk</t>
  </si>
  <si>
    <t>DIA</t>
  </si>
  <si>
    <t>dia</t>
  </si>
  <si>
    <t>Taladro inalámbrico</t>
  </si>
  <si>
    <t>Escalera en aluminio 9 pasos incluye elementos de sujecion</t>
  </si>
  <si>
    <t>NOTAS:</t>
  </si>
  <si>
    <t>SI</t>
  </si>
  <si>
    <t>X</t>
  </si>
  <si>
    <t>PRESUPUESTO</t>
  </si>
  <si>
    <t>DIFERENCIA</t>
  </si>
  <si>
    <t>EDIFICIO/CONSTRUCCÓN</t>
  </si>
  <si>
    <t>RESUMEN</t>
  </si>
  <si>
    <t>COSTO DIRECTO TOTAL</t>
  </si>
  <si>
    <t>SIN AIU</t>
  </si>
  <si>
    <t>CON AIU</t>
  </si>
  <si>
    <t>IMPREVISTOS</t>
  </si>
  <si>
    <t xml:space="preserve"> </t>
  </si>
  <si>
    <t>FECHA PRESENTE: NOVIEMBRE 10 DE 2023</t>
  </si>
  <si>
    <t>TIEMPO (DIAS) ADICIÓN 1:</t>
  </si>
  <si>
    <t>VR.ACTA CORTE 1</t>
  </si>
  <si>
    <t>TIEMPO (DIAS) ADICIÓN 2:</t>
  </si>
  <si>
    <t>VR.ACTA CORTE 1 PAGADO</t>
  </si>
  <si>
    <t>FECHA TERMINACION CONTRATO:24 DE NOVIEMBRE DE 2023</t>
  </si>
  <si>
    <t>TOTAL TIEMPO</t>
  </si>
  <si>
    <t>SALDO ACTUAL CONTRATO</t>
  </si>
  <si>
    <t>CANTIDADES CONTRACTUALES MODIFICACION 1</t>
  </si>
  <si>
    <t>REPLANTEO PARA MODIFICACION 2</t>
  </si>
  <si>
    <t>TOTAL A EJECUTAR</t>
  </si>
  <si>
    <t>CORTE 1</t>
  </si>
  <si>
    <t>MAYORES Y MENORES</t>
  </si>
  <si>
    <t>EO.1</t>
  </si>
  <si>
    <t>EO.16</t>
  </si>
  <si>
    <t>EO.33</t>
  </si>
  <si>
    <t>EO.10</t>
  </si>
  <si>
    <t>PN.5</t>
  </si>
  <si>
    <t>NP. 1</t>
  </si>
  <si>
    <t>Suministro e intalacion de HERRAJE 24 PUERTOS</t>
  </si>
  <si>
    <t>NP. 2</t>
  </si>
  <si>
    <t>Suministro e instacion de TUBERIA SCH 40 1"</t>
  </si>
  <si>
    <t>NP. 3</t>
  </si>
  <si>
    <t>Suministro e instacion de TUBERIA SCH 40 11/2"</t>
  </si>
  <si>
    <t>NP. 4</t>
  </si>
  <si>
    <t>Suministro e Intalacion de CABLE ENCAUCHETADO 3X14</t>
  </si>
  <si>
    <t>NP. 5</t>
  </si>
  <si>
    <t>suministro e instalacion de CLAVIJA AEREA POLO A TIERRA</t>
  </si>
  <si>
    <t>NP. 6</t>
  </si>
  <si>
    <t>NP. 7</t>
  </si>
  <si>
    <t>Suministro e instalación de bases en concreto de 20x20 Cm fundidos sobre losa de terraza</t>
  </si>
  <si>
    <t>NP. 8</t>
  </si>
  <si>
    <t>Suministro e instalación de platina 3/8 de 10*15 cm, incluye varilla de 1/2 soldada para anclaje sobre bases de concreto</t>
  </si>
  <si>
    <t>NP. 9</t>
  </si>
  <si>
    <t>Suministro e instalación de estructura metálica para cubierta en tubería 100x40 mm cal 1.5mm, incluye pintura 3 en 1 (A)</t>
  </si>
  <si>
    <t>NP. 10</t>
  </si>
  <si>
    <t>Suministro e instalación de teja upvc 2.5mm, incluye tornillería para su correcta instalación sobre estructura metálica</t>
  </si>
  <si>
    <t>NP. 11</t>
  </si>
  <si>
    <t>Suministro e instalación de caballete para teja upvc 2.5mm, incluye accesorios para su correcta instalación</t>
  </si>
  <si>
    <t>NP. 12</t>
  </si>
  <si>
    <t>NP. 13</t>
  </si>
  <si>
    <t>NP. 14</t>
  </si>
  <si>
    <t>NP. 15</t>
  </si>
  <si>
    <t>NP. 16</t>
  </si>
  <si>
    <t>NP. 17</t>
  </si>
  <si>
    <t>Suministro e instalación de estructura metálica para cubierta en tubería 100x50 mm cal 2mm, incluye pintura 3 en 1 (B)</t>
  </si>
  <si>
    <t>NP. 18</t>
  </si>
  <si>
    <t>Suministro e instalación de estructura metálica para cubierta en tubería 80x40 mm cal 2mm, incluye pintura 3 en 1 CORREAS (B)</t>
  </si>
  <si>
    <t>NP. 19</t>
  </si>
  <si>
    <t>Suministro e instalación de estructura metálica para cubierta en tubería 100x100 mm cal 2mm, incluye pintura 3 en 2 (B)</t>
  </si>
  <si>
    <t>PJ12</t>
  </si>
  <si>
    <t>NP.2</t>
  </si>
  <si>
    <t>NP.3</t>
  </si>
  <si>
    <t>NP.20</t>
  </si>
  <si>
    <t>Suministro e instacion deTUBERIA SCH 40 1/2"</t>
  </si>
  <si>
    <t>NP.21</t>
  </si>
  <si>
    <t>Cambio de lamina panel yeso en muros dañados por humendades, incluye el corte, cambio de lamina y acabado.</t>
  </si>
  <si>
    <t>NP.22</t>
  </si>
  <si>
    <t>Corte de muros en panel yeso</t>
  </si>
  <si>
    <t>NP.23</t>
  </si>
  <si>
    <t>Suministro e instlacion de patch cord 1.5mts CAT 6A</t>
  </si>
  <si>
    <t>NP.24</t>
  </si>
  <si>
    <t>Suministro e instlacion de patch cord 3mts CAT 6A</t>
  </si>
  <si>
    <t>NP.6</t>
  </si>
  <si>
    <t>NP.25</t>
  </si>
  <si>
    <t xml:space="preserve">Reinstalación de ventanas existentes </t>
  </si>
  <si>
    <t>NP.26</t>
  </si>
  <si>
    <t>Suministro e instalacion de tuberia Emt 2" incluye accesorios para su correcta instalación</t>
  </si>
  <si>
    <t>Suministro e instalación de manto asfáltica  Foil de aluminio adhesivo para caballete de teja, incluye retiro del material existente y limpieza del bitumen</t>
  </si>
  <si>
    <t>EO.9</t>
  </si>
  <si>
    <t>NP.27</t>
  </si>
  <si>
    <t>Suministro e instalacion de alfajia en super board de 8 mm, instaladas en ventanas sotano</t>
  </si>
  <si>
    <t>NP.28</t>
  </si>
  <si>
    <t>Suministro e instalacion de angulo en aluminio anoloc de 1/2, Para gotero en alfajia venta</t>
  </si>
  <si>
    <t>NP.29</t>
  </si>
  <si>
    <t>Rasqueteada de pintura</t>
  </si>
  <si>
    <t>NP.30</t>
  </si>
  <si>
    <t>NP.31</t>
  </si>
  <si>
    <t>valor Contrato</t>
  </si>
  <si>
    <t>Vr Real Adicionar (-$24743)</t>
  </si>
  <si>
    <t>Saldo (diferencia)</t>
  </si>
  <si>
    <t>Valor pagado acta 1</t>
  </si>
  <si>
    <t>Arq. SUSEN KATHERINE CUELLAR
REPRESENTANTE LEGAL -KCV CONSTRUCTORES SAS</t>
  </si>
  <si>
    <t>Contratos revisados</t>
  </si>
  <si>
    <t>VALOR UNITARIO REDONDEADO ASUMIDO</t>
  </si>
  <si>
    <t>SIN IVA</t>
  </si>
  <si>
    <t>CON IVA</t>
  </si>
  <si>
    <t xml:space="preserve">Suministro y fabricación de cenefa piso en granito lavado  ancho 20 cm </t>
  </si>
  <si>
    <t>actividad</t>
  </si>
  <si>
    <t>contrato 013-2023</t>
  </si>
  <si>
    <t>promedio</t>
  </si>
  <si>
    <t>contrato 028-2023</t>
  </si>
  <si>
    <t>contrato 058-2022</t>
  </si>
  <si>
    <t>VALOR UNITARIO  INDEXADO</t>
  </si>
  <si>
    <t>Actividad no promediada por precio artificialmente elevado o bajo</t>
  </si>
  <si>
    <r>
      <t xml:space="preserve">OBJETO DEL CONTRATO: </t>
    </r>
    <r>
      <rPr>
        <sz val="10"/>
        <rFont val="Arial"/>
        <family val="2"/>
      </rPr>
      <t>Realizar mantenimiento, adecuaciones y reparaciones a los inmuebles Palacio de Justicia de Cali "PEDRO ELIAS SERRANO ABADIA",Juzgado Promiscuo Municipal de el Dovio, Palacio de Justicia "SIMON DAVID CARREJO BEJARANO", Sede Familia de Palmira, Palacio Nacional de Buenaventura, Edificio Transferencias, Juzgado Promiscuo Municipal de Obando, Juzgado Promiscuo Municipal de San José del Palmar, Palacio de Justicia "Oscar Lerma Trujillo" Roldanillo</t>
    </r>
  </si>
  <si>
    <t xml:space="preserve">Fabricación de borde de escalera en granito lavado  (Borde de escalera ancho 10 cm a lo largo de la huella y la contrahuella de 13 cm) incluye dilatación en bronce 5 mm
</t>
  </si>
  <si>
    <t>Suministro e instalación pasarela o plataforma metálica en rejilla de acero con 2 pasos en cada extremo cuyas medidas son  80 cm ancho, 160cm de largo y 40 cm de latura, incluye  pasamanos</t>
  </si>
  <si>
    <t>Suministro y aplicación de mortero 1:3 con aditivo impermeabilizante espesor 5 cm con pendiente y terminación en cero.</t>
  </si>
  <si>
    <t>Divisiones en panel yeso - Instalaciones Eléctricas de voz y datos</t>
  </si>
  <si>
    <t>Suministro e instalación de cartera en panel yeso de 12 cm incluye filos, con estructura galvanizada base 9 cal.24 encintada, masillada y rematada, con acabado en pintura de vinilo</t>
  </si>
  <si>
    <t>Suministro e instalación de patch cord 1.5mts CAT 6A</t>
  </si>
  <si>
    <t>Suministro e instalación de patch cord 3mts CAT 6A</t>
  </si>
  <si>
    <t>Suministro e instalación de tubería SCH 40  1"</t>
  </si>
  <si>
    <t>Suministro e instalación de tubería SCH 40  1 1/2"</t>
  </si>
  <si>
    <t>Fabricación muro en ladrillo estructural - altura 70 cm incluye viga, dovelas, grouting, ladrillo estructural 14x19x39 cm, mortero</t>
  </si>
  <si>
    <t>Suministro e instalación tubería sanitaria PVC 4"  con sus respectivos accesorios</t>
  </si>
  <si>
    <t>suministro y aplicación de adhesivo  y sellador de juntas elástico para interior y exterior</t>
  </si>
  <si>
    <t>Suministro e instalación de perfil o dilatación aluminio para piso</t>
  </si>
  <si>
    <t>Suministro e instalación de dilatación  Z  plástica (junta de expansión drywall)</t>
  </si>
  <si>
    <t>Suministro e instalación de estructura o perfiles metálicos 50mm x 50mm x 3mm</t>
  </si>
  <si>
    <t xml:space="preserve">Puerta garaje </t>
  </si>
  <si>
    <t>Desmonte puerta eléctrica existente 320 cm x 270 cm(incluye motor)</t>
  </si>
  <si>
    <t>suministro e instalación de puerta eléctrica de 320 cm de ancho x 270 cm de alto (Incluye motor)</t>
  </si>
  <si>
    <t xml:space="preserve">Suministro e instalación de césped sintético de 13 mm para uso exterior </t>
  </si>
  <si>
    <t>Desmonte orinal existente incluye tubería de desagüe</t>
  </si>
  <si>
    <t>Suministro e instalación de orinal incluye la tubería de desagüe</t>
  </si>
  <si>
    <t>Mantenimiento alfajía metálica existente incluye desmonte y nivelación (pendiente)</t>
  </si>
  <si>
    <t>Suministro e instalación de alfajía metálica cuyas medidas oscilan entre 70 a 200 cm de largo</t>
  </si>
  <si>
    <t>suministro y aplicación de adhesivo y/o sellador para exterior para elemento metálica</t>
  </si>
  <si>
    <t>Suministro e instalación de perfil de dilatación tipo U</t>
  </si>
  <si>
    <t>Suministro e instalación de tubo cuadrado 50 mm x 50 mm x 2mm incluye ángulo conector para perfil estructural existente</t>
  </si>
  <si>
    <t xml:space="preserve">Suministro e instalación tubería sanitaria de 4 " pintada color fachada,  incluye accesorios </t>
  </si>
  <si>
    <t>Mantenimiento de ventanas en aluminio cuyas medidas son entre 70 - 105 cm de ancho x 120 cm 180cm alto, incluye limpieza de suciedad , rasqueteada de residuos de pintura, salpicadura de oxido (con limpiador industrial apto para aluminio), reparación o reemplazo de elementos deteriorados (perfiles, bisagras, cerraduras, pasadores, etc.) y limpieza de vidrios</t>
  </si>
  <si>
    <t>Mantenimiento de ventanas en aluminio con diseño que incluye celosías cuyas medidas son entre 70 -100 cm de ancho x 120 - 200 cmalto, incluye limpieza de suciedad , rasqueteada de residuos de pintura, salpicadura de oxido (con limpiador industrial apto para aluminio), reparación o reemplazo de elementos deteriorados (perfiles, bisagras, cerraduras, pasadores, etc.) y limpieza de vidrios</t>
  </si>
  <si>
    <t>Mantenimiento de ventanas en aluminio cuyas medidas son entre 200 - 400 cmde ancho x 200 cm 400 cm alto, incluye limpieza de suciedad , rasqueteada de residuos de pintura, salpicadura de oxido (con limpiador industrial apto para aluminio), reparación o reemplazo de elementos deteriorados (perfiles, bisagras, cerraduras, pasadores, etc.) y limpieza de vidrios</t>
  </si>
  <si>
    <t>Mantenimiento de puerta metálica cuyas medidas son entre 80 -100 cm de ancho x 170 - 240 cm alto, incluye limpieza de suciedad y oxido, reparación o reemplazo de partes dañadas, aplicación de anticorrosivo y pintura en esmalte de poliuretano</t>
  </si>
  <si>
    <t>Mantenimiento de puerta metálica cuyas medidas es 300 cm de ancho x 600 cm alto, incluye limpieza de suciedad y oxido, reparación o reemplazo de partes dañadas, aplicación de anticorrosivo y pintura en esmalte de poliuretano</t>
  </si>
  <si>
    <t xml:space="preserve">Mantenimiento de puertas de dos naves en madera maciza, diseño con celosía cuyas medidas son entre  70  a 100 cm de ancho x 190 -240 cm de alto - incluido marco, largueros, travesaños, hojas o panel y cerrajería </t>
  </si>
  <si>
    <t>Excavación de tierra a mano para tubería de 6"</t>
  </si>
  <si>
    <t>Retiro de tubería PVC existente de 2"  a 6"</t>
  </si>
  <si>
    <t>Retiro de tubería galvanizada</t>
  </si>
  <si>
    <t>Suministro e instalación tubería  PVC de 4" con sus respectivos accesorios y elementos de soporte, para su correcto funcionamiento.</t>
  </si>
  <si>
    <t>Suministro e instalación tubería en PVC de 1 1/2"" con sus respectivos accesorios y elementos de soporte, para su correcto funcionamiento.</t>
  </si>
  <si>
    <t>Suministro e instalación tapa de inspección en aluminio de 60 cm x 120 cm, tipo celosía, incluye marco y pasador</t>
  </si>
  <si>
    <t>Suministro e instalación tubería en PVC de  1/2"" con sus respectivos accesorios y elementos de soporte, para su correcto funcionamiento.</t>
  </si>
  <si>
    <t>Suministro e instalación de tubería novafort de 6"</t>
  </si>
  <si>
    <t>Suministro e instalación de tubería de PVC 1" pintada color fachada</t>
  </si>
  <si>
    <t xml:space="preserve">Suministro y aplicación de pintura acrílica resistente a climas tropicales como la humedad y el calor extremo (para exterior)  a 3 manos </t>
  </si>
  <si>
    <t>Desmonte de puertas en madera incluye hoja y marco metálico</t>
  </si>
  <si>
    <t>Suministro e instalación de marco metálico para puerta en madera de medidas entre  70 a 100 cm de ancho x 180 -210 cm de alto</t>
  </si>
  <si>
    <t>retiro de rejilla sifón (incluye demolición y retiro)</t>
  </si>
  <si>
    <t>Suministro e instalación de sifón de 3"</t>
  </si>
  <si>
    <t xml:space="preserve">Suministro y aplicación de emulsión acrílica al 50% generador de adherencia, (o sellador acrílico) </t>
  </si>
  <si>
    <t xml:space="preserve">Suministro y aplicación de pintura acrílica para exterior a 3 manos - tipo 1 </t>
  </si>
  <si>
    <t>Fabricación e instalación filtro francés tubería  4" ( incluye retiro de tierra a mano)</t>
  </si>
  <si>
    <t>Cubierta en teja plástica</t>
  </si>
  <si>
    <t>Suministro e instalación de poste cilíndrico con brazo, diámetro 2 1/2" para cerramiento., incluye alambre de pues y concertina</t>
  </si>
  <si>
    <t>Suministro e instalación de reja de seguridad en tubo cuadrado de 1" x 1" fabricada en fundición, separación entre barras de 10 cm, , incluye  perforación, pernos y demás elementos para su correcta instalación.</t>
  </si>
  <si>
    <t>Desmonte ventana metálica existente</t>
  </si>
  <si>
    <t>Fabricación e instalación filtro francés tubería 4" ( incluye retiro de tierra a mano)</t>
  </si>
  <si>
    <t>Suministro e instalación de marco metálico cuyas  medidas oscilan entre 100 cm de ancho x 247 cm de alto</t>
  </si>
  <si>
    <t>Desmonte de puerta metálica existente 100 cm x 200 cm</t>
  </si>
  <si>
    <t>mantenimiento general de cubierta tipo colonial, incluye cambio de tejas en mal estado, reacomodación y atraques nuevos para el área general de cubierta, manto asfaltico, incluir el retiro de escombros. </t>
  </si>
  <si>
    <t>Desmonte de desagüe de orinal existente</t>
  </si>
  <si>
    <t xml:space="preserve">suministro e instalación sifón para orinales </t>
  </si>
  <si>
    <t>Arreglo zócalo fachada</t>
  </si>
  <si>
    <t>Lavada de zócalo con ácido nítrico</t>
  </si>
  <si>
    <t>Palacio de Justicia de Tuluá</t>
  </si>
  <si>
    <t>Ítem / Actividad no cotizada</t>
  </si>
  <si>
    <t xml:space="preserve">Otros </t>
  </si>
  <si>
    <t>Restauración de puertas en madera, consiste en realizar verificación del estado de la ventana, se procede con desmontar la ventana, limpiar polvo o suciedad, lijar para corregir irregularidades de la superficie, masillar, aplicar inmunizante, aplicar pintura o tinte según corresponda y posteriormente reinstalarla.</t>
  </si>
  <si>
    <t>contrato 041-2023</t>
  </si>
  <si>
    <t>Palacio de Justicia "SIMON DAVID CARREJO BEJARANO" Palmira</t>
  </si>
  <si>
    <t>Se eliminó la actividad</t>
  </si>
  <si>
    <t>Se modificá la cantidad</t>
  </si>
  <si>
    <t>Demolición muro existente  incluye retiro</t>
  </si>
  <si>
    <t>e,54</t>
  </si>
  <si>
    <t>AUI excluidos del promedio</t>
  </si>
  <si>
    <t>contratos ejecutados por la entidad</t>
  </si>
  <si>
    <t>cotizaciones</t>
  </si>
  <si>
    <t>diferencia con el promedio</t>
  </si>
  <si>
    <t>% comparado con el promedio</t>
  </si>
  <si>
    <r>
      <t xml:space="preserve">OBJETO DEL CONTRATO: </t>
    </r>
    <r>
      <rPr>
        <sz val="10"/>
        <rFont val="Arial"/>
        <family val="2"/>
      </rPr>
      <t>Realizar mantenimiento, adecuaciones y reparaciones a los inmuebles Palacio de Justicia de Cali "PEDRO ELIAS SERRANO ABADIA",Juzgado Promiscuo Municipal de el Dovio, Palacio de Justicia "SIMON DAVID CARREJO BEJARANO", Sede Familia de Palmira, Palacio Nacional de Buenaventura, Edificio Transferencias, Juzgado Promiscuo Municipal de Obando, Juzgado Promiscuo Municipal de San José del Palmar,</t>
    </r>
  </si>
  <si>
    <t>A</t>
  </si>
  <si>
    <t>E</t>
  </si>
  <si>
    <t>a. Como primera opción se estipula el promedio de las 2 cotizaciones y el valor ejecutado y aprobado en contratos anteriores indexados con el IPC al año en curso</t>
  </si>
  <si>
    <t>b. si alguna de los valores unitarios esta por encima o por debajo en promedio un 20%, estos se excluyen y se promedian los otros dos.</t>
  </si>
  <si>
    <t>c. En caso de existir solamente un valor unitario, este se deja tal como esta cotizado.</t>
  </si>
  <si>
    <t>d. se unificaron actividades con conceptos similares y se les asigno el mismo precio unitario.</t>
  </si>
  <si>
    <t>e. Las actividades no cotizadas se señalaron el color rojo, los precios omitidos (valores artificacilmente altos o bajos) se encuentran en color ocre</t>
  </si>
  <si>
    <t>ANALISIS Y SELECCIÓN DE PRECIOS UNITARIOS</t>
  </si>
  <si>
    <t>ESTUDIO INICIAL DE PRECIOS</t>
  </si>
  <si>
    <t>POE</t>
  </si>
  <si>
    <t>ANALISIS Y SELECCIÓN DE AIU</t>
  </si>
  <si>
    <t>VALORES UNITARIOS OTROS CONTRATOS, INDEXADOS (IPC)</t>
  </si>
  <si>
    <t>Director</t>
  </si>
  <si>
    <t>cargo</t>
  </si>
  <si>
    <t>No. Personas</t>
  </si>
  <si>
    <t>salario</t>
  </si>
  <si>
    <t>meses</t>
  </si>
  <si>
    <t>total</t>
  </si>
  <si>
    <t>Electricista</t>
  </si>
  <si>
    <t>telecomunicaciones</t>
  </si>
  <si>
    <t>carpinteros</t>
  </si>
  <si>
    <t>ayudantes</t>
  </si>
  <si>
    <t>Oficial</t>
  </si>
  <si>
    <t>Incluidos en el APU</t>
  </si>
  <si>
    <t>prestaciones</t>
  </si>
  <si>
    <t>total salario</t>
  </si>
  <si>
    <t>SMMLV</t>
  </si>
  <si>
    <t>impuestos Unipacifico</t>
  </si>
  <si>
    <t>impuestos Uceva</t>
  </si>
  <si>
    <t>Contribucción contrato de obra</t>
  </si>
  <si>
    <t>transportes</t>
  </si>
  <si>
    <t>v/unit</t>
  </si>
  <si>
    <t>cant mes</t>
  </si>
  <si>
    <t>Meses</t>
  </si>
  <si>
    <t>alojamiento</t>
  </si>
  <si>
    <t>Renta</t>
  </si>
  <si>
    <t>ICA</t>
  </si>
  <si>
    <t>Residente (tecnologo en obras civiles)</t>
  </si>
  <si>
    <t>perfil</t>
  </si>
  <si>
    <t xml:space="preserve">Arquitecto o Ingeniero Civil </t>
  </si>
  <si>
    <t xml:space="preserve">Tecnólogo en Obras Civiles </t>
  </si>
  <si>
    <t xml:space="preserve">Profesional o Tecnólogo en Seguridad y Salud en el trabajo  </t>
  </si>
  <si>
    <t xml:space="preserve">Técnico Electricista </t>
  </si>
  <si>
    <t>Técnico o Tecnólogo en Electrónica y/o Telecomunicaciones o en administración de redes</t>
  </si>
  <si>
    <t>Carpinteros</t>
  </si>
  <si>
    <t>Ayudantes No calificados</t>
  </si>
  <si>
    <t xml:space="preserve">Oficial </t>
  </si>
  <si>
    <t>alimentación</t>
  </si>
  <si>
    <t>SUBTOTAL PERSONAL</t>
  </si>
  <si>
    <t>SUBTOTAL ADMON</t>
  </si>
  <si>
    <t>TOTAL INDIRECTOS</t>
  </si>
  <si>
    <t>seguros</t>
  </si>
  <si>
    <t>PERSONAL DE OBRA</t>
  </si>
  <si>
    <t>GASTOS ADMINISTRATIVOS</t>
  </si>
  <si>
    <t>Papelería</t>
  </si>
  <si>
    <t>total contrato</t>
  </si>
  <si>
    <t>subtotal administración</t>
  </si>
  <si>
    <t>Residente Siso</t>
  </si>
  <si>
    <t>Buenaventura</t>
  </si>
  <si>
    <t>Cali</t>
  </si>
  <si>
    <t>El Dovio, Obando, San Jose</t>
  </si>
  <si>
    <t>Palmira / Tulua</t>
  </si>
  <si>
    <t>No meses</t>
  </si>
  <si>
    <t>grupos</t>
  </si>
  <si>
    <t>valor</t>
  </si>
  <si>
    <t>No. meses construcción</t>
  </si>
  <si>
    <t>media aritmetica</t>
  </si>
  <si>
    <t xml:space="preserve">FORMULA </t>
  </si>
  <si>
    <t>CD Construcción</t>
  </si>
  <si>
    <t>desviacion estandar</t>
  </si>
  <si>
    <t>IPCC</t>
  </si>
  <si>
    <t>INICIO CONSTRUCCIÓN</t>
  </si>
  <si>
    <t>Indexación mes</t>
  </si>
  <si>
    <t>Inversión Mensual</t>
  </si>
  <si>
    <t>Inversión acumulada</t>
  </si>
  <si>
    <t>% Indexación</t>
  </si>
  <si>
    <t>Indexación $</t>
  </si>
  <si>
    <t>Municipio(s)</t>
  </si>
  <si>
    <t>%</t>
  </si>
  <si>
    <t>acumulada</t>
  </si>
  <si>
    <t>se quitaron 7 puertas para menor cuantia</t>
  </si>
  <si>
    <t>Servicios públicos</t>
  </si>
  <si>
    <t>Presupuesto</t>
  </si>
  <si>
    <t>meses ejecución</t>
  </si>
  <si>
    <t>I</t>
  </si>
  <si>
    <t>TOTAL (Incl. IVA)</t>
  </si>
  <si>
    <t>VALOR UNITARIO PROMEDIO</t>
  </si>
  <si>
    <t>actividades a las que se le cambio cantidades</t>
  </si>
  <si>
    <t>B. 1,11</t>
  </si>
  <si>
    <t xml:space="preserve">Juzgado Promiscuo Municipal de el Dovio </t>
  </si>
  <si>
    <t>Juzgado Promiscuo Municipal de el Dovio -</t>
  </si>
  <si>
    <t xml:space="preserve">COTIZACIÓN 1 - </t>
  </si>
  <si>
    <t xml:space="preserve">COTIZACIÓN 2 - </t>
  </si>
  <si>
    <t>COTIZACIÓN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</si>
</sst>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240A]\ * #,##0.00_-;_-[$$-240A]\ * &quot;-&quot;??_-;_-@_-"/>
    <numFmt numFmtId="165" formatCode="_-&quot;$&quot;\ * #,##0.00_-;\-&quot;$&quot;\ * #,##0.00_-;_-&quot;$&quot;\ * &quot;-&quot;??_-;_-@"/>
    <numFmt numFmtId="166" formatCode="0.0"/>
    <numFmt numFmtId="167" formatCode="#,##0_);\-#,##0"/>
    <numFmt numFmtId="168" formatCode="&quot;$&quot;\ #,##0.00"/>
    <numFmt numFmtId="169" formatCode="_(* #,##0.00_);_(* \(#,##0.00\);_(* &quot;-&quot;??_);_(@_)"/>
    <numFmt numFmtId="170" formatCode="_-[$$-240A]\ * #,##0_-;\-[$$-240A]\ * #,##0_-;_-[$$-240A]\ * &quot;-&quot;??_-;_-@_-"/>
    <numFmt numFmtId="171" formatCode="_-&quot;$&quot;* #,##0_-;\-&quot;$&quot;* #,##0_-;_-&quot;$&quot;* &quot;-&quot;_-;_-@"/>
    <numFmt numFmtId="172" formatCode="#,##0_ ;\-#,##0\ "/>
    <numFmt numFmtId="173" formatCode="_-&quot;$&quot;* #,##0.00_-;\-&quot;$&quot;* #,##0.00_-;_-&quot;$&quot;* &quot;-&quot;??_-;_-@_-"/>
    <numFmt numFmtId="174" formatCode="_-&quot;$&quot;\ * #,##0_-;\-&quot;$&quot;\ * #,##0_-;_-&quot;$&quot;\ * &quot;-&quot;??_-;_-@_-"/>
    <numFmt numFmtId="175" formatCode="_-* #,##0.00\ _€_-;\-* #,##0.00\ _€_-;_-* &quot;-&quot;??\ _€_-;_-@_-"/>
    <numFmt numFmtId="176" formatCode="[$$-240A]\ #,##0"/>
    <numFmt numFmtId="177" formatCode="_-* #,##0\ _€_-;\-* #,##0\ _€_-;_-* &quot;-&quot;??\ _€_-;_-@_-"/>
    <numFmt numFmtId="178" formatCode="_(* #,##0_);_(* \(#,##0\);_(* &quot;-&quot;_);_(@_)"/>
    <numFmt numFmtId="179" formatCode="_ * #,##0.00_ ;_ * \-#,##0.00_ ;_ * &quot;-&quot;??_ ;_ @_ "/>
    <numFmt numFmtId="180" formatCode="_-&quot;$&quot;* #,##0_-;\-&quot;$&quot;* #,##0_-;_-&quot;$&quot;* &quot;-&quot;??_-;_-@_-"/>
    <numFmt numFmtId="181" formatCode="0.000"/>
    <numFmt numFmtId="182" formatCode="_-&quot;$&quot;\ * #,##0.00000_-;\-&quot;$&quot;\ * #,##0.00000_-;_-&quot;$&quot;\ * &quot;-&quot;??_-;_-@_-"/>
    <numFmt numFmtId="183" formatCode="&quot;$&quot;#,##0.00"/>
    <numFmt numFmtId="184" formatCode="#,##0.000000"/>
    <numFmt numFmtId="185" formatCode="&quot;$&quot;#,##0.0"/>
    <numFmt numFmtId="186" formatCode="_(* #,##0.00000000_);_(* \(#,##0.00000000\);_(* &quot;-&quot;??_);_(@_)"/>
    <numFmt numFmtId="187" formatCode="_-&quot;$&quot;\ * #,##0.0000_-;\-&quot;$&quot;\ * #,##0.0000_-;_-&quot;$&quot;\ * &quot;-&quot;??_-;_-@_-"/>
    <numFmt numFmtId="188" formatCode="_-* #,##0_-;\-* #,##0_-;_-* &quot;-&quot;??_-;_-@_-"/>
    <numFmt numFmtId="189" formatCode="_-&quot;$&quot;\ * #,##0_-;\-&quot;$&quot;\ * #,##0_-;_-&quot;$&quot;\ * &quot;-&quot;??_-;_-@"/>
    <numFmt numFmtId="190" formatCode="&quot;$&quot;#,##0"/>
    <numFmt numFmtId="191" formatCode="0.0000"/>
    <numFmt numFmtId="192" formatCode="&quot;$&quot;\ #,##0.0"/>
    <numFmt numFmtId="193" formatCode="0.00000"/>
    <numFmt numFmtId="194" formatCode="0.000%"/>
    <numFmt numFmtId="195" formatCode="0.00000%"/>
    <numFmt numFmtId="196" formatCode="&quot;mes&quot;\ 0"/>
    <numFmt numFmtId="197" formatCode="&quot;Mes&quot;\ 0"/>
    <numFmt numFmtId="198" formatCode="_-&quot;$&quot;\ * #,##0.0_-;\-&quot;$&quot;\ * #,##0.0_-;_-&quot;$&quot;\ * &quot;-&quot;??_-;_-@_-"/>
    <numFmt numFmtId="199" formatCode="0.0%"/>
  </numFmts>
  <fonts count="83" x14ac:knownFonts="1">
    <font>
      <sz val="11"/>
      <color theme="1"/>
      <name val="Calibri"/>
      <family val="2"/>
      <scheme val="minor"/>
    </font>
    <font>
      <sz val="11"/>
      <color theme="1"/>
      <name val="Calibri"/>
      <family val="2"/>
      <scheme val="minor"/>
    </font>
    <font>
      <sz val="10"/>
      <name val="Arial"/>
      <family val="2"/>
    </font>
    <font>
      <u/>
      <sz val="10"/>
      <color indexed="12"/>
      <name val="Arial"/>
      <family val="2"/>
    </font>
    <font>
      <b/>
      <sz val="11"/>
      <color theme="1"/>
      <name val="Arial"/>
      <family val="2"/>
    </font>
    <font>
      <b/>
      <sz val="11"/>
      <name val="Arial"/>
      <family val="2"/>
    </font>
    <font>
      <b/>
      <sz val="9"/>
      <name val="Arial"/>
      <family val="2"/>
    </font>
    <font>
      <sz val="9"/>
      <color theme="1"/>
      <name val="Calibri"/>
      <family val="2"/>
      <scheme val="minor"/>
    </font>
    <font>
      <sz val="9"/>
      <name val="Arial"/>
      <family val="2"/>
    </font>
    <font>
      <b/>
      <sz val="9"/>
      <color theme="1"/>
      <name val="Arial"/>
      <family val="2"/>
    </font>
    <font>
      <sz val="9"/>
      <color theme="1"/>
      <name val="Arial"/>
      <family val="2"/>
    </font>
    <font>
      <sz val="9"/>
      <color rgb="FF000000"/>
      <name val="Arial"/>
      <family val="2"/>
    </font>
    <font>
      <u/>
      <sz val="9"/>
      <color indexed="12"/>
      <name val="Arial"/>
      <family val="2"/>
    </font>
    <font>
      <sz val="9"/>
      <color rgb="FF1F1F1F"/>
      <name val="Arial"/>
      <family val="2"/>
    </font>
    <font>
      <sz val="9"/>
      <color rgb="FF000000"/>
      <name val="Calibri"/>
      <family val="2"/>
      <scheme val="minor"/>
    </font>
    <font>
      <sz val="9"/>
      <color theme="1"/>
      <name val="Calibri"/>
      <family val="2"/>
    </font>
    <font>
      <b/>
      <sz val="9"/>
      <color rgb="FF000000"/>
      <name val="Arial"/>
      <family val="2"/>
    </font>
    <font>
      <sz val="9"/>
      <color rgb="FFFF0000"/>
      <name val="Arial"/>
      <family val="2"/>
    </font>
    <font>
      <b/>
      <sz val="9"/>
      <color rgb="FFFF0000"/>
      <name val="Arial"/>
      <family val="2"/>
    </font>
    <font>
      <b/>
      <sz val="9"/>
      <color rgb="FF000000"/>
      <name val="Tahoma"/>
      <family val="2"/>
    </font>
    <font>
      <sz val="9"/>
      <color rgb="FF000000"/>
      <name val="Tahoma"/>
      <family val="2"/>
    </font>
    <font>
      <b/>
      <sz val="9"/>
      <color theme="0"/>
      <name val="Arial"/>
      <family val="2"/>
    </font>
    <font>
      <b/>
      <sz val="11"/>
      <color theme="1"/>
      <name val="Calibri"/>
      <family val="2"/>
      <scheme val="minor"/>
    </font>
    <font>
      <sz val="11"/>
      <color rgb="FF000000"/>
      <name val="Calibri"/>
      <family val="2"/>
      <scheme val="minor"/>
    </font>
    <font>
      <sz val="10"/>
      <color rgb="FF000000"/>
      <name val="Arial"/>
      <family val="2"/>
    </font>
    <font>
      <b/>
      <sz val="10"/>
      <name val="Arial"/>
      <family val="2"/>
    </font>
    <font>
      <sz val="10"/>
      <color theme="1"/>
      <name val="Arial"/>
      <family val="2"/>
    </font>
    <font>
      <b/>
      <sz val="10"/>
      <color theme="1"/>
      <name val="Arial"/>
      <family val="2"/>
    </font>
    <font>
      <sz val="10"/>
      <color rgb="FF1F1F1F"/>
      <name val="Arial"/>
      <family val="2"/>
    </font>
    <font>
      <sz val="10"/>
      <color rgb="FFFF0000"/>
      <name val="Arial"/>
      <family val="2"/>
    </font>
    <font>
      <sz val="9"/>
      <color rgb="FFFF0000"/>
      <name val="Calibri"/>
      <family val="2"/>
    </font>
    <font>
      <sz val="9"/>
      <color indexed="81"/>
      <name val="Tahoma"/>
      <family val="2"/>
    </font>
    <font>
      <b/>
      <sz val="9"/>
      <color indexed="81"/>
      <name val="Tahoma"/>
      <family val="2"/>
    </font>
    <font>
      <b/>
      <sz val="11"/>
      <name val="Times New Roman"/>
      <family val="1"/>
    </font>
    <font>
      <b/>
      <sz val="11"/>
      <color indexed="8"/>
      <name val="Arial"/>
      <family val="2"/>
    </font>
    <font>
      <sz val="11"/>
      <name val="Arial"/>
      <family val="2"/>
    </font>
    <font>
      <sz val="11"/>
      <color indexed="8"/>
      <name val="Calibri"/>
      <family val="2"/>
    </font>
    <font>
      <sz val="11"/>
      <color theme="1"/>
      <name val="Arial"/>
      <family val="2"/>
    </font>
    <font>
      <sz val="11"/>
      <color rgb="FF000000"/>
      <name val="Arial"/>
      <family val="2"/>
    </font>
    <font>
      <sz val="11"/>
      <color theme="1"/>
      <name val="Calibri"/>
      <family val="2"/>
    </font>
    <font>
      <sz val="11"/>
      <color indexed="8"/>
      <name val="Arial"/>
      <family val="2"/>
    </font>
    <font>
      <b/>
      <sz val="11"/>
      <color theme="1"/>
      <name val="Calibri"/>
      <family val="2"/>
    </font>
    <font>
      <b/>
      <sz val="11"/>
      <name val="Arial Narrow"/>
      <family val="2"/>
    </font>
    <font>
      <sz val="11"/>
      <color theme="1"/>
      <name val="Arial Narrow"/>
      <family val="2"/>
    </font>
    <font>
      <b/>
      <sz val="11"/>
      <color theme="1"/>
      <name val="Arial Narrow"/>
      <family val="2"/>
    </font>
    <font>
      <sz val="12"/>
      <name val="Arial"/>
      <family val="2"/>
    </font>
    <font>
      <sz val="11"/>
      <color rgb="FFFF0000"/>
      <name val="Arial"/>
      <family val="2"/>
    </font>
    <font>
      <sz val="9"/>
      <color theme="0"/>
      <name val="Arial"/>
      <family val="2"/>
    </font>
    <font>
      <sz val="11"/>
      <name val="Times New Roman"/>
      <family val="1"/>
    </font>
    <font>
      <b/>
      <sz val="10"/>
      <color indexed="8"/>
      <name val="Arial"/>
      <family val="2"/>
    </font>
    <font>
      <b/>
      <sz val="8"/>
      <name val="Arial"/>
      <family val="2"/>
    </font>
    <font>
      <b/>
      <sz val="12"/>
      <color indexed="8"/>
      <name val="Arial"/>
      <family val="2"/>
    </font>
    <font>
      <b/>
      <sz val="16"/>
      <color indexed="8"/>
      <name val="Arial"/>
      <family val="2"/>
    </font>
    <font>
      <b/>
      <sz val="12"/>
      <name val="Arial"/>
      <family val="2"/>
    </font>
    <font>
      <sz val="12"/>
      <color theme="1"/>
      <name val="Calibri"/>
      <family val="2"/>
    </font>
    <font>
      <sz val="12"/>
      <color theme="1"/>
      <name val="Calibri"/>
      <family val="2"/>
      <scheme val="minor"/>
    </font>
    <font>
      <b/>
      <sz val="12"/>
      <color theme="1"/>
      <name val="Calibri"/>
      <family val="2"/>
    </font>
    <font>
      <b/>
      <sz val="14"/>
      <color theme="1"/>
      <name val="Calibri"/>
      <family val="2"/>
    </font>
    <font>
      <sz val="14"/>
      <color theme="1"/>
      <name val="Arial Narrow"/>
      <family val="2"/>
    </font>
    <font>
      <sz val="12"/>
      <color theme="1"/>
      <name val="Arial Narrow"/>
      <family val="2"/>
    </font>
    <font>
      <b/>
      <sz val="12"/>
      <color theme="1"/>
      <name val="Arial Narrow"/>
      <family val="2"/>
    </font>
    <font>
      <sz val="9"/>
      <color indexed="8"/>
      <name val="Arial"/>
      <family val="2"/>
    </font>
    <font>
      <b/>
      <sz val="9"/>
      <color indexed="8"/>
      <name val="Arial"/>
      <family val="2"/>
    </font>
    <font>
      <sz val="8"/>
      <color theme="1"/>
      <name val="Century Gothic"/>
      <family val="2"/>
    </font>
    <font>
      <b/>
      <sz val="8"/>
      <color theme="1"/>
      <name val="Century Gothic"/>
      <family val="2"/>
    </font>
    <font>
      <sz val="8"/>
      <color rgb="FF000000"/>
      <name val="Century Gothic"/>
      <family val="2"/>
    </font>
    <font>
      <b/>
      <sz val="8"/>
      <color rgb="FF000000"/>
      <name val="Century Gothic"/>
      <family val="2"/>
    </font>
    <font>
      <sz val="8"/>
      <name val="Century Gothic"/>
      <family val="2"/>
    </font>
    <font>
      <b/>
      <sz val="10"/>
      <color theme="1"/>
      <name val="Century Gothic"/>
      <family val="2"/>
    </font>
    <font>
      <sz val="10"/>
      <color theme="1"/>
      <name val="Century Gothic"/>
      <family val="2"/>
    </font>
    <font>
      <sz val="8"/>
      <color rgb="FFFF0000"/>
      <name val="Century Gothic"/>
      <family val="2"/>
    </font>
    <font>
      <b/>
      <sz val="8"/>
      <name val="Century Gothic"/>
      <family val="2"/>
    </font>
    <font>
      <b/>
      <sz val="6"/>
      <color theme="1"/>
      <name val="Century Gothic"/>
      <family val="2"/>
    </font>
    <font>
      <b/>
      <sz val="12"/>
      <color theme="1"/>
      <name val="Arial"/>
      <family val="2"/>
    </font>
    <font>
      <b/>
      <sz val="12"/>
      <color rgb="FFFF0000"/>
      <name val="Arial"/>
      <family val="2"/>
    </font>
    <font>
      <sz val="12"/>
      <color rgb="FF000000"/>
      <name val="Calibri"/>
      <family val="2"/>
    </font>
    <font>
      <sz val="12"/>
      <color rgb="FF000000"/>
      <name val="Calibri"/>
      <family val="2"/>
      <scheme val="minor"/>
    </font>
    <font>
      <b/>
      <sz val="18"/>
      <color theme="1"/>
      <name val="Arial"/>
      <family val="2"/>
    </font>
    <font>
      <b/>
      <sz val="11"/>
      <color theme="0"/>
      <name val="Calibri"/>
      <family val="2"/>
      <scheme val="minor"/>
    </font>
    <font>
      <b/>
      <sz val="12"/>
      <color theme="0"/>
      <name val="Calibri"/>
      <family val="2"/>
      <scheme val="minor"/>
    </font>
    <font>
      <sz val="10"/>
      <color rgb="FF000000"/>
      <name val="Times New Roman"/>
      <family val="1"/>
    </font>
    <font>
      <b/>
      <sz val="10"/>
      <color theme="0"/>
      <name val="Arial"/>
      <family val="2"/>
    </font>
    <font>
      <sz val="10"/>
      <color theme="0"/>
      <name val="Arial"/>
      <family val="2"/>
    </font>
  </fonts>
  <fills count="48">
    <fill>
      <patternFill patternType="none"/>
    </fill>
    <fill>
      <patternFill patternType="gray125"/>
    </fill>
    <fill>
      <patternFill patternType="solid">
        <fgColor theme="2" tint="-9.9978637043366805E-2"/>
        <bgColor indexed="64"/>
      </patternFill>
    </fill>
    <fill>
      <patternFill patternType="solid">
        <fgColor theme="0"/>
        <bgColor theme="0"/>
      </patternFill>
    </fill>
    <fill>
      <patternFill patternType="solid">
        <fgColor theme="4" tint="0.79998168889431442"/>
        <bgColor theme="4" tint="0.79998168889431442"/>
      </patternFill>
    </fill>
    <fill>
      <patternFill patternType="solid">
        <fgColor theme="0"/>
        <bgColor indexed="64"/>
      </patternFill>
    </fill>
    <fill>
      <patternFill patternType="solid">
        <fgColor theme="2" tint="-0.249977111117893"/>
        <bgColor indexed="64"/>
      </patternFill>
    </fill>
    <fill>
      <patternFill patternType="solid">
        <fgColor theme="7"/>
        <bgColor indexed="64"/>
      </patternFill>
    </fill>
    <fill>
      <patternFill patternType="solid">
        <fgColor rgb="FFFFFF00"/>
        <bgColor indexed="64"/>
      </patternFill>
    </fill>
    <fill>
      <patternFill patternType="solid">
        <fgColor theme="0" tint="-0.34998626667073579"/>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rgb="FFFFC000"/>
        <bgColor indexed="64"/>
      </patternFill>
    </fill>
    <fill>
      <patternFill patternType="solid">
        <fgColor theme="7" tint="-0.249977111117893"/>
        <bgColor indexed="64"/>
      </patternFill>
    </fill>
    <fill>
      <patternFill patternType="solid">
        <fgColor theme="9" tint="0.39997558519241921"/>
        <bgColor indexed="64"/>
      </patternFill>
    </fill>
    <fill>
      <patternFill patternType="solid">
        <fgColor indexed="9"/>
        <bgColor indexed="11"/>
      </patternFill>
    </fill>
    <fill>
      <patternFill patternType="solid">
        <fgColor theme="0" tint="-0.14999847407452621"/>
        <bgColor indexed="11"/>
      </patternFill>
    </fill>
    <fill>
      <patternFill patternType="solid">
        <fgColor theme="0" tint="-0.14999847407452621"/>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0" tint="-0.499984740745262"/>
        <bgColor indexed="64"/>
      </patternFill>
    </fill>
    <fill>
      <patternFill patternType="solid">
        <fgColor theme="9" tint="0.79998168889431442"/>
        <bgColor indexed="64"/>
      </patternFill>
    </fill>
    <fill>
      <patternFill patternType="solid">
        <fgColor theme="0"/>
        <bgColor indexed="11"/>
      </patternFill>
    </fill>
    <fill>
      <patternFill patternType="solid">
        <fgColor theme="8" tint="0.79998168889431442"/>
        <bgColor indexed="64"/>
      </patternFill>
    </fill>
    <fill>
      <patternFill patternType="solid">
        <fgColor rgb="FFD6DCE4"/>
        <bgColor rgb="FFD6DCE4"/>
      </patternFill>
    </fill>
    <fill>
      <patternFill patternType="solid">
        <fgColor rgb="FF666666"/>
        <bgColor rgb="FF666666"/>
      </patternFill>
    </fill>
    <fill>
      <patternFill patternType="solid">
        <fgColor rgb="FF00FFFF"/>
        <bgColor rgb="FF00FFFF"/>
      </patternFill>
    </fill>
    <fill>
      <patternFill patternType="solid">
        <fgColor rgb="FFFFFFFF"/>
        <bgColor rgb="FFFFFFFF"/>
      </patternFill>
    </fill>
    <fill>
      <patternFill patternType="solid">
        <fgColor theme="7" tint="0.39997558519241921"/>
        <bgColor indexed="64"/>
      </patternFill>
    </fill>
    <fill>
      <patternFill patternType="solid">
        <fgColor theme="2" tint="-0.14999847407452621"/>
        <bgColor indexed="64"/>
      </patternFill>
    </fill>
    <fill>
      <patternFill patternType="solid">
        <fgColor theme="0" tint="-0.249977111117893"/>
        <bgColor indexed="64"/>
      </patternFill>
    </fill>
    <fill>
      <patternFill patternType="solid">
        <fgColor rgb="FFB7B7B7"/>
        <bgColor rgb="FFB7B7B7"/>
      </patternFill>
    </fill>
    <fill>
      <patternFill patternType="solid">
        <fgColor rgb="FFFFFF00"/>
        <bgColor rgb="FFFFFF00"/>
      </patternFill>
    </fill>
    <fill>
      <patternFill patternType="solid">
        <fgColor rgb="FFEFEFEF"/>
        <bgColor rgb="FFEFEFEF"/>
      </patternFill>
    </fill>
    <fill>
      <patternFill patternType="solid">
        <fgColor theme="0" tint="-4.9989318521683403E-2"/>
        <bgColor indexed="64"/>
      </patternFill>
    </fill>
    <fill>
      <patternFill patternType="solid">
        <fgColor rgb="FF00B0F0"/>
        <bgColor indexed="64"/>
      </patternFill>
    </fill>
    <fill>
      <patternFill patternType="solid">
        <fgColor rgb="FF92D050"/>
        <bgColor indexed="64"/>
      </patternFill>
    </fill>
    <fill>
      <patternFill patternType="solid">
        <fgColor theme="5" tint="0.59999389629810485"/>
        <bgColor indexed="64"/>
      </patternFill>
    </fill>
    <fill>
      <patternFill patternType="solid">
        <fgColor theme="4" tint="0.79998168889431442"/>
        <bgColor theme="0"/>
      </patternFill>
    </fill>
    <fill>
      <patternFill patternType="solid">
        <fgColor theme="2" tint="-9.9978637043366805E-2"/>
        <bgColor theme="0"/>
      </patternFill>
    </fill>
    <fill>
      <patternFill patternType="solid">
        <fgColor theme="4"/>
        <bgColor indexed="64"/>
      </patternFill>
    </fill>
    <fill>
      <patternFill patternType="solid">
        <fgColor theme="5" tint="0.39997558519241921"/>
        <bgColor indexed="64"/>
      </patternFill>
    </fill>
  </fills>
  <borders count="92">
    <border>
      <left/>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style="thin">
        <color theme="4" tint="0.3999755851924192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top/>
      <bottom/>
      <diagonal/>
    </border>
    <border>
      <left/>
      <right style="thin">
        <color indexed="64"/>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right/>
      <top/>
      <bottom style="thin">
        <color rgb="FF000000"/>
      </bottom>
      <diagonal/>
    </border>
    <border>
      <left style="thin">
        <color auto="1"/>
      </left>
      <right/>
      <top style="thin">
        <color indexed="64"/>
      </top>
      <bottom style="thin">
        <color theme="4" tint="0.3999755851924192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medium">
        <color indexed="64"/>
      </top>
      <bottom style="thin">
        <color auto="1"/>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auto="1"/>
      </top>
      <bottom style="medium">
        <color indexed="64"/>
      </bottom>
      <diagonal/>
    </border>
    <border>
      <left style="thin">
        <color auto="1"/>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thin">
        <color indexed="64"/>
      </top>
      <bottom style="medium">
        <color indexed="64"/>
      </bottom>
      <diagonal/>
    </border>
    <border>
      <left/>
      <right style="thin">
        <color indexed="64"/>
      </right>
      <top style="thin">
        <color rgb="FF000000"/>
      </top>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style="thin">
        <color rgb="FF000000"/>
      </left>
      <right/>
      <top style="thin">
        <color rgb="FF000000"/>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right style="medium">
        <color indexed="64"/>
      </right>
      <top style="medium">
        <color indexed="64"/>
      </top>
      <bottom style="medium">
        <color indexed="64"/>
      </bottom>
      <diagonal/>
    </border>
  </borders>
  <cellStyleXfs count="24">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0" fontId="1" fillId="0" borderId="0"/>
    <xf numFmtId="0" fontId="1" fillId="0" borderId="0"/>
    <xf numFmtId="0" fontId="3" fillId="0" borderId="0" applyNumberFormat="0" applyFill="0" applyBorder="0" applyAlignment="0" applyProtection="0">
      <alignment vertical="top"/>
      <protection locked="0"/>
    </xf>
    <xf numFmtId="169" fontId="2"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169" fontId="36" fillId="0" borderId="0" applyFont="0" applyFill="0" applyBorder="0" applyAlignment="0" applyProtection="0"/>
    <xf numFmtId="0" fontId="1" fillId="0" borderId="0"/>
    <xf numFmtId="43" fontId="1" fillId="0" borderId="0" applyFont="0" applyFill="0" applyBorder="0" applyAlignment="0" applyProtection="0"/>
    <xf numFmtId="42" fontId="1" fillId="0" borderId="0" applyFont="0" applyFill="0" applyBorder="0" applyAlignment="0" applyProtection="0"/>
    <xf numFmtId="44" fontId="2"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9" fontId="2" fillId="0" borderId="0" applyFont="0" applyFill="0" applyBorder="0" applyAlignment="0" applyProtection="0"/>
    <xf numFmtId="0" fontId="80"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cellStyleXfs>
  <cellXfs count="2222">
    <xf numFmtId="0" fontId="0" fillId="0" borderId="0" xfId="0"/>
    <xf numFmtId="0" fontId="7" fillId="0" borderId="0" xfId="0" applyFont="1"/>
    <xf numFmtId="0" fontId="9" fillId="0" borderId="11" xfId="4" applyFont="1" applyBorder="1" applyAlignment="1">
      <alignment horizontal="left" vertical="center" indent="1"/>
    </xf>
    <xf numFmtId="0" fontId="9" fillId="0" borderId="4" xfId="4" applyFont="1" applyBorder="1" applyAlignment="1">
      <alignment vertical="center" wrapText="1"/>
    </xf>
    <xf numFmtId="0" fontId="9" fillId="0" borderId="12" xfId="4" applyFont="1" applyBorder="1" applyAlignment="1">
      <alignment horizontal="center" vertical="center"/>
    </xf>
    <xf numFmtId="2" fontId="9" fillId="0" borderId="0" xfId="4" applyNumberFormat="1" applyFont="1" applyAlignment="1">
      <alignment vertical="center"/>
    </xf>
    <xf numFmtId="0" fontId="9" fillId="0" borderId="12" xfId="4" applyFont="1" applyBorder="1" applyAlignment="1">
      <alignment horizontal="center" vertical="center" wrapText="1"/>
    </xf>
    <xf numFmtId="0" fontId="9" fillId="0" borderId="11" xfId="4" applyFont="1" applyBorder="1" applyAlignment="1">
      <alignment horizontal="center" vertical="center"/>
    </xf>
    <xf numFmtId="0" fontId="9" fillId="0" borderId="13" xfId="4" applyFont="1" applyBorder="1" applyAlignment="1">
      <alignment vertical="center" wrapText="1"/>
    </xf>
    <xf numFmtId="0" fontId="9" fillId="0" borderId="10" xfId="4" applyFont="1" applyBorder="1" applyAlignment="1">
      <alignment horizontal="center" vertical="center"/>
    </xf>
    <xf numFmtId="2" fontId="9" fillId="0" borderId="10" xfId="4" applyNumberFormat="1" applyFont="1" applyBorder="1" applyAlignment="1">
      <alignment vertical="center"/>
    </xf>
    <xf numFmtId="0" fontId="10" fillId="0" borderId="11" xfId="4" applyFont="1" applyBorder="1" applyAlignment="1">
      <alignment horizontal="center" vertical="center"/>
    </xf>
    <xf numFmtId="0" fontId="10" fillId="0" borderId="14" xfId="0" applyFont="1" applyBorder="1" applyAlignment="1">
      <alignment horizontal="justify" vertical="center"/>
    </xf>
    <xf numFmtId="0" fontId="10" fillId="0" borderId="14" xfId="0" applyFont="1" applyBorder="1" applyAlignment="1">
      <alignment horizontal="center" vertical="center"/>
    </xf>
    <xf numFmtId="2" fontId="10" fillId="0" borderId="3" xfId="4" applyNumberFormat="1" applyFont="1" applyBorder="1" applyAlignment="1">
      <alignment horizontal="center" vertical="center"/>
    </xf>
    <xf numFmtId="0" fontId="10" fillId="0" borderId="14" xfId="4" applyFont="1" applyBorder="1" applyAlignment="1">
      <alignment horizontal="center" vertical="center"/>
    </xf>
    <xf numFmtId="2" fontId="10" fillId="0" borderId="0" xfId="4" applyNumberFormat="1" applyFont="1" applyAlignment="1">
      <alignment horizontal="center" vertical="center"/>
    </xf>
    <xf numFmtId="0" fontId="10" fillId="0" borderId="3" xfId="0" applyFont="1" applyBorder="1" applyAlignment="1">
      <alignment horizontal="center" vertical="center"/>
    </xf>
    <xf numFmtId="164" fontId="10" fillId="0" borderId="3" xfId="4" applyNumberFormat="1" applyFont="1" applyBorder="1" applyAlignment="1">
      <alignment horizontal="center" vertical="center"/>
    </xf>
    <xf numFmtId="165" fontId="10" fillId="0" borderId="3" xfId="4" applyNumberFormat="1" applyFont="1" applyBorder="1" applyAlignment="1">
      <alignment horizontal="center" vertical="center"/>
    </xf>
    <xf numFmtId="0" fontId="10" fillId="3" borderId="11" xfId="4" applyFont="1" applyFill="1" applyBorder="1" applyAlignment="1">
      <alignment horizontal="center" vertical="center"/>
    </xf>
    <xf numFmtId="2" fontId="10" fillId="0" borderId="3" xfId="1" applyNumberFormat="1" applyFont="1" applyBorder="1" applyAlignment="1">
      <alignment horizontal="center" vertical="center"/>
    </xf>
    <xf numFmtId="0" fontId="10" fillId="0" borderId="3" xfId="4" applyFont="1" applyBorder="1" applyAlignment="1">
      <alignment horizontal="center" vertical="center" wrapText="1"/>
    </xf>
    <xf numFmtId="0" fontId="10" fillId="0" borderId="3" xfId="0" applyFont="1" applyBorder="1" applyAlignment="1">
      <alignment horizontal="justify" vertical="center" wrapText="1"/>
    </xf>
    <xf numFmtId="0" fontId="10" fillId="0" borderId="13" xfId="4" applyFont="1" applyBorder="1" applyAlignment="1">
      <alignment vertical="center" wrapText="1"/>
    </xf>
    <xf numFmtId="0" fontId="9" fillId="0" borderId="3" xfId="0" applyFont="1" applyBorder="1" applyAlignment="1">
      <alignment horizontal="center" vertical="center"/>
    </xf>
    <xf numFmtId="0" fontId="10" fillId="0" borderId="0" xfId="4" applyFont="1" applyAlignment="1">
      <alignment horizontal="center" vertical="center" wrapText="1"/>
    </xf>
    <xf numFmtId="0" fontId="11" fillId="0" borderId="15" xfId="0" applyFont="1" applyBorder="1" applyAlignment="1">
      <alignment horizontal="left" vertical="center" wrapText="1"/>
    </xf>
    <xf numFmtId="0" fontId="11" fillId="0" borderId="16" xfId="0" applyFont="1" applyBorder="1" applyAlignment="1">
      <alignment horizontal="center" vertical="center"/>
    </xf>
    <xf numFmtId="0" fontId="10" fillId="0" borderId="17" xfId="4" applyFont="1" applyBorder="1" applyAlignment="1">
      <alignment vertical="center" wrapText="1"/>
    </xf>
    <xf numFmtId="0" fontId="11" fillId="0" borderId="15" xfId="0" applyFont="1" applyBorder="1" applyAlignment="1">
      <alignment horizontal="center" vertical="center"/>
    </xf>
    <xf numFmtId="0" fontId="10" fillId="0" borderId="11" xfId="0" applyFont="1" applyBorder="1" applyAlignment="1">
      <alignment horizontal="center" vertical="center"/>
    </xf>
    <xf numFmtId="166" fontId="10" fillId="0" borderId="11" xfId="4" applyNumberFormat="1" applyFont="1" applyBorder="1" applyAlignment="1">
      <alignment horizontal="center" vertical="center"/>
    </xf>
    <xf numFmtId="165" fontId="10" fillId="0" borderId="10" xfId="4" applyNumberFormat="1" applyFont="1" applyBorder="1" applyAlignment="1">
      <alignment horizontal="center" vertical="center"/>
    </xf>
    <xf numFmtId="0" fontId="10" fillId="0" borderId="3" xfId="4" applyFont="1" applyBorder="1" applyAlignment="1">
      <alignment vertical="center" wrapText="1"/>
    </xf>
    <xf numFmtId="0" fontId="10" fillId="0" borderId="10" xfId="4" applyFont="1" applyBorder="1" applyAlignment="1">
      <alignment horizontal="center" vertical="center" wrapText="1"/>
    </xf>
    <xf numFmtId="2" fontId="10" fillId="0" borderId="10" xfId="4" applyNumberFormat="1" applyFont="1" applyBorder="1" applyAlignment="1">
      <alignment horizontal="center" vertical="center"/>
    </xf>
    <xf numFmtId="0" fontId="10" fillId="0" borderId="14" xfId="0" applyFont="1" applyBorder="1" applyAlignment="1">
      <alignment horizontal="center" vertical="center" wrapText="1"/>
    </xf>
    <xf numFmtId="2" fontId="10" fillId="0" borderId="14" xfId="4" applyNumberFormat="1" applyFont="1" applyBorder="1" applyAlignment="1">
      <alignment horizontal="center" vertical="center"/>
    </xf>
    <xf numFmtId="164" fontId="10" fillId="0" borderId="14" xfId="4" applyNumberFormat="1" applyFont="1" applyBorder="1" applyAlignment="1">
      <alignment horizontal="center" vertical="center"/>
    </xf>
    <xf numFmtId="0" fontId="10" fillId="0" borderId="3" xfId="0" applyFont="1" applyBorder="1" applyAlignment="1">
      <alignment horizontal="left" vertical="center" wrapText="1"/>
    </xf>
    <xf numFmtId="0" fontId="10" fillId="0" borderId="3" xfId="0" applyFont="1" applyBorder="1" applyAlignment="1">
      <alignment horizontal="center" vertical="center" wrapText="1"/>
    </xf>
    <xf numFmtId="167" fontId="8" fillId="0" borderId="18" xfId="3" applyNumberFormat="1" applyFont="1" applyBorder="1" applyAlignment="1">
      <alignment vertical="center" wrapText="1"/>
    </xf>
    <xf numFmtId="0" fontId="8" fillId="0" borderId="18" xfId="3" applyFont="1" applyBorder="1" applyAlignment="1">
      <alignment horizontal="center" vertical="center"/>
    </xf>
    <xf numFmtId="0" fontId="10" fillId="0" borderId="0" xfId="0" applyFont="1" applyAlignment="1">
      <alignment horizontal="left" vertical="center" wrapText="1"/>
    </xf>
    <xf numFmtId="0" fontId="10" fillId="0" borderId="3" xfId="3" applyFont="1" applyBorder="1" applyAlignment="1">
      <alignment horizontal="center" vertical="center" wrapText="1"/>
    </xf>
    <xf numFmtId="0" fontId="10" fillId="0" borderId="3" xfId="3" applyFont="1" applyBorder="1" applyAlignment="1">
      <alignment horizontal="left" vertical="center" wrapText="1"/>
    </xf>
    <xf numFmtId="0" fontId="10" fillId="3" borderId="3" xfId="4" applyFont="1" applyFill="1" applyBorder="1" applyAlignment="1">
      <alignment horizontal="center" vertical="center"/>
    </xf>
    <xf numFmtId="0" fontId="10" fillId="0" borderId="4" xfId="4" applyFont="1" applyBorder="1" applyAlignment="1">
      <alignment vertical="center" wrapText="1"/>
    </xf>
    <xf numFmtId="0" fontId="10" fillId="0" borderId="12" xfId="4" applyFont="1" applyBorder="1" applyAlignment="1">
      <alignment horizontal="center" vertical="center" wrapText="1"/>
    </xf>
    <xf numFmtId="2" fontId="10" fillId="0" borderId="12" xfId="4" applyNumberFormat="1" applyFont="1" applyBorder="1" applyAlignment="1">
      <alignment horizontal="center" vertical="center"/>
    </xf>
    <xf numFmtId="165" fontId="10" fillId="0" borderId="12" xfId="4" applyNumberFormat="1" applyFont="1" applyBorder="1" applyAlignment="1">
      <alignment horizontal="center" vertical="center"/>
    </xf>
    <xf numFmtId="0" fontId="9" fillId="0" borderId="13" xfId="0" applyFont="1" applyBorder="1" applyAlignment="1">
      <alignment horizontal="center" vertical="center"/>
    </xf>
    <xf numFmtId="0" fontId="9" fillId="0" borderId="13" xfId="3" applyFont="1" applyBorder="1" applyAlignment="1">
      <alignment horizontal="left" vertical="center" wrapText="1"/>
    </xf>
    <xf numFmtId="0" fontId="10" fillId="0" borderId="10" xfId="3" applyFont="1" applyBorder="1" applyAlignment="1">
      <alignment horizontal="center" vertical="center" wrapText="1"/>
    </xf>
    <xf numFmtId="0" fontId="8" fillId="0" borderId="10" xfId="3" applyFont="1" applyBorder="1"/>
    <xf numFmtId="0" fontId="10" fillId="0" borderId="7" xfId="4" applyFont="1" applyBorder="1" applyAlignment="1">
      <alignment vertical="center" wrapText="1"/>
    </xf>
    <xf numFmtId="0" fontId="10" fillId="0" borderId="7" xfId="4" applyFont="1" applyBorder="1" applyAlignment="1">
      <alignment horizontal="center" vertical="center" wrapText="1"/>
    </xf>
    <xf numFmtId="0" fontId="10" fillId="0" borderId="0" xfId="0" applyFont="1" applyAlignment="1">
      <alignment horizontal="justify" vertical="center"/>
    </xf>
    <xf numFmtId="0" fontId="10" fillId="0" borderId="13" xfId="4" applyFont="1" applyBorder="1" applyAlignment="1">
      <alignment horizontal="center" vertical="center" wrapText="1"/>
    </xf>
    <xf numFmtId="0" fontId="10" fillId="0" borderId="19" xfId="0" applyFont="1" applyBorder="1" applyAlignment="1">
      <alignment horizontal="center" vertical="center" wrapText="1"/>
    </xf>
    <xf numFmtId="2" fontId="10" fillId="0" borderId="3" xfId="4" applyNumberFormat="1" applyFont="1" applyBorder="1" applyAlignment="1" applyProtection="1">
      <alignment horizontal="center" vertical="center"/>
      <protection locked="0"/>
    </xf>
    <xf numFmtId="165" fontId="10" fillId="0" borderId="3" xfId="4" applyNumberFormat="1" applyFont="1" applyBorder="1" applyAlignment="1" applyProtection="1">
      <alignment horizontal="center" vertical="center"/>
      <protection locked="0"/>
    </xf>
    <xf numFmtId="0" fontId="10" fillId="0" borderId="3" xfId="0" applyFont="1" applyBorder="1" applyAlignment="1">
      <alignment horizontal="justify" vertical="center"/>
    </xf>
    <xf numFmtId="0" fontId="10" fillId="0" borderId="20" xfId="0" applyFont="1" applyBorder="1" applyAlignment="1">
      <alignment horizontal="center" vertical="center" wrapText="1"/>
    </xf>
    <xf numFmtId="2" fontId="10" fillId="0" borderId="11" xfId="4" applyNumberFormat="1" applyFont="1" applyBorder="1" applyAlignment="1">
      <alignment horizontal="center" vertical="center"/>
    </xf>
    <xf numFmtId="0" fontId="10" fillId="0" borderId="12" xfId="3" applyFont="1" applyBorder="1" applyAlignment="1">
      <alignment horizontal="left" vertical="center" wrapText="1"/>
    </xf>
    <xf numFmtId="0" fontId="10" fillId="0" borderId="12" xfId="3" applyFont="1" applyBorder="1" applyAlignment="1">
      <alignment horizontal="center" vertical="center" wrapText="1"/>
    </xf>
    <xf numFmtId="2" fontId="10" fillId="0" borderId="12" xfId="4" applyNumberFormat="1" applyFont="1" applyBorder="1" applyAlignment="1" applyProtection="1">
      <alignment horizontal="center" vertical="center"/>
      <protection locked="0"/>
    </xf>
    <xf numFmtId="165" fontId="10" fillId="0" borderId="12" xfId="4" applyNumberFormat="1" applyFont="1" applyBorder="1" applyAlignment="1" applyProtection="1">
      <alignment horizontal="center" vertical="center"/>
      <protection locked="0"/>
    </xf>
    <xf numFmtId="1" fontId="9" fillId="0" borderId="10" xfId="4" applyNumberFormat="1" applyFont="1" applyBorder="1" applyAlignment="1">
      <alignment horizontal="center" vertical="center"/>
    </xf>
    <xf numFmtId="0" fontId="10" fillId="0" borderId="10" xfId="0" applyFont="1" applyBorder="1" applyAlignment="1">
      <alignment horizontal="center" vertical="center" wrapText="1"/>
    </xf>
    <xf numFmtId="2" fontId="10" fillId="0" borderId="10" xfId="4" applyNumberFormat="1" applyFont="1" applyBorder="1" applyAlignment="1" applyProtection="1">
      <alignment horizontal="center" vertical="center"/>
      <protection locked="0"/>
    </xf>
    <xf numFmtId="165" fontId="10" fillId="0" borderId="10" xfId="4" applyNumberFormat="1" applyFont="1" applyBorder="1" applyAlignment="1" applyProtection="1">
      <alignment horizontal="center" vertical="center"/>
      <protection locked="0"/>
    </xf>
    <xf numFmtId="0" fontId="10" fillId="0" borderId="22" xfId="0" applyFont="1" applyBorder="1" applyAlignment="1">
      <alignment horizontal="left" vertical="center" wrapText="1"/>
    </xf>
    <xf numFmtId="0" fontId="10" fillId="0" borderId="14" xfId="3" applyFont="1" applyBorder="1" applyAlignment="1">
      <alignment horizontal="center" vertical="center" wrapText="1"/>
    </xf>
    <xf numFmtId="2" fontId="10" fillId="0" borderId="14" xfId="4" applyNumberFormat="1" applyFont="1" applyBorder="1" applyAlignment="1" applyProtection="1">
      <alignment horizontal="center" vertical="center"/>
      <protection locked="0"/>
    </xf>
    <xf numFmtId="165" fontId="10" fillId="0" borderId="14" xfId="4" applyNumberFormat="1" applyFont="1" applyBorder="1" applyAlignment="1" applyProtection="1">
      <alignment horizontal="center" vertical="center"/>
      <protection locked="0"/>
    </xf>
    <xf numFmtId="0" fontId="10" fillId="0" borderId="21" xfId="0" applyFont="1" applyBorder="1" applyAlignment="1">
      <alignment horizontal="center" vertical="center"/>
    </xf>
    <xf numFmtId="0" fontId="10" fillId="0" borderId="10" xfId="0" applyFont="1" applyBorder="1" applyAlignment="1">
      <alignment horizontal="center" vertical="center"/>
    </xf>
    <xf numFmtId="1" fontId="10" fillId="0" borderId="11" xfId="4" applyNumberFormat="1" applyFont="1" applyBorder="1" applyAlignment="1">
      <alignment horizontal="center" vertical="center"/>
    </xf>
    <xf numFmtId="0" fontId="10" fillId="0" borderId="23" xfId="0" applyFont="1" applyBorder="1" applyAlignment="1">
      <alignment horizontal="left" vertical="center" wrapText="1"/>
    </xf>
    <xf numFmtId="0" fontId="10" fillId="0" borderId="12" xfId="0" applyFont="1" applyBorder="1" applyAlignment="1">
      <alignment horizontal="justify" vertical="center"/>
    </xf>
    <xf numFmtId="0" fontId="10" fillId="0" borderId="12" xfId="0" applyFont="1" applyBorder="1" applyAlignment="1">
      <alignment horizontal="center" vertical="center"/>
    </xf>
    <xf numFmtId="0" fontId="10" fillId="0" borderId="5" xfId="0" applyFont="1" applyBorder="1" applyAlignment="1">
      <alignment horizontal="center" vertical="center"/>
    </xf>
    <xf numFmtId="165" fontId="10" fillId="0" borderId="5" xfId="4" applyNumberFormat="1" applyFont="1" applyBorder="1" applyAlignment="1" applyProtection="1">
      <alignment horizontal="center" vertical="center"/>
      <protection locked="0"/>
    </xf>
    <xf numFmtId="0" fontId="10" fillId="0" borderId="14" xfId="4" applyFont="1" applyBorder="1" applyAlignment="1">
      <alignment horizontal="center" vertical="center" wrapText="1"/>
    </xf>
    <xf numFmtId="0" fontId="10" fillId="0" borderId="14" xfId="0" applyFont="1" applyBorder="1" applyAlignment="1">
      <alignment horizontal="left" vertical="center" wrapText="1"/>
    </xf>
    <xf numFmtId="2" fontId="10" fillId="0" borderId="6" xfId="4" applyNumberFormat="1" applyFont="1" applyBorder="1" applyAlignment="1">
      <alignment horizontal="center" vertical="center"/>
    </xf>
    <xf numFmtId="2" fontId="10" fillId="0" borderId="4" xfId="4" applyNumberFormat="1" applyFont="1" applyBorder="1" applyAlignment="1">
      <alignment horizontal="center" vertical="center"/>
    </xf>
    <xf numFmtId="0" fontId="10" fillId="0" borderId="6" xfId="0" applyFont="1" applyBorder="1" applyAlignment="1">
      <alignment horizontal="justify" vertical="center"/>
    </xf>
    <xf numFmtId="0" fontId="9" fillId="0" borderId="10" xfId="4" applyFont="1" applyBorder="1" applyAlignment="1">
      <alignment vertical="center"/>
    </xf>
    <xf numFmtId="49" fontId="9" fillId="0" borderId="11" xfId="4" applyNumberFormat="1" applyFont="1" applyBorder="1" applyAlignment="1">
      <alignment horizontal="center" vertical="center" wrapText="1"/>
    </xf>
    <xf numFmtId="2" fontId="10" fillId="0" borderId="24" xfId="4" applyNumberFormat="1" applyFont="1" applyBorder="1" applyAlignment="1">
      <alignment horizontal="center" vertical="center"/>
    </xf>
    <xf numFmtId="0" fontId="10" fillId="0" borderId="25" xfId="0" applyFont="1" applyBorder="1" applyAlignment="1">
      <alignment horizontal="justify" vertical="center"/>
    </xf>
    <xf numFmtId="0" fontId="10" fillId="0" borderId="10" xfId="4" applyFont="1" applyBorder="1" applyAlignment="1">
      <alignment vertical="center"/>
    </xf>
    <xf numFmtId="0" fontId="10" fillId="0" borderId="11" xfId="4" applyFont="1" applyBorder="1" applyAlignment="1">
      <alignment horizontal="center" vertical="center" wrapText="1"/>
    </xf>
    <xf numFmtId="9" fontId="10" fillId="0" borderId="3" xfId="2" applyFont="1" applyFill="1" applyBorder="1" applyAlignment="1">
      <alignment horizontal="center" vertical="center" wrapText="1"/>
    </xf>
    <xf numFmtId="2" fontId="10" fillId="0" borderId="7" xfId="4" applyNumberFormat="1" applyFont="1" applyBorder="1" applyAlignment="1">
      <alignment horizontal="center" vertical="center"/>
    </xf>
    <xf numFmtId="0" fontId="10" fillId="0" borderId="9" xfId="0" applyFont="1" applyBorder="1" applyAlignment="1">
      <alignment horizontal="justify" vertical="center"/>
    </xf>
    <xf numFmtId="2" fontId="10" fillId="0" borderId="12" xfId="1" applyNumberFormat="1" applyFont="1" applyBorder="1" applyAlignment="1">
      <alignment horizontal="center" vertical="center"/>
    </xf>
    <xf numFmtId="0" fontId="9" fillId="2" borderId="7" xfId="4" applyFont="1" applyFill="1" applyBorder="1" applyAlignment="1">
      <alignment horizontal="center" vertical="center"/>
    </xf>
    <xf numFmtId="0" fontId="9" fillId="2" borderId="8" xfId="4" applyFont="1" applyFill="1" applyBorder="1" applyAlignment="1">
      <alignment vertical="center"/>
    </xf>
    <xf numFmtId="0" fontId="10" fillId="2" borderId="10" xfId="4" applyFont="1" applyFill="1" applyBorder="1"/>
    <xf numFmtId="0" fontId="12" fillId="2" borderId="10" xfId="6" applyFont="1" applyFill="1" applyBorder="1" applyAlignment="1" applyProtection="1"/>
    <xf numFmtId="167" fontId="8" fillId="0" borderId="14" xfId="3" applyNumberFormat="1" applyFont="1" applyBorder="1" applyAlignment="1">
      <alignment vertical="center" wrapText="1"/>
    </xf>
    <xf numFmtId="0" fontId="8" fillId="0" borderId="14" xfId="3" applyFont="1" applyBorder="1" applyAlignment="1">
      <alignment horizontal="center" vertical="center"/>
    </xf>
    <xf numFmtId="0" fontId="10" fillId="0" borderId="4" xfId="0" applyFont="1" applyBorder="1" applyAlignment="1">
      <alignment horizontal="center" vertical="center"/>
    </xf>
    <xf numFmtId="0" fontId="9" fillId="0" borderId="10" xfId="4" applyFont="1" applyBorder="1" applyAlignment="1" applyProtection="1">
      <alignment vertical="center"/>
      <protection locked="0"/>
    </xf>
    <xf numFmtId="49" fontId="9" fillId="0" borderId="11" xfId="4" applyNumberFormat="1" applyFont="1" applyBorder="1" applyAlignment="1" applyProtection="1">
      <alignment horizontal="center" vertical="center" wrapText="1"/>
      <protection locked="0"/>
    </xf>
    <xf numFmtId="0" fontId="10" fillId="0" borderId="24" xfId="0" applyFont="1" applyBorder="1" applyAlignment="1">
      <alignment horizontal="center" vertical="center"/>
    </xf>
    <xf numFmtId="0" fontId="10" fillId="0" borderId="7" xfId="0" applyFont="1" applyBorder="1" applyAlignment="1">
      <alignment horizontal="center" vertical="center"/>
    </xf>
    <xf numFmtId="0" fontId="9" fillId="2" borderId="0" xfId="4" applyFont="1" applyFill="1" applyAlignment="1">
      <alignment vertical="center"/>
    </xf>
    <xf numFmtId="0" fontId="10" fillId="2" borderId="5" xfId="4" applyFont="1" applyFill="1" applyBorder="1"/>
    <xf numFmtId="166" fontId="9" fillId="0" borderId="13" xfId="1" applyNumberFormat="1" applyFont="1" applyBorder="1" applyAlignment="1">
      <alignment horizontal="center" vertical="center"/>
    </xf>
    <xf numFmtId="2" fontId="9" fillId="0" borderId="13" xfId="1" applyNumberFormat="1" applyFont="1" applyBorder="1" applyAlignment="1">
      <alignment vertical="center"/>
    </xf>
    <xf numFmtId="166" fontId="10" fillId="0" borderId="10" xfId="1" applyNumberFormat="1" applyFont="1" applyBorder="1" applyAlignment="1">
      <alignment horizontal="left" vertical="center" indent="1"/>
    </xf>
    <xf numFmtId="166" fontId="10" fillId="0" borderId="3" xfId="1" applyNumberFormat="1" applyFont="1" applyBorder="1" applyAlignment="1">
      <alignment horizontal="center" vertical="center"/>
    </xf>
    <xf numFmtId="166" fontId="9" fillId="0" borderId="13" xfId="1" applyNumberFormat="1" applyFont="1" applyFill="1" applyBorder="1" applyAlignment="1">
      <alignment horizontal="center" vertical="center"/>
    </xf>
    <xf numFmtId="2" fontId="10" fillId="0" borderId="10" xfId="1" applyNumberFormat="1" applyFont="1" applyFill="1" applyBorder="1" applyAlignment="1">
      <alignment horizontal="center" vertical="center"/>
    </xf>
    <xf numFmtId="166" fontId="10" fillId="0" borderId="14" xfId="1" applyNumberFormat="1" applyFont="1" applyBorder="1" applyAlignment="1">
      <alignment horizontal="center" vertical="center"/>
    </xf>
    <xf numFmtId="0" fontId="10" fillId="0" borderId="13" xfId="3" applyFont="1" applyBorder="1" applyAlignment="1">
      <alignment horizontal="center" vertical="center" wrapText="1"/>
    </xf>
    <xf numFmtId="0" fontId="10" fillId="0" borderId="14" xfId="3" applyFont="1" applyBorder="1" applyAlignment="1">
      <alignment horizontal="left" vertical="center" wrapText="1"/>
    </xf>
    <xf numFmtId="0" fontId="10" fillId="0" borderId="3" xfId="4" applyFont="1" applyBorder="1" applyAlignment="1">
      <alignment horizontal="center" vertical="center"/>
    </xf>
    <xf numFmtId="0" fontId="10" fillId="0" borderId="12" xfId="0" applyFont="1" applyBorder="1" applyAlignment="1">
      <alignment vertical="center" wrapText="1"/>
    </xf>
    <xf numFmtId="0" fontId="10" fillId="3" borderId="19"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4" borderId="3" xfId="0" applyFont="1" applyFill="1" applyBorder="1" applyAlignment="1">
      <alignment horizontal="justify" vertical="center"/>
    </xf>
    <xf numFmtId="0" fontId="13" fillId="0" borderId="27" xfId="0" applyFont="1" applyBorder="1" applyAlignment="1">
      <alignment vertical="center"/>
    </xf>
    <xf numFmtId="0" fontId="10" fillId="0" borderId="26" xfId="0" applyFont="1" applyBorder="1" applyAlignment="1">
      <alignment horizontal="left" vertical="center" wrapText="1"/>
    </xf>
    <xf numFmtId="0" fontId="10" fillId="0" borderId="26" xfId="0" applyFont="1" applyBorder="1" applyAlignment="1">
      <alignment horizontal="center" vertical="center" wrapText="1"/>
    </xf>
    <xf numFmtId="0" fontId="13" fillId="0" borderId="23" xfId="0" applyFont="1" applyBorder="1" applyAlignment="1">
      <alignment vertical="center" wrapText="1"/>
    </xf>
    <xf numFmtId="0" fontId="9" fillId="0" borderId="13" xfId="0" applyFont="1" applyBorder="1" applyAlignment="1">
      <alignment horizontal="justify" vertical="center" wrapText="1"/>
    </xf>
    <xf numFmtId="0" fontId="9" fillId="3" borderId="10" xfId="4" applyFont="1" applyFill="1" applyBorder="1" applyAlignment="1">
      <alignment horizontal="center" vertical="center"/>
    </xf>
    <xf numFmtId="0" fontId="11" fillId="0" borderId="3" xfId="0" applyFont="1" applyBorder="1" applyAlignment="1">
      <alignment horizontal="center" vertical="center"/>
    </xf>
    <xf numFmtId="0" fontId="10" fillId="3" borderId="6" xfId="4" applyFont="1" applyFill="1" applyBorder="1" applyAlignment="1">
      <alignment horizontal="center" vertical="center"/>
    </xf>
    <xf numFmtId="0" fontId="10" fillId="3" borderId="4" xfId="4" applyFont="1" applyFill="1" applyBorder="1" applyAlignment="1">
      <alignment horizontal="center" vertical="center"/>
    </xf>
    <xf numFmtId="0" fontId="10" fillId="0" borderId="24" xfId="0" applyFont="1" applyBorder="1" applyAlignment="1">
      <alignment horizontal="justify" vertical="center"/>
    </xf>
    <xf numFmtId="0" fontId="10" fillId="3" borderId="24" xfId="4" applyFont="1" applyFill="1" applyBorder="1" applyAlignment="1">
      <alignment horizontal="center" vertical="center"/>
    </xf>
    <xf numFmtId="0" fontId="10" fillId="0" borderId="7" xfId="0" applyFont="1" applyBorder="1" applyAlignment="1">
      <alignment horizontal="justify" vertical="center"/>
    </xf>
    <xf numFmtId="0" fontId="9" fillId="0" borderId="14" xfId="4" applyFont="1" applyBorder="1" applyAlignment="1">
      <alignment horizontal="center" vertical="center"/>
    </xf>
    <xf numFmtId="0" fontId="9" fillId="2" borderId="24" xfId="4" applyFont="1" applyFill="1" applyBorder="1" applyAlignment="1">
      <alignment vertical="center"/>
    </xf>
    <xf numFmtId="0" fontId="9" fillId="2" borderId="5" xfId="4" applyFont="1" applyFill="1" applyBorder="1" applyAlignment="1">
      <alignment horizontal="center" vertical="center"/>
    </xf>
    <xf numFmtId="0" fontId="9" fillId="0" borderId="13" xfId="4" applyFont="1" applyBorder="1" applyAlignment="1">
      <alignment horizontal="center" vertical="center"/>
    </xf>
    <xf numFmtId="0" fontId="10" fillId="0" borderId="10" xfId="4" applyFont="1" applyBorder="1" applyAlignment="1">
      <alignment vertical="center" wrapText="1"/>
    </xf>
    <xf numFmtId="0" fontId="10" fillId="0" borderId="11" xfId="3" applyFont="1" applyBorder="1" applyAlignment="1">
      <alignment horizontal="center" vertical="center" wrapText="1"/>
    </xf>
    <xf numFmtId="0" fontId="10" fillId="0" borderId="18" xfId="0" applyFont="1" applyBorder="1" applyAlignment="1">
      <alignment horizontal="justify" vertical="center"/>
    </xf>
    <xf numFmtId="167" fontId="8" fillId="0" borderId="3" xfId="3" applyNumberFormat="1" applyFont="1" applyBorder="1" applyAlignment="1">
      <alignment vertical="center" wrapText="1"/>
    </xf>
    <xf numFmtId="0" fontId="11" fillId="0" borderId="3" xfId="0" applyFont="1" applyBorder="1" applyAlignment="1">
      <alignment horizontal="left" vertical="center"/>
    </xf>
    <xf numFmtId="0" fontId="11" fillId="0" borderId="28" xfId="0" applyFont="1" applyBorder="1" applyAlignment="1">
      <alignment horizontal="left" vertical="center" wrapText="1"/>
    </xf>
    <xf numFmtId="0" fontId="10" fillId="0" borderId="12" xfId="4" applyFont="1" applyBorder="1" applyAlignment="1">
      <alignment horizontal="center" vertical="center"/>
    </xf>
    <xf numFmtId="0" fontId="10" fillId="0" borderId="10" xfId="4" applyFont="1" applyBorder="1" applyAlignment="1">
      <alignment horizontal="center" vertical="center"/>
    </xf>
    <xf numFmtId="0" fontId="10" fillId="0" borderId="21" xfId="3" applyFont="1" applyBorder="1" applyAlignment="1">
      <alignment horizontal="left" vertical="center" wrapText="1"/>
    </xf>
    <xf numFmtId="0" fontId="10" fillId="0" borderId="21" xfId="3" applyFont="1" applyBorder="1" applyAlignment="1">
      <alignment horizontal="center" vertical="center" wrapText="1"/>
    </xf>
    <xf numFmtId="0" fontId="11" fillId="0" borderId="15" xfId="0" applyFont="1" applyBorder="1" applyAlignment="1">
      <alignment horizontal="left" vertical="center"/>
    </xf>
    <xf numFmtId="0" fontId="11" fillId="0" borderId="28" xfId="0" applyFont="1" applyBorder="1" applyAlignment="1">
      <alignment horizontal="center" vertical="center"/>
    </xf>
    <xf numFmtId="0" fontId="10" fillId="0" borderId="21" xfId="4" applyFont="1" applyBorder="1" applyAlignment="1">
      <alignment horizontal="center" vertical="center"/>
    </xf>
    <xf numFmtId="0" fontId="10" fillId="0" borderId="6" xfId="4" applyFont="1" applyBorder="1" applyAlignment="1">
      <alignment horizontal="center" vertical="center"/>
    </xf>
    <xf numFmtId="0" fontId="10" fillId="0" borderId="5" xfId="4" applyFont="1" applyBorder="1" applyAlignment="1">
      <alignment horizontal="center" vertical="center"/>
    </xf>
    <xf numFmtId="0" fontId="10" fillId="0" borderId="9" xfId="4" applyFont="1" applyBorder="1" applyAlignment="1">
      <alignment horizontal="center" vertical="center"/>
    </xf>
    <xf numFmtId="0" fontId="10" fillId="0" borderId="4" xfId="4" applyFont="1" applyBorder="1" applyAlignment="1">
      <alignment horizontal="center" vertical="center"/>
    </xf>
    <xf numFmtId="0" fontId="10" fillId="0" borderId="6" xfId="4" applyFont="1" applyBorder="1" applyAlignment="1">
      <alignment vertical="center" wrapText="1"/>
    </xf>
    <xf numFmtId="0" fontId="10" fillId="0" borderId="24" xfId="4" applyFont="1" applyBorder="1" applyAlignment="1">
      <alignment horizontal="center" vertical="center"/>
    </xf>
    <xf numFmtId="0" fontId="10" fillId="0" borderId="25" xfId="4" applyFont="1" applyBorder="1" applyAlignment="1">
      <alignment vertical="center" wrapText="1"/>
    </xf>
    <xf numFmtId="0" fontId="10" fillId="0" borderId="7" xfId="4" applyFont="1" applyBorder="1" applyAlignment="1">
      <alignment horizontal="center" vertical="center"/>
    </xf>
    <xf numFmtId="0" fontId="10" fillId="0" borderId="9" xfId="4" applyFont="1" applyBorder="1" applyAlignment="1">
      <alignment vertical="center" wrapText="1"/>
    </xf>
    <xf numFmtId="0" fontId="9" fillId="2" borderId="14" xfId="4" applyFont="1" applyFill="1" applyBorder="1" applyAlignment="1">
      <alignment horizontal="center" vertical="center"/>
    </xf>
    <xf numFmtId="0" fontId="10" fillId="0" borderId="8" xfId="3" applyFont="1" applyBorder="1" applyAlignment="1">
      <alignment horizontal="center" vertical="center" wrapText="1"/>
    </xf>
    <xf numFmtId="0" fontId="10" fillId="0" borderId="9" xfId="3" applyFont="1" applyBorder="1" applyAlignment="1">
      <alignment horizontal="center" vertical="center" wrapText="1"/>
    </xf>
    <xf numFmtId="0" fontId="8" fillId="0" borderId="7" xfId="4" applyFont="1" applyBorder="1" applyAlignment="1">
      <alignment vertical="center" wrapText="1"/>
    </xf>
    <xf numFmtId="0" fontId="10" fillId="0" borderId="6" xfId="3" applyFont="1" applyBorder="1" applyAlignment="1">
      <alignment horizontal="center" vertical="center" wrapText="1"/>
    </xf>
    <xf numFmtId="0" fontId="10" fillId="0" borderId="24" xfId="4" applyFont="1" applyBorder="1" applyAlignment="1">
      <alignment vertical="center" wrapText="1"/>
    </xf>
    <xf numFmtId="0" fontId="8" fillId="0" borderId="3" xfId="4" applyFont="1" applyBorder="1" applyAlignment="1">
      <alignment vertical="center" wrapText="1"/>
    </xf>
    <xf numFmtId="0" fontId="8" fillId="0" borderId="13" xfId="4" applyFont="1" applyBorder="1" applyAlignment="1">
      <alignment vertical="center" wrapText="1"/>
    </xf>
    <xf numFmtId="0" fontId="8" fillId="0" borderId="3" xfId="0" applyFont="1" applyBorder="1" applyAlignment="1">
      <alignment horizontal="center" vertical="center"/>
    </xf>
    <xf numFmtId="0" fontId="8" fillId="0" borderId="12" xfId="0" applyFont="1" applyBorder="1" applyAlignment="1">
      <alignment horizontal="center" vertical="center"/>
    </xf>
    <xf numFmtId="0" fontId="10" fillId="5" borderId="12" xfId="3" applyFont="1" applyFill="1" applyBorder="1" applyAlignment="1">
      <alignment horizontal="justify" vertical="center" wrapText="1"/>
    </xf>
    <xf numFmtId="0" fontId="8" fillId="0" borderId="10" xfId="0" applyFont="1" applyBorder="1"/>
    <xf numFmtId="0" fontId="8" fillId="0" borderId="9" xfId="0" applyFont="1" applyBorder="1" applyAlignment="1">
      <alignment horizontal="center" vertical="center"/>
    </xf>
    <xf numFmtId="2" fontId="10" fillId="0" borderId="11" xfId="1" applyNumberFormat="1" applyFont="1" applyFill="1" applyBorder="1" applyAlignment="1">
      <alignment horizontal="center" vertical="center"/>
    </xf>
    <xf numFmtId="2" fontId="10" fillId="0" borderId="3" xfId="1" applyNumberFormat="1" applyFont="1" applyFill="1" applyBorder="1" applyAlignment="1">
      <alignment horizontal="center" vertical="center"/>
    </xf>
    <xf numFmtId="0" fontId="8" fillId="0" borderId="25" xfId="0" applyFont="1" applyBorder="1" applyAlignment="1">
      <alignment horizontal="center" vertical="center"/>
    </xf>
    <xf numFmtId="2" fontId="9" fillId="0" borderId="10" xfId="1" applyNumberFormat="1" applyFont="1" applyFill="1" applyBorder="1" applyAlignment="1">
      <alignment horizontal="center" vertical="center"/>
    </xf>
    <xf numFmtId="2" fontId="10" fillId="0" borderId="5" xfId="1" applyNumberFormat="1" applyFont="1" applyFill="1" applyBorder="1" applyAlignment="1">
      <alignment horizontal="center" vertical="center"/>
    </xf>
    <xf numFmtId="2" fontId="9" fillId="0" borderId="5" xfId="1" applyNumberFormat="1" applyFont="1" applyFill="1" applyBorder="1" applyAlignment="1">
      <alignment horizontal="center" vertical="center"/>
    </xf>
    <xf numFmtId="0" fontId="9" fillId="0" borderId="13" xfId="0" applyFont="1" applyBorder="1" applyAlignment="1">
      <alignment horizontal="justify" vertical="center"/>
    </xf>
    <xf numFmtId="2" fontId="10" fillId="0" borderId="6" xfId="1" applyNumberFormat="1" applyFont="1" applyFill="1" applyBorder="1" applyAlignment="1">
      <alignment horizontal="center" vertical="center"/>
    </xf>
    <xf numFmtId="2" fontId="10" fillId="0" borderId="4" xfId="1" applyNumberFormat="1" applyFont="1" applyFill="1" applyBorder="1" applyAlignment="1">
      <alignment horizontal="center" vertical="center"/>
    </xf>
    <xf numFmtId="2" fontId="10" fillId="0" borderId="24" xfId="1" applyNumberFormat="1" applyFont="1" applyFill="1" applyBorder="1" applyAlignment="1">
      <alignment horizontal="center" vertical="center"/>
    </xf>
    <xf numFmtId="2" fontId="10" fillId="0" borderId="7" xfId="1" applyNumberFormat="1" applyFont="1" applyFill="1" applyBorder="1" applyAlignment="1">
      <alignment horizontal="center" vertical="center"/>
    </xf>
    <xf numFmtId="0" fontId="9" fillId="0" borderId="0" xfId="4" applyFont="1" applyAlignment="1">
      <alignment horizontal="center" vertical="center"/>
    </xf>
    <xf numFmtId="0" fontId="14" fillId="0" borderId="10" xfId="0" applyFont="1" applyBorder="1" applyAlignment="1">
      <alignment horizontal="center" vertical="center"/>
    </xf>
    <xf numFmtId="2" fontId="10" fillId="0" borderId="6" xfId="1" applyNumberFormat="1" applyFont="1" applyFill="1" applyBorder="1" applyAlignment="1">
      <alignment horizontal="left" vertical="center"/>
    </xf>
    <xf numFmtId="0" fontId="6" fillId="0" borderId="13" xfId="0" applyFont="1" applyBorder="1" applyAlignment="1">
      <alignment vertical="center"/>
    </xf>
    <xf numFmtId="0" fontId="8" fillId="0" borderId="14" xfId="3" applyFont="1" applyBorder="1" applyAlignment="1">
      <alignment vertical="center" wrapText="1"/>
    </xf>
    <xf numFmtId="0" fontId="8" fillId="0" borderId="7" xfId="3" applyFont="1" applyBorder="1" applyAlignment="1">
      <alignment horizontal="center" vertical="center" wrapText="1"/>
    </xf>
    <xf numFmtId="0" fontId="15" fillId="0" borderId="27" xfId="0" applyFont="1" applyBorder="1" applyAlignment="1">
      <alignment horizontal="center" vertical="center" wrapText="1"/>
    </xf>
    <xf numFmtId="0" fontId="11" fillId="0" borderId="29" xfId="0" applyFont="1" applyBorder="1" applyAlignment="1">
      <alignment horizontal="center" vertical="center"/>
    </xf>
    <xf numFmtId="0" fontId="10" fillId="0" borderId="5" xfId="4" applyFont="1" applyBorder="1" applyAlignment="1">
      <alignment vertical="center" wrapText="1"/>
    </xf>
    <xf numFmtId="0" fontId="8" fillId="0" borderId="14" xfId="3" applyFont="1" applyBorder="1" applyAlignment="1">
      <alignment horizontal="left" vertical="center" wrapText="1"/>
    </xf>
    <xf numFmtId="0" fontId="8" fillId="0" borderId="14" xfId="3" applyFont="1" applyBorder="1" applyAlignment="1">
      <alignment horizontal="center" vertical="center" wrapText="1"/>
    </xf>
    <xf numFmtId="0" fontId="6" fillId="0" borderId="13" xfId="3" applyFont="1" applyBorder="1" applyAlignment="1">
      <alignment vertical="center" wrapText="1"/>
    </xf>
    <xf numFmtId="0" fontId="8" fillId="0" borderId="10" xfId="3" applyFont="1" applyBorder="1" applyAlignment="1">
      <alignment horizontal="center" vertical="center" wrapText="1"/>
    </xf>
    <xf numFmtId="0" fontId="8" fillId="0" borderId="3" xfId="3" applyFont="1" applyBorder="1" applyAlignment="1">
      <alignment vertical="center" wrapText="1"/>
    </xf>
    <xf numFmtId="0" fontId="8" fillId="0" borderId="3" xfId="3" applyFont="1" applyBorder="1" applyAlignment="1">
      <alignment horizontal="center" vertical="center" wrapText="1"/>
    </xf>
    <xf numFmtId="0" fontId="11" fillId="0" borderId="15" xfId="0" applyFont="1" applyBorder="1" applyAlignment="1">
      <alignment horizontal="center"/>
    </xf>
    <xf numFmtId="0" fontId="9" fillId="2" borderId="13" xfId="4" applyFont="1" applyFill="1" applyBorder="1" applyAlignment="1">
      <alignment horizontal="center" vertical="center"/>
    </xf>
    <xf numFmtId="0" fontId="9" fillId="2" borderId="4" xfId="4" applyFont="1" applyFill="1" applyBorder="1" applyAlignment="1">
      <alignment vertical="center"/>
    </xf>
    <xf numFmtId="166" fontId="10" fillId="0" borderId="10" xfId="1" applyNumberFormat="1" applyFont="1" applyFill="1" applyBorder="1" applyAlignment="1">
      <alignment horizontal="left" vertical="center" indent="1"/>
    </xf>
    <xf numFmtId="2" fontId="9" fillId="0" borderId="8" xfId="1" applyNumberFormat="1" applyFont="1" applyFill="1" applyBorder="1" applyAlignment="1">
      <alignment horizontal="center" vertical="center"/>
    </xf>
    <xf numFmtId="0" fontId="16" fillId="0" borderId="13" xfId="0" applyFont="1" applyBorder="1" applyAlignment="1">
      <alignment horizontal="left" vertical="center" wrapText="1"/>
    </xf>
    <xf numFmtId="0" fontId="11" fillId="0" borderId="10" xfId="0" applyFont="1" applyBorder="1" applyAlignment="1">
      <alignment horizontal="center" vertical="center" wrapText="1"/>
    </xf>
    <xf numFmtId="0" fontId="11" fillId="0" borderId="14" xfId="0" applyFont="1" applyBorder="1" applyAlignment="1">
      <alignment horizontal="left" vertical="center" wrapText="1"/>
    </xf>
    <xf numFmtId="0" fontId="11" fillId="0" borderId="14" xfId="0" applyFont="1" applyBorder="1" applyAlignment="1">
      <alignment horizontal="center" vertical="center" wrapText="1"/>
    </xf>
    <xf numFmtId="0" fontId="10" fillId="0" borderId="3" xfId="0" applyFont="1" applyBorder="1" applyAlignment="1">
      <alignment horizontal="left" vertical="center"/>
    </xf>
    <xf numFmtId="0" fontId="8" fillId="0" borderId="9" xfId="0" applyFont="1" applyBorder="1" applyAlignment="1">
      <alignment horizontal="center"/>
    </xf>
    <xf numFmtId="0" fontId="10" fillId="0" borderId="3" xfId="0" applyFont="1" applyBorder="1" applyAlignment="1">
      <alignment vertical="center" wrapText="1"/>
    </xf>
    <xf numFmtId="0" fontId="10" fillId="0" borderId="3" xfId="0" applyFont="1" applyBorder="1" applyAlignment="1">
      <alignment vertical="center"/>
    </xf>
    <xf numFmtId="168" fontId="10" fillId="0" borderId="3" xfId="0" applyNumberFormat="1" applyFont="1" applyBorder="1" applyAlignment="1">
      <alignment horizontal="justify" vertical="center" wrapText="1"/>
    </xf>
    <xf numFmtId="0" fontId="10" fillId="0" borderId="6" xfId="0" applyFont="1" applyBorder="1" applyAlignment="1">
      <alignment vertical="center" wrapText="1"/>
    </xf>
    <xf numFmtId="0" fontId="10" fillId="0" borderId="25" xfId="0" applyFont="1" applyBorder="1" applyAlignment="1">
      <alignment vertical="center" wrapText="1"/>
    </xf>
    <xf numFmtId="0" fontId="10" fillId="3" borderId="7" xfId="4" applyFont="1" applyFill="1" applyBorder="1" applyAlignment="1">
      <alignment horizontal="center" vertical="center"/>
    </xf>
    <xf numFmtId="0" fontId="10" fillId="0" borderId="9" xfId="0" applyFont="1" applyBorder="1" applyAlignment="1">
      <alignment vertical="center" wrapText="1"/>
    </xf>
    <xf numFmtId="0" fontId="9" fillId="0" borderId="13" xfId="0" applyFont="1" applyBorder="1" applyAlignment="1" applyProtection="1">
      <alignment horizontal="justify" vertical="center"/>
      <protection locked="0"/>
    </xf>
    <xf numFmtId="0" fontId="9" fillId="0" borderId="10" xfId="4" applyFont="1" applyBorder="1" applyAlignment="1" applyProtection="1">
      <alignment horizontal="center" vertical="center"/>
      <protection locked="0"/>
    </xf>
    <xf numFmtId="0" fontId="8" fillId="0" borderId="8" xfId="0" applyFont="1" applyBorder="1"/>
    <xf numFmtId="0" fontId="10" fillId="3" borderId="10" xfId="4" applyFont="1" applyFill="1" applyBorder="1" applyAlignment="1">
      <alignment horizontal="center" vertical="center"/>
    </xf>
    <xf numFmtId="0" fontId="10" fillId="3" borderId="5" xfId="4" applyFont="1" applyFill="1" applyBorder="1" applyAlignment="1">
      <alignment horizontal="center" vertical="center"/>
    </xf>
    <xf numFmtId="0" fontId="9" fillId="2" borderId="10" xfId="4" applyFont="1" applyFill="1" applyBorder="1" applyAlignment="1">
      <alignment vertical="center"/>
    </xf>
    <xf numFmtId="0" fontId="9" fillId="0" borderId="7" xfId="4" applyFont="1" applyBorder="1" applyAlignment="1">
      <alignment vertical="center" wrapText="1"/>
    </xf>
    <xf numFmtId="0" fontId="10" fillId="0" borderId="8" xfId="4" applyFont="1" applyBorder="1" applyAlignment="1">
      <alignment horizontal="center" vertical="center" wrapText="1"/>
    </xf>
    <xf numFmtId="0" fontId="8" fillId="0" borderId="11" xfId="0" applyFont="1" applyBorder="1" applyAlignment="1">
      <alignment horizontal="center" vertical="center"/>
    </xf>
    <xf numFmtId="0" fontId="10" fillId="0" borderId="30" xfId="4" applyNumberFormat="1" applyFont="1" applyBorder="1" applyAlignment="1">
      <alignment vertical="center" wrapText="1"/>
    </xf>
    <xf numFmtId="0" fontId="10" fillId="0" borderId="3" xfId="4" applyNumberFormat="1" applyFont="1" applyBorder="1" applyAlignment="1">
      <alignment horizontal="center" vertical="center" wrapText="1"/>
    </xf>
    <xf numFmtId="0" fontId="17" fillId="0" borderId="6" xfId="0" applyFont="1" applyBorder="1" applyAlignment="1">
      <alignment horizontal="justify" vertical="center"/>
    </xf>
    <xf numFmtId="0" fontId="10" fillId="0" borderId="8" xfId="4" applyFont="1" applyBorder="1" applyAlignment="1">
      <alignment vertical="center"/>
    </xf>
    <xf numFmtId="49" fontId="9" fillId="0" borderId="9" xfId="4" applyNumberFormat="1" applyFont="1" applyBorder="1" applyAlignment="1">
      <alignment horizontal="center" vertical="center" wrapText="1"/>
    </xf>
    <xf numFmtId="0" fontId="10" fillId="0" borderId="0" xfId="4" applyFont="1"/>
    <xf numFmtId="0" fontId="10" fillId="0" borderId="0" xfId="0" applyFont="1"/>
    <xf numFmtId="44" fontId="10" fillId="0" borderId="14" xfId="1" applyFont="1" applyBorder="1" applyAlignment="1">
      <alignment horizontal="center" vertical="center"/>
    </xf>
    <xf numFmtId="44" fontId="10" fillId="0" borderId="0" xfId="0" applyNumberFormat="1" applyFont="1"/>
    <xf numFmtId="165" fontId="10" fillId="0" borderId="14" xfId="4" applyNumberFormat="1" applyFont="1" applyBorder="1" applyAlignment="1">
      <alignment horizontal="center" vertical="center"/>
    </xf>
    <xf numFmtId="164" fontId="10" fillId="0" borderId="12" xfId="4" applyNumberFormat="1" applyFont="1" applyBorder="1" applyAlignment="1">
      <alignment horizontal="center" vertical="center"/>
    </xf>
    <xf numFmtId="164" fontId="10" fillId="0" borderId="21" xfId="4" applyNumberFormat="1" applyFont="1" applyBorder="1" applyAlignment="1">
      <alignment horizontal="center" vertical="center"/>
    </xf>
    <xf numFmtId="44" fontId="10" fillId="0" borderId="0" xfId="1" applyFont="1"/>
    <xf numFmtId="165" fontId="10" fillId="0" borderId="3" xfId="4" applyNumberFormat="1" applyFont="1" applyFill="1" applyBorder="1" applyAlignment="1">
      <alignment horizontal="center" vertical="center"/>
    </xf>
    <xf numFmtId="165" fontId="10" fillId="8" borderId="3" xfId="4" applyNumberFormat="1" applyFont="1" applyFill="1" applyBorder="1" applyAlignment="1">
      <alignment horizontal="center" vertical="center"/>
    </xf>
    <xf numFmtId="165" fontId="10" fillId="0" borderId="21" xfId="4" applyNumberFormat="1" applyFont="1" applyBorder="1" applyAlignment="1" applyProtection="1">
      <alignment horizontal="center" vertical="center"/>
      <protection locked="0"/>
    </xf>
    <xf numFmtId="165" fontId="10" fillId="0" borderId="0" xfId="4" applyNumberFormat="1" applyFont="1" applyBorder="1" applyAlignment="1" applyProtection="1">
      <alignment horizontal="center" vertical="center"/>
      <protection locked="0"/>
    </xf>
    <xf numFmtId="9" fontId="10" fillId="0" borderId="0" xfId="2" applyFont="1" applyFill="1" applyBorder="1" applyAlignment="1">
      <alignment horizontal="center" vertical="center" wrapText="1"/>
    </xf>
    <xf numFmtId="165" fontId="10" fillId="0" borderId="0" xfId="4" applyNumberFormat="1" applyFont="1" applyBorder="1" applyAlignment="1">
      <alignment horizontal="center" vertical="center"/>
    </xf>
    <xf numFmtId="165" fontId="10" fillId="0" borderId="0" xfId="4" applyNumberFormat="1" applyFont="1" applyFill="1" applyBorder="1" applyAlignment="1">
      <alignment horizontal="center" vertical="center"/>
    </xf>
    <xf numFmtId="165" fontId="10" fillId="8" borderId="0" xfId="4" applyNumberFormat="1" applyFont="1" applyFill="1" applyBorder="1" applyAlignment="1">
      <alignment horizontal="center" vertical="center"/>
    </xf>
    <xf numFmtId="2" fontId="10" fillId="0" borderId="0" xfId="1" applyNumberFormat="1" applyFont="1" applyFill="1" applyBorder="1" applyAlignment="1">
      <alignment horizontal="center" vertical="center"/>
    </xf>
    <xf numFmtId="164" fontId="10" fillId="0" borderId="0" xfId="0" applyNumberFormat="1" applyFont="1"/>
    <xf numFmtId="164" fontId="10" fillId="0" borderId="0" xfId="2" applyNumberFormat="1" applyFont="1" applyFill="1" applyBorder="1" applyAlignment="1">
      <alignment horizontal="center" vertical="center" wrapText="1"/>
    </xf>
    <xf numFmtId="164" fontId="10" fillId="0" borderId="0" xfId="2" applyNumberFormat="1" applyFont="1" applyFill="1" applyAlignment="1">
      <alignment horizontal="center" vertical="center" wrapText="1"/>
    </xf>
    <xf numFmtId="0" fontId="18" fillId="0" borderId="0" xfId="0" applyFont="1" applyAlignment="1">
      <alignment vertical="center" wrapText="1"/>
    </xf>
    <xf numFmtId="164" fontId="9" fillId="0" borderId="0" xfId="0" applyNumberFormat="1" applyFont="1"/>
    <xf numFmtId="164" fontId="9" fillId="9" borderId="0" xfId="0" applyNumberFormat="1" applyFont="1" applyFill="1"/>
    <xf numFmtId="165" fontId="10" fillId="0" borderId="0" xfId="4" applyNumberFormat="1" applyFont="1" applyAlignment="1">
      <alignment horizontal="center" vertical="center"/>
    </xf>
    <xf numFmtId="44" fontId="10" fillId="0" borderId="3" xfId="1" applyFont="1" applyBorder="1" applyAlignment="1">
      <alignment horizontal="center" vertical="center"/>
    </xf>
    <xf numFmtId="165" fontId="15" fillId="10" borderId="27" xfId="0" applyNumberFormat="1" applyFont="1" applyFill="1" applyBorder="1" applyAlignment="1">
      <alignment vertical="center"/>
    </xf>
    <xf numFmtId="165" fontId="15" fillId="0" borderId="27" xfId="0" applyNumberFormat="1" applyFont="1" applyBorder="1" applyAlignment="1">
      <alignment vertical="center"/>
    </xf>
    <xf numFmtId="165" fontId="10" fillId="10" borderId="14" xfId="4" applyNumberFormat="1" applyFont="1" applyFill="1" applyBorder="1" applyAlignment="1" applyProtection="1">
      <alignment horizontal="center" vertical="center"/>
      <protection locked="0"/>
    </xf>
    <xf numFmtId="165" fontId="10" fillId="10" borderId="0" xfId="4" applyNumberFormat="1" applyFont="1" applyFill="1" applyBorder="1" applyAlignment="1" applyProtection="1">
      <alignment horizontal="center" vertical="center"/>
      <protection locked="0"/>
    </xf>
    <xf numFmtId="164" fontId="10" fillId="10" borderId="14" xfId="4" applyNumberFormat="1" applyFont="1" applyFill="1" applyBorder="1" applyAlignment="1">
      <alignment horizontal="center" vertical="center"/>
    </xf>
    <xf numFmtId="44" fontId="10" fillId="10" borderId="14" xfId="1" applyFont="1" applyFill="1" applyBorder="1" applyAlignment="1">
      <alignment horizontal="center" vertical="center"/>
    </xf>
    <xf numFmtId="164" fontId="10" fillId="0" borderId="11" xfId="4" applyNumberFormat="1" applyFont="1" applyBorder="1" applyAlignment="1">
      <alignment horizontal="center" vertical="center"/>
    </xf>
    <xf numFmtId="164" fontId="10" fillId="10" borderId="3" xfId="4" applyNumberFormat="1" applyFont="1" applyFill="1" applyBorder="1" applyAlignment="1">
      <alignment horizontal="center" vertical="center"/>
    </xf>
    <xf numFmtId="165" fontId="10" fillId="0" borderId="0" xfId="0" applyNumberFormat="1" applyFont="1"/>
    <xf numFmtId="165" fontId="10" fillId="0" borderId="0" xfId="2" applyNumberFormat="1" applyFont="1" applyFill="1" applyBorder="1" applyAlignment="1">
      <alignment horizontal="center" vertical="center" wrapText="1"/>
    </xf>
    <xf numFmtId="164" fontId="9" fillId="0" borderId="14" xfId="4" applyNumberFormat="1" applyFont="1" applyBorder="1" applyAlignment="1">
      <alignment horizontal="center" vertical="center"/>
    </xf>
    <xf numFmtId="170" fontId="7" fillId="0" borderId="0" xfId="0" applyNumberFormat="1" applyFont="1"/>
    <xf numFmtId="0" fontId="21" fillId="12" borderId="3" xfId="4" applyNumberFormat="1" applyFont="1" applyFill="1" applyBorder="1" applyAlignment="1">
      <alignment horizontal="center" vertical="center" wrapText="1"/>
    </xf>
    <xf numFmtId="44" fontId="10" fillId="0" borderId="3" xfId="1" applyFont="1" applyBorder="1"/>
    <xf numFmtId="164" fontId="10" fillId="0" borderId="3" xfId="0" applyNumberFormat="1" applyFont="1" applyBorder="1"/>
    <xf numFmtId="165" fontId="10" fillId="10" borderId="3" xfId="4" applyNumberFormat="1" applyFont="1" applyFill="1" applyBorder="1" applyAlignment="1" applyProtection="1">
      <alignment horizontal="center" vertical="center"/>
      <protection locked="0"/>
    </xf>
    <xf numFmtId="170" fontId="9" fillId="0" borderId="14" xfId="4" applyNumberFormat="1" applyFont="1" applyBorder="1" applyAlignment="1">
      <alignment horizontal="center" vertical="center"/>
    </xf>
    <xf numFmtId="0" fontId="5" fillId="0" borderId="0" xfId="3" applyFont="1" applyBorder="1" applyAlignment="1">
      <alignment horizontal="center" vertical="center" wrapText="1"/>
    </xf>
    <xf numFmtId="44" fontId="10" fillId="0" borderId="18" xfId="1" applyNumberFormat="1" applyFont="1" applyBorder="1" applyAlignment="1">
      <alignment horizontal="center" vertical="center"/>
    </xf>
    <xf numFmtId="44" fontId="10" fillId="4" borderId="3" xfId="1" applyNumberFormat="1" applyFont="1" applyFill="1" applyBorder="1" applyAlignment="1">
      <alignment horizontal="center" vertical="center"/>
    </xf>
    <xf numFmtId="165" fontId="15" fillId="4" borderId="27" xfId="0" applyNumberFormat="1" applyFont="1" applyFill="1" applyBorder="1" applyAlignment="1">
      <alignment vertical="center"/>
    </xf>
    <xf numFmtId="0" fontId="5" fillId="0" borderId="3" xfId="3" applyFont="1" applyBorder="1" applyAlignment="1">
      <alignment horizontal="center" vertical="center" wrapText="1"/>
    </xf>
    <xf numFmtId="0" fontId="7" fillId="0" borderId="0" xfId="0" applyFont="1" applyAlignment="1">
      <alignment horizontal="center" vertical="center"/>
    </xf>
    <xf numFmtId="0" fontId="9" fillId="0" borderId="10" xfId="4" applyFont="1" applyBorder="1" applyAlignment="1">
      <alignment horizontal="center" vertical="center" wrapText="1"/>
    </xf>
    <xf numFmtId="171" fontId="10" fillId="0" borderId="3" xfId="3" applyNumberFormat="1" applyFont="1" applyBorder="1" applyAlignment="1">
      <alignment vertical="center"/>
    </xf>
    <xf numFmtId="172" fontId="7" fillId="0" borderId="0" xfId="1" applyNumberFormat="1" applyFont="1" applyAlignment="1">
      <alignment horizontal="center" vertical="center"/>
    </xf>
    <xf numFmtId="44" fontId="7" fillId="0" borderId="0" xfId="0" applyNumberFormat="1" applyFont="1"/>
    <xf numFmtId="0" fontId="9" fillId="0" borderId="14" xfId="4" applyFont="1" applyBorder="1" applyAlignment="1">
      <alignment horizontal="center" vertical="center" wrapText="1"/>
    </xf>
    <xf numFmtId="165" fontId="10" fillId="0" borderId="27" xfId="0" applyNumberFormat="1" applyFont="1" applyBorder="1" applyAlignment="1">
      <alignment vertical="center"/>
    </xf>
    <xf numFmtId="0" fontId="10" fillId="0" borderId="3" xfId="5" applyFont="1" applyBorder="1"/>
    <xf numFmtId="44" fontId="11" fillId="0" borderId="3" xfId="1" applyFont="1" applyFill="1" applyBorder="1" applyAlignment="1">
      <alignment horizontal="center" vertical="center" wrapText="1"/>
    </xf>
    <xf numFmtId="0" fontId="9" fillId="0" borderId="13" xfId="4" applyFont="1" applyFill="1" applyBorder="1" applyAlignment="1">
      <alignment vertical="center" wrapText="1"/>
    </xf>
    <xf numFmtId="164" fontId="10" fillId="0" borderId="10" xfId="4" applyNumberFormat="1" applyFont="1" applyBorder="1" applyAlignment="1">
      <alignment horizontal="center" vertical="center"/>
    </xf>
    <xf numFmtId="164" fontId="10" fillId="0" borderId="0" xfId="4" applyNumberFormat="1" applyFont="1" applyAlignment="1">
      <alignment horizontal="center" vertical="center"/>
    </xf>
    <xf numFmtId="165" fontId="15" fillId="0" borderId="27" xfId="0" applyNumberFormat="1" applyFont="1" applyBorder="1" applyAlignment="1">
      <alignment horizontal="center" vertical="center"/>
    </xf>
    <xf numFmtId="0" fontId="9" fillId="0" borderId="13" xfId="3" applyFont="1" applyFill="1" applyBorder="1" applyAlignment="1">
      <alignment horizontal="left" vertical="center" wrapText="1"/>
    </xf>
    <xf numFmtId="165" fontId="15" fillId="3" borderId="27" xfId="0" applyNumberFormat="1" applyFont="1" applyFill="1" applyBorder="1" applyAlignment="1">
      <alignment vertical="center"/>
    </xf>
    <xf numFmtId="44" fontId="11" fillId="5" borderId="3" xfId="1" applyFont="1" applyFill="1" applyBorder="1" applyAlignment="1">
      <alignment horizontal="center" vertical="center" wrapText="1"/>
    </xf>
    <xf numFmtId="164" fontId="9" fillId="0" borderId="9" xfId="4" applyNumberFormat="1" applyFont="1" applyBorder="1" applyAlignment="1">
      <alignment horizontal="center" vertical="center"/>
    </xf>
    <xf numFmtId="164" fontId="10" fillId="0" borderId="9" xfId="4" applyNumberFormat="1" applyFont="1" applyBorder="1" applyAlignment="1">
      <alignment horizontal="center" vertical="center"/>
    </xf>
    <xf numFmtId="44" fontId="7" fillId="8" borderId="0" xfId="1" applyFont="1" applyFill="1" applyAlignment="1">
      <alignment horizontal="center" vertical="center"/>
    </xf>
    <xf numFmtId="0" fontId="10" fillId="2" borderId="11" xfId="4" applyFont="1" applyFill="1" applyBorder="1"/>
    <xf numFmtId="44" fontId="23" fillId="8" borderId="0" xfId="1" applyFont="1" applyFill="1"/>
    <xf numFmtId="44" fontId="10" fillId="0" borderId="14" xfId="1" applyFont="1" applyBorder="1" applyAlignment="1">
      <alignment vertical="center"/>
    </xf>
    <xf numFmtId="166" fontId="10" fillId="0" borderId="3" xfId="1" applyNumberFormat="1" applyFont="1" applyBorder="1" applyAlignment="1">
      <alignment horizontal="left" vertical="center" indent="1"/>
    </xf>
    <xf numFmtId="166" fontId="10" fillId="0" borderId="12" xfId="1" applyNumberFormat="1" applyFont="1" applyBorder="1" applyAlignment="1">
      <alignment horizontal="left" vertical="center" indent="1"/>
    </xf>
    <xf numFmtId="44" fontId="7" fillId="8" borderId="0" xfId="1" applyFont="1" applyFill="1"/>
    <xf numFmtId="44" fontId="10" fillId="0" borderId="13" xfId="1" applyFont="1" applyBorder="1" applyAlignment="1">
      <alignment vertical="center" wrapText="1"/>
    </xf>
    <xf numFmtId="2" fontId="10" fillId="0" borderId="12" xfId="1" applyNumberFormat="1" applyFont="1" applyFill="1" applyBorder="1" applyAlignment="1">
      <alignment horizontal="center" vertical="center"/>
    </xf>
    <xf numFmtId="2" fontId="10" fillId="0" borderId="14" xfId="1" applyNumberFormat="1" applyFont="1" applyFill="1" applyBorder="1" applyAlignment="1">
      <alignment horizontal="center" vertical="center"/>
    </xf>
    <xf numFmtId="2" fontId="10" fillId="0" borderId="8" xfId="1" applyNumberFormat="1" applyFont="1" applyFill="1" applyBorder="1" applyAlignment="1">
      <alignment horizontal="center" vertical="center"/>
    </xf>
    <xf numFmtId="0" fontId="9" fillId="0" borderId="3" xfId="4" applyFont="1" applyBorder="1" applyAlignment="1">
      <alignment horizontal="center" vertical="center"/>
    </xf>
    <xf numFmtId="44" fontId="24" fillId="5" borderId="3" xfId="1" applyFont="1" applyFill="1" applyBorder="1" applyAlignment="1">
      <alignment horizontal="center" vertical="center" wrapText="1"/>
    </xf>
    <xf numFmtId="173" fontId="2" fillId="5" borderId="3" xfId="3" applyNumberFormat="1" applyFill="1" applyBorder="1" applyAlignment="1">
      <alignment vertical="center" wrapText="1"/>
    </xf>
    <xf numFmtId="0" fontId="10" fillId="0" borderId="11" xfId="4" applyFont="1" applyBorder="1" applyAlignment="1" applyProtection="1">
      <alignment horizontal="center" vertical="center"/>
      <protection locked="0"/>
    </xf>
    <xf numFmtId="0" fontId="9" fillId="2" borderId="11" xfId="4" applyFont="1" applyFill="1" applyBorder="1" applyAlignment="1">
      <alignment vertical="center"/>
    </xf>
    <xf numFmtId="165" fontId="9" fillId="0" borderId="14" xfId="4" applyNumberFormat="1" applyFont="1" applyBorder="1" applyAlignment="1">
      <alignment horizontal="center" vertical="center" wrapText="1"/>
    </xf>
    <xf numFmtId="2" fontId="10" fillId="0" borderId="3" xfId="4" applyNumberFormat="1" applyFont="1" applyBorder="1" applyAlignment="1">
      <alignment horizontal="center" vertical="center" wrapText="1"/>
    </xf>
    <xf numFmtId="165" fontId="9" fillId="0" borderId="12" xfId="4" applyNumberFormat="1" applyFont="1" applyBorder="1" applyAlignment="1">
      <alignment horizontal="center" vertical="center" wrapText="1"/>
    </xf>
    <xf numFmtId="0" fontId="10" fillId="6" borderId="0" xfId="4" applyFont="1" applyFill="1"/>
    <xf numFmtId="164" fontId="10" fillId="6" borderId="0" xfId="4" applyNumberFormat="1" applyFont="1" applyFill="1"/>
    <xf numFmtId="44" fontId="7" fillId="8" borderId="0" xfId="0" applyNumberFormat="1" applyFont="1" applyFill="1"/>
    <xf numFmtId="165" fontId="10" fillId="4" borderId="27" xfId="0" applyNumberFormat="1" applyFont="1" applyFill="1" applyBorder="1" applyAlignment="1">
      <alignment vertical="center"/>
    </xf>
    <xf numFmtId="44" fontId="11" fillId="5" borderId="3" xfId="1" applyNumberFormat="1" applyFont="1" applyFill="1" applyBorder="1" applyAlignment="1">
      <alignment horizontal="center" vertical="center" wrapText="1"/>
    </xf>
    <xf numFmtId="44" fontId="10" fillId="0" borderId="18" xfId="1" applyNumberFormat="1" applyFont="1" applyBorder="1" applyAlignment="1">
      <alignment vertical="center"/>
    </xf>
    <xf numFmtId="165" fontId="15" fillId="4" borderId="27" xfId="0" applyNumberFormat="1" applyFont="1" applyFill="1" applyBorder="1" applyAlignment="1">
      <alignment horizontal="center" vertical="center"/>
    </xf>
    <xf numFmtId="44" fontId="11" fillId="4" borderId="3" xfId="1" applyNumberFormat="1" applyFont="1" applyFill="1" applyBorder="1" applyAlignment="1">
      <alignment horizontal="center" vertical="center" wrapText="1"/>
    </xf>
    <xf numFmtId="171" fontId="10" fillId="4" borderId="3" xfId="3" applyNumberFormat="1" applyFont="1" applyFill="1" applyBorder="1" applyAlignment="1">
      <alignment vertical="center"/>
    </xf>
    <xf numFmtId="44" fontId="24" fillId="5" borderId="3" xfId="1" applyNumberFormat="1" applyFont="1" applyFill="1" applyBorder="1" applyAlignment="1">
      <alignment horizontal="center" vertical="center" wrapText="1"/>
    </xf>
    <xf numFmtId="173" fontId="2" fillId="5" borderId="3" xfId="3" applyNumberFormat="1" applyFont="1" applyFill="1" applyBorder="1" applyAlignment="1">
      <alignment vertical="center" wrapText="1"/>
    </xf>
    <xf numFmtId="0" fontId="0" fillId="0" borderId="0" xfId="0" applyAlignment="1">
      <alignment wrapText="1"/>
    </xf>
    <xf numFmtId="0" fontId="10" fillId="0" borderId="0" xfId="0" applyFont="1" applyAlignment="1">
      <alignment horizontal="center"/>
    </xf>
    <xf numFmtId="10" fontId="0" fillId="0" borderId="0" xfId="0" applyNumberFormat="1"/>
    <xf numFmtId="174" fontId="10" fillId="0" borderId="0" xfId="1" applyNumberFormat="1" applyFont="1" applyAlignment="1">
      <alignment vertical="center"/>
    </xf>
    <xf numFmtId="0" fontId="26" fillId="0" borderId="0" xfId="0" applyFont="1"/>
    <xf numFmtId="0" fontId="26" fillId="0" borderId="0" xfId="0" applyFont="1" applyAlignment="1">
      <alignment horizontal="center" vertical="center"/>
    </xf>
    <xf numFmtId="0" fontId="26" fillId="0" borderId="3" xfId="0" applyFont="1" applyBorder="1"/>
    <xf numFmtId="0" fontId="27" fillId="0" borderId="3" xfId="4" applyFont="1" applyBorder="1" applyAlignment="1">
      <alignment horizontal="center" vertical="center"/>
    </xf>
    <xf numFmtId="0" fontId="26" fillId="0" borderId="3" xfId="0" applyFont="1" applyBorder="1" applyAlignment="1">
      <alignment horizontal="center" vertical="center"/>
    </xf>
    <xf numFmtId="0" fontId="27" fillId="0" borderId="3" xfId="4" applyFont="1" applyBorder="1" applyAlignment="1">
      <alignment horizontal="left" vertical="center" indent="1"/>
    </xf>
    <xf numFmtId="0" fontId="27" fillId="0" borderId="3" xfId="4" applyFont="1" applyBorder="1" applyAlignment="1">
      <alignment vertical="center" wrapText="1"/>
    </xf>
    <xf numFmtId="2" fontId="27" fillId="0" borderId="3" xfId="4" applyNumberFormat="1" applyFont="1" applyBorder="1" applyAlignment="1">
      <alignment vertical="center"/>
    </xf>
    <xf numFmtId="0" fontId="27" fillId="0" borderId="3" xfId="4" applyFont="1" applyBorder="1" applyAlignment="1">
      <alignment horizontal="center" vertical="center" wrapText="1"/>
    </xf>
    <xf numFmtId="164" fontId="26" fillId="0" borderId="3" xfId="0" applyNumberFormat="1" applyFont="1" applyBorder="1"/>
    <xf numFmtId="0" fontId="26" fillId="0" borderId="3" xfId="4" applyFont="1" applyBorder="1" applyAlignment="1">
      <alignment horizontal="center" vertical="center"/>
    </xf>
    <xf numFmtId="0" fontId="26" fillId="0" borderId="3" xfId="0" applyFont="1" applyBorder="1" applyAlignment="1">
      <alignment horizontal="justify" vertical="center"/>
    </xf>
    <xf numFmtId="2" fontId="26" fillId="0" borderId="3" xfId="4" applyNumberFormat="1" applyFont="1" applyBorder="1" applyAlignment="1">
      <alignment horizontal="center" vertical="center"/>
    </xf>
    <xf numFmtId="164" fontId="26" fillId="0" borderId="3" xfId="4" applyNumberFormat="1" applyFont="1" applyBorder="1" applyAlignment="1">
      <alignment horizontal="center" vertical="center"/>
    </xf>
    <xf numFmtId="44" fontId="26" fillId="0" borderId="3" xfId="1" applyFont="1" applyBorder="1" applyAlignment="1">
      <alignment horizontal="center" vertical="center"/>
    </xf>
    <xf numFmtId="171" fontId="26" fillId="0" borderId="3" xfId="3" applyNumberFormat="1" applyFont="1" applyBorder="1" applyAlignment="1">
      <alignment vertical="center"/>
    </xf>
    <xf numFmtId="165" fontId="26" fillId="0" borderId="3" xfId="0" applyNumberFormat="1" applyFont="1" applyBorder="1" applyAlignment="1">
      <alignment vertical="center"/>
    </xf>
    <xf numFmtId="165" fontId="26" fillId="0" borderId="3" xfId="4" applyNumberFormat="1" applyFont="1" applyBorder="1" applyAlignment="1">
      <alignment horizontal="center" vertical="center"/>
    </xf>
    <xf numFmtId="0" fontId="26" fillId="3" borderId="3" xfId="4" applyFont="1" applyFill="1" applyBorder="1" applyAlignment="1">
      <alignment horizontal="center" vertical="center"/>
    </xf>
    <xf numFmtId="2" fontId="26" fillId="0" borderId="3" xfId="1" applyNumberFormat="1" applyFont="1" applyBorder="1" applyAlignment="1">
      <alignment horizontal="center" vertical="center"/>
    </xf>
    <xf numFmtId="0" fontId="26" fillId="0" borderId="3" xfId="4" applyFont="1" applyBorder="1" applyAlignment="1">
      <alignment horizontal="center" vertical="center" wrapText="1"/>
    </xf>
    <xf numFmtId="0" fontId="26" fillId="0" borderId="3" xfId="0" applyFont="1" applyBorder="1" applyAlignment="1">
      <alignment horizontal="justify" vertical="center" wrapText="1"/>
    </xf>
    <xf numFmtId="0" fontId="26" fillId="0" borderId="3" xfId="4" applyFont="1" applyBorder="1" applyAlignment="1">
      <alignment vertical="center" wrapText="1"/>
    </xf>
    <xf numFmtId="0" fontId="27" fillId="0" borderId="3" xfId="0" applyFont="1" applyBorder="1" applyAlignment="1">
      <alignment horizontal="center" vertical="center"/>
    </xf>
    <xf numFmtId="0" fontId="24" fillId="0" borderId="3" xfId="0" applyFont="1" applyBorder="1" applyAlignment="1">
      <alignment horizontal="left" vertical="center" wrapText="1"/>
    </xf>
    <xf numFmtId="0" fontId="24" fillId="0" borderId="3" xfId="0" applyFont="1" applyBorder="1" applyAlignment="1">
      <alignment horizontal="center" vertical="center"/>
    </xf>
    <xf numFmtId="166" fontId="26" fillId="0" borderId="3" xfId="4" applyNumberFormat="1" applyFont="1" applyBorder="1" applyAlignment="1">
      <alignment horizontal="center" vertical="center"/>
    </xf>
    <xf numFmtId="0" fontId="26" fillId="0" borderId="3" xfId="0" applyFont="1" applyBorder="1" applyAlignment="1">
      <alignment horizontal="center" vertical="center" wrapText="1"/>
    </xf>
    <xf numFmtId="0" fontId="26" fillId="0" borderId="3" xfId="0" applyFont="1" applyBorder="1" applyAlignment="1">
      <alignment horizontal="left" vertical="center" wrapText="1"/>
    </xf>
    <xf numFmtId="167" fontId="2" fillId="0" borderId="3" xfId="3" applyNumberFormat="1" applyFont="1" applyBorder="1" applyAlignment="1">
      <alignment vertical="center" wrapText="1"/>
    </xf>
    <xf numFmtId="0" fontId="2" fillId="0" borderId="3" xfId="3" applyFont="1" applyBorder="1" applyAlignment="1">
      <alignment horizontal="center" vertical="center"/>
    </xf>
    <xf numFmtId="0" fontId="26" fillId="0" borderId="3" xfId="3" applyFont="1" applyBorder="1" applyAlignment="1">
      <alignment horizontal="center" vertical="center" wrapText="1"/>
    </xf>
    <xf numFmtId="0" fontId="26" fillId="0" borderId="3" xfId="3" applyFont="1" applyBorder="1" applyAlignment="1">
      <alignment horizontal="left" vertical="center" wrapText="1"/>
    </xf>
    <xf numFmtId="2" fontId="26" fillId="0" borderId="3" xfId="4" applyNumberFormat="1" applyFont="1" applyBorder="1" applyAlignment="1" applyProtection="1">
      <alignment horizontal="center" vertical="center"/>
      <protection locked="0"/>
    </xf>
    <xf numFmtId="165" fontId="26" fillId="0" borderId="3" xfId="4" applyNumberFormat="1" applyFont="1" applyBorder="1" applyAlignment="1" applyProtection="1">
      <alignment horizontal="center" vertical="center"/>
      <protection locked="0"/>
    </xf>
    <xf numFmtId="165" fontId="26" fillId="10" borderId="3" xfId="0" applyNumberFormat="1" applyFont="1" applyFill="1" applyBorder="1" applyAlignment="1">
      <alignment vertical="center"/>
    </xf>
    <xf numFmtId="165" fontId="26" fillId="10" borderId="3" xfId="4" applyNumberFormat="1" applyFont="1" applyFill="1" applyBorder="1" applyAlignment="1" applyProtection="1">
      <alignment horizontal="center" vertical="center"/>
      <protection locked="0"/>
    </xf>
    <xf numFmtId="44" fontId="26" fillId="0" borderId="3" xfId="1" applyFont="1" applyBorder="1"/>
    <xf numFmtId="1" fontId="26" fillId="0" borderId="3" xfId="4" applyNumberFormat="1" applyFont="1" applyBorder="1" applyAlignment="1">
      <alignment horizontal="center" vertical="center"/>
    </xf>
    <xf numFmtId="9" fontId="26" fillId="0" borderId="3" xfId="2" applyFont="1" applyFill="1" applyBorder="1" applyAlignment="1">
      <alignment horizontal="center" vertical="center" wrapText="1"/>
    </xf>
    <xf numFmtId="164" fontId="26" fillId="0" borderId="3" xfId="2" applyNumberFormat="1" applyFont="1" applyFill="1" applyBorder="1" applyAlignment="1">
      <alignment horizontal="center" vertical="center" wrapText="1"/>
    </xf>
    <xf numFmtId="0" fontId="27" fillId="2" borderId="3" xfId="4" applyFont="1" applyFill="1" applyBorder="1" applyAlignment="1">
      <alignment horizontal="center" vertical="center"/>
    </xf>
    <xf numFmtId="0" fontId="27" fillId="2" borderId="3" xfId="4" applyFont="1" applyFill="1" applyBorder="1" applyAlignment="1">
      <alignment vertical="center"/>
    </xf>
    <xf numFmtId="165" fontId="26" fillId="0" borderId="3" xfId="4" applyNumberFormat="1" applyFont="1" applyFill="1" applyBorder="1" applyAlignment="1">
      <alignment horizontal="center" vertical="center"/>
    </xf>
    <xf numFmtId="164" fontId="26" fillId="0" borderId="0" xfId="0" applyNumberFormat="1" applyFont="1"/>
    <xf numFmtId="166" fontId="26" fillId="0" borderId="3" xfId="1" applyNumberFormat="1" applyFont="1" applyBorder="1" applyAlignment="1">
      <alignment horizontal="center" vertical="center"/>
    </xf>
    <xf numFmtId="0" fontId="26" fillId="4" borderId="3" xfId="0" applyFont="1" applyFill="1" applyBorder="1" applyAlignment="1">
      <alignment horizontal="justify" vertical="center"/>
    </xf>
    <xf numFmtId="0" fontId="24" fillId="0" borderId="3" xfId="0" applyFont="1" applyBorder="1" applyAlignment="1">
      <alignment horizontal="left" vertical="center"/>
    </xf>
    <xf numFmtId="0" fontId="2" fillId="0" borderId="3" xfId="4" applyFont="1" applyBorder="1" applyAlignment="1">
      <alignment vertical="center" wrapText="1"/>
    </xf>
    <xf numFmtId="0" fontId="2" fillId="0" borderId="3" xfId="0" applyFont="1" applyBorder="1" applyAlignment="1">
      <alignment horizontal="center" vertical="center"/>
    </xf>
    <xf numFmtId="2" fontId="26" fillId="0" borderId="3" xfId="1" applyNumberFormat="1" applyFont="1" applyFill="1" applyBorder="1" applyAlignment="1">
      <alignment horizontal="center" vertical="center"/>
    </xf>
    <xf numFmtId="164" fontId="26" fillId="10" borderId="3" xfId="4" applyNumberFormat="1" applyFont="1" applyFill="1" applyBorder="1" applyAlignment="1">
      <alignment horizontal="center" vertical="center"/>
    </xf>
    <xf numFmtId="0" fontId="2" fillId="0" borderId="3" xfId="3" applyFont="1" applyBorder="1" applyAlignment="1">
      <alignment vertical="center" wrapText="1"/>
    </xf>
    <xf numFmtId="0" fontId="2" fillId="0" borderId="3" xfId="3" applyFont="1" applyBorder="1" applyAlignment="1">
      <alignment horizontal="center" vertical="center" wrapText="1"/>
    </xf>
    <xf numFmtId="0" fontId="26" fillId="0" borderId="3" xfId="0" applyFont="1" applyBorder="1" applyAlignment="1">
      <alignment horizontal="left" vertical="center"/>
    </xf>
    <xf numFmtId="0" fontId="26" fillId="0" borderId="3" xfId="0" applyFont="1" applyBorder="1" applyAlignment="1">
      <alignment vertical="center" wrapText="1"/>
    </xf>
    <xf numFmtId="0" fontId="26" fillId="0" borderId="3" xfId="0" applyFont="1" applyBorder="1" applyAlignment="1">
      <alignment vertical="center"/>
    </xf>
    <xf numFmtId="168" fontId="26" fillId="0" borderId="3" xfId="0" applyNumberFormat="1" applyFont="1" applyBorder="1" applyAlignment="1">
      <alignment horizontal="justify" vertical="center" wrapText="1"/>
    </xf>
    <xf numFmtId="0" fontId="26" fillId="0" borderId="3" xfId="4" applyNumberFormat="1" applyFont="1" applyBorder="1" applyAlignment="1">
      <alignment horizontal="center" vertical="center" wrapText="1"/>
    </xf>
    <xf numFmtId="0" fontId="26" fillId="0" borderId="0" xfId="4" applyFont="1"/>
    <xf numFmtId="0" fontId="26" fillId="3" borderId="3" xfId="0" applyFont="1" applyFill="1" applyBorder="1" applyAlignment="1">
      <alignment horizontal="left" vertical="center" wrapText="1"/>
    </xf>
    <xf numFmtId="0" fontId="28" fillId="0" borderId="3" xfId="0" applyFont="1" applyBorder="1" applyAlignment="1">
      <alignment vertical="center"/>
    </xf>
    <xf numFmtId="0" fontId="28" fillId="0" borderId="3" xfId="0" applyFont="1" applyBorder="1" applyAlignment="1">
      <alignment vertical="center" wrapText="1"/>
    </xf>
    <xf numFmtId="44" fontId="26" fillId="10" borderId="3" xfId="1" applyFont="1" applyFill="1" applyBorder="1" applyAlignment="1">
      <alignment horizontal="center" vertical="center"/>
    </xf>
    <xf numFmtId="0" fontId="26" fillId="5" borderId="3" xfId="3" applyFont="1" applyFill="1" applyBorder="1" applyAlignment="1">
      <alignment horizontal="justify" vertical="center" wrapText="1"/>
    </xf>
    <xf numFmtId="2" fontId="26" fillId="0" borderId="3" xfId="1" applyNumberFormat="1" applyFont="1" applyFill="1" applyBorder="1" applyAlignment="1">
      <alignment horizontal="left" vertical="center"/>
    </xf>
    <xf numFmtId="0" fontId="2" fillId="0" borderId="3" xfId="3" applyFont="1" applyBorder="1" applyAlignment="1">
      <alignment horizontal="left" vertical="center" wrapText="1"/>
    </xf>
    <xf numFmtId="0" fontId="24" fillId="0" borderId="3" xfId="0" applyFont="1" applyBorder="1" applyAlignment="1">
      <alignment horizontal="center"/>
    </xf>
    <xf numFmtId="0" fontId="24" fillId="0" borderId="3" xfId="0" applyFont="1" applyBorder="1" applyAlignment="1">
      <alignment horizontal="center" vertical="center" wrapText="1"/>
    </xf>
    <xf numFmtId="0" fontId="2" fillId="0" borderId="3" xfId="0" applyFont="1" applyBorder="1" applyAlignment="1">
      <alignment horizontal="center"/>
    </xf>
    <xf numFmtId="0" fontId="26" fillId="0" borderId="3" xfId="4" applyNumberFormat="1" applyFont="1" applyBorder="1" applyAlignment="1">
      <alignment vertical="center" wrapText="1"/>
    </xf>
    <xf numFmtId="165" fontId="30" fillId="0" borderId="27" xfId="0" applyNumberFormat="1" applyFont="1" applyBorder="1" applyAlignment="1">
      <alignment vertical="center"/>
    </xf>
    <xf numFmtId="174" fontId="26" fillId="0" borderId="0" xfId="0" applyNumberFormat="1" applyFont="1"/>
    <xf numFmtId="165" fontId="30" fillId="4" borderId="27" xfId="0" applyNumberFormat="1" applyFont="1" applyFill="1" applyBorder="1" applyAlignment="1">
      <alignment vertical="center"/>
    </xf>
    <xf numFmtId="0" fontId="29" fillId="0" borderId="0" xfId="0" applyFont="1"/>
    <xf numFmtId="164" fontId="26" fillId="16" borderId="3" xfId="4" applyNumberFormat="1" applyFont="1" applyFill="1" applyBorder="1" applyAlignment="1">
      <alignment horizontal="center" vertical="center"/>
    </xf>
    <xf numFmtId="164" fontId="26" fillId="0" borderId="3" xfId="4" applyNumberFormat="1" applyFont="1" applyFill="1" applyBorder="1" applyAlignment="1">
      <alignment horizontal="center" vertical="center"/>
    </xf>
    <xf numFmtId="0" fontId="26" fillId="10" borderId="3" xfId="0" applyFont="1" applyFill="1" applyBorder="1"/>
    <xf numFmtId="0" fontId="26" fillId="16" borderId="3" xfId="0" applyFont="1" applyFill="1" applyBorder="1"/>
    <xf numFmtId="44" fontId="26" fillId="16" borderId="3" xfId="1" applyFont="1" applyFill="1" applyBorder="1" applyAlignment="1">
      <alignment horizontal="center" vertical="center"/>
    </xf>
    <xf numFmtId="165" fontId="26" fillId="16" borderId="3" xfId="4" applyNumberFormat="1" applyFont="1" applyFill="1" applyBorder="1" applyAlignment="1">
      <alignment horizontal="center" vertical="center"/>
    </xf>
    <xf numFmtId="165" fontId="26" fillId="16" borderId="3" xfId="4" applyNumberFormat="1" applyFont="1" applyFill="1" applyBorder="1" applyAlignment="1" applyProtection="1">
      <alignment horizontal="center" vertical="center"/>
      <protection locked="0"/>
    </xf>
    <xf numFmtId="171" fontId="2" fillId="0" borderId="3" xfId="3" applyNumberFormat="1" applyFont="1" applyBorder="1" applyAlignment="1">
      <alignment vertical="center"/>
    </xf>
    <xf numFmtId="0" fontId="6" fillId="0" borderId="0" xfId="3" applyFont="1" applyBorder="1" applyAlignment="1">
      <alignment vertical="center" wrapText="1"/>
    </xf>
    <xf numFmtId="0" fontId="27" fillId="0" borderId="8" xfId="4" applyFont="1" applyBorder="1" applyAlignment="1">
      <alignment horizontal="center" vertical="center"/>
    </xf>
    <xf numFmtId="0" fontId="26" fillId="0" borderId="8" xfId="0" applyFont="1" applyBorder="1"/>
    <xf numFmtId="0" fontId="0" fillId="0" borderId="0" xfId="0" applyAlignment="1">
      <alignment horizontal="center" vertical="center"/>
    </xf>
    <xf numFmtId="44" fontId="26" fillId="0" borderId="3" xfId="1" applyNumberFormat="1" applyFont="1" applyBorder="1" applyAlignment="1">
      <alignment horizontal="center" vertical="center"/>
    </xf>
    <xf numFmtId="0" fontId="27" fillId="0" borderId="12" xfId="0" applyFont="1" applyBorder="1" applyAlignment="1">
      <alignment horizontal="center" vertical="center" wrapText="1"/>
    </xf>
    <xf numFmtId="0" fontId="27" fillId="0" borderId="0" xfId="0" applyFont="1"/>
    <xf numFmtId="0" fontId="1" fillId="0" borderId="0" xfId="0" applyFont="1"/>
    <xf numFmtId="0" fontId="5" fillId="0" borderId="32" xfId="3" applyFont="1" applyBorder="1" applyAlignment="1">
      <alignment vertical="center"/>
    </xf>
    <xf numFmtId="0" fontId="5" fillId="0" borderId="0" xfId="3" applyFont="1" applyBorder="1" applyAlignment="1">
      <alignment vertical="center"/>
    </xf>
    <xf numFmtId="0" fontId="5" fillId="0" borderId="41" xfId="3" applyFont="1" applyBorder="1"/>
    <xf numFmtId="0" fontId="5" fillId="0" borderId="3" xfId="3" applyFont="1" applyBorder="1"/>
    <xf numFmtId="0" fontId="35" fillId="0" borderId="34" xfId="3" applyFont="1" applyBorder="1"/>
    <xf numFmtId="0" fontId="5" fillId="0" borderId="3" xfId="3" quotePrefix="1" applyFont="1" applyBorder="1" applyAlignment="1">
      <alignment horizontal="left" vertical="center" wrapText="1"/>
    </xf>
    <xf numFmtId="44" fontId="35" fillId="0" borderId="3" xfId="1" applyFont="1" applyBorder="1"/>
    <xf numFmtId="0" fontId="35" fillId="0" borderId="11" xfId="3" applyFont="1" applyBorder="1"/>
    <xf numFmtId="44" fontId="35" fillId="0" borderId="43" xfId="1" applyFont="1" applyBorder="1"/>
    <xf numFmtId="0" fontId="5" fillId="0" borderId="3" xfId="3" applyFont="1" applyBorder="1" applyAlignment="1">
      <alignment horizontal="left" vertical="center" wrapText="1"/>
    </xf>
    <xf numFmtId="0" fontId="5" fillId="0" borderId="3" xfId="3" applyFont="1" applyBorder="1" applyAlignment="1">
      <alignment vertical="center"/>
    </xf>
    <xf numFmtId="164" fontId="5" fillId="0" borderId="3" xfId="3" applyNumberFormat="1" applyFont="1" applyBorder="1" applyAlignment="1">
      <alignment vertical="center"/>
    </xf>
    <xf numFmtId="44" fontId="5" fillId="0" borderId="45" xfId="1" applyFont="1" applyBorder="1" applyAlignment="1">
      <alignment horizontal="center" vertical="center"/>
    </xf>
    <xf numFmtId="14" fontId="5" fillId="0" borderId="46" xfId="3" applyNumberFormat="1" applyFont="1" applyBorder="1" applyAlignment="1">
      <alignment horizontal="right" vertical="center"/>
    </xf>
    <xf numFmtId="0" fontId="5" fillId="0" borderId="37" xfId="3" applyFont="1" applyBorder="1" applyAlignment="1">
      <alignment vertical="center"/>
    </xf>
    <xf numFmtId="0" fontId="35" fillId="0" borderId="36" xfId="3" applyFont="1" applyBorder="1"/>
    <xf numFmtId="0" fontId="5" fillId="0" borderId="45" xfId="3" applyFont="1" applyBorder="1" applyAlignment="1">
      <alignment horizontal="left" vertical="center" wrapText="1"/>
    </xf>
    <xf numFmtId="0" fontId="5" fillId="0" borderId="12" xfId="3" applyFont="1" applyBorder="1" applyAlignment="1">
      <alignment vertical="center"/>
    </xf>
    <xf numFmtId="44" fontId="35" fillId="0" borderId="12" xfId="1" applyFont="1" applyBorder="1"/>
    <xf numFmtId="0" fontId="35" fillId="0" borderId="6" xfId="3" applyFont="1" applyBorder="1"/>
    <xf numFmtId="44" fontId="35" fillId="0" borderId="47" xfId="1" applyFont="1" applyBorder="1"/>
    <xf numFmtId="0" fontId="34" fillId="20" borderId="54" xfId="3" applyFont="1" applyFill="1" applyBorder="1" applyAlignment="1" applyProtection="1">
      <alignment horizontal="center" vertical="center" wrapText="1"/>
      <protection locked="0"/>
    </xf>
    <xf numFmtId="0" fontId="34" fillId="20" borderId="14" xfId="3" applyFont="1" applyFill="1" applyBorder="1" applyAlignment="1" applyProtection="1">
      <alignment horizontal="center" vertical="center" wrapText="1"/>
      <protection locked="0"/>
    </xf>
    <xf numFmtId="0" fontId="34" fillId="21" borderId="14" xfId="3" applyFont="1" applyFill="1" applyBorder="1" applyAlignment="1" applyProtection="1">
      <alignment horizontal="center" vertical="center" wrapText="1"/>
      <protection locked="0"/>
    </xf>
    <xf numFmtId="44" fontId="34" fillId="20" borderId="55" xfId="1" applyFont="1" applyFill="1" applyBorder="1" applyAlignment="1" applyProtection="1">
      <alignment horizontal="center" vertical="center" wrapText="1"/>
      <protection locked="0"/>
    </xf>
    <xf numFmtId="44" fontId="34" fillId="20" borderId="7" xfId="1" applyFont="1" applyFill="1" applyBorder="1" applyAlignment="1" applyProtection="1">
      <alignment horizontal="center" vertical="center" wrapText="1"/>
      <protection locked="0"/>
    </xf>
    <xf numFmtId="177" fontId="5" fillId="22" borderId="41" xfId="7" applyNumberFormat="1" applyFont="1" applyFill="1" applyBorder="1" applyAlignment="1">
      <alignment horizontal="center" vertical="center" wrapText="1"/>
    </xf>
    <xf numFmtId="44" fontId="5" fillId="22" borderId="43" xfId="1" applyFont="1" applyFill="1" applyBorder="1" applyAlignment="1">
      <alignment horizontal="center" vertical="center" wrapText="1"/>
    </xf>
    <xf numFmtId="0" fontId="34" fillId="16" borderId="41" xfId="3" quotePrefix="1" applyFont="1" applyFill="1" applyBorder="1" applyAlignment="1" applyProtection="1">
      <alignment horizontal="center" vertical="center" wrapText="1"/>
      <protection locked="0"/>
    </xf>
    <xf numFmtId="44" fontId="34" fillId="16" borderId="43" xfId="1" quotePrefix="1" applyFont="1" applyFill="1" applyBorder="1" applyAlignment="1" applyProtection="1">
      <alignment horizontal="center" vertical="center" wrapText="1"/>
      <protection locked="0"/>
    </xf>
    <xf numFmtId="0" fontId="34" fillId="23" borderId="41" xfId="3" quotePrefix="1" applyFont="1" applyFill="1" applyBorder="1" applyAlignment="1" applyProtection="1">
      <alignment horizontal="center" vertical="center" wrapText="1"/>
      <protection locked="0"/>
    </xf>
    <xf numFmtId="44" fontId="34" fillId="23" borderId="43" xfId="1" quotePrefix="1" applyFont="1" applyFill="1" applyBorder="1" applyAlignment="1" applyProtection="1">
      <alignment horizontal="center" vertical="center" wrapText="1"/>
      <protection locked="0"/>
    </xf>
    <xf numFmtId="0" fontId="5" fillId="24" borderId="41" xfId="3" applyFont="1" applyFill="1" applyBorder="1" applyAlignment="1">
      <alignment horizontal="center" vertical="center"/>
    </xf>
    <xf numFmtId="167" fontId="5" fillId="24" borderId="3" xfId="3" applyNumberFormat="1" applyFont="1" applyFill="1" applyBorder="1" applyAlignment="1">
      <alignment vertical="center" wrapText="1"/>
    </xf>
    <xf numFmtId="0" fontId="35" fillId="24" borderId="3" xfId="3" applyFont="1" applyFill="1" applyBorder="1" applyAlignment="1">
      <alignment horizontal="center" vertical="center"/>
    </xf>
    <xf numFmtId="169" fontId="35" fillId="24" borderId="3" xfId="10" applyFont="1" applyFill="1" applyBorder="1" applyAlignment="1">
      <alignment horizontal="right" vertical="center" indent="1"/>
    </xf>
    <xf numFmtId="178" fontId="35" fillId="24" borderId="3" xfId="7" applyNumberFormat="1" applyFont="1" applyFill="1" applyBorder="1" applyAlignment="1">
      <alignment vertical="center"/>
    </xf>
    <xf numFmtId="44" fontId="35" fillId="24" borderId="43" xfId="1" applyFont="1" applyFill="1" applyBorder="1" applyAlignment="1">
      <alignment vertical="center"/>
    </xf>
    <xf numFmtId="169" fontId="35" fillId="24" borderId="11" xfId="10" applyFont="1" applyFill="1" applyBorder="1" applyAlignment="1">
      <alignment horizontal="right" vertical="center" indent="1"/>
    </xf>
    <xf numFmtId="177" fontId="35" fillId="24" borderId="3" xfId="7" applyNumberFormat="1" applyFont="1" applyFill="1" applyBorder="1" applyAlignment="1">
      <alignment horizontal="center" vertical="center"/>
    </xf>
    <xf numFmtId="44" fontId="35" fillId="24" borderId="13" xfId="1" applyFont="1" applyFill="1" applyBorder="1" applyAlignment="1">
      <alignment horizontal="center" vertical="center"/>
    </xf>
    <xf numFmtId="169" fontId="35" fillId="24" borderId="41" xfId="10" applyFont="1" applyFill="1" applyBorder="1" applyAlignment="1">
      <alignment horizontal="right" vertical="center" indent="1"/>
    </xf>
    <xf numFmtId="44" fontId="5" fillId="24" borderId="43" xfId="1" applyFont="1" applyFill="1" applyBorder="1" applyAlignment="1">
      <alignment vertical="center"/>
    </xf>
    <xf numFmtId="177" fontId="5" fillId="24" borderId="41" xfId="7" applyNumberFormat="1" applyFont="1" applyFill="1" applyBorder="1" applyAlignment="1">
      <alignment vertical="center"/>
    </xf>
    <xf numFmtId="177" fontId="5" fillId="25" borderId="41" xfId="7" applyNumberFormat="1" applyFont="1" applyFill="1" applyBorder="1" applyAlignment="1">
      <alignment vertical="center"/>
    </xf>
    <xf numFmtId="44" fontId="35" fillId="25" borderId="43" xfId="1" applyFont="1" applyFill="1" applyBorder="1" applyAlignment="1">
      <alignment vertical="center"/>
    </xf>
    <xf numFmtId="177" fontId="5" fillId="26" borderId="41" xfId="7" applyNumberFormat="1" applyFont="1" applyFill="1" applyBorder="1" applyAlignment="1">
      <alignment vertical="center"/>
    </xf>
    <xf numFmtId="44" fontId="35" fillId="26" borderId="43" xfId="1" applyFont="1" applyFill="1" applyBorder="1" applyAlignment="1">
      <alignment vertical="center"/>
    </xf>
    <xf numFmtId="0" fontId="37" fillId="0" borderId="41" xfId="3" applyFont="1" applyBorder="1" applyAlignment="1">
      <alignment horizontal="center" vertical="center"/>
    </xf>
    <xf numFmtId="0" fontId="35" fillId="0" borderId="3" xfId="3" applyFont="1" applyBorder="1" applyAlignment="1">
      <alignment vertical="center" wrapText="1"/>
    </xf>
    <xf numFmtId="0" fontId="35" fillId="0" borderId="3" xfId="3" applyFont="1" applyBorder="1" applyAlignment="1">
      <alignment horizontal="center" vertical="center" wrapText="1"/>
    </xf>
    <xf numFmtId="2" fontId="37" fillId="0" borderId="3" xfId="3" applyNumberFormat="1" applyFont="1" applyBorder="1" applyAlignment="1">
      <alignment horizontal="center" vertical="center"/>
    </xf>
    <xf numFmtId="44" fontId="38" fillId="5" borderId="3" xfId="1" applyFont="1" applyFill="1" applyBorder="1" applyAlignment="1">
      <alignment horizontal="center" vertical="center" wrapText="1"/>
    </xf>
    <xf numFmtId="44" fontId="35" fillId="0" borderId="43" xfId="1" applyFont="1" applyFill="1" applyBorder="1" applyAlignment="1">
      <alignment vertical="center"/>
    </xf>
    <xf numFmtId="2" fontId="37" fillId="0" borderId="11" xfId="3" applyNumberFormat="1" applyFont="1" applyBorder="1" applyAlignment="1">
      <alignment horizontal="center" vertical="center"/>
    </xf>
    <xf numFmtId="2" fontId="37" fillId="27" borderId="3" xfId="3" applyNumberFormat="1" applyFont="1" applyFill="1" applyBorder="1" applyAlignment="1">
      <alignment horizontal="center" vertical="center"/>
    </xf>
    <xf numFmtId="44" fontId="37" fillId="0" borderId="13" xfId="1" applyFont="1" applyFill="1" applyBorder="1" applyAlignment="1">
      <alignment horizontal="center" vertical="center"/>
    </xf>
    <xf numFmtId="2" fontId="37" fillId="0" borderId="41" xfId="3" applyNumberFormat="1" applyFont="1" applyBorder="1" applyAlignment="1">
      <alignment horizontal="center" vertical="center"/>
    </xf>
    <xf numFmtId="44" fontId="35" fillId="0" borderId="43" xfId="1" applyFont="1" applyFill="1" applyBorder="1" applyAlignment="1">
      <alignment horizontal="right" vertical="center"/>
    </xf>
    <xf numFmtId="2" fontId="37" fillId="0" borderId="41" xfId="3" applyNumberFormat="1" applyFont="1" applyFill="1" applyBorder="1" applyAlignment="1">
      <alignment horizontal="center" vertical="center"/>
    </xf>
    <xf numFmtId="169" fontId="5" fillId="0" borderId="41" xfId="7" applyFont="1" applyFill="1" applyBorder="1" applyAlignment="1">
      <alignment horizontal="center" vertical="center"/>
    </xf>
    <xf numFmtId="44" fontId="35" fillId="0" borderId="43" xfId="1" applyFont="1" applyFill="1" applyBorder="1" applyAlignment="1">
      <alignment horizontal="center" vertical="center"/>
    </xf>
    <xf numFmtId="44" fontId="38" fillId="0" borderId="3" xfId="1" applyFont="1" applyFill="1" applyBorder="1" applyAlignment="1">
      <alignment horizontal="center" vertical="center" wrapText="1"/>
    </xf>
    <xf numFmtId="4" fontId="37" fillId="0" borderId="41" xfId="3" applyNumberFormat="1" applyFont="1" applyFill="1" applyBorder="1" applyAlignment="1">
      <alignment horizontal="center" vertical="center"/>
    </xf>
    <xf numFmtId="44" fontId="35" fillId="0" borderId="3" xfId="1" applyFont="1" applyBorder="1" applyAlignment="1">
      <alignment horizontal="center" vertical="center" wrapText="1"/>
    </xf>
    <xf numFmtId="44" fontId="35" fillId="0" borderId="3" xfId="1" applyFont="1" applyFill="1" applyBorder="1" applyAlignment="1">
      <alignment horizontal="center" vertical="center" wrapText="1"/>
    </xf>
    <xf numFmtId="44" fontId="35" fillId="5" borderId="3" xfId="1" applyFont="1" applyFill="1" applyBorder="1" applyAlignment="1">
      <alignment horizontal="center" vertical="center" wrapText="1"/>
    </xf>
    <xf numFmtId="173" fontId="35" fillId="5" borderId="3" xfId="3" applyNumberFormat="1" applyFont="1" applyFill="1" applyBorder="1" applyAlignment="1">
      <alignment vertical="center" wrapText="1"/>
    </xf>
    <xf numFmtId="4" fontId="37" fillId="0" borderId="41" xfId="3" applyNumberFormat="1" applyFont="1" applyBorder="1" applyAlignment="1">
      <alignment horizontal="center" vertical="center"/>
    </xf>
    <xf numFmtId="0" fontId="37" fillId="8" borderId="41" xfId="3" applyFont="1" applyFill="1" applyBorder="1" applyAlignment="1">
      <alignment horizontal="center" vertical="center"/>
    </xf>
    <xf numFmtId="0" fontId="4" fillId="8" borderId="3" xfId="3" applyFont="1" applyFill="1" applyBorder="1" applyAlignment="1">
      <alignment horizontal="left" vertical="center" wrapText="1"/>
    </xf>
    <xf numFmtId="0" fontId="35" fillId="8" borderId="3" xfId="3" applyFont="1" applyFill="1" applyBorder="1" applyAlignment="1">
      <alignment vertical="center"/>
    </xf>
    <xf numFmtId="44" fontId="35" fillId="8" borderId="43" xfId="1" applyFont="1" applyFill="1" applyBorder="1" applyAlignment="1">
      <alignment vertical="center"/>
    </xf>
    <xf numFmtId="0" fontId="35" fillId="8" borderId="11" xfId="3" applyFont="1" applyFill="1" applyBorder="1" applyAlignment="1">
      <alignment vertical="center"/>
    </xf>
    <xf numFmtId="44" fontId="37" fillId="8" borderId="13" xfId="1" applyFont="1" applyFill="1" applyBorder="1" applyAlignment="1">
      <alignment horizontal="center" vertical="center"/>
    </xf>
    <xf numFmtId="2" fontId="37" fillId="8" borderId="41" xfId="3" applyNumberFormat="1" applyFont="1" applyFill="1" applyBorder="1" applyAlignment="1">
      <alignment horizontal="center" vertical="center"/>
    </xf>
    <xf numFmtId="44" fontId="35" fillId="8" borderId="43" xfId="1" applyFont="1" applyFill="1" applyBorder="1" applyAlignment="1">
      <alignment horizontal="right" vertical="center"/>
    </xf>
    <xf numFmtId="177" fontId="5" fillId="8" borderId="41" xfId="7" applyNumberFormat="1" applyFont="1" applyFill="1" applyBorder="1" applyAlignment="1">
      <alignment horizontal="center" vertical="center"/>
    </xf>
    <xf numFmtId="44" fontId="35" fillId="8" borderId="43" xfId="1" applyFont="1" applyFill="1" applyBorder="1" applyAlignment="1">
      <alignment horizontal="center" vertical="center"/>
    </xf>
    <xf numFmtId="0" fontId="37" fillId="0" borderId="41" xfId="0" applyFont="1" applyBorder="1" applyAlignment="1">
      <alignment horizontal="center" vertical="center"/>
    </xf>
    <xf numFmtId="2" fontId="1" fillId="0" borderId="3" xfId="0" applyNumberFormat="1" applyFont="1" applyBorder="1" applyAlignment="1">
      <alignment horizontal="center" vertical="center"/>
    </xf>
    <xf numFmtId="44" fontId="39" fillId="0" borderId="3" xfId="1" applyFont="1" applyFill="1" applyBorder="1" applyAlignment="1">
      <alignment horizontal="center" vertical="center"/>
    </xf>
    <xf numFmtId="44" fontId="39" fillId="0" borderId="43" xfId="1" applyFont="1" applyFill="1" applyBorder="1"/>
    <xf numFmtId="2" fontId="1" fillId="0" borderId="11" xfId="0" applyNumberFormat="1" applyFont="1" applyBorder="1" applyAlignment="1">
      <alignment horizontal="center" vertical="center"/>
    </xf>
    <xf numFmtId="44" fontId="35" fillId="0" borderId="13" xfId="1" applyFont="1" applyBorder="1" applyAlignment="1">
      <alignment horizontal="center" vertical="center"/>
    </xf>
    <xf numFmtId="177" fontId="5" fillId="0" borderId="41" xfId="7" applyNumberFormat="1" applyFont="1" applyFill="1" applyBorder="1" applyAlignment="1">
      <alignment horizontal="center" vertical="center"/>
    </xf>
    <xf numFmtId="2" fontId="1" fillId="0" borderId="45" xfId="0" applyNumberFormat="1" applyFont="1" applyBorder="1" applyAlignment="1">
      <alignment horizontal="center" vertical="center"/>
    </xf>
    <xf numFmtId="44" fontId="39" fillId="0" borderId="45" xfId="1" applyFont="1" applyFill="1" applyBorder="1" applyAlignment="1">
      <alignment horizontal="center" vertical="center"/>
    </xf>
    <xf numFmtId="44" fontId="39" fillId="0" borderId="46" xfId="1" applyFont="1" applyFill="1" applyBorder="1"/>
    <xf numFmtId="2" fontId="1" fillId="0" borderId="6" xfId="0" applyNumberFormat="1" applyFont="1" applyBorder="1" applyAlignment="1">
      <alignment horizontal="center" vertical="center"/>
    </xf>
    <xf numFmtId="2" fontId="37" fillId="27" borderId="12" xfId="3" applyNumberFormat="1" applyFont="1" applyFill="1" applyBorder="1" applyAlignment="1">
      <alignment horizontal="center" vertical="center"/>
    </xf>
    <xf numFmtId="44" fontId="35" fillId="0" borderId="4" xfId="1" applyFont="1" applyBorder="1" applyAlignment="1">
      <alignment horizontal="center" vertical="center"/>
    </xf>
    <xf numFmtId="2" fontId="37" fillId="0" borderId="56" xfId="3" applyNumberFormat="1" applyFont="1" applyBorder="1" applyAlignment="1">
      <alignment horizontal="center" vertical="center"/>
    </xf>
    <xf numFmtId="44" fontId="35" fillId="0" borderId="47" xfId="1" applyFont="1" applyFill="1" applyBorder="1" applyAlignment="1">
      <alignment horizontal="right" vertical="center"/>
    </xf>
    <xf numFmtId="177" fontId="5" fillId="0" borderId="56" xfId="7" applyNumberFormat="1" applyFont="1" applyFill="1" applyBorder="1" applyAlignment="1">
      <alignment horizontal="center" vertical="center"/>
    </xf>
    <xf numFmtId="44" fontId="35" fillId="0" borderId="47" xfId="1" applyFont="1" applyFill="1" applyBorder="1" applyAlignment="1">
      <alignment vertical="center"/>
    </xf>
    <xf numFmtId="4" fontId="37" fillId="0" borderId="56" xfId="3" applyNumberFormat="1" applyFont="1" applyBorder="1" applyAlignment="1">
      <alignment horizontal="center" vertical="center"/>
    </xf>
    <xf numFmtId="44" fontId="35" fillId="0" borderId="47" xfId="1" applyFont="1" applyFill="1" applyBorder="1" applyAlignment="1">
      <alignment horizontal="center" vertical="center"/>
    </xf>
    <xf numFmtId="0" fontId="37" fillId="0" borderId="52" xfId="0" applyFont="1" applyBorder="1" applyAlignment="1">
      <alignment horizontal="center" vertical="center"/>
    </xf>
    <xf numFmtId="0" fontId="35" fillId="0" borderId="50" xfId="3" applyFont="1" applyBorder="1" applyAlignment="1">
      <alignment vertical="center"/>
    </xf>
    <xf numFmtId="0" fontId="40" fillId="0" borderId="2" xfId="3" applyFont="1" applyBorder="1" applyAlignment="1" applyProtection="1">
      <alignment vertical="center"/>
      <protection locked="0"/>
    </xf>
    <xf numFmtId="0" fontId="34" fillId="0" borderId="50" xfId="3" applyFont="1" applyBorder="1" applyAlignment="1" applyProtection="1">
      <alignment horizontal="center" vertical="center"/>
      <protection locked="0"/>
    </xf>
    <xf numFmtId="44" fontId="40" fillId="0" borderId="51" xfId="1" applyFont="1" applyFill="1" applyBorder="1" applyAlignment="1" applyProtection="1">
      <alignment horizontal="center" vertical="center"/>
      <protection locked="0"/>
    </xf>
    <xf numFmtId="179" fontId="4" fillId="0" borderId="50" xfId="0" applyNumberFormat="1" applyFont="1" applyBorder="1" applyAlignment="1">
      <alignment horizontal="center" vertical="center"/>
    </xf>
    <xf numFmtId="180" fontId="4" fillId="0" borderId="49" xfId="1" applyNumberFormat="1" applyFont="1" applyBorder="1" applyAlignment="1">
      <alignment vertical="center" wrapText="1"/>
    </xf>
    <xf numFmtId="0" fontId="4" fillId="0" borderId="52" xfId="0" applyFont="1" applyBorder="1" applyAlignment="1">
      <alignment horizontal="center" vertical="center"/>
    </xf>
    <xf numFmtId="180" fontId="41" fillId="0" borderId="53" xfId="1" applyNumberFormat="1" applyFont="1" applyBorder="1" applyAlignment="1">
      <alignment vertical="center"/>
    </xf>
    <xf numFmtId="44" fontId="41" fillId="0" borderId="52" xfId="1" applyFont="1" applyBorder="1" applyAlignment="1">
      <alignment vertical="center"/>
    </xf>
    <xf numFmtId="44" fontId="41" fillId="0" borderId="53" xfId="1" applyFont="1" applyBorder="1" applyAlignment="1">
      <alignment vertical="center"/>
    </xf>
    <xf numFmtId="44" fontId="41" fillId="0" borderId="52" xfId="1" applyFont="1" applyFill="1" applyBorder="1" applyAlignment="1">
      <alignment vertical="center"/>
    </xf>
    <xf numFmtId="0" fontId="35" fillId="0" borderId="3" xfId="3" applyFont="1" applyBorder="1" applyAlignment="1">
      <alignment vertical="center"/>
    </xf>
    <xf numFmtId="0" fontId="40" fillId="0" borderId="11" xfId="3" applyFont="1" applyBorder="1" applyAlignment="1" applyProtection="1">
      <alignment vertical="center"/>
      <protection locked="0"/>
    </xf>
    <xf numFmtId="9" fontId="34" fillId="0" borderId="3" xfId="3" applyNumberFormat="1" applyFont="1" applyBorder="1" applyAlignment="1" applyProtection="1">
      <alignment horizontal="center" vertical="center"/>
      <protection locked="0"/>
    </xf>
    <xf numFmtId="44" fontId="40" fillId="0" borderId="13" xfId="1" applyFont="1" applyFill="1" applyBorder="1" applyAlignment="1" applyProtection="1">
      <alignment horizontal="center" vertical="center"/>
      <protection locked="0"/>
    </xf>
    <xf numFmtId="9" fontId="4" fillId="0" borderId="3" xfId="0" applyNumberFormat="1" applyFont="1" applyBorder="1" applyAlignment="1">
      <alignment horizontal="center" vertical="center"/>
    </xf>
    <xf numFmtId="180" fontId="4" fillId="0" borderId="57" xfId="1" applyNumberFormat="1" applyFont="1" applyBorder="1" applyAlignment="1">
      <alignment vertical="center" wrapText="1"/>
    </xf>
    <xf numFmtId="9" fontId="4" fillId="0" borderId="41" xfId="0" applyNumberFormat="1" applyFont="1" applyBorder="1" applyAlignment="1">
      <alignment horizontal="center" vertical="center"/>
    </xf>
    <xf numFmtId="180" fontId="41" fillId="0" borderId="43" xfId="1" applyNumberFormat="1" applyFont="1" applyBorder="1" applyAlignment="1">
      <alignment vertical="center"/>
    </xf>
    <xf numFmtId="44" fontId="41" fillId="0" borderId="55" xfId="1" applyFont="1" applyBorder="1" applyAlignment="1">
      <alignment vertical="center"/>
    </xf>
    <xf numFmtId="0" fontId="37" fillId="0" borderId="44" xfId="0" applyFont="1" applyBorder="1" applyAlignment="1">
      <alignment horizontal="center" vertical="center"/>
    </xf>
    <xf numFmtId="0" fontId="35" fillId="0" borderId="45" xfId="3" applyFont="1" applyBorder="1" applyAlignment="1">
      <alignment vertical="center"/>
    </xf>
    <xf numFmtId="0" fontId="40" fillId="0" borderId="58" xfId="3" applyFont="1" applyBorder="1" applyAlignment="1" applyProtection="1">
      <alignment vertical="center"/>
      <protection locked="0"/>
    </xf>
    <xf numFmtId="0" fontId="34" fillId="0" borderId="45" xfId="3" applyFont="1" applyBorder="1" applyAlignment="1" applyProtection="1">
      <alignment horizontal="center" vertical="center"/>
      <protection locked="0"/>
    </xf>
    <xf numFmtId="44" fontId="40" fillId="0" borderId="59" xfId="1" applyFont="1" applyFill="1" applyBorder="1" applyAlignment="1" applyProtection="1">
      <alignment horizontal="center" vertical="center"/>
      <protection locked="0"/>
    </xf>
    <xf numFmtId="0" fontId="4" fillId="0" borderId="45" xfId="0" applyFont="1" applyBorder="1" applyAlignment="1">
      <alignment horizontal="center" vertical="center"/>
    </xf>
    <xf numFmtId="180" fontId="4" fillId="0" borderId="60" xfId="1" applyNumberFormat="1" applyFont="1" applyBorder="1" applyAlignment="1">
      <alignment vertical="center" wrapText="1"/>
    </xf>
    <xf numFmtId="0" fontId="4" fillId="0" borderId="44" xfId="0" applyFont="1" applyBorder="1" applyAlignment="1">
      <alignment horizontal="center" vertical="center"/>
    </xf>
    <xf numFmtId="180" fontId="41" fillId="0" borderId="46" xfId="1" applyNumberFormat="1" applyFont="1" applyBorder="1" applyAlignment="1">
      <alignment vertical="center"/>
    </xf>
    <xf numFmtId="44" fontId="41" fillId="0" borderId="61" xfId="1" applyFont="1" applyBorder="1" applyAlignment="1">
      <alignment vertical="center"/>
    </xf>
    <xf numFmtId="0" fontId="37" fillId="0" borderId="31" xfId="0" applyFont="1" applyBorder="1" applyAlignment="1">
      <alignment horizontal="center" vertical="center"/>
    </xf>
    <xf numFmtId="0" fontId="4" fillId="0" borderId="32" xfId="0" applyFont="1" applyBorder="1" applyAlignment="1">
      <alignment horizontal="right" wrapText="1"/>
    </xf>
    <xf numFmtId="0" fontId="4" fillId="0" borderId="32" xfId="0" applyFont="1" applyBorder="1" applyAlignment="1">
      <alignment horizontal="center" vertical="center"/>
    </xf>
    <xf numFmtId="44" fontId="41" fillId="0" borderId="32" xfId="1" applyFont="1" applyBorder="1"/>
    <xf numFmtId="0" fontId="40" fillId="0" borderId="32" xfId="3" applyFont="1" applyBorder="1" applyProtection="1">
      <protection locked="0"/>
    </xf>
    <xf numFmtId="0" fontId="40" fillId="0" borderId="32" xfId="3" applyFont="1" applyBorder="1" applyAlignment="1" applyProtection="1">
      <alignment horizontal="center" vertical="center"/>
      <protection locked="0"/>
    </xf>
    <xf numFmtId="44" fontId="40" fillId="0" borderId="32" xfId="1" applyFont="1" applyFill="1" applyBorder="1" applyAlignment="1" applyProtection="1">
      <alignment horizontal="center" vertical="center"/>
      <protection locked="0"/>
    </xf>
    <xf numFmtId="181" fontId="40" fillId="0" borderId="32" xfId="3" applyNumberFormat="1" applyFont="1" applyBorder="1" applyProtection="1">
      <protection locked="0"/>
    </xf>
    <xf numFmtId="44" fontId="4" fillId="0" borderId="32" xfId="1" applyFont="1" applyBorder="1" applyAlignment="1">
      <alignment wrapText="1"/>
    </xf>
    <xf numFmtId="181" fontId="4" fillId="0" borderId="32" xfId="0" applyNumberFormat="1" applyFont="1" applyBorder="1" applyAlignment="1">
      <alignment horizontal="center" vertical="center"/>
    </xf>
    <xf numFmtId="44" fontId="40" fillId="0" borderId="33" xfId="1" applyFont="1" applyBorder="1" applyProtection="1">
      <protection locked="0"/>
    </xf>
    <xf numFmtId="0" fontId="35" fillId="0" borderId="0" xfId="3" applyFont="1" applyBorder="1"/>
    <xf numFmtId="44" fontId="35" fillId="0" borderId="0" xfId="1" applyFont="1" applyBorder="1"/>
    <xf numFmtId="0" fontId="35" fillId="0" borderId="0" xfId="3" applyFont="1" applyBorder="1" applyAlignment="1">
      <alignment horizontal="center" vertical="center"/>
    </xf>
    <xf numFmtId="44" fontId="35" fillId="0" borderId="0" xfId="1" applyFont="1" applyBorder="1" applyAlignment="1">
      <alignment horizontal="center" vertical="center"/>
    </xf>
    <xf numFmtId="0" fontId="5" fillId="0" borderId="0" xfId="3" applyFont="1" applyBorder="1"/>
    <xf numFmtId="44" fontId="35" fillId="0" borderId="0" xfId="3" applyNumberFormat="1" applyFont="1" applyBorder="1"/>
    <xf numFmtId="44" fontId="35" fillId="0" borderId="35" xfId="1" applyFont="1" applyBorder="1"/>
    <xf numFmtId="0" fontId="42" fillId="0" borderId="34" xfId="0" applyFont="1" applyBorder="1"/>
    <xf numFmtId="0" fontId="42" fillId="0" borderId="0" xfId="0" applyFont="1" applyBorder="1" applyAlignment="1">
      <alignment vertical="center" wrapText="1"/>
    </xf>
    <xf numFmtId="180" fontId="43" fillId="0" borderId="14" xfId="1" applyNumberFormat="1" applyFont="1" applyBorder="1" applyAlignment="1">
      <alignment vertical="center"/>
    </xf>
    <xf numFmtId="44" fontId="43" fillId="0" borderId="55" xfId="1" applyFont="1" applyBorder="1" applyAlignment="1">
      <alignment vertical="center"/>
    </xf>
    <xf numFmtId="0" fontId="43" fillId="0" borderId="34" xfId="11" applyFont="1" applyBorder="1" applyAlignment="1">
      <alignment vertical="center"/>
    </xf>
    <xf numFmtId="44" fontId="43" fillId="0" borderId="3" xfId="1" applyFont="1" applyBorder="1" applyAlignment="1">
      <alignment vertical="center"/>
    </xf>
    <xf numFmtId="44" fontId="43" fillId="0" borderId="43" xfId="1" applyFont="1" applyBorder="1" applyAlignment="1">
      <alignment vertical="center"/>
    </xf>
    <xf numFmtId="180" fontId="43" fillId="0" borderId="43" xfId="1" applyNumberFormat="1" applyFont="1" applyBorder="1" applyAlignment="1">
      <alignment vertical="center"/>
    </xf>
    <xf numFmtId="44" fontId="43" fillId="0" borderId="0" xfId="1" applyFont="1" applyFill="1" applyBorder="1" applyAlignment="1">
      <alignment vertical="center"/>
    </xf>
    <xf numFmtId="180" fontId="43" fillId="0" borderId="45" xfId="1" applyNumberFormat="1" applyFont="1" applyBorder="1" applyAlignment="1">
      <alignment vertical="center"/>
    </xf>
    <xf numFmtId="180" fontId="43" fillId="0" borderId="46" xfId="1" applyNumberFormat="1" applyFont="1" applyBorder="1" applyAlignment="1">
      <alignment vertical="center"/>
    </xf>
    <xf numFmtId="0" fontId="43" fillId="0" borderId="0" xfId="11" applyFont="1" applyBorder="1" applyAlignment="1">
      <alignment vertical="center"/>
    </xf>
    <xf numFmtId="0" fontId="44" fillId="0" borderId="0" xfId="11" applyFont="1" applyBorder="1" applyAlignment="1">
      <alignment vertical="center"/>
    </xf>
    <xf numFmtId="44" fontId="35" fillId="0" borderId="0" xfId="1" applyFont="1" applyBorder="1" applyAlignment="1">
      <alignment wrapText="1"/>
    </xf>
    <xf numFmtId="182" fontId="35" fillId="0" borderId="0" xfId="3" applyNumberFormat="1" applyFont="1" applyBorder="1"/>
    <xf numFmtId="0" fontId="40" fillId="0" borderId="34" xfId="3" applyFont="1" applyBorder="1" applyProtection="1">
      <protection locked="0"/>
    </xf>
    <xf numFmtId="0" fontId="40" fillId="0" borderId="0" xfId="3" applyFont="1" applyBorder="1" applyProtection="1">
      <protection locked="0"/>
    </xf>
    <xf numFmtId="44" fontId="1" fillId="0" borderId="0" xfId="1" applyFont="1" applyBorder="1"/>
    <xf numFmtId="0" fontId="40" fillId="0" borderId="0" xfId="3" applyFont="1" applyBorder="1" applyAlignment="1" applyProtection="1">
      <alignment horizontal="center" vertical="center"/>
      <protection locked="0"/>
    </xf>
    <xf numFmtId="44" fontId="40" fillId="0" borderId="0" xfId="1" applyFont="1" applyFill="1" applyBorder="1" applyAlignment="1" applyProtection="1">
      <alignment horizontal="center" vertical="center"/>
      <protection locked="0"/>
    </xf>
    <xf numFmtId="44" fontId="40" fillId="0" borderId="0" xfId="1" applyFont="1" applyFill="1" applyBorder="1" applyAlignment="1" applyProtection="1">
      <alignment wrapText="1"/>
      <protection locked="0"/>
    </xf>
    <xf numFmtId="0" fontId="40" fillId="0" borderId="37" xfId="3" applyFont="1" applyBorder="1" applyProtection="1">
      <protection locked="0"/>
    </xf>
    <xf numFmtId="44" fontId="40" fillId="0" borderId="0" xfId="1" applyFont="1" applyFill="1" applyBorder="1" applyAlignment="1" applyProtection="1">
      <protection locked="0"/>
    </xf>
    <xf numFmtId="44" fontId="40" fillId="0" borderId="37" xfId="1" applyFont="1" applyFill="1" applyBorder="1" applyAlignment="1" applyProtection="1">
      <protection locked="0"/>
    </xf>
    <xf numFmtId="44" fontId="40" fillId="0" borderId="37" xfId="1" applyFont="1" applyFill="1" applyBorder="1" applyAlignment="1" applyProtection="1">
      <alignment wrapText="1"/>
      <protection locked="0"/>
    </xf>
    <xf numFmtId="0" fontId="35" fillId="0" borderId="0" xfId="3" applyFont="1" applyBorder="1" applyAlignment="1"/>
    <xf numFmtId="0" fontId="35" fillId="0" borderId="37" xfId="3" applyFont="1" applyBorder="1" applyAlignment="1"/>
    <xf numFmtId="0" fontId="35" fillId="0" borderId="37" xfId="3" applyFont="1" applyBorder="1"/>
    <xf numFmtId="0" fontId="34" fillId="0" borderId="34" xfId="3" applyFont="1" applyBorder="1" applyProtection="1">
      <protection locked="0"/>
    </xf>
    <xf numFmtId="0" fontId="34" fillId="0" borderId="0" xfId="3" applyFont="1" applyBorder="1" applyAlignment="1" applyProtection="1">
      <alignment horizontal="center"/>
      <protection locked="0"/>
    </xf>
    <xf numFmtId="0" fontId="34" fillId="0" borderId="0" xfId="3" applyFont="1" applyBorder="1" applyProtection="1">
      <protection locked="0"/>
    </xf>
    <xf numFmtId="177" fontId="34" fillId="0" borderId="0" xfId="3" applyNumberFormat="1" applyFont="1" applyBorder="1" applyProtection="1">
      <protection locked="0"/>
    </xf>
    <xf numFmtId="0" fontId="5" fillId="0" borderId="0" xfId="3" applyFont="1" applyBorder="1" applyAlignment="1"/>
    <xf numFmtId="0" fontId="1" fillId="0" borderId="0" xfId="0" applyFont="1" applyBorder="1"/>
    <xf numFmtId="0" fontId="5" fillId="0" borderId="35" xfId="3" applyFont="1" applyBorder="1" applyAlignment="1"/>
    <xf numFmtId="0" fontId="34" fillId="0" borderId="0" xfId="3" applyFont="1" applyBorder="1" applyAlignment="1" applyProtection="1">
      <protection locked="0"/>
    </xf>
    <xf numFmtId="0" fontId="5" fillId="0" borderId="36" xfId="3" applyFont="1" applyBorder="1"/>
    <xf numFmtId="0" fontId="5" fillId="0" borderId="37" xfId="3" applyFont="1" applyBorder="1" applyAlignment="1">
      <alignment horizontal="center"/>
    </xf>
    <xf numFmtId="0" fontId="5" fillId="0" borderId="37" xfId="3" applyFont="1" applyBorder="1"/>
    <xf numFmtId="44" fontId="37" fillId="0" borderId="37" xfId="1" applyFont="1" applyFill="1" applyBorder="1"/>
    <xf numFmtId="0" fontId="37" fillId="0" borderId="37" xfId="0" applyFont="1" applyBorder="1"/>
    <xf numFmtId="44" fontId="35" fillId="0" borderId="37" xfId="1" applyFont="1" applyFill="1" applyBorder="1" applyAlignment="1">
      <alignment wrapText="1"/>
    </xf>
    <xf numFmtId="44" fontId="35" fillId="0" borderId="37" xfId="1" applyFont="1" applyBorder="1"/>
    <xf numFmtId="44" fontId="35" fillId="0" borderId="38" xfId="1" applyFont="1" applyBorder="1"/>
    <xf numFmtId="0" fontId="5" fillId="0" borderId="0" xfId="3" applyFont="1" applyAlignment="1">
      <alignment horizontal="center"/>
    </xf>
    <xf numFmtId="0" fontId="35" fillId="0" borderId="0" xfId="3" applyFont="1"/>
    <xf numFmtId="164" fontId="35" fillId="0" borderId="0" xfId="3" applyNumberFormat="1" applyFont="1"/>
    <xf numFmtId="164" fontId="35" fillId="0" borderId="0" xfId="3" applyNumberFormat="1" applyFont="1" applyAlignment="1">
      <alignment wrapText="1"/>
    </xf>
    <xf numFmtId="0" fontId="35" fillId="0" borderId="0" xfId="3" applyFont="1" applyAlignment="1">
      <alignment wrapText="1"/>
    </xf>
    <xf numFmtId="0" fontId="35" fillId="0" borderId="0" xfId="0" applyFont="1"/>
    <xf numFmtId="164" fontId="35" fillId="0" borderId="0" xfId="3" applyNumberFormat="1" applyFont="1" applyBorder="1" applyAlignment="1">
      <alignment wrapText="1"/>
    </xf>
    <xf numFmtId="0" fontId="35" fillId="0" borderId="0" xfId="3" applyFont="1" applyBorder="1" applyAlignment="1">
      <alignment wrapText="1"/>
    </xf>
    <xf numFmtId="164" fontId="35" fillId="0" borderId="0" xfId="0" applyNumberFormat="1" applyFont="1"/>
    <xf numFmtId="0" fontId="5" fillId="0" borderId="0" xfId="3" applyFont="1" applyBorder="1" applyAlignment="1">
      <alignment horizontal="center"/>
    </xf>
    <xf numFmtId="0" fontId="35" fillId="0" borderId="31" xfId="0" applyFont="1" applyBorder="1" applyAlignment="1">
      <alignment horizontal="center" vertical="center"/>
    </xf>
    <xf numFmtId="0" fontId="35" fillId="0" borderId="32" xfId="0" applyFont="1" applyBorder="1" applyAlignment="1">
      <alignment vertical="center"/>
    </xf>
    <xf numFmtId="0" fontId="35" fillId="0" borderId="0" xfId="0" applyFont="1" applyBorder="1"/>
    <xf numFmtId="0" fontId="5" fillId="0" borderId="3" xfId="0" applyFont="1" applyFill="1" applyBorder="1" applyAlignment="1">
      <alignment vertical="center" wrapText="1"/>
    </xf>
    <xf numFmtId="0" fontId="35" fillId="0" borderId="3" xfId="0" applyFont="1" applyBorder="1"/>
    <xf numFmtId="0" fontId="35" fillId="0" borderId="3" xfId="0" quotePrefix="1" applyFont="1" applyBorder="1" applyAlignment="1">
      <alignment horizontal="left" vertical="center"/>
    </xf>
    <xf numFmtId="164" fontId="5" fillId="0" borderId="3" xfId="0" applyNumberFormat="1" applyFont="1" applyBorder="1"/>
    <xf numFmtId="164" fontId="35" fillId="0" borderId="3" xfId="0" applyNumberFormat="1" applyFont="1" applyBorder="1"/>
    <xf numFmtId="0" fontId="35" fillId="0" borderId="3" xfId="0" applyFont="1" applyBorder="1" applyAlignment="1">
      <alignment vertical="center"/>
    </xf>
    <xf numFmtId="176" fontId="35" fillId="0" borderId="3" xfId="0" applyNumberFormat="1" applyFont="1" applyBorder="1" applyAlignment="1">
      <alignment vertical="center"/>
    </xf>
    <xf numFmtId="164" fontId="5" fillId="0" borderId="3" xfId="0" applyNumberFormat="1" applyFont="1" applyBorder="1" applyAlignment="1">
      <alignment vertical="center"/>
    </xf>
    <xf numFmtId="14" fontId="35" fillId="0" borderId="3" xfId="0" applyNumberFormat="1" applyFont="1" applyBorder="1" applyAlignment="1">
      <alignment horizontal="center" vertical="center"/>
    </xf>
    <xf numFmtId="0" fontId="34" fillId="19" borderId="3" xfId="3" applyFont="1" applyFill="1" applyBorder="1" applyAlignment="1" applyProtection="1">
      <alignment horizontal="centerContinuous" vertical="center" wrapText="1"/>
      <protection locked="0"/>
    </xf>
    <xf numFmtId="164" fontId="34" fillId="19" borderId="3" xfId="3" applyNumberFormat="1" applyFont="1" applyFill="1" applyBorder="1" applyAlignment="1" applyProtection="1">
      <alignment horizontal="centerContinuous" vertical="center" wrapText="1"/>
      <protection locked="0"/>
    </xf>
    <xf numFmtId="0" fontId="34" fillId="19" borderId="3" xfId="3" applyFont="1" applyFill="1" applyBorder="1" applyAlignment="1" applyProtection="1">
      <alignment horizontal="center"/>
      <protection locked="0"/>
    </xf>
    <xf numFmtId="0" fontId="34" fillId="0" borderId="3" xfId="3" applyFont="1" applyFill="1" applyBorder="1" applyAlignment="1" applyProtection="1">
      <alignment horizontal="center"/>
      <protection locked="0"/>
    </xf>
    <xf numFmtId="164" fontId="34" fillId="19" borderId="3" xfId="3" applyNumberFormat="1" applyFont="1" applyFill="1" applyBorder="1" applyAlignment="1" applyProtection="1">
      <alignment horizontal="center"/>
      <protection locked="0"/>
    </xf>
    <xf numFmtId="0" fontId="40" fillId="0" borderId="0" xfId="3" applyFont="1" applyProtection="1">
      <protection locked="0"/>
    </xf>
    <xf numFmtId="0" fontId="5" fillId="0" borderId="0" xfId="3" applyFont="1" applyFill="1" applyAlignment="1">
      <alignment horizontal="center" vertical="center"/>
    </xf>
    <xf numFmtId="0" fontId="35" fillId="0" borderId="34" xfId="3" applyNumberFormat="1" applyFont="1" applyFill="1" applyBorder="1" applyAlignment="1">
      <alignment horizontal="center" vertical="center"/>
    </xf>
    <xf numFmtId="167" fontId="5" fillId="0" borderId="0" xfId="3" applyNumberFormat="1" applyFont="1" applyFill="1" applyBorder="1" applyAlignment="1">
      <alignment vertical="center" wrapText="1"/>
    </xf>
    <xf numFmtId="0" fontId="35" fillId="0" borderId="0" xfId="3" applyFont="1" applyFill="1" applyBorder="1" applyAlignment="1">
      <alignment horizontal="center" vertical="center"/>
    </xf>
    <xf numFmtId="169" fontId="35" fillId="0" borderId="0" xfId="10" applyFont="1" applyFill="1" applyBorder="1" applyAlignment="1">
      <alignment horizontal="right" vertical="center" indent="1"/>
    </xf>
    <xf numFmtId="164" fontId="35" fillId="0" borderId="0" xfId="7" applyNumberFormat="1" applyFont="1" applyFill="1" applyBorder="1" applyAlignment="1">
      <alignment vertical="center"/>
    </xf>
    <xf numFmtId="177" fontId="35" fillId="0" borderId="0" xfId="7" applyNumberFormat="1" applyFont="1" applyFill="1" applyBorder="1" applyAlignment="1">
      <alignment vertical="center"/>
    </xf>
    <xf numFmtId="164" fontId="5" fillId="0" borderId="0" xfId="7" applyNumberFormat="1" applyFont="1" applyFill="1" applyBorder="1" applyAlignment="1">
      <alignment vertical="center"/>
    </xf>
    <xf numFmtId="177" fontId="5" fillId="0" borderId="0" xfId="7" applyNumberFormat="1" applyFont="1" applyFill="1" applyBorder="1" applyAlignment="1">
      <alignment vertical="center"/>
    </xf>
    <xf numFmtId="164" fontId="5" fillId="0" borderId="35" xfId="7" applyNumberFormat="1" applyFont="1" applyFill="1" applyBorder="1" applyAlignment="1">
      <alignment vertical="center"/>
    </xf>
    <xf numFmtId="0" fontId="40" fillId="0" borderId="0" xfId="3" applyFont="1" applyFill="1" applyAlignment="1" applyProtection="1">
      <alignment vertical="center"/>
      <protection locked="0"/>
    </xf>
    <xf numFmtId="0" fontId="35" fillId="0" borderId="0" xfId="3" applyFont="1" applyFill="1" applyAlignment="1">
      <alignment vertical="center"/>
    </xf>
    <xf numFmtId="0" fontId="5" fillId="29" borderId="52" xfId="3" applyNumberFormat="1" applyFont="1" applyFill="1" applyBorder="1" applyAlignment="1">
      <alignment horizontal="center" vertical="center"/>
    </xf>
    <xf numFmtId="167" fontId="5" fillId="29" borderId="50" xfId="3" applyNumberFormat="1" applyFont="1" applyFill="1" applyBorder="1" applyAlignment="1">
      <alignment vertical="center" wrapText="1"/>
    </xf>
    <xf numFmtId="0" fontId="35" fillId="29" borderId="50" xfId="3" applyFont="1" applyFill="1" applyBorder="1" applyAlignment="1">
      <alignment horizontal="center" vertical="center"/>
    </xf>
    <xf numFmtId="164" fontId="35" fillId="29" borderId="50" xfId="7" applyNumberFormat="1" applyFont="1" applyFill="1" applyBorder="1" applyAlignment="1">
      <alignment vertical="center"/>
    </xf>
    <xf numFmtId="164" fontId="35" fillId="29" borderId="51" xfId="7" applyNumberFormat="1" applyFont="1" applyFill="1" applyBorder="1" applyAlignment="1">
      <alignment vertical="center"/>
    </xf>
    <xf numFmtId="177" fontId="35" fillId="29" borderId="50" xfId="7" applyNumberFormat="1" applyFont="1" applyFill="1" applyBorder="1" applyAlignment="1">
      <alignment vertical="center"/>
    </xf>
    <xf numFmtId="177" fontId="35" fillId="29" borderId="2" xfId="7" applyNumberFormat="1" applyFont="1" applyFill="1" applyBorder="1" applyAlignment="1">
      <alignment vertical="center"/>
    </xf>
    <xf numFmtId="169" fontId="35" fillId="29" borderId="50" xfId="10" applyFont="1" applyFill="1" applyBorder="1" applyAlignment="1">
      <alignment horizontal="right" vertical="center" indent="1"/>
    </xf>
    <xf numFmtId="164" fontId="5" fillId="29" borderId="50" xfId="7" applyNumberFormat="1" applyFont="1" applyFill="1" applyBorder="1" applyAlignment="1">
      <alignment vertical="center"/>
    </xf>
    <xf numFmtId="177" fontId="5" fillId="29" borderId="50" xfId="7" applyNumberFormat="1" applyFont="1" applyFill="1" applyBorder="1" applyAlignment="1">
      <alignment vertical="center"/>
    </xf>
    <xf numFmtId="164" fontId="5" fillId="29" borderId="53" xfId="7" applyNumberFormat="1" applyFont="1" applyFill="1" applyBorder="1" applyAlignment="1">
      <alignment vertical="center"/>
    </xf>
    <xf numFmtId="0" fontId="5" fillId="0" borderId="54" xfId="3" applyNumberFormat="1" applyFont="1" applyFill="1" applyBorder="1" applyAlignment="1">
      <alignment horizontal="center" vertical="center"/>
    </xf>
    <xf numFmtId="167" fontId="5" fillId="0" borderId="14" xfId="3" applyNumberFormat="1" applyFont="1" applyFill="1" applyBorder="1" applyAlignment="1">
      <alignment vertical="center" wrapText="1"/>
    </xf>
    <xf numFmtId="0" fontId="35" fillId="0" borderId="14" xfId="3" applyFont="1" applyFill="1" applyBorder="1" applyAlignment="1">
      <alignment horizontal="center" vertical="center"/>
    </xf>
    <xf numFmtId="179" fontId="35" fillId="0" borderId="14" xfId="10" applyNumberFormat="1" applyFont="1" applyFill="1" applyBorder="1" applyAlignment="1">
      <alignment horizontal="right" vertical="center" indent="1"/>
    </xf>
    <xf numFmtId="164" fontId="35" fillId="0" borderId="14" xfId="7" applyNumberFormat="1" applyFont="1" applyFill="1" applyBorder="1" applyAlignment="1">
      <alignment vertical="center"/>
    </xf>
    <xf numFmtId="164" fontId="35" fillId="0" borderId="7" xfId="7" applyNumberFormat="1" applyFont="1" applyFill="1" applyBorder="1" applyAlignment="1">
      <alignment vertical="center"/>
    </xf>
    <xf numFmtId="179" fontId="35" fillId="0" borderId="14" xfId="7" applyNumberFormat="1" applyFont="1" applyFill="1" applyBorder="1" applyAlignment="1">
      <alignment vertical="center"/>
    </xf>
    <xf numFmtId="179" fontId="35" fillId="0" borderId="9" xfId="7" applyNumberFormat="1" applyFont="1" applyFill="1" applyBorder="1" applyAlignment="1">
      <alignment vertical="center"/>
    </xf>
    <xf numFmtId="164" fontId="5" fillId="0" borderId="14" xfId="7" applyNumberFormat="1" applyFont="1" applyFill="1" applyBorder="1" applyAlignment="1">
      <alignment vertical="center"/>
    </xf>
    <xf numFmtId="177" fontId="5" fillId="0" borderId="14" xfId="7" applyNumberFormat="1" applyFont="1" applyFill="1" applyBorder="1" applyAlignment="1">
      <alignment vertical="center"/>
    </xf>
    <xf numFmtId="164" fontId="5" fillId="0" borderId="55" xfId="7" applyNumberFormat="1" applyFont="1" applyFill="1" applyBorder="1" applyAlignment="1">
      <alignment vertical="center"/>
    </xf>
    <xf numFmtId="0" fontId="37" fillId="5" borderId="54" xfId="3" applyNumberFormat="1" applyFont="1" applyFill="1" applyBorder="1" applyAlignment="1">
      <alignment horizontal="center" vertical="center"/>
    </xf>
    <xf numFmtId="167" fontId="37" fillId="5" borderId="14" xfId="3" applyNumberFormat="1" applyFont="1" applyFill="1" applyBorder="1" applyAlignment="1">
      <alignment vertical="center" wrapText="1"/>
    </xf>
    <xf numFmtId="0" fontId="37" fillId="5" borderId="14" xfId="3" applyFont="1" applyFill="1" applyBorder="1" applyAlignment="1">
      <alignment horizontal="center" vertical="center"/>
    </xf>
    <xf numFmtId="179" fontId="37" fillId="5" borderId="14" xfId="10" applyNumberFormat="1" applyFont="1" applyFill="1" applyBorder="1" applyAlignment="1">
      <alignment horizontal="right" vertical="center" indent="1"/>
    </xf>
    <xf numFmtId="164" fontId="37" fillId="5" borderId="14" xfId="7" applyNumberFormat="1" applyFont="1" applyFill="1" applyBorder="1" applyAlignment="1">
      <alignment vertical="center"/>
    </xf>
    <xf numFmtId="179" fontId="37" fillId="5" borderId="14" xfId="7" applyNumberFormat="1" applyFont="1" applyFill="1" applyBorder="1" applyAlignment="1">
      <alignment vertical="center"/>
    </xf>
    <xf numFmtId="179" fontId="37" fillId="5" borderId="9" xfId="7" applyNumberFormat="1" applyFont="1" applyFill="1" applyBorder="1" applyAlignment="1">
      <alignment vertical="center"/>
    </xf>
    <xf numFmtId="164" fontId="37" fillId="5" borderId="55" xfId="7" applyNumberFormat="1" applyFont="1" applyFill="1" applyBorder="1" applyAlignment="1">
      <alignment vertical="center"/>
    </xf>
    <xf numFmtId="179" fontId="37" fillId="5" borderId="3" xfId="7" applyNumberFormat="1" applyFont="1" applyFill="1" applyBorder="1" applyAlignment="1">
      <alignment vertical="center"/>
    </xf>
    <xf numFmtId="179" fontId="37" fillId="5" borderId="3" xfId="10" applyNumberFormat="1" applyFont="1" applyFill="1" applyBorder="1" applyAlignment="1">
      <alignment horizontal="right" vertical="center" indent="1"/>
    </xf>
    <xf numFmtId="167" fontId="37" fillId="5" borderId="14" xfId="3" applyNumberFormat="1" applyFont="1" applyFill="1" applyBorder="1" applyAlignment="1">
      <alignment horizontal="left" vertical="center" wrapText="1"/>
    </xf>
    <xf numFmtId="167" fontId="37" fillId="5" borderId="14" xfId="3" applyNumberFormat="1" applyFont="1" applyFill="1" applyBorder="1" applyAlignment="1">
      <alignment horizontal="center" vertical="center" wrapText="1"/>
    </xf>
    <xf numFmtId="167" fontId="37" fillId="5" borderId="9" xfId="3" applyNumberFormat="1" applyFont="1" applyFill="1" applyBorder="1" applyAlignment="1">
      <alignment vertical="center" wrapText="1"/>
    </xf>
    <xf numFmtId="0" fontId="37" fillId="5" borderId="41" xfId="3" applyNumberFormat="1" applyFont="1" applyFill="1" applyBorder="1" applyAlignment="1">
      <alignment horizontal="center" vertical="center"/>
    </xf>
    <xf numFmtId="167" fontId="37" fillId="5" borderId="3" xfId="3" applyNumberFormat="1" applyFont="1" applyFill="1" applyBorder="1" applyAlignment="1">
      <alignment horizontal="left" vertical="center" wrapText="1"/>
    </xf>
    <xf numFmtId="167" fontId="37" fillId="5" borderId="3" xfId="3" applyNumberFormat="1" applyFont="1" applyFill="1" applyBorder="1" applyAlignment="1">
      <alignment horizontal="center" vertical="center" wrapText="1"/>
    </xf>
    <xf numFmtId="164" fontId="37" fillId="5" borderId="3" xfId="7" applyNumberFormat="1" applyFont="1" applyFill="1" applyBorder="1" applyAlignment="1">
      <alignment vertical="center"/>
    </xf>
    <xf numFmtId="164" fontId="37" fillId="5" borderId="43" xfId="7" applyNumberFormat="1" applyFont="1" applyFill="1" applyBorder="1" applyAlignment="1">
      <alignment vertical="center"/>
    </xf>
    <xf numFmtId="0" fontId="5" fillId="0" borderId="0" xfId="3" applyFont="1" applyFill="1" applyBorder="1" applyAlignment="1">
      <alignment horizontal="center" vertical="center"/>
    </xf>
    <xf numFmtId="0" fontId="37" fillId="5" borderId="34" xfId="3" applyNumberFormat="1" applyFont="1" applyFill="1" applyBorder="1" applyAlignment="1">
      <alignment horizontal="center" vertical="center"/>
    </xf>
    <xf numFmtId="167" fontId="37" fillId="5" borderId="0" xfId="3" applyNumberFormat="1" applyFont="1" applyFill="1" applyBorder="1" applyAlignment="1">
      <alignment horizontal="left" vertical="center" wrapText="1"/>
    </xf>
    <xf numFmtId="167" fontId="37" fillId="5" borderId="0" xfId="3" applyNumberFormat="1" applyFont="1" applyFill="1" applyBorder="1" applyAlignment="1">
      <alignment horizontal="center" vertical="center" wrapText="1"/>
    </xf>
    <xf numFmtId="164" fontId="37" fillId="5" borderId="0" xfId="7" applyNumberFormat="1" applyFont="1" applyFill="1" applyBorder="1" applyAlignment="1">
      <alignment vertical="center"/>
    </xf>
    <xf numFmtId="179" fontId="37" fillId="5" borderId="0" xfId="7" applyNumberFormat="1" applyFont="1" applyFill="1" applyBorder="1" applyAlignment="1">
      <alignment vertical="center"/>
    </xf>
    <xf numFmtId="179" fontId="37" fillId="5" borderId="0" xfId="10" applyNumberFormat="1" applyFont="1" applyFill="1" applyBorder="1" applyAlignment="1">
      <alignment horizontal="right" vertical="center" indent="1"/>
    </xf>
    <xf numFmtId="164" fontId="37" fillId="5" borderId="35" xfId="7" applyNumberFormat="1" applyFont="1" applyFill="1" applyBorder="1" applyAlignment="1">
      <alignment vertical="center"/>
    </xf>
    <xf numFmtId="0" fontId="40" fillId="0" borderId="0" xfId="3" applyFont="1" applyFill="1" applyBorder="1" applyAlignment="1" applyProtection="1">
      <alignment vertical="center"/>
      <protection locked="0"/>
    </xf>
    <xf numFmtId="0" fontId="35" fillId="0" borderId="0" xfId="3" applyFont="1" applyFill="1" applyBorder="1" applyAlignment="1">
      <alignment vertical="center"/>
    </xf>
    <xf numFmtId="164" fontId="4" fillId="5" borderId="3" xfId="7" applyNumberFormat="1" applyFont="1" applyFill="1" applyBorder="1" applyAlignment="1">
      <alignment vertical="center"/>
    </xf>
    <xf numFmtId="164" fontId="4" fillId="5" borderId="43" xfId="7" applyNumberFormat="1" applyFont="1" applyFill="1" applyBorder="1" applyAlignment="1">
      <alignment vertical="center"/>
    </xf>
    <xf numFmtId="10" fontId="37" fillId="5" borderId="3" xfId="2" applyNumberFormat="1" applyFont="1" applyFill="1" applyBorder="1" applyAlignment="1">
      <alignment vertical="center"/>
    </xf>
    <xf numFmtId="10" fontId="37" fillId="5" borderId="11" xfId="2" applyNumberFormat="1" applyFont="1" applyFill="1" applyBorder="1" applyAlignment="1">
      <alignment vertical="center"/>
    </xf>
    <xf numFmtId="10" fontId="37" fillId="5" borderId="14" xfId="2" applyNumberFormat="1" applyFont="1" applyFill="1" applyBorder="1" applyAlignment="1">
      <alignment vertical="center"/>
    </xf>
    <xf numFmtId="164" fontId="37" fillId="5" borderId="7" xfId="7" applyNumberFormat="1" applyFont="1" applyFill="1" applyBorder="1" applyAlignment="1">
      <alignment vertical="center"/>
    </xf>
    <xf numFmtId="10" fontId="37" fillId="5" borderId="9" xfId="2" applyNumberFormat="1" applyFont="1" applyFill="1" applyBorder="1" applyAlignment="1">
      <alignment vertical="center"/>
    </xf>
    <xf numFmtId="164" fontId="4" fillId="5" borderId="7" xfId="7" applyNumberFormat="1" applyFont="1" applyFill="1" applyBorder="1" applyAlignment="1">
      <alignment vertical="center"/>
    </xf>
    <xf numFmtId="179" fontId="37" fillId="5" borderId="9" xfId="10" applyNumberFormat="1" applyFont="1" applyFill="1" applyBorder="1" applyAlignment="1">
      <alignment horizontal="right" vertical="center" indent="1"/>
    </xf>
    <xf numFmtId="164" fontId="4" fillId="5" borderId="55" xfId="7" applyNumberFormat="1" applyFont="1" applyFill="1" applyBorder="1" applyAlignment="1">
      <alignment vertical="center"/>
    </xf>
    <xf numFmtId="0" fontId="5" fillId="29" borderId="54" xfId="3" applyNumberFormat="1" applyFont="1" applyFill="1" applyBorder="1" applyAlignment="1">
      <alignment horizontal="center" vertical="center"/>
    </xf>
    <xf numFmtId="167" fontId="5" fillId="29" borderId="14" xfId="3" applyNumberFormat="1" applyFont="1" applyFill="1" applyBorder="1" applyAlignment="1">
      <alignment vertical="center" wrapText="1"/>
    </xf>
    <xf numFmtId="164" fontId="37" fillId="5" borderId="14" xfId="3" applyNumberFormat="1" applyFont="1" applyFill="1" applyBorder="1" applyAlignment="1">
      <alignment horizontal="center" vertical="center" wrapText="1"/>
    </xf>
    <xf numFmtId="167" fontId="37" fillId="5" borderId="3" xfId="3" applyNumberFormat="1" applyFont="1" applyFill="1" applyBorder="1" applyAlignment="1">
      <alignment vertical="center" wrapText="1"/>
    </xf>
    <xf numFmtId="164" fontId="37" fillId="5" borderId="3" xfId="3" applyNumberFormat="1" applyFont="1" applyFill="1" applyBorder="1" applyAlignment="1">
      <alignment horizontal="center" vertical="center" wrapText="1"/>
    </xf>
    <xf numFmtId="0" fontId="35" fillId="5" borderId="54" xfId="3" applyNumberFormat="1" applyFont="1" applyFill="1" applyBorder="1" applyAlignment="1">
      <alignment horizontal="center" vertical="center"/>
    </xf>
    <xf numFmtId="167" fontId="35" fillId="5" borderId="14" xfId="3" applyNumberFormat="1" applyFont="1" applyFill="1" applyBorder="1" applyAlignment="1">
      <alignment vertical="center" wrapText="1"/>
    </xf>
    <xf numFmtId="0" fontId="35" fillId="5" borderId="14" xfId="3" applyFont="1" applyFill="1" applyBorder="1" applyAlignment="1">
      <alignment horizontal="center" vertical="center"/>
    </xf>
    <xf numFmtId="179" fontId="35" fillId="5" borderId="14" xfId="10" applyNumberFormat="1" applyFont="1" applyFill="1" applyBorder="1" applyAlignment="1">
      <alignment horizontal="right" vertical="center" indent="1"/>
    </xf>
    <xf numFmtId="164" fontId="35" fillId="5" borderId="14" xfId="7" applyNumberFormat="1" applyFont="1" applyFill="1" applyBorder="1" applyAlignment="1">
      <alignment vertical="center"/>
    </xf>
    <xf numFmtId="179" fontId="35" fillId="5" borderId="14" xfId="7" applyNumberFormat="1" applyFont="1" applyFill="1" applyBorder="1" applyAlignment="1">
      <alignment vertical="center"/>
    </xf>
    <xf numFmtId="179" fontId="35" fillId="5" borderId="9" xfId="7" applyNumberFormat="1" applyFont="1" applyFill="1" applyBorder="1" applyAlignment="1">
      <alignment vertical="center"/>
    </xf>
    <xf numFmtId="0" fontId="35" fillId="5" borderId="41" xfId="3" applyNumberFormat="1" applyFont="1" applyFill="1" applyBorder="1" applyAlignment="1">
      <alignment horizontal="center" vertical="center"/>
    </xf>
    <xf numFmtId="167" fontId="35" fillId="5" borderId="3" xfId="3" applyNumberFormat="1" applyFont="1" applyFill="1" applyBorder="1" applyAlignment="1">
      <alignment vertical="center" wrapText="1"/>
    </xf>
    <xf numFmtId="0" fontId="35" fillId="5" borderId="3" xfId="3" applyFont="1" applyFill="1" applyBorder="1" applyAlignment="1">
      <alignment horizontal="center" vertical="center"/>
    </xf>
    <xf numFmtId="179" fontId="35" fillId="5" borderId="3" xfId="10" applyNumberFormat="1" applyFont="1" applyFill="1" applyBorder="1" applyAlignment="1">
      <alignment horizontal="right" vertical="center" indent="1"/>
    </xf>
    <xf numFmtId="164" fontId="35" fillId="5" borderId="3" xfId="7" applyNumberFormat="1" applyFont="1" applyFill="1" applyBorder="1" applyAlignment="1">
      <alignment vertical="center"/>
    </xf>
    <xf numFmtId="179" fontId="35" fillId="5" borderId="3" xfId="7" applyNumberFormat="1" applyFont="1" applyFill="1" applyBorder="1" applyAlignment="1">
      <alignment vertical="center"/>
    </xf>
    <xf numFmtId="179" fontId="35" fillId="5" borderId="11" xfId="7" applyNumberFormat="1" applyFont="1" applyFill="1" applyBorder="1" applyAlignment="1">
      <alignment vertical="center"/>
    </xf>
    <xf numFmtId="167" fontId="37" fillId="5" borderId="0" xfId="3" applyNumberFormat="1" applyFont="1" applyFill="1" applyBorder="1" applyAlignment="1">
      <alignment vertical="center" wrapText="1"/>
    </xf>
    <xf numFmtId="164" fontId="37" fillId="5" borderId="0" xfId="3" applyNumberFormat="1" applyFont="1" applyFill="1" applyBorder="1" applyAlignment="1">
      <alignment horizontal="center" vertical="center" wrapText="1"/>
    </xf>
    <xf numFmtId="164" fontId="4" fillId="5" borderId="50" xfId="7" applyNumberFormat="1" applyFont="1" applyFill="1" applyBorder="1" applyAlignment="1">
      <alignment vertical="center"/>
    </xf>
    <xf numFmtId="179" fontId="37" fillId="5" borderId="50" xfId="10" applyNumberFormat="1" applyFont="1" applyFill="1" applyBorder="1" applyAlignment="1">
      <alignment horizontal="right" vertical="center" indent="1"/>
    </xf>
    <xf numFmtId="164" fontId="4" fillId="5" borderId="53" xfId="7" applyNumberFormat="1" applyFont="1" applyFill="1" applyBorder="1" applyAlignment="1">
      <alignment vertical="center"/>
    </xf>
    <xf numFmtId="10" fontId="37" fillId="5" borderId="45" xfId="2" applyNumberFormat="1" applyFont="1" applyFill="1" applyBorder="1" applyAlignment="1">
      <alignment vertical="center"/>
    </xf>
    <xf numFmtId="164" fontId="37" fillId="5" borderId="45" xfId="7" applyNumberFormat="1" applyFont="1" applyFill="1" applyBorder="1" applyAlignment="1">
      <alignment vertical="center"/>
    </xf>
    <xf numFmtId="164" fontId="37" fillId="5" borderId="46" xfId="7" applyNumberFormat="1" applyFont="1" applyFill="1" applyBorder="1" applyAlignment="1">
      <alignment vertical="center"/>
    </xf>
    <xf numFmtId="167" fontId="37" fillId="5" borderId="62" xfId="3" applyNumberFormat="1" applyFont="1" applyFill="1" applyBorder="1" applyAlignment="1">
      <alignment horizontal="center" vertical="center" wrapText="1"/>
    </xf>
    <xf numFmtId="164" fontId="4" fillId="5" borderId="63" xfId="7" applyNumberFormat="1" applyFont="1" applyFill="1" applyBorder="1" applyAlignment="1">
      <alignment vertical="center"/>
    </xf>
    <xf numFmtId="167" fontId="37" fillId="5" borderId="63" xfId="3" applyNumberFormat="1" applyFont="1" applyFill="1" applyBorder="1" applyAlignment="1">
      <alignment horizontal="center" vertical="center" wrapText="1"/>
    </xf>
    <xf numFmtId="179" fontId="37" fillId="5" borderId="63" xfId="10" applyNumberFormat="1" applyFont="1" applyFill="1" applyBorder="1" applyAlignment="1">
      <alignment horizontal="right" vertical="center" indent="1"/>
    </xf>
    <xf numFmtId="164" fontId="4" fillId="5" borderId="64" xfId="7" applyNumberFormat="1" applyFont="1" applyFill="1" applyBorder="1" applyAlignment="1">
      <alignment vertical="center"/>
    </xf>
    <xf numFmtId="0" fontId="35" fillId="5" borderId="21" xfId="3" applyFont="1" applyFill="1" applyBorder="1" applyAlignment="1">
      <alignment horizontal="center" vertical="center"/>
    </xf>
    <xf numFmtId="179" fontId="35" fillId="5" borderId="21" xfId="10" applyNumberFormat="1" applyFont="1" applyFill="1" applyBorder="1" applyAlignment="1">
      <alignment horizontal="right" vertical="center" indent="1"/>
    </xf>
    <xf numFmtId="164" fontId="35" fillId="5" borderId="21" xfId="7" applyNumberFormat="1" applyFont="1" applyFill="1" applyBorder="1" applyAlignment="1">
      <alignment vertical="center"/>
    </xf>
    <xf numFmtId="164" fontId="37" fillId="5" borderId="21" xfId="3" applyNumberFormat="1" applyFont="1" applyFill="1" applyBorder="1" applyAlignment="1">
      <alignment horizontal="center" vertical="center" wrapText="1"/>
    </xf>
    <xf numFmtId="179" fontId="35" fillId="5" borderId="21" xfId="7" applyNumberFormat="1" applyFont="1" applyFill="1" applyBorder="1" applyAlignment="1">
      <alignment vertical="center"/>
    </xf>
    <xf numFmtId="179" fontId="35" fillId="5" borderId="25" xfId="7" applyNumberFormat="1" applyFont="1" applyFill="1" applyBorder="1" applyAlignment="1">
      <alignment vertical="center"/>
    </xf>
    <xf numFmtId="164" fontId="37" fillId="5" borderId="21" xfId="7" applyNumberFormat="1" applyFont="1" applyFill="1" applyBorder="1" applyAlignment="1">
      <alignment vertical="center"/>
    </xf>
    <xf numFmtId="179" fontId="37" fillId="5" borderId="21" xfId="10" applyNumberFormat="1" applyFont="1" applyFill="1" applyBorder="1" applyAlignment="1">
      <alignment horizontal="right" vertical="center" indent="1"/>
    </xf>
    <xf numFmtId="164" fontId="37" fillId="5" borderId="67" xfId="7" applyNumberFormat="1" applyFont="1" applyFill="1" applyBorder="1" applyAlignment="1">
      <alignment vertical="center"/>
    </xf>
    <xf numFmtId="164" fontId="4" fillId="5" borderId="51" xfId="7" applyNumberFormat="1" applyFont="1" applyFill="1" applyBorder="1" applyAlignment="1">
      <alignment vertical="center"/>
    </xf>
    <xf numFmtId="10" fontId="37" fillId="5" borderId="21" xfId="2" applyNumberFormat="1" applyFont="1" applyFill="1" applyBorder="1" applyAlignment="1">
      <alignment vertical="center"/>
    </xf>
    <xf numFmtId="164" fontId="37" fillId="5" borderId="24" xfId="7" applyNumberFormat="1" applyFont="1" applyFill="1" applyBorder="1" applyAlignment="1">
      <alignment vertical="center"/>
    </xf>
    <xf numFmtId="10" fontId="37" fillId="5" borderId="12" xfId="2" applyNumberFormat="1" applyFont="1" applyFill="1" applyBorder="1" applyAlignment="1">
      <alignment vertical="center"/>
    </xf>
    <xf numFmtId="164" fontId="37" fillId="5" borderId="12" xfId="7" applyNumberFormat="1" applyFont="1" applyFill="1" applyBorder="1" applyAlignment="1">
      <alignment vertical="center"/>
    </xf>
    <xf numFmtId="164" fontId="37" fillId="5" borderId="47" xfId="7" applyNumberFormat="1" applyFont="1" applyFill="1" applyBorder="1" applyAlignment="1">
      <alignment vertical="center"/>
    </xf>
    <xf numFmtId="164" fontId="4" fillId="5" borderId="68" xfId="7" applyNumberFormat="1" applyFont="1" applyFill="1" applyBorder="1" applyAlignment="1">
      <alignment vertical="center"/>
    </xf>
    <xf numFmtId="169" fontId="37" fillId="5" borderId="14" xfId="10" applyFont="1" applyFill="1" applyBorder="1" applyAlignment="1">
      <alignment horizontal="right" vertical="center" indent="1"/>
    </xf>
    <xf numFmtId="175" fontId="37" fillId="5" borderId="14" xfId="7" applyNumberFormat="1" applyFont="1" applyFill="1" applyBorder="1" applyAlignment="1">
      <alignment vertical="center"/>
    </xf>
    <xf numFmtId="175" fontId="37" fillId="5" borderId="9" xfId="7" applyNumberFormat="1" applyFont="1" applyFill="1" applyBorder="1" applyAlignment="1">
      <alignment vertical="center"/>
    </xf>
    <xf numFmtId="0" fontId="37" fillId="5" borderId="3" xfId="3" applyFont="1" applyFill="1" applyBorder="1" applyAlignment="1">
      <alignment horizontal="center" vertical="center"/>
    </xf>
    <xf numFmtId="169" fontId="37" fillId="5" borderId="3" xfId="10" applyFont="1" applyFill="1" applyBorder="1" applyAlignment="1">
      <alignment horizontal="right" vertical="center" indent="1"/>
    </xf>
    <xf numFmtId="175" fontId="37" fillId="5" borderId="3" xfId="7" applyNumberFormat="1" applyFont="1" applyFill="1" applyBorder="1" applyAlignment="1">
      <alignment vertical="center"/>
    </xf>
    <xf numFmtId="175" fontId="37" fillId="5" borderId="11" xfId="7" applyNumberFormat="1" applyFont="1" applyFill="1" applyBorder="1" applyAlignment="1">
      <alignment vertical="center"/>
    </xf>
    <xf numFmtId="0" fontId="37" fillId="5" borderId="0" xfId="3" applyFont="1" applyFill="1" applyBorder="1" applyAlignment="1">
      <alignment horizontal="center" vertical="center"/>
    </xf>
    <xf numFmtId="169" fontId="37" fillId="5" borderId="0" xfId="10" applyFont="1" applyFill="1" applyBorder="1" applyAlignment="1">
      <alignment horizontal="right" vertical="center" indent="1"/>
    </xf>
    <xf numFmtId="175" fontId="37" fillId="5" borderId="0" xfId="7" applyNumberFormat="1" applyFont="1" applyFill="1" applyBorder="1" applyAlignment="1">
      <alignment vertical="center"/>
    </xf>
    <xf numFmtId="0" fontId="5" fillId="0" borderId="24" xfId="3" applyFont="1" applyFill="1" applyBorder="1" applyAlignment="1">
      <alignment vertical="center"/>
    </xf>
    <xf numFmtId="164" fontId="5" fillId="0" borderId="50" xfId="7" applyNumberFormat="1" applyFont="1" applyFill="1" applyBorder="1" applyAlignment="1">
      <alignment vertical="center"/>
    </xf>
    <xf numFmtId="177" fontId="5" fillId="0" borderId="50" xfId="7" applyNumberFormat="1" applyFont="1" applyFill="1" applyBorder="1" applyAlignment="1">
      <alignment horizontal="center" vertical="center"/>
    </xf>
    <xf numFmtId="164" fontId="5" fillId="0" borderId="53" xfId="7" applyNumberFormat="1" applyFont="1" applyFill="1" applyBorder="1" applyAlignment="1">
      <alignment vertical="center"/>
    </xf>
    <xf numFmtId="164" fontId="35" fillId="0" borderId="3" xfId="7" applyNumberFormat="1" applyFont="1" applyFill="1" applyBorder="1" applyAlignment="1">
      <alignment vertical="center"/>
    </xf>
    <xf numFmtId="177" fontId="5" fillId="0" borderId="3" xfId="7" applyNumberFormat="1" applyFont="1" applyFill="1" applyBorder="1" applyAlignment="1">
      <alignment horizontal="center" vertical="center"/>
    </xf>
    <xf numFmtId="164" fontId="35" fillId="0" borderId="43" xfId="7" applyNumberFormat="1" applyFont="1" applyFill="1" applyBorder="1" applyAlignment="1">
      <alignment vertical="center"/>
    </xf>
    <xf numFmtId="167" fontId="37" fillId="5" borderId="56" xfId="3" applyNumberFormat="1" applyFont="1" applyFill="1" applyBorder="1" applyAlignment="1">
      <alignment horizontal="center" vertical="center" wrapText="1"/>
    </xf>
    <xf numFmtId="164" fontId="4" fillId="5" borderId="12" xfId="7" applyNumberFormat="1" applyFont="1" applyFill="1" applyBorder="1" applyAlignment="1">
      <alignment vertical="center"/>
    </xf>
    <xf numFmtId="167" fontId="37" fillId="5" borderId="12" xfId="3" applyNumberFormat="1" applyFont="1" applyFill="1" applyBorder="1" applyAlignment="1">
      <alignment horizontal="center" vertical="center" wrapText="1"/>
    </xf>
    <xf numFmtId="164" fontId="35" fillId="0" borderId="12" xfId="7" applyNumberFormat="1" applyFont="1" applyFill="1" applyBorder="1" applyAlignment="1">
      <alignment vertical="center"/>
    </xf>
    <xf numFmtId="177" fontId="5" fillId="0" borderId="12" xfId="7" applyNumberFormat="1" applyFont="1" applyFill="1" applyBorder="1" applyAlignment="1">
      <alignment horizontal="center" vertical="center"/>
    </xf>
    <xf numFmtId="164" fontId="4" fillId="5" borderId="47" xfId="7" applyNumberFormat="1" applyFont="1" applyFill="1" applyBorder="1" applyAlignment="1">
      <alignment vertical="center"/>
    </xf>
    <xf numFmtId="0" fontId="5" fillId="8" borderId="70" xfId="3" applyNumberFormat="1" applyFont="1" applyFill="1" applyBorder="1" applyAlignment="1">
      <alignment horizontal="center" vertical="center"/>
    </xf>
    <xf numFmtId="167" fontId="5" fillId="8" borderId="71" xfId="3" applyNumberFormat="1" applyFont="1" applyFill="1" applyBorder="1" applyAlignment="1">
      <alignment vertical="center" wrapText="1"/>
    </xf>
    <xf numFmtId="164" fontId="5" fillId="8" borderId="68" xfId="7" applyNumberFormat="1" applyFont="1" applyFill="1" applyBorder="1" applyAlignment="1">
      <alignment vertical="center"/>
    </xf>
    <xf numFmtId="164" fontId="5" fillId="8" borderId="63" xfId="7" applyNumberFormat="1" applyFont="1" applyFill="1" applyBorder="1" applyAlignment="1">
      <alignment vertical="center"/>
    </xf>
    <xf numFmtId="177" fontId="5" fillId="8" borderId="63" xfId="7" applyNumberFormat="1" applyFont="1" applyFill="1" applyBorder="1" applyAlignment="1">
      <alignment horizontal="center" vertical="center"/>
    </xf>
    <xf numFmtId="164" fontId="5" fillId="8" borderId="64" xfId="7" applyNumberFormat="1" applyFont="1" applyFill="1" applyBorder="1" applyAlignment="1">
      <alignment vertical="center"/>
    </xf>
    <xf numFmtId="0" fontId="40" fillId="8" borderId="0" xfId="3" applyFont="1" applyFill="1" applyAlignment="1" applyProtection="1">
      <alignment vertical="center"/>
      <protection locked="0"/>
    </xf>
    <xf numFmtId="0" fontId="35" fillId="8" borderId="0" xfId="3" applyFont="1" applyFill="1" applyAlignment="1">
      <alignment vertical="center"/>
    </xf>
    <xf numFmtId="0" fontId="40" fillId="0" borderId="31" xfId="3" applyFont="1" applyBorder="1" applyProtection="1">
      <protection locked="0"/>
    </xf>
    <xf numFmtId="0" fontId="40" fillId="0" borderId="32" xfId="3" applyFont="1" applyFill="1" applyBorder="1" applyProtection="1">
      <protection locked="0"/>
    </xf>
    <xf numFmtId="164" fontId="40" fillId="0" borderId="32" xfId="3" applyNumberFormat="1" applyFont="1" applyFill="1" applyBorder="1" applyProtection="1">
      <protection locked="0"/>
    </xf>
    <xf numFmtId="164" fontId="35" fillId="0" borderId="32" xfId="0" applyNumberFormat="1" applyFont="1" applyBorder="1"/>
    <xf numFmtId="177" fontId="5" fillId="0" borderId="50" xfId="7" applyNumberFormat="1" applyFont="1" applyFill="1" applyBorder="1" applyAlignment="1">
      <alignment horizontal="center" vertical="center" wrapText="1"/>
    </xf>
    <xf numFmtId="164" fontId="5" fillId="8" borderId="53" xfId="7" applyNumberFormat="1" applyFont="1" applyFill="1" applyBorder="1" applyAlignment="1">
      <alignment vertical="center"/>
    </xf>
    <xf numFmtId="164" fontId="46" fillId="0" borderId="0" xfId="9" applyNumberFormat="1" applyFont="1" applyFill="1" applyBorder="1" applyAlignment="1" applyProtection="1">
      <protection locked="0"/>
    </xf>
    <xf numFmtId="0" fontId="40" fillId="0" borderId="0" xfId="3" applyFont="1" applyFill="1" applyBorder="1" applyAlignment="1" applyProtection="1">
      <protection locked="0"/>
    </xf>
    <xf numFmtId="164" fontId="40" fillId="0" borderId="0" xfId="3" applyNumberFormat="1" applyFont="1" applyProtection="1">
      <protection locked="0"/>
    </xf>
    <xf numFmtId="0" fontId="40" fillId="0" borderId="8" xfId="3" applyFont="1" applyFill="1" applyBorder="1" applyProtection="1">
      <protection locked="0"/>
    </xf>
    <xf numFmtId="0" fontId="40" fillId="0" borderId="0" xfId="3" applyFont="1" applyFill="1" applyBorder="1" applyProtection="1">
      <protection locked="0"/>
    </xf>
    <xf numFmtId="164" fontId="40" fillId="0" borderId="0" xfId="3" applyNumberFormat="1" applyFont="1" applyFill="1" applyBorder="1" applyProtection="1">
      <protection locked="0"/>
    </xf>
    <xf numFmtId="0" fontId="34" fillId="0" borderId="0" xfId="3" applyFont="1" applyFill="1" applyBorder="1" applyAlignment="1" applyProtection="1">
      <alignment horizontal="center"/>
      <protection locked="0"/>
    </xf>
    <xf numFmtId="0" fontId="5" fillId="0" borderId="0" xfId="0" applyFont="1" applyBorder="1" applyAlignment="1">
      <alignment vertical="center"/>
    </xf>
    <xf numFmtId="177" fontId="34" fillId="0" borderId="0" xfId="3" applyNumberFormat="1" applyFont="1" applyFill="1" applyBorder="1" applyAlignment="1" applyProtection="1">
      <alignment horizontal="center"/>
      <protection locked="0"/>
    </xf>
    <xf numFmtId="0" fontId="40" fillId="0" borderId="0" xfId="3" applyFont="1" applyFill="1" applyBorder="1" applyAlignment="1" applyProtection="1">
      <alignment horizontal="center" vertical="center"/>
      <protection locked="0"/>
    </xf>
    <xf numFmtId="164" fontId="40" fillId="0" borderId="0" xfId="3" applyNumberFormat="1" applyFont="1" applyFill="1" applyBorder="1" applyAlignment="1" applyProtection="1">
      <protection locked="0"/>
    </xf>
    <xf numFmtId="0" fontId="5" fillId="0" borderId="34" xfId="3" applyFont="1" applyBorder="1"/>
    <xf numFmtId="0" fontId="5" fillId="0" borderId="0" xfId="3" applyFont="1" applyFill="1" applyBorder="1"/>
    <xf numFmtId="0" fontId="37" fillId="0" borderId="0" xfId="0" applyFont="1" applyFill="1" applyBorder="1"/>
    <xf numFmtId="164" fontId="37" fillId="0" borderId="0" xfId="0" applyNumberFormat="1" applyFont="1" applyFill="1" applyBorder="1" applyAlignment="1"/>
    <xf numFmtId="164" fontId="35" fillId="0" borderId="0" xfId="3" applyNumberFormat="1" applyFont="1" applyBorder="1"/>
    <xf numFmtId="164" fontId="35" fillId="0" borderId="35" xfId="3" applyNumberFormat="1" applyFont="1" applyBorder="1" applyAlignment="1">
      <alignment wrapText="1"/>
    </xf>
    <xf numFmtId="164" fontId="35" fillId="0" borderId="0" xfId="8" applyNumberFormat="1" applyFont="1" applyBorder="1"/>
    <xf numFmtId="177" fontId="34" fillId="0" borderId="5" xfId="3" applyNumberFormat="1" applyFont="1" applyFill="1" applyBorder="1" applyAlignment="1" applyProtection="1">
      <alignment horizontal="center" wrapText="1"/>
      <protection locked="0"/>
    </xf>
    <xf numFmtId="177" fontId="34" fillId="0" borderId="0" xfId="3" applyNumberFormat="1" applyFont="1" applyFill="1" applyBorder="1" applyAlignment="1" applyProtection="1">
      <alignment wrapText="1"/>
      <protection locked="0"/>
    </xf>
    <xf numFmtId="164" fontId="40" fillId="0" borderId="0" xfId="3" applyNumberFormat="1" applyFont="1" applyFill="1" applyBorder="1" applyAlignment="1" applyProtection="1">
      <alignment horizontal="center" wrapText="1"/>
      <protection locked="0"/>
    </xf>
    <xf numFmtId="164" fontId="40" fillId="0" borderId="0" xfId="3" applyNumberFormat="1" applyFont="1" applyFill="1" applyBorder="1" applyAlignment="1" applyProtection="1">
      <alignment wrapText="1"/>
      <protection locked="0"/>
    </xf>
    <xf numFmtId="164" fontId="37" fillId="0" borderId="0" xfId="0" applyNumberFormat="1" applyFont="1" applyFill="1" applyBorder="1" applyAlignment="1">
      <alignment horizontal="center" wrapText="1"/>
    </xf>
    <xf numFmtId="164" fontId="37" fillId="0" borderId="0" xfId="0" applyNumberFormat="1" applyFont="1" applyFill="1" applyBorder="1" applyAlignment="1">
      <alignment wrapText="1"/>
    </xf>
    <xf numFmtId="164" fontId="35" fillId="0" borderId="37" xfId="3" applyNumberFormat="1" applyFont="1" applyBorder="1"/>
    <xf numFmtId="164" fontId="35" fillId="0" borderId="38" xfId="3" applyNumberFormat="1" applyFont="1" applyBorder="1" applyAlignment="1">
      <alignment wrapText="1"/>
    </xf>
    <xf numFmtId="0" fontId="35" fillId="0" borderId="0" xfId="0" applyFont="1" applyAlignment="1">
      <alignment horizontal="left" vertical="center" indent="15"/>
    </xf>
    <xf numFmtId="0" fontId="10" fillId="0" borderId="0" xfId="0" applyFont="1" applyAlignment="1">
      <alignment horizontal="center" vertical="center"/>
    </xf>
    <xf numFmtId="0" fontId="9" fillId="3" borderId="0" xfId="0" applyFont="1" applyFill="1" applyAlignment="1">
      <alignment horizontal="center" vertical="center"/>
    </xf>
    <xf numFmtId="0" fontId="11" fillId="0" borderId="26" xfId="0" applyFont="1" applyBorder="1"/>
    <xf numFmtId="0" fontId="11" fillId="0" borderId="75" xfId="0" applyFont="1" applyBorder="1"/>
    <xf numFmtId="0" fontId="11" fillId="0" borderId="0" xfId="0" applyFont="1"/>
    <xf numFmtId="0" fontId="11" fillId="0" borderId="0" xfId="0" applyFont="1" applyAlignment="1">
      <alignment horizontal="left"/>
    </xf>
    <xf numFmtId="0" fontId="11" fillId="0" borderId="19" xfId="0" applyFont="1" applyBorder="1" applyAlignment="1">
      <alignment horizontal="left"/>
    </xf>
    <xf numFmtId="0" fontId="11" fillId="0" borderId="72" xfId="0" applyFont="1" applyBorder="1" applyAlignment="1">
      <alignment horizontal="left"/>
    </xf>
    <xf numFmtId="0" fontId="11" fillId="0" borderId="76" xfId="0" applyFont="1" applyBorder="1"/>
    <xf numFmtId="0" fontId="11" fillId="0" borderId="29" xfId="0" applyFont="1" applyBorder="1"/>
    <xf numFmtId="168" fontId="11" fillId="0" borderId="15" xfId="0" applyNumberFormat="1" applyFont="1" applyBorder="1"/>
    <xf numFmtId="0" fontId="10" fillId="0" borderId="0" xfId="0" applyFont="1" applyAlignment="1">
      <alignment vertical="center"/>
    </xf>
    <xf numFmtId="0" fontId="16" fillId="3" borderId="0" xfId="0" applyFont="1" applyFill="1" applyAlignment="1">
      <alignment horizontal="center"/>
    </xf>
    <xf numFmtId="0" fontId="9" fillId="30" borderId="23" xfId="0" applyFont="1" applyFill="1" applyBorder="1" applyAlignment="1">
      <alignment horizontal="center" vertical="center"/>
    </xf>
    <xf numFmtId="0" fontId="9" fillId="30" borderId="27" xfId="0" applyFont="1" applyFill="1" applyBorder="1" applyAlignment="1">
      <alignment horizontal="center" vertical="center"/>
    </xf>
    <xf numFmtId="0" fontId="9" fillId="30" borderId="27" xfId="0" applyFont="1" applyFill="1" applyBorder="1" applyAlignment="1">
      <alignment horizontal="center" vertical="center" wrapText="1"/>
    </xf>
    <xf numFmtId="0" fontId="9" fillId="30" borderId="22" xfId="0" applyFont="1" applyFill="1" applyBorder="1" applyAlignment="1">
      <alignment horizontal="center" vertical="center"/>
    </xf>
    <xf numFmtId="0" fontId="9" fillId="30" borderId="23" xfId="0" applyFont="1" applyFill="1" applyBorder="1" applyAlignment="1">
      <alignment horizontal="center" vertical="center" wrapText="1"/>
    </xf>
    <xf numFmtId="0" fontId="10" fillId="0" borderId="27" xfId="0" applyFont="1" applyBorder="1" applyAlignment="1">
      <alignment horizontal="center"/>
    </xf>
    <xf numFmtId="183" fontId="10" fillId="0" borderId="27" xfId="0" applyNumberFormat="1" applyFont="1" applyBorder="1" applyAlignment="1">
      <alignment horizontal="center"/>
    </xf>
    <xf numFmtId="0" fontId="9" fillId="0" borderId="27" xfId="0" applyFont="1" applyBorder="1" applyAlignment="1">
      <alignment horizontal="center"/>
    </xf>
    <xf numFmtId="183" fontId="9" fillId="0" borderId="27" xfId="0" applyNumberFormat="1" applyFont="1" applyBorder="1" applyAlignment="1">
      <alignment horizontal="center"/>
    </xf>
    <xf numFmtId="0" fontId="9" fillId="3" borderId="27" xfId="0" applyFont="1" applyFill="1" applyBorder="1" applyAlignment="1">
      <alignment horizontal="center" vertical="center"/>
    </xf>
    <xf numFmtId="0" fontId="10" fillId="3" borderId="27" xfId="0" applyFont="1" applyFill="1" applyBorder="1" applyAlignment="1">
      <alignment horizontal="left" vertical="center" wrapText="1"/>
    </xf>
    <xf numFmtId="0" fontId="10" fillId="0" borderId="27" xfId="0" applyFont="1" applyBorder="1" applyAlignment="1">
      <alignment horizontal="center" vertical="center" wrapText="1"/>
    </xf>
    <xf numFmtId="0" fontId="11" fillId="0" borderId="27" xfId="0" applyFont="1" applyBorder="1" applyAlignment="1">
      <alignment horizontal="center" vertical="center" wrapText="1"/>
    </xf>
    <xf numFmtId="0" fontId="10" fillId="0" borderId="27" xfId="0" applyFont="1" applyBorder="1" applyAlignment="1">
      <alignment horizontal="center" vertical="center"/>
    </xf>
    <xf numFmtId="183" fontId="10" fillId="0" borderId="27" xfId="0" applyNumberFormat="1" applyFont="1" applyBorder="1" applyAlignment="1">
      <alignment horizontal="center" vertical="center"/>
    </xf>
    <xf numFmtId="4" fontId="10" fillId="0" borderId="27" xfId="0" applyNumberFormat="1" applyFont="1" applyBorder="1" applyAlignment="1">
      <alignment horizontal="center" vertical="center"/>
    </xf>
    <xf numFmtId="184" fontId="10" fillId="0" borderId="27" xfId="0" applyNumberFormat="1" applyFont="1" applyBorder="1" applyAlignment="1">
      <alignment horizontal="center" vertical="center"/>
    </xf>
    <xf numFmtId="183" fontId="10" fillId="0" borderId="27" xfId="0" applyNumberFormat="1" applyFont="1" applyBorder="1" applyAlignment="1">
      <alignment horizontal="right" vertical="center"/>
    </xf>
    <xf numFmtId="0" fontId="9" fillId="0" borderId="27" xfId="0" applyFont="1" applyBorder="1" applyAlignment="1">
      <alignment horizontal="left" vertical="center" wrapText="1"/>
    </xf>
    <xf numFmtId="171" fontId="9" fillId="0" borderId="27" xfId="0" applyNumberFormat="1" applyFont="1" applyBorder="1" applyAlignment="1">
      <alignment vertical="center"/>
    </xf>
    <xf numFmtId="165" fontId="9" fillId="0" borderId="0" xfId="0" applyNumberFormat="1" applyFont="1" applyAlignment="1">
      <alignment vertical="center"/>
    </xf>
    <xf numFmtId="185" fontId="10" fillId="0" borderId="27" xfId="0" applyNumberFormat="1" applyFont="1" applyBorder="1" applyAlignment="1">
      <alignment horizontal="center"/>
    </xf>
    <xf numFmtId="185" fontId="9" fillId="0" borderId="27" xfId="0" applyNumberFormat="1" applyFont="1" applyBorder="1" applyAlignment="1">
      <alignment horizontal="center"/>
    </xf>
    <xf numFmtId="185" fontId="9" fillId="0" borderId="27" xfId="0" applyNumberFormat="1" applyFont="1" applyBorder="1" applyAlignment="1">
      <alignment horizontal="right"/>
    </xf>
    <xf numFmtId="165" fontId="9" fillId="0" borderId="27" xfId="0" applyNumberFormat="1" applyFont="1" applyBorder="1" applyAlignment="1">
      <alignment vertical="center"/>
    </xf>
    <xf numFmtId="183" fontId="9" fillId="0" borderId="27" xfId="0" applyNumberFormat="1" applyFont="1" applyBorder="1" applyAlignment="1">
      <alignment horizontal="right"/>
    </xf>
    <xf numFmtId="168" fontId="10" fillId="0" borderId="0" xfId="0" applyNumberFormat="1" applyFont="1"/>
    <xf numFmtId="9" fontId="10" fillId="0" borderId="27" xfId="0" applyNumberFormat="1" applyFont="1" applyBorder="1" applyAlignment="1">
      <alignment horizontal="center" vertical="center" wrapText="1"/>
    </xf>
    <xf numFmtId="9" fontId="9" fillId="0" borderId="27" xfId="0" applyNumberFormat="1" applyFont="1" applyBorder="1" applyAlignment="1">
      <alignment horizontal="center" vertical="center" wrapText="1"/>
    </xf>
    <xf numFmtId="10" fontId="9" fillId="0" borderId="27" xfId="0" applyNumberFormat="1" applyFont="1" applyBorder="1" applyAlignment="1">
      <alignment horizontal="center" vertical="center" wrapText="1"/>
    </xf>
    <xf numFmtId="183" fontId="10" fillId="0" borderId="27" xfId="0" applyNumberFormat="1" applyFont="1" applyBorder="1"/>
    <xf numFmtId="183" fontId="10" fillId="0" borderId="27" xfId="0" applyNumberFormat="1" applyFont="1" applyBorder="1" applyAlignment="1">
      <alignment horizontal="right"/>
    </xf>
    <xf numFmtId="183" fontId="10" fillId="0" borderId="27" xfId="0" applyNumberFormat="1" applyFont="1" applyFill="1" applyBorder="1"/>
    <xf numFmtId="171" fontId="10" fillId="0" borderId="22" xfId="0" applyNumberFormat="1" applyFont="1" applyBorder="1" applyAlignment="1">
      <alignment vertical="center"/>
    </xf>
    <xf numFmtId="165" fontId="9" fillId="0" borderId="27" xfId="0" applyNumberFormat="1" applyFont="1" applyBorder="1" applyAlignment="1">
      <alignment horizontal="right" vertical="center"/>
    </xf>
    <xf numFmtId="0" fontId="10" fillId="0" borderId="0" xfId="0" applyFont="1" applyBorder="1" applyAlignment="1">
      <alignment horizontal="center" vertical="center" wrapText="1"/>
    </xf>
    <xf numFmtId="0" fontId="9" fillId="0" borderId="0" xfId="0" applyFont="1" applyBorder="1" applyAlignment="1">
      <alignment horizontal="left" vertical="center" wrapText="1"/>
    </xf>
    <xf numFmtId="0" fontId="10" fillId="0" borderId="0" xfId="0" applyFont="1" applyBorder="1" applyAlignment="1">
      <alignment horizontal="center" vertical="center"/>
    </xf>
    <xf numFmtId="171" fontId="10" fillId="0" borderId="0" xfId="0" applyNumberFormat="1" applyFont="1" applyBorder="1" applyAlignment="1">
      <alignment vertical="center"/>
    </xf>
    <xf numFmtId="165" fontId="9" fillId="0" borderId="0" xfId="0" applyNumberFormat="1" applyFont="1" applyBorder="1" applyAlignment="1">
      <alignment vertical="center"/>
    </xf>
    <xf numFmtId="0" fontId="10" fillId="0" borderId="0" xfId="0" applyFont="1" applyBorder="1" applyAlignment="1">
      <alignment horizontal="center"/>
    </xf>
    <xf numFmtId="183" fontId="10" fillId="0" borderId="0" xfId="0" applyNumberFormat="1" applyFont="1" applyBorder="1" applyAlignment="1">
      <alignment horizontal="center"/>
    </xf>
    <xf numFmtId="0" fontId="9" fillId="33" borderId="0" xfId="0" applyFont="1" applyFill="1" applyAlignment="1">
      <alignment horizontal="center" vertical="center"/>
    </xf>
    <xf numFmtId="0" fontId="9" fillId="33" borderId="0" xfId="0" applyFont="1" applyFill="1" applyAlignment="1">
      <alignment horizontal="center" vertical="center" wrapText="1"/>
    </xf>
    <xf numFmtId="0" fontId="10" fillId="33" borderId="0" xfId="0" applyFont="1" applyFill="1" applyAlignment="1">
      <alignment horizontal="center" vertical="center"/>
    </xf>
    <xf numFmtId="185" fontId="10" fillId="33" borderId="0" xfId="0" applyNumberFormat="1" applyFont="1" applyFill="1" applyAlignment="1">
      <alignment horizontal="center" vertical="center"/>
    </xf>
    <xf numFmtId="0" fontId="10" fillId="33" borderId="0" xfId="0" applyFont="1" applyFill="1"/>
    <xf numFmtId="0" fontId="9" fillId="30" borderId="26" xfId="0" applyFont="1" applyFill="1" applyBorder="1" applyAlignment="1">
      <alignment horizontal="center" vertical="center"/>
    </xf>
    <xf numFmtId="0" fontId="9" fillId="30" borderId="22" xfId="0" applyFont="1" applyFill="1" applyBorder="1" applyAlignment="1">
      <alignment horizontal="center" vertical="center" wrapText="1"/>
    </xf>
    <xf numFmtId="169" fontId="10" fillId="0" borderId="27" xfId="0" applyNumberFormat="1" applyFont="1" applyBorder="1"/>
    <xf numFmtId="186" fontId="10" fillId="0" borderId="27" xfId="0" applyNumberFormat="1" applyFont="1" applyBorder="1"/>
    <xf numFmtId="169" fontId="10" fillId="0" borderId="27" xfId="0" applyNumberFormat="1" applyFont="1" applyBorder="1" applyAlignment="1">
      <alignment vertical="center"/>
    </xf>
    <xf numFmtId="0" fontId="10" fillId="0" borderId="27" xfId="0" applyFont="1" applyBorder="1"/>
    <xf numFmtId="0" fontId="9" fillId="0" borderId="0" xfId="0" applyFont="1" applyAlignment="1">
      <alignment horizontal="center"/>
    </xf>
    <xf numFmtId="0" fontId="10" fillId="0" borderId="23" xfId="0" applyFont="1" applyBorder="1" applyAlignment="1">
      <alignment horizontal="center" vertical="center" wrapText="1"/>
    </xf>
    <xf numFmtId="171" fontId="10" fillId="0" borderId="27" xfId="0" applyNumberFormat="1" applyFont="1" applyBorder="1" applyAlignment="1">
      <alignment vertical="center"/>
    </xf>
    <xf numFmtId="165" fontId="9" fillId="0" borderId="27" xfId="0" applyNumberFormat="1" applyFont="1" applyBorder="1" applyAlignment="1">
      <alignment horizontal="left"/>
    </xf>
    <xf numFmtId="165" fontId="9" fillId="0" borderId="27" xfId="0" applyNumberFormat="1" applyFont="1" applyBorder="1" applyAlignment="1">
      <alignment horizontal="center"/>
    </xf>
    <xf numFmtId="0" fontId="10" fillId="3" borderId="0" xfId="0" applyFont="1" applyFill="1" applyAlignment="1">
      <alignment horizontal="center" vertical="center" wrapText="1"/>
    </xf>
    <xf numFmtId="0" fontId="9" fillId="3" borderId="0" xfId="0" applyFont="1" applyFill="1" applyAlignment="1">
      <alignment horizontal="center" vertical="center" wrapText="1"/>
    </xf>
    <xf numFmtId="0" fontId="10" fillId="3" borderId="0" xfId="0" applyFont="1" applyFill="1" applyAlignment="1">
      <alignment horizontal="center" vertical="center"/>
    </xf>
    <xf numFmtId="171" fontId="10" fillId="3" borderId="0" xfId="0" applyNumberFormat="1" applyFont="1" applyFill="1" applyAlignment="1">
      <alignment vertical="center"/>
    </xf>
    <xf numFmtId="165" fontId="9" fillId="3" borderId="0" xfId="0" applyNumberFormat="1" applyFont="1" applyFill="1" applyAlignment="1">
      <alignment vertical="center"/>
    </xf>
    <xf numFmtId="0" fontId="10" fillId="3" borderId="0" xfId="0" applyFont="1" applyFill="1" applyAlignment="1">
      <alignment horizontal="center"/>
    </xf>
    <xf numFmtId="185" fontId="10" fillId="3" borderId="0" xfId="0" applyNumberFormat="1" applyFont="1" applyFill="1" applyAlignment="1">
      <alignment horizontal="center"/>
    </xf>
    <xf numFmtId="0" fontId="10" fillId="3" borderId="0" xfId="0" applyFont="1" applyFill="1"/>
    <xf numFmtId="0" fontId="10" fillId="0" borderId="76" xfId="0" applyFont="1" applyBorder="1" applyAlignment="1">
      <alignment horizontal="center" vertical="center" wrapText="1"/>
    </xf>
    <xf numFmtId="0" fontId="9" fillId="0" borderId="29" xfId="0" applyFont="1" applyBorder="1" applyAlignment="1">
      <alignment horizontal="center" vertical="center" wrapText="1"/>
    </xf>
    <xf numFmtId="171" fontId="10" fillId="0" borderId="0" xfId="0" applyNumberFormat="1" applyFont="1" applyAlignment="1">
      <alignment vertical="center"/>
    </xf>
    <xf numFmtId="185" fontId="10" fillId="0" borderId="0" xfId="0" applyNumberFormat="1" applyFont="1" applyAlignment="1">
      <alignment horizontal="center"/>
    </xf>
    <xf numFmtId="0" fontId="9" fillId="30" borderId="26" xfId="0" applyFont="1" applyFill="1" applyBorder="1" applyAlignment="1">
      <alignment horizontal="center" vertical="center" wrapText="1"/>
    </xf>
    <xf numFmtId="0" fontId="10" fillId="0" borderId="19" xfId="0" applyFont="1" applyBorder="1" applyAlignment="1">
      <alignment horizontal="center" vertical="center"/>
    </xf>
    <xf numFmtId="169" fontId="10" fillId="0" borderId="27" xfId="0" applyNumberFormat="1" applyFont="1" applyBorder="1" applyAlignment="1">
      <alignment horizontal="center"/>
    </xf>
    <xf numFmtId="0" fontId="11" fillId="3" borderId="27" xfId="0" applyFont="1" applyFill="1" applyBorder="1" applyAlignment="1">
      <alignment horizontal="left" vertical="center" wrapText="1"/>
    </xf>
    <xf numFmtId="0" fontId="9" fillId="3" borderId="27" xfId="0" applyFont="1" applyFill="1" applyBorder="1" applyAlignment="1">
      <alignment horizontal="center" vertical="center" wrapText="1"/>
    </xf>
    <xf numFmtId="171" fontId="9" fillId="33" borderId="0" xfId="0" applyNumberFormat="1" applyFont="1" applyFill="1" applyAlignment="1">
      <alignment vertical="center"/>
    </xf>
    <xf numFmtId="165" fontId="9" fillId="33" borderId="0" xfId="0" applyNumberFormat="1" applyFont="1" applyFill="1" applyAlignment="1">
      <alignment vertical="center"/>
    </xf>
    <xf numFmtId="0" fontId="9" fillId="33" borderId="0" xfId="0" applyFont="1" applyFill="1" applyAlignment="1">
      <alignment horizontal="center"/>
    </xf>
    <xf numFmtId="0" fontId="9" fillId="0" borderId="27" xfId="0" applyFont="1" applyBorder="1" applyAlignment="1">
      <alignment horizontal="center" vertical="center" wrapText="1"/>
    </xf>
    <xf numFmtId="183" fontId="9" fillId="0" borderId="27" xfId="0" applyNumberFormat="1" applyFont="1" applyBorder="1"/>
    <xf numFmtId="9" fontId="9" fillId="0" borderId="27" xfId="0" applyNumberFormat="1" applyFont="1" applyFill="1" applyBorder="1" applyAlignment="1">
      <alignment horizontal="center" vertical="center" wrapText="1"/>
    </xf>
    <xf numFmtId="165" fontId="9" fillId="0" borderId="27" xfId="0" applyNumberFormat="1" applyFont="1" applyBorder="1"/>
    <xf numFmtId="0" fontId="9" fillId="0" borderId="0" xfId="0" applyFont="1" applyBorder="1" applyAlignment="1">
      <alignment horizontal="center" vertical="center" wrapText="1"/>
    </xf>
    <xf numFmtId="185" fontId="9" fillId="0" borderId="0" xfId="0" applyNumberFormat="1" applyFont="1" applyAlignment="1">
      <alignment horizontal="center"/>
    </xf>
    <xf numFmtId="165" fontId="9" fillId="30" borderId="80" xfId="0" applyNumberFormat="1" applyFont="1" applyFill="1" applyBorder="1" applyAlignment="1">
      <alignment vertical="center"/>
    </xf>
    <xf numFmtId="183" fontId="9" fillId="0" borderId="23" xfId="0" applyNumberFormat="1" applyFont="1" applyFill="1" applyBorder="1" applyAlignment="1">
      <alignment horizontal="center" vertical="center"/>
    </xf>
    <xf numFmtId="165" fontId="9" fillId="0" borderId="0" xfId="0" applyNumberFormat="1" applyFont="1" applyAlignment="1">
      <alignment horizontal="center" vertical="center"/>
    </xf>
    <xf numFmtId="165" fontId="9" fillId="0" borderId="23" xfId="0" applyNumberFormat="1" applyFont="1" applyBorder="1" applyAlignment="1">
      <alignment vertical="center"/>
    </xf>
    <xf numFmtId="0" fontId="9" fillId="0" borderId="0" xfId="0" applyFont="1" applyAlignment="1">
      <alignment horizontal="center" vertical="center"/>
    </xf>
    <xf numFmtId="0" fontId="9" fillId="0" borderId="0" xfId="0" applyFont="1" applyFill="1" applyBorder="1" applyAlignment="1">
      <alignment horizontal="center"/>
    </xf>
    <xf numFmtId="0" fontId="8" fillId="0" borderId="0" xfId="0" applyFont="1" applyBorder="1"/>
    <xf numFmtId="165" fontId="9" fillId="0" borderId="0" xfId="0" applyNumberFormat="1" applyFont="1" applyFill="1" applyBorder="1"/>
    <xf numFmtId="165" fontId="9" fillId="0" borderId="0" xfId="0" applyNumberFormat="1" applyFont="1" applyBorder="1"/>
    <xf numFmtId="0" fontId="10" fillId="0" borderId="3" xfId="0" applyFont="1" applyBorder="1"/>
    <xf numFmtId="0" fontId="16" fillId="33" borderId="0" xfId="0" applyFont="1" applyFill="1" applyAlignment="1">
      <alignment wrapText="1"/>
    </xf>
    <xf numFmtId="0" fontId="8" fillId="0" borderId="0" xfId="0" applyFont="1" applyAlignment="1">
      <alignment vertical="center"/>
    </xf>
    <xf numFmtId="0" fontId="10" fillId="0" borderId="0" xfId="0" applyFont="1" applyBorder="1"/>
    <xf numFmtId="0" fontId="16" fillId="0" borderId="0" xfId="0" applyFont="1" applyBorder="1" applyAlignment="1">
      <alignment horizontal="center" wrapText="1"/>
    </xf>
    <xf numFmtId="0" fontId="8" fillId="0" borderId="0" xfId="0" applyFont="1" applyBorder="1" applyAlignment="1">
      <alignment vertical="center"/>
    </xf>
    <xf numFmtId="9" fontId="9" fillId="0" borderId="0" xfId="0" applyNumberFormat="1" applyFont="1" applyAlignment="1">
      <alignment horizontal="center"/>
    </xf>
    <xf numFmtId="0" fontId="37" fillId="0" borderId="0" xfId="0" applyFont="1"/>
    <xf numFmtId="183" fontId="10" fillId="0" borderId="0" xfId="0" applyNumberFormat="1" applyFont="1"/>
    <xf numFmtId="0" fontId="48" fillId="0" borderId="0" xfId="3" applyFont="1" applyAlignment="1">
      <alignment horizontal="center" vertical="center"/>
    </xf>
    <xf numFmtId="44" fontId="35" fillId="0" borderId="0" xfId="1" applyFont="1"/>
    <xf numFmtId="0" fontId="35" fillId="0" borderId="0" xfId="3" applyFont="1" applyAlignment="1">
      <alignment horizontal="center" vertical="center"/>
    </xf>
    <xf numFmtId="44" fontId="35" fillId="0" borderId="0" xfId="1" applyFont="1" applyAlignment="1">
      <alignment horizontal="center" vertical="center"/>
    </xf>
    <xf numFmtId="44" fontId="35" fillId="0" borderId="0" xfId="1" applyFont="1" applyAlignment="1">
      <alignment wrapText="1"/>
    </xf>
    <xf numFmtId="0" fontId="35" fillId="0" borderId="0" xfId="3" applyFont="1" applyAlignment="1">
      <alignment horizontal="center" vertical="center" wrapText="1"/>
    </xf>
    <xf numFmtId="44" fontId="35" fillId="0" borderId="0" xfId="1" applyFont="1" applyAlignment="1">
      <alignment horizontal="center" vertical="center" wrapText="1"/>
    </xf>
    <xf numFmtId="0" fontId="35" fillId="0" borderId="0" xfId="3" applyFont="1" applyBorder="1" applyAlignment="1">
      <alignment horizontal="center" vertical="center" wrapText="1"/>
    </xf>
    <xf numFmtId="44" fontId="35" fillId="0" borderId="0" xfId="1" applyFont="1" applyBorder="1" applyAlignment="1">
      <alignment horizontal="center" vertical="center" wrapText="1"/>
    </xf>
    <xf numFmtId="169" fontId="49" fillId="0" borderId="0" xfId="7" applyFont="1" applyFill="1" applyBorder="1" applyAlignment="1" applyProtection="1">
      <alignment horizontal="center" vertical="center" wrapText="1"/>
      <protection locked="0"/>
    </xf>
    <xf numFmtId="0" fontId="50" fillId="0" borderId="3" xfId="3" applyFont="1" applyFill="1" applyBorder="1" applyAlignment="1">
      <alignment horizontal="center" vertical="center" wrapText="1"/>
    </xf>
    <xf numFmtId="44" fontId="50" fillId="0" borderId="4" xfId="1" applyFont="1" applyFill="1" applyBorder="1" applyAlignment="1">
      <alignment horizontal="center" vertical="center" wrapText="1"/>
    </xf>
    <xf numFmtId="0" fontId="25" fillId="0" borderId="0" xfId="3" applyFont="1" applyFill="1" applyBorder="1" applyAlignment="1">
      <alignment horizontal="center" vertical="center" wrapText="1"/>
    </xf>
    <xf numFmtId="44" fontId="5" fillId="0" borderId="7" xfId="1" applyFont="1" applyBorder="1" applyAlignment="1">
      <alignment horizontal="center" vertical="center" wrapText="1"/>
    </xf>
    <xf numFmtId="0" fontId="6" fillId="0" borderId="3" xfId="3" quotePrefix="1" applyFont="1" applyBorder="1" applyAlignment="1">
      <alignment horizontal="center" vertical="center" wrapText="1"/>
    </xf>
    <xf numFmtId="44" fontId="6" fillId="0" borderId="3" xfId="1" quotePrefix="1" applyFont="1" applyBorder="1" applyAlignment="1">
      <alignment horizontal="center" vertical="center" wrapText="1"/>
    </xf>
    <xf numFmtId="0" fontId="35" fillId="0" borderId="3" xfId="3" applyFont="1" applyBorder="1"/>
    <xf numFmtId="0" fontId="6" fillId="0" borderId="3" xfId="3" applyFont="1" applyBorder="1" applyAlignment="1">
      <alignment horizontal="center" vertical="center" wrapText="1"/>
    </xf>
    <xf numFmtId="44" fontId="6" fillId="0" borderId="3" xfId="1" applyFont="1" applyBorder="1" applyAlignment="1">
      <alignment horizontal="center" vertical="center" wrapText="1"/>
    </xf>
    <xf numFmtId="0" fontId="6" fillId="0" borderId="3" xfId="3" applyFont="1" applyBorder="1" applyAlignment="1">
      <alignment vertical="center"/>
    </xf>
    <xf numFmtId="14" fontId="6" fillId="0" borderId="3" xfId="3" applyNumberFormat="1" applyFont="1" applyBorder="1" applyAlignment="1">
      <alignment horizontal="right" vertical="center"/>
    </xf>
    <xf numFmtId="44" fontId="50" fillId="0" borderId="3" xfId="1" applyFont="1" applyBorder="1" applyAlignment="1">
      <alignment horizontal="center" vertical="center"/>
    </xf>
    <xf numFmtId="0" fontId="52" fillId="0" borderId="44" xfId="3" applyFont="1" applyBorder="1" applyAlignment="1" applyProtection="1">
      <alignment horizontal="left" vertical="top" wrapText="1"/>
      <protection locked="0"/>
    </xf>
    <xf numFmtId="0" fontId="52" fillId="0" borderId="45" xfId="3" applyFont="1" applyBorder="1" applyAlignment="1" applyProtection="1">
      <alignment horizontal="left" vertical="top" wrapText="1"/>
      <protection locked="0"/>
    </xf>
    <xf numFmtId="0" fontId="51" fillId="19" borderId="45" xfId="3" applyFont="1" applyFill="1" applyBorder="1" applyAlignment="1" applyProtection="1">
      <alignment horizontal="centerContinuous" vertical="center" wrapText="1"/>
      <protection locked="0"/>
    </xf>
    <xf numFmtId="0" fontId="52" fillId="19" borderId="45" xfId="3" applyFont="1" applyFill="1" applyBorder="1" applyAlignment="1" applyProtection="1">
      <alignment horizontal="centerContinuous" vertical="center" wrapText="1"/>
      <protection locked="0"/>
    </xf>
    <xf numFmtId="44" fontId="51" fillId="19" borderId="45" xfId="1" applyFont="1" applyFill="1" applyBorder="1" applyAlignment="1" applyProtection="1">
      <alignment horizontal="centerContinuous" vertical="center" wrapText="1"/>
      <protection locked="0"/>
    </xf>
    <xf numFmtId="0" fontId="5" fillId="0" borderId="0" xfId="3" applyFont="1"/>
    <xf numFmtId="0" fontId="5" fillId="0" borderId="0" xfId="3" applyFont="1" applyBorder="1" applyAlignment="1">
      <alignment horizontal="center" vertical="center"/>
    </xf>
    <xf numFmtId="0" fontId="34" fillId="20" borderId="52" xfId="3" applyFont="1" applyFill="1" applyBorder="1" applyAlignment="1" applyProtection="1">
      <alignment horizontal="center" vertical="center"/>
      <protection locked="0"/>
    </xf>
    <xf numFmtId="0" fontId="34" fillId="20" borderId="50" xfId="3" applyFont="1" applyFill="1" applyBorder="1" applyAlignment="1" applyProtection="1">
      <alignment horizontal="center" vertical="center" wrapText="1"/>
      <protection locked="0"/>
    </xf>
    <xf numFmtId="0" fontId="34" fillId="20" borderId="50" xfId="3" applyFont="1" applyFill="1" applyBorder="1" applyAlignment="1" applyProtection="1">
      <alignment horizontal="center" vertical="center"/>
      <protection locked="0"/>
    </xf>
    <xf numFmtId="0" fontId="34" fillId="21" borderId="50" xfId="3" applyFont="1" applyFill="1" applyBorder="1" applyAlignment="1" applyProtection="1">
      <alignment horizontal="center" vertical="center"/>
      <protection locked="0"/>
    </xf>
    <xf numFmtId="44" fontId="34" fillId="20" borderId="51" xfId="1" applyFont="1" applyFill="1" applyBorder="1" applyAlignment="1" applyProtection="1">
      <alignment horizontal="center" vertical="center"/>
      <protection locked="0"/>
    </xf>
    <xf numFmtId="44" fontId="34" fillId="20" borderId="53" xfId="1" applyFont="1" applyFill="1" applyBorder="1" applyAlignment="1" applyProtection="1">
      <alignment horizontal="center" vertical="center"/>
      <protection locked="0"/>
    </xf>
    <xf numFmtId="0" fontId="34" fillId="20" borderId="2" xfId="3" applyFont="1" applyFill="1" applyBorder="1" applyAlignment="1" applyProtection="1">
      <alignment horizontal="center" vertical="center"/>
      <protection locked="0"/>
    </xf>
    <xf numFmtId="177" fontId="5" fillId="22" borderId="11" xfId="7" applyNumberFormat="1" applyFont="1" applyFill="1" applyBorder="1" applyAlignment="1">
      <alignment horizontal="center" vertical="center"/>
    </xf>
    <xf numFmtId="44" fontId="5" fillId="22" borderId="43" xfId="1" applyFont="1" applyFill="1" applyBorder="1" applyAlignment="1">
      <alignment horizontal="center" vertical="center"/>
    </xf>
    <xf numFmtId="0" fontId="34" fillId="16" borderId="2" xfId="3" quotePrefix="1" applyFont="1" applyFill="1" applyBorder="1" applyAlignment="1" applyProtection="1">
      <alignment horizontal="center" vertical="center"/>
      <protection locked="0"/>
    </xf>
    <xf numFmtId="44" fontId="34" fillId="16" borderId="53" xfId="1" quotePrefix="1" applyFont="1" applyFill="1" applyBorder="1" applyAlignment="1" applyProtection="1">
      <alignment horizontal="center" vertical="center"/>
      <protection locked="0"/>
    </xf>
    <xf numFmtId="0" fontId="34" fillId="23" borderId="2" xfId="3" quotePrefix="1" applyFont="1" applyFill="1" applyBorder="1" applyAlignment="1" applyProtection="1">
      <alignment horizontal="center" vertical="center"/>
      <protection locked="0"/>
    </xf>
    <xf numFmtId="44" fontId="34" fillId="23" borderId="53" xfId="1" quotePrefix="1" applyFont="1" applyFill="1" applyBorder="1" applyAlignment="1" applyProtection="1">
      <alignment horizontal="center" vertical="center"/>
      <protection locked="0"/>
    </xf>
    <xf numFmtId="0" fontId="40" fillId="0" borderId="0" xfId="3" applyFont="1" applyAlignment="1" applyProtection="1">
      <alignment vertical="center"/>
      <protection locked="0"/>
    </xf>
    <xf numFmtId="0" fontId="35" fillId="0" borderId="0" xfId="3" applyFont="1" applyAlignment="1">
      <alignment vertical="center"/>
    </xf>
    <xf numFmtId="0" fontId="5" fillId="24" borderId="41" xfId="3" applyNumberFormat="1" applyFont="1" applyFill="1" applyBorder="1" applyAlignment="1">
      <alignment horizontal="center" vertical="center"/>
    </xf>
    <xf numFmtId="167" fontId="53" fillId="24" borderId="3" xfId="3" applyNumberFormat="1" applyFont="1" applyFill="1" applyBorder="1" applyAlignment="1">
      <alignment vertical="center" wrapText="1"/>
    </xf>
    <xf numFmtId="44" fontId="35" fillId="24" borderId="13" xfId="1" applyFont="1" applyFill="1" applyBorder="1" applyAlignment="1">
      <alignment vertical="center"/>
    </xf>
    <xf numFmtId="44" fontId="35" fillId="24" borderId="43" xfId="1" applyFont="1" applyFill="1" applyBorder="1" applyAlignment="1">
      <alignment horizontal="center" vertical="center"/>
    </xf>
    <xf numFmtId="177" fontId="5" fillId="24" borderId="11" xfId="7" applyNumberFormat="1" applyFont="1" applyFill="1" applyBorder="1" applyAlignment="1">
      <alignment vertical="center"/>
    </xf>
    <xf numFmtId="177" fontId="5" fillId="25" borderId="11" xfId="7" applyNumberFormat="1" applyFont="1" applyFill="1" applyBorder="1" applyAlignment="1">
      <alignment vertical="center"/>
    </xf>
    <xf numFmtId="177" fontId="5" fillId="26" borderId="11" xfId="7" applyNumberFormat="1" applyFont="1" applyFill="1" applyBorder="1" applyAlignment="1">
      <alignment vertical="center"/>
    </xf>
    <xf numFmtId="0" fontId="5" fillId="22" borderId="41" xfId="3" applyNumberFormat="1" applyFont="1" applyFill="1" applyBorder="1" applyAlignment="1">
      <alignment horizontal="center" vertical="center"/>
    </xf>
    <xf numFmtId="167" fontId="5" fillId="22" borderId="3" xfId="3" applyNumberFormat="1" applyFont="1" applyFill="1" applyBorder="1" applyAlignment="1">
      <alignment vertical="center" wrapText="1"/>
    </xf>
    <xf numFmtId="0" fontId="35" fillId="22" borderId="3" xfId="3" applyFont="1" applyFill="1" applyBorder="1" applyAlignment="1">
      <alignment horizontal="center" vertical="center"/>
    </xf>
    <xf numFmtId="169" fontId="35" fillId="22" borderId="3" xfId="10" applyFont="1" applyFill="1" applyBorder="1" applyAlignment="1">
      <alignment horizontal="right" vertical="center" indent="1"/>
    </xf>
    <xf numFmtId="178" fontId="35" fillId="22" borderId="3" xfId="7" applyNumberFormat="1" applyFont="1" applyFill="1" applyBorder="1" applyAlignment="1">
      <alignment vertical="center"/>
    </xf>
    <xf numFmtId="44" fontId="35" fillId="22" borderId="13" xfId="1" applyFont="1" applyFill="1" applyBorder="1" applyAlignment="1">
      <alignment vertical="center"/>
    </xf>
    <xf numFmtId="169" fontId="35" fillId="22" borderId="41" xfId="10" applyFont="1" applyFill="1" applyBorder="1" applyAlignment="1">
      <alignment horizontal="right" vertical="center" indent="1"/>
    </xf>
    <xf numFmtId="177" fontId="35" fillId="22" borderId="3" xfId="7" applyNumberFormat="1" applyFont="1" applyFill="1" applyBorder="1" applyAlignment="1">
      <alignment horizontal="center" vertical="center"/>
    </xf>
    <xf numFmtId="44" fontId="35" fillId="22" borderId="43" xfId="1" applyFont="1" applyFill="1" applyBorder="1" applyAlignment="1">
      <alignment horizontal="center" vertical="center"/>
    </xf>
    <xf numFmtId="169" fontId="35" fillId="22" borderId="11" xfId="10" applyFont="1" applyFill="1" applyBorder="1" applyAlignment="1">
      <alignment horizontal="right" vertical="center" indent="1"/>
    </xf>
    <xf numFmtId="44" fontId="5" fillId="22" borderId="43" xfId="1" applyFont="1" applyFill="1" applyBorder="1" applyAlignment="1">
      <alignment vertical="center"/>
    </xf>
    <xf numFmtId="177" fontId="5" fillId="22" borderId="11" xfId="7" applyNumberFormat="1" applyFont="1" applyFill="1" applyBorder="1" applyAlignment="1">
      <alignment vertical="center"/>
    </xf>
    <xf numFmtId="44" fontId="35" fillId="22" borderId="43" xfId="1" applyFont="1" applyFill="1" applyBorder="1" applyAlignment="1">
      <alignment vertical="center"/>
    </xf>
    <xf numFmtId="177" fontId="5" fillId="16" borderId="11" xfId="7" applyNumberFormat="1" applyFont="1" applyFill="1" applyBorder="1" applyAlignment="1">
      <alignment vertical="center"/>
    </xf>
    <xf numFmtId="44" fontId="35" fillId="16" borderId="43" xfId="1" applyFont="1" applyFill="1" applyBorder="1" applyAlignment="1">
      <alignment vertical="center"/>
    </xf>
    <xf numFmtId="177" fontId="5" fillId="23" borderId="11" xfId="7" applyNumberFormat="1" applyFont="1" applyFill="1" applyBorder="1" applyAlignment="1">
      <alignment vertical="center"/>
    </xf>
    <xf numFmtId="44" fontId="35" fillId="23" borderId="43" xfId="1" applyFont="1" applyFill="1" applyBorder="1" applyAlignment="1">
      <alignment vertical="center"/>
    </xf>
    <xf numFmtId="2" fontId="5" fillId="0" borderId="0" xfId="3" applyNumberFormat="1" applyFont="1" applyFill="1" applyBorder="1" applyAlignment="1">
      <alignment horizontal="center" vertical="center"/>
    </xf>
    <xf numFmtId="0" fontId="37" fillId="0" borderId="41" xfId="3" applyFont="1" applyFill="1" applyBorder="1" applyAlignment="1">
      <alignment horizontal="center" vertical="center"/>
    </xf>
    <xf numFmtId="0" fontId="37" fillId="0" borderId="3" xfId="3" applyFont="1" applyBorder="1" applyAlignment="1">
      <alignment horizontal="left" vertical="center" wrapText="1"/>
    </xf>
    <xf numFmtId="0" fontId="37" fillId="0" borderId="3" xfId="3" applyFont="1" applyBorder="1" applyAlignment="1">
      <alignment horizontal="center" vertical="center"/>
    </xf>
    <xf numFmtId="2" fontId="37" fillId="0" borderId="3" xfId="3" applyNumberFormat="1" applyFont="1" applyFill="1" applyBorder="1" applyAlignment="1">
      <alignment horizontal="center" vertical="center"/>
    </xf>
    <xf numFmtId="171" fontId="37" fillId="0" borderId="3" xfId="3" applyNumberFormat="1" applyFont="1" applyFill="1" applyBorder="1" applyAlignment="1">
      <alignment vertical="center"/>
    </xf>
    <xf numFmtId="44" fontId="35" fillId="0" borderId="13" xfId="1" applyFont="1" applyFill="1" applyBorder="1" applyAlignment="1">
      <alignment vertical="center"/>
    </xf>
    <xf numFmtId="44" fontId="37" fillId="0" borderId="43" xfId="1" applyFont="1" applyFill="1" applyBorder="1" applyAlignment="1">
      <alignment horizontal="center" vertical="center"/>
    </xf>
    <xf numFmtId="2" fontId="37" fillId="0" borderId="11" xfId="3" applyNumberFormat="1" applyFont="1" applyFill="1" applyBorder="1" applyAlignment="1">
      <alignment horizontal="center" vertical="center"/>
    </xf>
    <xf numFmtId="175" fontId="5" fillId="0" borderId="11" xfId="7" applyNumberFormat="1" applyFont="1" applyFill="1" applyBorder="1" applyAlignment="1">
      <alignment horizontal="center" vertical="center"/>
    </xf>
    <xf numFmtId="44" fontId="40" fillId="0" borderId="0" xfId="1" applyFont="1" applyFill="1" applyAlignment="1" applyProtection="1">
      <alignment vertical="center"/>
      <protection locked="0"/>
    </xf>
    <xf numFmtId="4" fontId="37" fillId="0" borderId="11" xfId="3" applyNumberFormat="1" applyFont="1" applyFill="1" applyBorder="1" applyAlignment="1">
      <alignment horizontal="center" vertical="center"/>
    </xf>
    <xf numFmtId="44" fontId="37" fillId="22" borderId="43" xfId="1" applyFont="1" applyFill="1" applyBorder="1" applyAlignment="1">
      <alignment horizontal="center" vertical="center"/>
    </xf>
    <xf numFmtId="2" fontId="37" fillId="27" borderId="3" xfId="1" applyNumberFormat="1" applyFont="1" applyFill="1" applyBorder="1" applyAlignment="1">
      <alignment horizontal="center" vertical="center"/>
    </xf>
    <xf numFmtId="0" fontId="37" fillId="0" borderId="3" xfId="3" applyFont="1" applyFill="1" applyBorder="1" applyAlignment="1">
      <alignment horizontal="center" vertical="center"/>
    </xf>
    <xf numFmtId="2" fontId="40" fillId="27" borderId="3" xfId="3" applyNumberFormat="1" applyFont="1" applyFill="1" applyBorder="1" applyAlignment="1" applyProtection="1">
      <alignment horizontal="center" vertical="center"/>
      <protection locked="0"/>
    </xf>
    <xf numFmtId="177" fontId="5" fillId="0" borderId="11" xfId="7" applyNumberFormat="1" applyFont="1" applyFill="1" applyBorder="1" applyAlignment="1">
      <alignment horizontal="center" vertical="center"/>
    </xf>
    <xf numFmtId="2" fontId="46" fillId="27" borderId="3" xfId="1" applyNumberFormat="1" applyFont="1" applyFill="1" applyBorder="1" applyAlignment="1">
      <alignment horizontal="center" vertical="center"/>
    </xf>
    <xf numFmtId="0" fontId="37" fillId="0" borderId="3" xfId="3" applyFont="1" applyFill="1" applyBorder="1" applyAlignment="1">
      <alignment horizontal="left" vertical="center" wrapText="1"/>
    </xf>
    <xf numFmtId="4" fontId="37" fillId="16" borderId="11" xfId="3" applyNumberFormat="1" applyFont="1" applyFill="1" applyBorder="1" applyAlignment="1">
      <alignment horizontal="center" vertical="center"/>
    </xf>
    <xf numFmtId="179" fontId="40" fillId="0" borderId="0" xfId="3" applyNumberFormat="1" applyFont="1" applyFill="1" applyAlignment="1" applyProtection="1">
      <alignment vertical="center"/>
      <protection locked="0"/>
    </xf>
    <xf numFmtId="0" fontId="5" fillId="18" borderId="41" xfId="3" applyNumberFormat="1" applyFont="1" applyFill="1" applyBorder="1" applyAlignment="1">
      <alignment horizontal="center" vertical="center"/>
    </xf>
    <xf numFmtId="167" fontId="53" fillId="18" borderId="3" xfId="3" applyNumberFormat="1" applyFont="1" applyFill="1" applyBorder="1" applyAlignment="1">
      <alignment vertical="center" wrapText="1"/>
    </xf>
    <xf numFmtId="0" fontId="35" fillId="18" borderId="3" xfId="3" applyFont="1" applyFill="1" applyBorder="1" applyAlignment="1">
      <alignment horizontal="center" vertical="center"/>
    </xf>
    <xf numFmtId="169" fontId="35" fillId="18" borderId="3" xfId="10" applyFont="1" applyFill="1" applyBorder="1" applyAlignment="1">
      <alignment horizontal="right" vertical="center" indent="1"/>
    </xf>
    <xf numFmtId="178" fontId="35" fillId="18" borderId="3" xfId="7" applyNumberFormat="1" applyFont="1" applyFill="1" applyBorder="1" applyAlignment="1">
      <alignment vertical="center"/>
    </xf>
    <xf numFmtId="44" fontId="35" fillId="18" borderId="13" xfId="1" applyFont="1" applyFill="1" applyBorder="1" applyAlignment="1">
      <alignment vertical="center"/>
    </xf>
    <xf numFmtId="169" fontId="35" fillId="18" borderId="41" xfId="10" applyFont="1" applyFill="1" applyBorder="1" applyAlignment="1">
      <alignment horizontal="right" vertical="center" indent="1"/>
    </xf>
    <xf numFmtId="175" fontId="35" fillId="18" borderId="3" xfId="7" applyNumberFormat="1" applyFont="1" applyFill="1" applyBorder="1" applyAlignment="1">
      <alignment horizontal="center" vertical="center"/>
    </xf>
    <xf numFmtId="44" fontId="37" fillId="18" borderId="43" xfId="1" applyFont="1" applyFill="1" applyBorder="1" applyAlignment="1">
      <alignment horizontal="center" vertical="center"/>
    </xf>
    <xf numFmtId="169" fontId="35" fillId="18" borderId="11" xfId="10" applyFont="1" applyFill="1" applyBorder="1" applyAlignment="1">
      <alignment horizontal="right" vertical="center" indent="1"/>
    </xf>
    <xf numFmtId="44" fontId="35" fillId="18" borderId="43" xfId="1" applyFont="1" applyFill="1" applyBorder="1" applyAlignment="1">
      <alignment vertical="center"/>
    </xf>
    <xf numFmtId="177" fontId="5" fillId="18" borderId="11" xfId="7" applyNumberFormat="1" applyFont="1" applyFill="1" applyBorder="1" applyAlignment="1">
      <alignment horizontal="center" vertical="center"/>
    </xf>
    <xf numFmtId="44" fontId="35" fillId="18" borderId="43" xfId="1" applyFont="1" applyFill="1" applyBorder="1" applyAlignment="1">
      <alignment horizontal="center" vertical="center"/>
    </xf>
    <xf numFmtId="167" fontId="5" fillId="18" borderId="3" xfId="3" applyNumberFormat="1" applyFont="1" applyFill="1" applyBorder="1" applyAlignment="1">
      <alignment vertical="center" wrapText="1"/>
    </xf>
    <xf numFmtId="0" fontId="4" fillId="18" borderId="41" xfId="3" applyFont="1" applyFill="1" applyBorder="1" applyAlignment="1">
      <alignment horizontal="center" vertical="center"/>
    </xf>
    <xf numFmtId="0" fontId="35" fillId="18" borderId="3" xfId="3" applyFont="1" applyFill="1" applyBorder="1" applyAlignment="1">
      <alignment vertical="center"/>
    </xf>
    <xf numFmtId="0" fontId="35" fillId="18" borderId="41" xfId="3" applyFont="1" applyFill="1" applyBorder="1" applyAlignment="1">
      <alignment vertical="center"/>
    </xf>
    <xf numFmtId="175" fontId="5" fillId="18" borderId="3" xfId="7" applyNumberFormat="1" applyFont="1" applyFill="1" applyBorder="1" applyAlignment="1">
      <alignment horizontal="center" vertical="center"/>
    </xf>
    <xf numFmtId="0" fontId="35" fillId="18" borderId="11" xfId="3" applyFont="1" applyFill="1" applyBorder="1" applyAlignment="1">
      <alignment vertical="center"/>
    </xf>
    <xf numFmtId="44" fontId="5" fillId="18" borderId="43" xfId="1" applyFont="1" applyFill="1" applyBorder="1" applyAlignment="1">
      <alignment vertical="center"/>
    </xf>
    <xf numFmtId="2" fontId="46" fillId="27" borderId="3" xfId="3" applyNumberFormat="1" applyFont="1" applyFill="1" applyBorder="1" applyAlignment="1" applyProtection="1">
      <alignment horizontal="center" vertical="center"/>
      <protection locked="0"/>
    </xf>
    <xf numFmtId="0" fontId="4" fillId="18" borderId="3" xfId="3" applyFont="1" applyFill="1" applyBorder="1" applyAlignment="1">
      <alignment horizontal="left" vertical="center" wrapText="1"/>
    </xf>
    <xf numFmtId="44" fontId="5" fillId="0" borderId="43" xfId="1" applyFont="1" applyFill="1" applyBorder="1" applyAlignment="1">
      <alignment vertical="center"/>
    </xf>
    <xf numFmtId="0" fontId="37" fillId="18" borderId="41" xfId="3" applyFont="1" applyFill="1" applyBorder="1" applyAlignment="1">
      <alignment horizontal="center" vertical="center"/>
    </xf>
    <xf numFmtId="2" fontId="40" fillId="0" borderId="3" xfId="3" applyNumberFormat="1" applyFont="1" applyFill="1" applyBorder="1" applyAlignment="1" applyProtection="1">
      <alignment horizontal="center" vertical="center"/>
      <protection locked="0"/>
    </xf>
    <xf numFmtId="44" fontId="5" fillId="0" borderId="43" xfId="1" applyFont="1" applyFill="1" applyBorder="1" applyAlignment="1">
      <alignment horizontal="right" vertical="center" indent="1"/>
    </xf>
    <xf numFmtId="177" fontId="5" fillId="0" borderId="11" xfId="7" applyNumberFormat="1" applyFont="1" applyFill="1" applyBorder="1" applyAlignment="1">
      <alignment vertical="center"/>
    </xf>
    <xf numFmtId="0" fontId="5" fillId="17" borderId="41" xfId="3" applyNumberFormat="1" applyFont="1" applyFill="1" applyBorder="1" applyAlignment="1">
      <alignment horizontal="center" vertical="center"/>
    </xf>
    <xf numFmtId="167" fontId="5" fillId="17" borderId="3" xfId="3" applyNumberFormat="1" applyFont="1" applyFill="1" applyBorder="1" applyAlignment="1">
      <alignment vertical="center" wrapText="1"/>
    </xf>
    <xf numFmtId="0" fontId="35" fillId="17" borderId="3" xfId="3" applyFont="1" applyFill="1" applyBorder="1" applyAlignment="1">
      <alignment horizontal="center" vertical="center"/>
    </xf>
    <xf numFmtId="169" fontId="35" fillId="17" borderId="3" xfId="10" applyFont="1" applyFill="1" applyBorder="1" applyAlignment="1">
      <alignment horizontal="right" vertical="center" indent="1"/>
    </xf>
    <xf numFmtId="178" fontId="35" fillId="17" borderId="3" xfId="7" applyNumberFormat="1" applyFont="1" applyFill="1" applyBorder="1" applyAlignment="1">
      <alignment vertical="center"/>
    </xf>
    <xf numFmtId="44" fontId="35" fillId="17" borderId="13" xfId="1" applyFont="1" applyFill="1" applyBorder="1" applyAlignment="1">
      <alignment vertical="center"/>
    </xf>
    <xf numFmtId="169" fontId="35" fillId="17" borderId="41" xfId="10" applyFont="1" applyFill="1" applyBorder="1" applyAlignment="1">
      <alignment horizontal="right" vertical="center" indent="1"/>
    </xf>
    <xf numFmtId="175" fontId="35" fillId="17" borderId="3" xfId="7" applyNumberFormat="1" applyFont="1" applyFill="1" applyBorder="1" applyAlignment="1">
      <alignment horizontal="center" vertical="center"/>
    </xf>
    <xf numFmtId="44" fontId="37" fillId="17" borderId="43" xfId="1" applyFont="1" applyFill="1" applyBorder="1" applyAlignment="1">
      <alignment horizontal="center" vertical="center"/>
    </xf>
    <xf numFmtId="169" fontId="35" fillId="17" borderId="11" xfId="10" applyFont="1" applyFill="1" applyBorder="1" applyAlignment="1">
      <alignment horizontal="right" vertical="center" indent="1"/>
    </xf>
    <xf numFmtId="44" fontId="35" fillId="17" borderId="43" xfId="1" applyFont="1" applyFill="1" applyBorder="1" applyAlignment="1">
      <alignment vertical="center"/>
    </xf>
    <xf numFmtId="177" fontId="5" fillId="17" borderId="11" xfId="7" applyNumberFormat="1" applyFont="1" applyFill="1" applyBorder="1" applyAlignment="1">
      <alignment horizontal="center" vertical="center"/>
    </xf>
    <xf numFmtId="44" fontId="35" fillId="17" borderId="43" xfId="1" applyFont="1" applyFill="1" applyBorder="1" applyAlignment="1">
      <alignment horizontal="center" vertical="center"/>
    </xf>
    <xf numFmtId="0" fontId="37" fillId="0" borderId="41" xfId="0" applyFont="1" applyFill="1" applyBorder="1" applyAlignment="1">
      <alignment horizontal="center" vertical="center"/>
    </xf>
    <xf numFmtId="0" fontId="37" fillId="0" borderId="3" xfId="0" applyFont="1" applyBorder="1" applyAlignment="1">
      <alignment horizontal="left" vertical="center" wrapText="1"/>
    </xf>
    <xf numFmtId="0" fontId="37" fillId="0" borderId="3" xfId="0" applyFont="1" applyBorder="1" applyAlignment="1">
      <alignment horizontal="center" vertical="center"/>
    </xf>
    <xf numFmtId="2" fontId="37" fillId="0" borderId="3" xfId="0" applyNumberFormat="1" applyFont="1" applyFill="1" applyBorder="1" applyAlignment="1">
      <alignment horizontal="center" vertical="center"/>
    </xf>
    <xf numFmtId="171" fontId="37" fillId="0" borderId="3" xfId="0" applyNumberFormat="1" applyFont="1" applyFill="1" applyBorder="1" applyAlignment="1">
      <alignment vertical="center"/>
    </xf>
    <xf numFmtId="44" fontId="54" fillId="0" borderId="13" xfId="1" applyFont="1" applyFill="1" applyBorder="1"/>
    <xf numFmtId="2" fontId="37" fillId="0" borderId="41" xfId="0" applyNumberFormat="1" applyFont="1" applyFill="1" applyBorder="1" applyAlignment="1">
      <alignment horizontal="center" vertical="center"/>
    </xf>
    <xf numFmtId="2" fontId="37" fillId="0" borderId="11" xfId="0" applyNumberFormat="1" applyFont="1" applyFill="1" applyBorder="1" applyAlignment="1">
      <alignment horizontal="center" vertical="center"/>
    </xf>
    <xf numFmtId="44" fontId="40" fillId="0" borderId="43" xfId="1" applyFont="1" applyFill="1" applyBorder="1" applyProtection="1">
      <protection locked="0"/>
    </xf>
    <xf numFmtId="44" fontId="35" fillId="0" borderId="43" xfId="1" applyFont="1" applyFill="1" applyBorder="1"/>
    <xf numFmtId="0" fontId="5" fillId="34" borderId="41" xfId="3" applyNumberFormat="1" applyFont="1" applyFill="1" applyBorder="1" applyAlignment="1">
      <alignment horizontal="center" vertical="center"/>
    </xf>
    <xf numFmtId="167" fontId="5" fillId="34" borderId="3" xfId="3" applyNumberFormat="1" applyFont="1" applyFill="1" applyBorder="1" applyAlignment="1">
      <alignment vertical="center" wrapText="1"/>
    </xf>
    <xf numFmtId="0" fontId="35" fillId="34" borderId="3" xfId="3" applyFont="1" applyFill="1" applyBorder="1" applyAlignment="1">
      <alignment horizontal="center" vertical="center"/>
    </xf>
    <xf numFmtId="169" fontId="35" fillId="34" borderId="3" xfId="10" applyFont="1" applyFill="1" applyBorder="1" applyAlignment="1">
      <alignment horizontal="right" vertical="center" indent="1"/>
    </xf>
    <xf numFmtId="178" fontId="35" fillId="34" borderId="3" xfId="7" applyNumberFormat="1" applyFont="1" applyFill="1" applyBorder="1" applyAlignment="1">
      <alignment vertical="center"/>
    </xf>
    <xf numFmtId="44" fontId="54" fillId="34" borderId="13" xfId="1" applyFont="1" applyFill="1" applyBorder="1"/>
    <xf numFmtId="169" fontId="35" fillId="34" borderId="41" xfId="10" applyFont="1" applyFill="1" applyBorder="1" applyAlignment="1">
      <alignment horizontal="right" vertical="center" indent="1"/>
    </xf>
    <xf numFmtId="177" fontId="35" fillId="34" borderId="3" xfId="7" applyNumberFormat="1" applyFont="1" applyFill="1" applyBorder="1" applyAlignment="1">
      <alignment horizontal="center" vertical="center"/>
    </xf>
    <xf numFmtId="44" fontId="37" fillId="34" borderId="43" xfId="1" applyFont="1" applyFill="1" applyBorder="1" applyAlignment="1">
      <alignment horizontal="center" vertical="center"/>
    </xf>
    <xf numFmtId="169" fontId="35" fillId="34" borderId="11" xfId="10" applyFont="1" applyFill="1" applyBorder="1" applyAlignment="1">
      <alignment horizontal="right" vertical="center" indent="1"/>
    </xf>
    <xf numFmtId="44" fontId="5" fillId="34" borderId="43" xfId="1" applyFont="1" applyFill="1" applyBorder="1" applyAlignment="1">
      <alignment vertical="center"/>
    </xf>
    <xf numFmtId="177" fontId="5" fillId="34" borderId="11" xfId="7" applyNumberFormat="1" applyFont="1" applyFill="1" applyBorder="1" applyAlignment="1">
      <alignment vertical="center"/>
    </xf>
    <xf numFmtId="44" fontId="35" fillId="34" borderId="43" xfId="1" applyFont="1" applyFill="1" applyBorder="1" applyAlignment="1">
      <alignment vertical="center"/>
    </xf>
    <xf numFmtId="0" fontId="4" fillId="34" borderId="41" xfId="3" applyFont="1" applyFill="1" applyBorder="1" applyAlignment="1">
      <alignment horizontal="center" vertical="center"/>
    </xf>
    <xf numFmtId="0" fontId="4" fillId="34" borderId="3" xfId="3" applyFont="1" applyFill="1" applyBorder="1" applyAlignment="1">
      <alignment horizontal="left" vertical="center" wrapText="1"/>
    </xf>
    <xf numFmtId="0" fontId="35" fillId="34" borderId="3" xfId="3" applyFont="1" applyFill="1" applyBorder="1" applyAlignment="1">
      <alignment vertical="center"/>
    </xf>
    <xf numFmtId="44" fontId="35" fillId="34" borderId="13" xfId="1" applyFont="1" applyFill="1" applyBorder="1" applyAlignment="1">
      <alignment vertical="center"/>
    </xf>
    <xf numFmtId="0" fontId="35" fillId="34" borderId="41" xfId="3" applyFont="1" applyFill="1" applyBorder="1" applyAlignment="1">
      <alignment vertical="center"/>
    </xf>
    <xf numFmtId="2" fontId="5" fillId="34" borderId="3" xfId="7" applyNumberFormat="1" applyFont="1" applyFill="1" applyBorder="1" applyAlignment="1">
      <alignment horizontal="center" vertical="center"/>
    </xf>
    <xf numFmtId="0" fontId="35" fillId="34" borderId="11" xfId="3" applyFont="1" applyFill="1" applyBorder="1" applyAlignment="1">
      <alignment vertical="center"/>
    </xf>
    <xf numFmtId="177" fontId="5" fillId="34" borderId="11" xfId="7" applyNumberFormat="1" applyFont="1" applyFill="1" applyBorder="1" applyAlignment="1">
      <alignment horizontal="center" vertical="center"/>
    </xf>
    <xf numFmtId="44" fontId="35" fillId="34" borderId="43" xfId="1" applyFont="1" applyFill="1" applyBorder="1" applyAlignment="1">
      <alignment horizontal="center" vertical="center"/>
    </xf>
    <xf numFmtId="0" fontId="37" fillId="34" borderId="41" xfId="3" applyFont="1" applyFill="1" applyBorder="1" applyAlignment="1">
      <alignment horizontal="center" vertical="center"/>
    </xf>
    <xf numFmtId="2" fontId="35" fillId="34" borderId="3" xfId="7" applyNumberFormat="1" applyFont="1" applyFill="1" applyBorder="1" applyAlignment="1">
      <alignment horizontal="center" vertical="center"/>
    </xf>
    <xf numFmtId="0" fontId="37" fillId="0" borderId="56" xfId="0" applyFont="1" applyFill="1" applyBorder="1" applyAlignment="1">
      <alignment horizontal="center" vertical="center"/>
    </xf>
    <xf numFmtId="0" fontId="37" fillId="0" borderId="12" xfId="0" applyFont="1" applyBorder="1" applyAlignment="1">
      <alignment horizontal="left" vertical="center" wrapText="1"/>
    </xf>
    <xf numFmtId="0" fontId="37" fillId="0" borderId="12" xfId="0" applyFont="1" applyBorder="1" applyAlignment="1">
      <alignment horizontal="center" vertical="center"/>
    </xf>
    <xf numFmtId="2" fontId="37" fillId="0" borderId="12" xfId="0" applyNumberFormat="1" applyFont="1" applyFill="1" applyBorder="1" applyAlignment="1">
      <alignment horizontal="center" vertical="center"/>
    </xf>
    <xf numFmtId="171" fontId="37" fillId="0" borderId="12" xfId="0" applyNumberFormat="1" applyFont="1" applyFill="1" applyBorder="1" applyAlignment="1">
      <alignment vertical="center"/>
    </xf>
    <xf numFmtId="44" fontId="54" fillId="0" borderId="4" xfId="1" applyFont="1" applyFill="1" applyBorder="1"/>
    <xf numFmtId="2" fontId="37" fillId="0" borderId="56" xfId="0" applyNumberFormat="1" applyFont="1" applyFill="1" applyBorder="1" applyAlignment="1">
      <alignment horizontal="center" vertical="center"/>
    </xf>
    <xf numFmtId="2" fontId="40" fillId="0" borderId="12" xfId="3" applyNumberFormat="1" applyFont="1" applyFill="1" applyBorder="1" applyAlignment="1" applyProtection="1">
      <alignment horizontal="center" vertical="center"/>
      <protection locked="0"/>
    </xf>
    <xf numFmtId="44" fontId="37" fillId="0" borderId="47" xfId="1" applyFont="1" applyFill="1" applyBorder="1" applyAlignment="1">
      <alignment horizontal="center" vertical="center"/>
    </xf>
    <xf numFmtId="2" fontId="37" fillId="0" borderId="6" xfId="0" applyNumberFormat="1" applyFont="1" applyFill="1" applyBorder="1" applyAlignment="1">
      <alignment horizontal="center" vertical="center"/>
    </xf>
    <xf numFmtId="44" fontId="40" fillId="0" borderId="47" xfId="1" applyFont="1" applyFill="1" applyBorder="1" applyProtection="1">
      <protection locked="0"/>
    </xf>
    <xf numFmtId="177" fontId="5" fillId="0" borderId="6" xfId="7" applyNumberFormat="1" applyFont="1" applyFill="1" applyBorder="1" applyAlignment="1">
      <alignment horizontal="center" vertical="center"/>
    </xf>
    <xf numFmtId="0" fontId="5" fillId="35" borderId="52" xfId="3" applyNumberFormat="1" applyFont="1" applyFill="1" applyBorder="1" applyAlignment="1">
      <alignment horizontal="center" vertical="center"/>
    </xf>
    <xf numFmtId="167" fontId="5" fillId="35" borderId="50" xfId="3" applyNumberFormat="1" applyFont="1" applyFill="1" applyBorder="1" applyAlignment="1">
      <alignment vertical="center" wrapText="1"/>
    </xf>
    <xf numFmtId="0" fontId="37" fillId="35" borderId="50" xfId="0" applyFont="1" applyFill="1" applyBorder="1" applyAlignment="1">
      <alignment horizontal="center" vertical="center"/>
    </xf>
    <xf numFmtId="2" fontId="37" fillId="35" borderId="50" xfId="0" applyNumberFormat="1" applyFont="1" applyFill="1" applyBorder="1" applyAlignment="1">
      <alignment horizontal="center" vertical="center"/>
    </xf>
    <xf numFmtId="171" fontId="37" fillId="35" borderId="50" xfId="0" applyNumberFormat="1" applyFont="1" applyFill="1" applyBorder="1" applyAlignment="1">
      <alignment vertical="center"/>
    </xf>
    <xf numFmtId="44" fontId="54" fillId="35" borderId="51" xfId="1" applyFont="1" applyFill="1" applyBorder="1"/>
    <xf numFmtId="2" fontId="37" fillId="35" borderId="52" xfId="0" applyNumberFormat="1" applyFont="1" applyFill="1" applyBorder="1" applyAlignment="1">
      <alignment horizontal="center" vertical="center"/>
    </xf>
    <xf numFmtId="2" fontId="40" fillId="35" borderId="50" xfId="3" applyNumberFormat="1" applyFont="1" applyFill="1" applyBorder="1" applyAlignment="1" applyProtection="1">
      <alignment horizontal="center" vertical="center"/>
      <protection locked="0"/>
    </xf>
    <xf numFmtId="44" fontId="37" fillId="21" borderId="53" xfId="1" applyFont="1" applyFill="1" applyBorder="1" applyAlignment="1">
      <alignment horizontal="center" vertical="center"/>
    </xf>
    <xf numFmtId="2" fontId="37" fillId="35" borderId="2" xfId="0" applyNumberFormat="1" applyFont="1" applyFill="1" applyBorder="1" applyAlignment="1">
      <alignment horizontal="center" vertical="center"/>
    </xf>
    <xf numFmtId="44" fontId="40" fillId="35" borderId="53" xfId="1" applyFont="1" applyFill="1" applyBorder="1" applyProtection="1">
      <protection locked="0"/>
    </xf>
    <xf numFmtId="0" fontId="40" fillId="35" borderId="2" xfId="3" applyFont="1" applyFill="1" applyBorder="1" applyProtection="1">
      <protection locked="0"/>
    </xf>
    <xf numFmtId="44" fontId="40" fillId="35" borderId="53" xfId="1" applyFont="1" applyFill="1" applyBorder="1" applyAlignment="1" applyProtection="1">
      <alignment wrapText="1"/>
      <protection locked="0"/>
    </xf>
    <xf numFmtId="0" fontId="40" fillId="35" borderId="11" xfId="3" applyFont="1" applyFill="1" applyBorder="1" applyProtection="1">
      <protection locked="0"/>
    </xf>
    <xf numFmtId="44" fontId="40" fillId="35" borderId="43" xfId="1" applyFont="1" applyFill="1" applyBorder="1" applyAlignment="1" applyProtection="1">
      <alignment wrapText="1"/>
      <protection locked="0"/>
    </xf>
    <xf numFmtId="0" fontId="37" fillId="0" borderId="44" xfId="0" applyFont="1" applyFill="1" applyBorder="1" applyAlignment="1">
      <alignment horizontal="center" vertical="center"/>
    </xf>
    <xf numFmtId="0" fontId="37" fillId="0" borderId="45" xfId="0" applyFont="1" applyBorder="1" applyAlignment="1">
      <alignment horizontal="left" vertical="center" wrapText="1"/>
    </xf>
    <xf numFmtId="0" fontId="37" fillId="0" borderId="45" xfId="0" applyFont="1" applyBorder="1" applyAlignment="1">
      <alignment horizontal="center" vertical="center"/>
    </xf>
    <xf numFmtId="2" fontId="37" fillId="0" borderId="45" xfId="0" applyNumberFormat="1" applyFont="1" applyFill="1" applyBorder="1" applyAlignment="1">
      <alignment horizontal="center" vertical="center"/>
    </xf>
    <xf numFmtId="171" fontId="37" fillId="0" borderId="45" xfId="0" applyNumberFormat="1" applyFont="1" applyFill="1" applyBorder="1" applyAlignment="1">
      <alignment vertical="center"/>
    </xf>
    <xf numFmtId="44" fontId="54" fillId="0" borderId="59" xfId="1" applyFont="1" applyFill="1" applyBorder="1"/>
    <xf numFmtId="2" fontId="37" fillId="0" borderId="44" xfId="0" applyNumberFormat="1" applyFont="1" applyFill="1" applyBorder="1" applyAlignment="1">
      <alignment horizontal="center" vertical="center"/>
    </xf>
    <xf numFmtId="2" fontId="40" fillId="0" borderId="45" xfId="3" applyNumberFormat="1" applyFont="1" applyFill="1" applyBorder="1" applyAlignment="1" applyProtection="1">
      <alignment horizontal="center" vertical="center"/>
      <protection locked="0"/>
    </xf>
    <xf numFmtId="44" fontId="37" fillId="0" borderId="46" xfId="1" applyFont="1" applyFill="1" applyBorder="1" applyAlignment="1">
      <alignment horizontal="center" vertical="center"/>
    </xf>
    <xf numFmtId="2" fontId="37" fillId="0" borderId="58" xfId="0" applyNumberFormat="1" applyFont="1" applyFill="1" applyBorder="1" applyAlignment="1">
      <alignment horizontal="center" vertical="center"/>
    </xf>
    <xf numFmtId="44" fontId="40" fillId="0" borderId="46" xfId="1" applyFont="1" applyFill="1" applyBorder="1" applyProtection="1">
      <protection locked="0"/>
    </xf>
    <xf numFmtId="177" fontId="5" fillId="0" borderId="58" xfId="7" applyNumberFormat="1" applyFont="1" applyFill="1" applyBorder="1" applyAlignment="1">
      <alignment horizontal="center" vertical="center"/>
    </xf>
    <xf numFmtId="44" fontId="35" fillId="0" borderId="46" xfId="1" applyFont="1" applyFill="1" applyBorder="1" applyAlignment="1">
      <alignment horizontal="center" vertical="center"/>
    </xf>
    <xf numFmtId="0" fontId="37" fillId="8" borderId="52" xfId="3" applyFont="1" applyFill="1" applyBorder="1" applyAlignment="1">
      <alignment horizontal="center" vertical="center"/>
    </xf>
    <xf numFmtId="0" fontId="4" fillId="8" borderId="50" xfId="3" applyFont="1" applyFill="1" applyBorder="1" applyAlignment="1">
      <alignment horizontal="left" vertical="center" wrapText="1"/>
    </xf>
    <xf numFmtId="0" fontId="35" fillId="8" borderId="50" xfId="3" applyFont="1" applyFill="1" applyBorder="1" applyAlignment="1">
      <alignment vertical="center"/>
    </xf>
    <xf numFmtId="44" fontId="35" fillId="8" borderId="51" xfId="1" applyFont="1" applyFill="1" applyBorder="1" applyAlignment="1">
      <alignment vertical="center"/>
    </xf>
    <xf numFmtId="0" fontId="35" fillId="8" borderId="52" xfId="3" applyFont="1" applyFill="1" applyBorder="1" applyAlignment="1">
      <alignment vertical="center"/>
    </xf>
    <xf numFmtId="2" fontId="35" fillId="8" borderId="50" xfId="7" applyNumberFormat="1" applyFont="1" applyFill="1" applyBorder="1" applyAlignment="1">
      <alignment horizontal="center" vertical="center"/>
    </xf>
    <xf numFmtId="44" fontId="37" fillId="8" borderId="53" xfId="1" applyFont="1" applyFill="1" applyBorder="1" applyAlignment="1">
      <alignment horizontal="center" vertical="center"/>
    </xf>
    <xf numFmtId="0" fontId="35" fillId="8" borderId="2" xfId="3" applyFont="1" applyFill="1" applyBorder="1" applyAlignment="1">
      <alignment vertical="center"/>
    </xf>
    <xf numFmtId="44" fontId="35" fillId="8" borderId="53" xfId="1" applyFont="1" applyFill="1" applyBorder="1" applyAlignment="1">
      <alignment vertical="center"/>
    </xf>
    <xf numFmtId="177" fontId="5" fillId="8" borderId="2" xfId="7" applyNumberFormat="1" applyFont="1" applyFill="1" applyBorder="1" applyAlignment="1">
      <alignment horizontal="center" vertical="center"/>
    </xf>
    <xf numFmtId="44" fontId="35" fillId="8" borderId="53" xfId="1" applyFont="1" applyFill="1" applyBorder="1" applyAlignment="1">
      <alignment horizontal="center" vertical="center"/>
    </xf>
    <xf numFmtId="0" fontId="55" fillId="0" borderId="3" xfId="0" applyFont="1" applyFill="1" applyBorder="1" applyAlignment="1">
      <alignment horizontal="left" vertical="center" wrapText="1"/>
    </xf>
    <xf numFmtId="0" fontId="39" fillId="0" borderId="3" xfId="0" applyFont="1" applyFill="1" applyBorder="1" applyAlignment="1">
      <alignment horizontal="center" vertical="center"/>
    </xf>
    <xf numFmtId="2" fontId="0" fillId="0" borderId="3" xfId="0" applyNumberFormat="1" applyFont="1" applyFill="1" applyBorder="1" applyAlignment="1">
      <alignment horizontal="center" vertical="center"/>
    </xf>
    <xf numFmtId="2" fontId="0" fillId="0" borderId="41" xfId="0" applyNumberFormat="1" applyFont="1" applyFill="1" applyBorder="1" applyAlignment="1">
      <alignment horizontal="center" vertical="center"/>
    </xf>
    <xf numFmtId="44" fontId="35" fillId="0" borderId="43" xfId="1" applyFont="1" applyBorder="1" applyAlignment="1">
      <alignment horizontal="center" vertical="center"/>
    </xf>
    <xf numFmtId="44" fontId="40" fillId="0" borderId="3" xfId="1" applyFont="1" applyFill="1" applyBorder="1" applyProtection="1">
      <protection locked="0"/>
    </xf>
    <xf numFmtId="44" fontId="35" fillId="0" borderId="3" xfId="1" applyFont="1" applyFill="1" applyBorder="1" applyAlignment="1">
      <alignment horizontal="center" vertical="center"/>
    </xf>
    <xf numFmtId="0" fontId="55" fillId="0" borderId="45" xfId="0" applyFont="1" applyFill="1" applyBorder="1" applyAlignment="1">
      <alignment vertical="center" wrapText="1"/>
    </xf>
    <xf numFmtId="0" fontId="39" fillId="0" borderId="45" xfId="0" applyFont="1" applyFill="1" applyBorder="1" applyAlignment="1">
      <alignment horizontal="center" vertical="center"/>
    </xf>
    <xf numFmtId="2" fontId="0" fillId="0" borderId="45" xfId="0" applyNumberFormat="1" applyFont="1" applyFill="1" applyBorder="1" applyAlignment="1">
      <alignment horizontal="center" vertical="center"/>
    </xf>
    <xf numFmtId="2" fontId="0" fillId="0" borderId="44" xfId="0" applyNumberFormat="1" applyFont="1" applyFill="1" applyBorder="1" applyAlignment="1">
      <alignment horizontal="center" vertical="center"/>
    </xf>
    <xf numFmtId="44" fontId="35" fillId="0" borderId="46" xfId="1" applyFont="1" applyBorder="1" applyAlignment="1">
      <alignment horizontal="center" vertical="center"/>
    </xf>
    <xf numFmtId="44" fontId="40" fillId="0" borderId="45" xfId="1" applyFont="1" applyFill="1" applyBorder="1" applyProtection="1">
      <protection locked="0"/>
    </xf>
    <xf numFmtId="177" fontId="5" fillId="0" borderId="45" xfId="7" applyNumberFormat="1" applyFont="1" applyFill="1" applyBorder="1" applyAlignment="1">
      <alignment horizontal="center" vertical="center"/>
    </xf>
    <xf numFmtId="0" fontId="37" fillId="0" borderId="54" xfId="0" applyFont="1" applyFill="1" applyBorder="1" applyAlignment="1">
      <alignment horizontal="center" vertical="center"/>
    </xf>
    <xf numFmtId="0" fontId="4" fillId="0" borderId="14" xfId="0" applyFont="1" applyBorder="1" applyAlignment="1">
      <alignment horizontal="center" vertical="center"/>
    </xf>
    <xf numFmtId="44" fontId="56" fillId="0" borderId="7" xfId="1" applyFont="1" applyBorder="1"/>
    <xf numFmtId="0" fontId="40" fillId="0" borderId="54" xfId="3" applyFont="1" applyFill="1" applyBorder="1" applyProtection="1">
      <protection locked="0"/>
    </xf>
    <xf numFmtId="0" fontId="34" fillId="0" borderId="14" xfId="3" applyFont="1" applyFill="1" applyBorder="1" applyAlignment="1" applyProtection="1">
      <alignment horizontal="center" vertical="center"/>
      <protection locked="0"/>
    </xf>
    <xf numFmtId="44" fontId="40" fillId="0" borderId="55" xfId="1" applyFont="1" applyFill="1" applyBorder="1" applyAlignment="1" applyProtection="1">
      <alignment horizontal="center" vertical="center"/>
      <protection locked="0"/>
    </xf>
    <xf numFmtId="0" fontId="40" fillId="0" borderId="9" xfId="3" applyFont="1" applyFill="1" applyBorder="1" applyProtection="1">
      <protection locked="0"/>
    </xf>
    <xf numFmtId="44" fontId="4" fillId="0" borderId="14" xfId="1" applyFont="1" applyBorder="1" applyAlignment="1">
      <alignment wrapText="1"/>
    </xf>
    <xf numFmtId="44" fontId="57" fillId="0" borderId="14" xfId="1" applyFont="1" applyBorder="1"/>
    <xf numFmtId="44" fontId="57" fillId="0" borderId="55" xfId="1" applyNumberFormat="1" applyFont="1" applyBorder="1"/>
    <xf numFmtId="44" fontId="40" fillId="0" borderId="0" xfId="3" applyNumberFormat="1" applyFont="1" applyProtection="1">
      <protection locked="0"/>
    </xf>
    <xf numFmtId="44" fontId="56" fillId="0" borderId="13" xfId="1" applyFont="1" applyBorder="1"/>
    <xf numFmtId="0" fontId="40" fillId="0" borderId="41" xfId="3" applyFont="1" applyFill="1" applyBorder="1" applyProtection="1">
      <protection locked="0"/>
    </xf>
    <xf numFmtId="9" fontId="34" fillId="0" borderId="3" xfId="3" applyNumberFormat="1" applyFont="1" applyFill="1" applyBorder="1" applyAlignment="1" applyProtection="1">
      <alignment horizontal="center" vertical="center"/>
      <protection locked="0"/>
    </xf>
    <xf numFmtId="44" fontId="40" fillId="0" borderId="43" xfId="1" applyFont="1" applyFill="1" applyBorder="1" applyAlignment="1" applyProtection="1">
      <alignment horizontal="center" vertical="center"/>
      <protection locked="0"/>
    </xf>
    <xf numFmtId="0" fontId="40" fillId="0" borderId="11" xfId="3" applyFont="1" applyFill="1" applyBorder="1" applyProtection="1">
      <protection locked="0"/>
    </xf>
    <xf numFmtId="44" fontId="4" fillId="0" borderId="3" xfId="1" applyFont="1" applyBorder="1" applyAlignment="1">
      <alignment wrapText="1"/>
    </xf>
    <xf numFmtId="44" fontId="57" fillId="0" borderId="3" xfId="1" applyFont="1" applyBorder="1"/>
    <xf numFmtId="44" fontId="57" fillId="0" borderId="55" xfId="1" applyFont="1" applyBorder="1"/>
    <xf numFmtId="44" fontId="56" fillId="0" borderId="59" xfId="1" applyFont="1" applyBorder="1"/>
    <xf numFmtId="0" fontId="40" fillId="0" borderId="44" xfId="3" applyFont="1" applyFill="1" applyBorder="1" applyProtection="1">
      <protection locked="0"/>
    </xf>
    <xf numFmtId="0" fontId="34" fillId="0" borderId="45" xfId="3" applyFont="1" applyFill="1" applyBorder="1" applyAlignment="1" applyProtection="1">
      <alignment horizontal="center" vertical="center"/>
      <protection locked="0"/>
    </xf>
    <xf numFmtId="44" fontId="40" fillId="0" borderId="46" xfId="1" applyFont="1" applyFill="1" applyBorder="1" applyAlignment="1" applyProtection="1">
      <alignment horizontal="center" vertical="center"/>
      <protection locked="0"/>
    </xf>
    <xf numFmtId="0" fontId="40" fillId="0" borderId="58" xfId="3" applyFont="1" applyFill="1" applyBorder="1" applyProtection="1">
      <protection locked="0"/>
    </xf>
    <xf numFmtId="44" fontId="4" fillId="0" borderId="45" xfId="1" applyFont="1" applyBorder="1" applyAlignment="1">
      <alignment wrapText="1"/>
    </xf>
    <xf numFmtId="44" fontId="57" fillId="0" borderId="45" xfId="1" applyFont="1" applyBorder="1"/>
    <xf numFmtId="44" fontId="57" fillId="0" borderId="61" xfId="1" applyFont="1" applyBorder="1"/>
    <xf numFmtId="0" fontId="37" fillId="0" borderId="31" xfId="0" applyFont="1" applyFill="1" applyBorder="1" applyAlignment="1">
      <alignment horizontal="center" vertical="center"/>
    </xf>
    <xf numFmtId="44" fontId="56" fillId="0" borderId="32" xfId="1" applyFont="1" applyBorder="1"/>
    <xf numFmtId="0" fontId="40" fillId="0" borderId="32" xfId="3" applyFont="1" applyFill="1" applyBorder="1" applyAlignment="1" applyProtection="1">
      <alignment horizontal="center" vertical="center"/>
      <protection locked="0"/>
    </xf>
    <xf numFmtId="44" fontId="54" fillId="0" borderId="33" xfId="1" applyFont="1" applyBorder="1"/>
    <xf numFmtId="44" fontId="40" fillId="0" borderId="0" xfId="1" applyFont="1" applyProtection="1">
      <protection locked="0"/>
    </xf>
    <xf numFmtId="44" fontId="35" fillId="0" borderId="35" xfId="1" applyFont="1" applyBorder="1" applyAlignment="1">
      <alignment wrapText="1"/>
    </xf>
    <xf numFmtId="187" fontId="35" fillId="0" borderId="0" xfId="3" applyNumberFormat="1" applyFont="1"/>
    <xf numFmtId="0" fontId="42" fillId="0" borderId="34" xfId="0" applyFont="1" applyFill="1" applyBorder="1"/>
    <xf numFmtId="0" fontId="42" fillId="0" borderId="0" xfId="0" applyFont="1" applyFill="1" applyBorder="1" applyAlignment="1">
      <alignment vertical="center" wrapText="1"/>
    </xf>
    <xf numFmtId="44" fontId="58" fillId="0" borderId="50" xfId="1" applyFont="1" applyBorder="1" applyAlignment="1">
      <alignment vertical="center"/>
    </xf>
    <xf numFmtId="44" fontId="58" fillId="0" borderId="53" xfId="1" applyFont="1" applyBorder="1" applyAlignment="1">
      <alignment vertical="center"/>
    </xf>
    <xf numFmtId="0" fontId="59" fillId="0" borderId="34" xfId="11" applyFont="1" applyFill="1" applyBorder="1" applyAlignment="1">
      <alignment vertical="center"/>
    </xf>
    <xf numFmtId="44" fontId="58" fillId="0" borderId="3" xfId="1" applyFont="1" applyBorder="1" applyAlignment="1">
      <alignment vertical="center"/>
    </xf>
    <xf numFmtId="44" fontId="58" fillId="0" borderId="43" xfId="1" applyFont="1" applyBorder="1" applyAlignment="1">
      <alignment vertical="center"/>
    </xf>
    <xf numFmtId="44" fontId="59" fillId="0" borderId="0" xfId="1" applyFont="1" applyFill="1" applyBorder="1" applyAlignment="1">
      <alignment vertical="center"/>
    </xf>
    <xf numFmtId="44" fontId="58" fillId="0" borderId="45" xfId="1" applyFont="1" applyBorder="1" applyAlignment="1">
      <alignment vertical="center"/>
    </xf>
    <xf numFmtId="44" fontId="58" fillId="0" borderId="46" xfId="1" applyFont="1" applyBorder="1" applyAlignment="1">
      <alignment vertical="center"/>
    </xf>
    <xf numFmtId="0" fontId="59" fillId="0" borderId="0" xfId="11" applyFont="1" applyFill="1" applyBorder="1" applyAlignment="1">
      <alignment vertical="center"/>
    </xf>
    <xf numFmtId="0" fontId="60" fillId="0" borderId="0" xfId="11" applyFont="1" applyFill="1" applyBorder="1" applyAlignment="1">
      <alignment vertical="center"/>
    </xf>
    <xf numFmtId="44" fontId="0" fillId="0" borderId="0" xfId="1" applyFont="1" applyBorder="1"/>
    <xf numFmtId="44" fontId="40" fillId="0" borderId="35" xfId="1" applyFont="1" applyFill="1" applyBorder="1" applyAlignment="1" applyProtection="1">
      <alignment wrapText="1"/>
      <protection locked="0"/>
    </xf>
    <xf numFmtId="44" fontId="40" fillId="0" borderId="0" xfId="1" applyFont="1" applyFill="1" applyBorder="1" applyProtection="1">
      <protection locked="0"/>
    </xf>
    <xf numFmtId="44" fontId="40" fillId="0" borderId="0" xfId="1" applyFont="1" applyFill="1" applyBorder="1" applyAlignment="1" applyProtection="1">
      <alignment horizontal="center"/>
      <protection locked="0"/>
    </xf>
    <xf numFmtId="44" fontId="40" fillId="0" borderId="8" xfId="1" applyFont="1" applyFill="1" applyBorder="1" applyProtection="1">
      <protection locked="0"/>
    </xf>
    <xf numFmtId="0" fontId="34" fillId="0" borderId="0" xfId="3" applyFont="1" applyFill="1" applyBorder="1" applyProtection="1">
      <protection locked="0"/>
    </xf>
    <xf numFmtId="44" fontId="5" fillId="0" borderId="0" xfId="1" applyFont="1" applyBorder="1"/>
    <xf numFmtId="44" fontId="5" fillId="0" borderId="0" xfId="1" applyFont="1" applyBorder="1" applyAlignment="1">
      <alignment horizontal="center"/>
    </xf>
    <xf numFmtId="44" fontId="34" fillId="0" borderId="35" xfId="1" applyFont="1" applyFill="1" applyBorder="1" applyAlignment="1" applyProtection="1">
      <alignment wrapText="1"/>
      <protection locked="0"/>
    </xf>
    <xf numFmtId="44" fontId="5" fillId="0" borderId="0" xfId="1" applyFont="1"/>
    <xf numFmtId="0" fontId="6" fillId="0" borderId="0" xfId="3" applyFont="1" applyBorder="1" applyAlignment="1">
      <alignment horizontal="center"/>
    </xf>
    <xf numFmtId="0" fontId="61" fillId="0" borderId="34" xfId="3" applyFont="1" applyBorder="1" applyProtection="1">
      <protection locked="0"/>
    </xf>
    <xf numFmtId="0" fontId="61" fillId="0" borderId="0" xfId="3" applyFont="1" applyFill="1" applyBorder="1" applyProtection="1">
      <protection locked="0"/>
    </xf>
    <xf numFmtId="44" fontId="61" fillId="0" borderId="0" xfId="1" applyFont="1" applyFill="1" applyBorder="1" applyAlignment="1" applyProtection="1">
      <protection locked="0"/>
    </xf>
    <xf numFmtId="44" fontId="62" fillId="0" borderId="0" xfId="1" applyFont="1" applyFill="1" applyBorder="1" applyAlignment="1" applyProtection="1">
      <alignment horizontal="center"/>
      <protection locked="0"/>
    </xf>
    <xf numFmtId="44" fontId="61" fillId="0" borderId="35" xfId="1" applyFont="1" applyFill="1" applyBorder="1" applyAlignment="1" applyProtection="1">
      <alignment wrapText="1"/>
      <protection locked="0"/>
    </xf>
    <xf numFmtId="0" fontId="8" fillId="0" borderId="0" xfId="3" applyFont="1" applyBorder="1"/>
    <xf numFmtId="44" fontId="8" fillId="0" borderId="0" xfId="1" applyFont="1"/>
    <xf numFmtId="0" fontId="8" fillId="0" borderId="0" xfId="3" applyFont="1"/>
    <xf numFmtId="0" fontId="5" fillId="0" borderId="37" xfId="3" applyFont="1" applyFill="1" applyBorder="1"/>
    <xf numFmtId="44" fontId="35" fillId="0" borderId="37" xfId="1" applyFont="1" applyFill="1" applyBorder="1"/>
    <xf numFmtId="0" fontId="37" fillId="0" borderId="37" xfId="0" applyFont="1" applyFill="1" applyBorder="1"/>
    <xf numFmtId="0" fontId="37" fillId="0" borderId="37" xfId="0" applyFont="1" applyFill="1" applyBorder="1" applyAlignment="1">
      <alignment horizontal="center" vertical="center"/>
    </xf>
    <xf numFmtId="44" fontId="37" fillId="0" borderId="37" xfId="1" applyFont="1" applyFill="1" applyBorder="1" applyAlignment="1">
      <alignment horizontal="center" vertical="center"/>
    </xf>
    <xf numFmtId="44" fontId="35" fillId="0" borderId="38" xfId="1" applyFont="1" applyFill="1" applyBorder="1" applyAlignment="1">
      <alignment wrapText="1"/>
    </xf>
    <xf numFmtId="0" fontId="0" fillId="0" borderId="0" xfId="0" applyFont="1" applyAlignment="1"/>
    <xf numFmtId="0" fontId="35" fillId="0" borderId="3" xfId="3" applyFont="1" applyBorder="1" applyAlignment="1">
      <alignment horizontal="center" vertical="center"/>
    </xf>
    <xf numFmtId="44" fontId="35" fillId="0" borderId="3" xfId="1" applyFont="1" applyBorder="1" applyAlignment="1">
      <alignment horizontal="center" vertical="center"/>
    </xf>
    <xf numFmtId="9" fontId="35" fillId="0" borderId="0" xfId="3" applyNumberFormat="1" applyFont="1"/>
    <xf numFmtId="188" fontId="35" fillId="0" borderId="3" xfId="3" applyNumberFormat="1" applyFont="1" applyBorder="1"/>
    <xf numFmtId="0" fontId="5" fillId="0" borderId="0" xfId="3" applyFont="1" applyFill="1" applyBorder="1" applyAlignment="1">
      <alignment horizontal="center"/>
    </xf>
    <xf numFmtId="0" fontId="35" fillId="0" borderId="0" xfId="3" applyFont="1" applyFill="1" applyBorder="1"/>
    <xf numFmtId="44" fontId="35" fillId="0" borderId="0" xfId="1" applyFont="1" applyFill="1" applyBorder="1"/>
    <xf numFmtId="44" fontId="35" fillId="0" borderId="0" xfId="1" applyFont="1" applyFill="1" applyBorder="1" applyAlignment="1">
      <alignment horizontal="center" vertical="center"/>
    </xf>
    <xf numFmtId="44" fontId="35" fillId="0" borderId="0" xfId="1" applyFont="1" applyFill="1" applyBorder="1" applyAlignment="1">
      <alignment wrapText="1"/>
    </xf>
    <xf numFmtId="174" fontId="37" fillId="0" borderId="41" xfId="3" applyNumberFormat="1" applyFont="1" applyFill="1" applyBorder="1" applyAlignment="1">
      <alignment horizontal="center" vertical="center"/>
    </xf>
    <xf numFmtId="174" fontId="46" fillId="27" borderId="3" xfId="3" applyNumberFormat="1" applyFont="1" applyFill="1" applyBorder="1" applyAlignment="1" applyProtection="1">
      <alignment horizontal="center" vertical="center"/>
      <protection locked="0"/>
    </xf>
    <xf numFmtId="174" fontId="37" fillId="0" borderId="43" xfId="1" applyNumberFormat="1" applyFont="1" applyFill="1" applyBorder="1" applyAlignment="1">
      <alignment horizontal="center" vertical="center"/>
    </xf>
    <xf numFmtId="9" fontId="35" fillId="18" borderId="3" xfId="3" applyNumberFormat="1" applyFont="1" applyFill="1" applyBorder="1" applyAlignment="1">
      <alignment vertical="center"/>
    </xf>
    <xf numFmtId="174" fontId="35" fillId="18" borderId="41" xfId="3" applyNumberFormat="1" applyFont="1" applyFill="1" applyBorder="1" applyAlignment="1">
      <alignment vertical="center"/>
    </xf>
    <xf numFmtId="174" fontId="5" fillId="18" borderId="3" xfId="7" applyNumberFormat="1" applyFont="1" applyFill="1" applyBorder="1" applyAlignment="1">
      <alignment horizontal="center" vertical="center"/>
    </xf>
    <xf numFmtId="174" fontId="37" fillId="18" borderId="43" xfId="1" applyNumberFormat="1" applyFont="1" applyFill="1" applyBorder="1" applyAlignment="1">
      <alignment horizontal="center" vertical="center"/>
    </xf>
    <xf numFmtId="188" fontId="37" fillId="0" borderId="3" xfId="3" applyNumberFormat="1" applyFont="1" applyFill="1" applyBorder="1" applyAlignment="1">
      <alignment horizontal="center" vertical="center"/>
    </xf>
    <xf numFmtId="0" fontId="35" fillId="0" borderId="0" xfId="3" applyFont="1" applyFill="1"/>
    <xf numFmtId="0" fontId="35" fillId="0" borderId="0" xfId="3" applyFont="1" applyFill="1" applyAlignment="1">
      <alignment horizontal="center" vertical="center"/>
    </xf>
    <xf numFmtId="44" fontId="35" fillId="0" borderId="0" xfId="1" applyFont="1" applyFill="1"/>
    <xf numFmtId="2" fontId="35" fillId="0" borderId="0" xfId="3" applyNumberFormat="1" applyFont="1" applyAlignment="1">
      <alignment horizontal="center" vertical="center"/>
    </xf>
    <xf numFmtId="0" fontId="5" fillId="0" borderId="0" xfId="3" applyFont="1" applyBorder="1" applyAlignment="1">
      <alignment horizontal="left" vertical="center"/>
    </xf>
    <xf numFmtId="0" fontId="35" fillId="0" borderId="0" xfId="3" applyFont="1" applyAlignment="1">
      <alignment horizontal="left" vertical="center"/>
    </xf>
    <xf numFmtId="0" fontId="35" fillId="0" borderId="0" xfId="3" applyFont="1" applyFill="1" applyAlignment="1">
      <alignment horizontal="left" vertical="center"/>
    </xf>
    <xf numFmtId="44" fontId="35" fillId="0" borderId="0" xfId="1" applyFont="1" applyAlignment="1">
      <alignment horizontal="left" vertical="center"/>
    </xf>
    <xf numFmtId="44" fontId="35" fillId="0" borderId="0" xfId="1" applyFont="1" applyAlignment="1">
      <alignment horizontal="left" vertical="center" wrapText="1"/>
    </xf>
    <xf numFmtId="0" fontId="35" fillId="0" borderId="0" xfId="3" applyFont="1" applyBorder="1" applyAlignment="1">
      <alignment horizontal="left" vertical="center"/>
    </xf>
    <xf numFmtId="0" fontId="35" fillId="0" borderId="0" xfId="3" applyFont="1" applyFill="1" applyAlignment="1">
      <alignment vertical="center" wrapText="1"/>
    </xf>
    <xf numFmtId="9" fontId="35" fillId="0" borderId="0" xfId="3" applyNumberFormat="1" applyFont="1" applyAlignment="1">
      <alignment horizontal="center" vertical="center"/>
    </xf>
    <xf numFmtId="174" fontId="35" fillId="0" borderId="0" xfId="1" applyNumberFormat="1" applyFont="1"/>
    <xf numFmtId="44" fontId="35" fillId="0" borderId="0" xfId="3" applyNumberFormat="1" applyFont="1"/>
    <xf numFmtId="44" fontId="38" fillId="8" borderId="3" xfId="1" applyFont="1" applyFill="1" applyBorder="1" applyAlignment="1">
      <alignment horizontal="center" vertical="center" wrapText="1"/>
    </xf>
    <xf numFmtId="173" fontId="35" fillId="8" borderId="3" xfId="3" applyNumberFormat="1" applyFont="1" applyFill="1" applyBorder="1" applyAlignment="1">
      <alignment vertical="center" wrapText="1"/>
    </xf>
    <xf numFmtId="164" fontId="35" fillId="8" borderId="14" xfId="7" applyNumberFormat="1" applyFont="1" applyFill="1" applyBorder="1" applyAlignment="1">
      <alignment vertical="center"/>
    </xf>
    <xf numFmtId="164" fontId="37" fillId="8" borderId="14" xfId="3" applyNumberFormat="1" applyFont="1" applyFill="1" applyBorder="1" applyAlignment="1">
      <alignment horizontal="center" vertical="center" wrapText="1"/>
    </xf>
    <xf numFmtId="171" fontId="37" fillId="8" borderId="3" xfId="3" applyNumberFormat="1" applyFont="1" applyFill="1" applyBorder="1" applyAlignment="1">
      <alignment vertical="center"/>
    </xf>
    <xf numFmtId="165" fontId="10" fillId="8" borderId="27" xfId="0" applyNumberFormat="1" applyFont="1" applyFill="1" applyBorder="1" applyAlignment="1">
      <alignment vertical="center"/>
    </xf>
    <xf numFmtId="164" fontId="37" fillId="8" borderId="14" xfId="7" applyNumberFormat="1" applyFont="1" applyFill="1" applyBorder="1" applyAlignment="1">
      <alignment vertical="center"/>
    </xf>
    <xf numFmtId="0" fontId="26" fillId="0" borderId="3" xfId="0" applyFont="1" applyFill="1" applyBorder="1" applyAlignment="1">
      <alignment horizontal="center" vertical="center"/>
    </xf>
    <xf numFmtId="44" fontId="35" fillId="8" borderId="3" xfId="1" applyFont="1" applyFill="1" applyBorder="1" applyAlignment="1">
      <alignment horizontal="center" vertical="center" wrapText="1"/>
    </xf>
    <xf numFmtId="171" fontId="2" fillId="0" borderId="3" xfId="3" applyNumberFormat="1" applyFont="1" applyFill="1" applyBorder="1" applyAlignment="1">
      <alignment vertical="center"/>
    </xf>
    <xf numFmtId="0" fontId="27" fillId="36" borderId="3" xfId="4" applyFont="1" applyFill="1" applyBorder="1" applyAlignment="1">
      <alignment vertical="center"/>
    </xf>
    <xf numFmtId="2" fontId="26" fillId="36" borderId="3" xfId="1" applyNumberFormat="1" applyFont="1" applyFill="1" applyBorder="1" applyAlignment="1">
      <alignment horizontal="center" vertical="center"/>
    </xf>
    <xf numFmtId="0" fontId="26" fillId="36" borderId="3" xfId="0" applyFont="1" applyFill="1" applyBorder="1"/>
    <xf numFmtId="164" fontId="27" fillId="36" borderId="3" xfId="0" applyNumberFormat="1" applyFont="1" applyFill="1" applyBorder="1"/>
    <xf numFmtId="165" fontId="26" fillId="10" borderId="3" xfId="4" applyNumberFormat="1" applyFont="1" applyFill="1" applyBorder="1" applyAlignment="1">
      <alignment horizontal="center" vertical="center"/>
    </xf>
    <xf numFmtId="165" fontId="26" fillId="0" borderId="3" xfId="4" applyNumberFormat="1" applyFont="1" applyFill="1" applyBorder="1" applyAlignment="1" applyProtection="1">
      <alignment horizontal="center" vertical="center"/>
      <protection locked="0"/>
    </xf>
    <xf numFmtId="44" fontId="26" fillId="0" borderId="3" xfId="1" applyFont="1" applyFill="1" applyBorder="1" applyAlignment="1">
      <alignment horizontal="center" vertical="center"/>
    </xf>
    <xf numFmtId="0" fontId="26" fillId="0" borderId="0" xfId="0" applyFont="1" applyAlignment="1">
      <alignment horizontal="center"/>
    </xf>
    <xf numFmtId="10" fontId="26" fillId="0" borderId="3" xfId="0" applyNumberFormat="1" applyFont="1" applyBorder="1" applyAlignment="1">
      <alignment horizontal="center"/>
    </xf>
    <xf numFmtId="0" fontId="27" fillId="0" borderId="3" xfId="0" applyFont="1" applyBorder="1" applyAlignment="1">
      <alignment horizontal="center"/>
    </xf>
    <xf numFmtId="10" fontId="26" fillId="0" borderId="3" xfId="2" applyNumberFormat="1" applyFont="1" applyFill="1" applyBorder="1" applyAlignment="1">
      <alignment horizontal="center" vertical="center" wrapText="1"/>
    </xf>
    <xf numFmtId="0" fontId="27" fillId="2" borderId="3" xfId="0" applyFont="1" applyFill="1" applyBorder="1" applyAlignment="1">
      <alignment horizontal="center" vertical="center" wrapText="1"/>
    </xf>
    <xf numFmtId="0" fontId="0" fillId="0" borderId="0" xfId="0" applyAlignment="1">
      <alignment horizontal="center"/>
    </xf>
    <xf numFmtId="0" fontId="27" fillId="0" borderId="12" xfId="4" applyFont="1" applyBorder="1" applyAlignment="1">
      <alignment horizontal="center" vertical="center"/>
    </xf>
    <xf numFmtId="0" fontId="27" fillId="14" borderId="13" xfId="0" applyFont="1" applyFill="1" applyBorder="1" applyAlignment="1">
      <alignment vertical="center"/>
    </xf>
    <xf numFmtId="0" fontId="27" fillId="14" borderId="11" xfId="0" applyFont="1" applyFill="1" applyBorder="1" applyAlignment="1">
      <alignment vertical="center"/>
    </xf>
    <xf numFmtId="0" fontId="27" fillId="0" borderId="13" xfId="0" applyFont="1" applyFill="1" applyBorder="1" applyAlignment="1">
      <alignment vertical="center"/>
    </xf>
    <xf numFmtId="0" fontId="27" fillId="0" borderId="11" xfId="0" applyFont="1" applyFill="1" applyBorder="1" applyAlignment="1">
      <alignment vertical="center"/>
    </xf>
    <xf numFmtId="0" fontId="26" fillId="0" borderId="13" xfId="4" applyFont="1" applyBorder="1" applyAlignment="1">
      <alignment horizontal="left" vertical="center" indent="4"/>
    </xf>
    <xf numFmtId="10" fontId="26" fillId="21" borderId="3" xfId="0" applyNumberFormat="1" applyFont="1" applyFill="1" applyBorder="1" applyAlignment="1">
      <alignment horizontal="center"/>
    </xf>
    <xf numFmtId="0" fontId="26" fillId="0" borderId="13" xfId="4" applyFont="1" applyBorder="1" applyAlignment="1">
      <alignment horizontal="left" vertical="center"/>
    </xf>
    <xf numFmtId="0" fontId="26" fillId="0" borderId="11" xfId="4" applyFont="1" applyBorder="1" applyAlignment="1">
      <alignment horizontal="left" vertical="center"/>
    </xf>
    <xf numFmtId="0" fontId="27" fillId="0" borderId="8" xfId="4" applyFont="1" applyBorder="1" applyAlignment="1">
      <alignment horizontal="center" vertical="center"/>
    </xf>
    <xf numFmtId="0" fontId="27" fillId="0" borderId="12" xfId="0" applyFont="1" applyBorder="1" applyAlignment="1">
      <alignment horizontal="center" vertical="center" wrapText="1"/>
    </xf>
    <xf numFmtId="0" fontId="0" fillId="0" borderId="3" xfId="0" applyBorder="1"/>
    <xf numFmtId="0" fontId="0" fillId="0" borderId="3" xfId="0" applyBorder="1" applyAlignment="1">
      <alignment horizontal="center"/>
    </xf>
    <xf numFmtId="0" fontId="63" fillId="0" borderId="0" xfId="0" applyFont="1"/>
    <xf numFmtId="0" fontId="65" fillId="0" borderId="26" xfId="0" applyFont="1" applyBorder="1"/>
    <xf numFmtId="0" fontId="66" fillId="0" borderId="19" xfId="0" applyFont="1" applyBorder="1"/>
    <xf numFmtId="0" fontId="65" fillId="0" borderId="75" xfId="0" applyFont="1" applyBorder="1"/>
    <xf numFmtId="0" fontId="65" fillId="0" borderId="0" xfId="0" applyFont="1"/>
    <xf numFmtId="0" fontId="65" fillId="0" borderId="0" xfId="0" applyFont="1" applyAlignment="1">
      <alignment horizontal="left"/>
    </xf>
    <xf numFmtId="0" fontId="65" fillId="0" borderId="19" xfId="0" applyFont="1" applyBorder="1"/>
    <xf numFmtId="0" fontId="65" fillId="0" borderId="19" xfId="0" applyFont="1" applyBorder="1" applyAlignment="1">
      <alignment horizontal="left"/>
    </xf>
    <xf numFmtId="183" fontId="66" fillId="0" borderId="29" xfId="0" applyNumberFormat="1" applyFont="1" applyBorder="1"/>
    <xf numFmtId="0" fontId="67" fillId="0" borderId="14" xfId="0" applyFont="1" applyBorder="1" applyAlignment="1">
      <alignment horizontal="center"/>
    </xf>
    <xf numFmtId="183" fontId="67" fillId="0" borderId="29" xfId="0" applyNumberFormat="1" applyFont="1" applyBorder="1" applyAlignment="1">
      <alignment vertical="center"/>
    </xf>
    <xf numFmtId="0" fontId="67" fillId="0" borderId="3" xfId="0" applyFont="1" applyBorder="1" applyAlignment="1">
      <alignment horizontal="center" vertical="center"/>
    </xf>
    <xf numFmtId="0" fontId="65" fillId="0" borderId="76" xfId="0" applyFont="1" applyBorder="1"/>
    <xf numFmtId="0" fontId="65" fillId="0" borderId="19" xfId="0" applyFont="1" applyBorder="1" applyAlignment="1">
      <alignment horizontal="left" vertical="center"/>
    </xf>
    <xf numFmtId="185" fontId="67" fillId="0" borderId="20" xfId="0" applyNumberFormat="1" applyFont="1" applyBorder="1"/>
    <xf numFmtId="0" fontId="65" fillId="0" borderId="3" xfId="0" applyFont="1" applyBorder="1" applyAlignment="1">
      <alignment horizontal="center"/>
    </xf>
    <xf numFmtId="189" fontId="63" fillId="0" borderId="0" xfId="0" applyNumberFormat="1" applyFont="1" applyAlignment="1">
      <alignment horizontal="center" vertical="center"/>
    </xf>
    <xf numFmtId="0" fontId="66" fillId="3" borderId="0" xfId="0" applyFont="1" applyFill="1" applyAlignment="1">
      <alignment horizontal="center"/>
    </xf>
    <xf numFmtId="0" fontId="64" fillId="3" borderId="0" xfId="0" applyFont="1" applyFill="1" applyAlignment="1">
      <alignment horizontal="center" vertical="center"/>
    </xf>
    <xf numFmtId="0" fontId="64" fillId="30" borderId="27" xfId="0" applyFont="1" applyFill="1" applyBorder="1" applyAlignment="1">
      <alignment horizontal="center" vertical="center"/>
    </xf>
    <xf numFmtId="0" fontId="64" fillId="30" borderId="27" xfId="0" applyFont="1" applyFill="1" applyBorder="1" applyAlignment="1">
      <alignment horizontal="center" vertical="center" wrapText="1"/>
    </xf>
    <xf numFmtId="0" fontId="64" fillId="30" borderId="23" xfId="0" applyFont="1" applyFill="1" applyBorder="1" applyAlignment="1">
      <alignment horizontal="center" vertical="center"/>
    </xf>
    <xf numFmtId="189" fontId="64" fillId="30" borderId="23" xfId="0" applyNumberFormat="1" applyFont="1" applyFill="1" applyBorder="1" applyAlignment="1">
      <alignment horizontal="center" vertical="center" wrapText="1"/>
    </xf>
    <xf numFmtId="0" fontId="64" fillId="0" borderId="27" xfId="0" applyFont="1" applyBorder="1" applyAlignment="1">
      <alignment horizontal="center" vertical="center"/>
    </xf>
    <xf numFmtId="183" fontId="64" fillId="0" borderId="27" xfId="0" applyNumberFormat="1" applyFont="1" applyBorder="1" applyAlignment="1">
      <alignment horizontal="center" vertical="center"/>
    </xf>
    <xf numFmtId="0" fontId="64" fillId="0" borderId="27" xfId="0" applyFont="1" applyBorder="1" applyAlignment="1">
      <alignment horizontal="center" vertical="center" wrapText="1"/>
    </xf>
    <xf numFmtId="183" fontId="64" fillId="0" borderId="23" xfId="0" applyNumberFormat="1" applyFont="1" applyBorder="1" applyAlignment="1">
      <alignment horizontal="center" vertical="center"/>
    </xf>
    <xf numFmtId="0" fontId="63" fillId="3" borderId="27" xfId="0" applyFont="1" applyFill="1" applyBorder="1" applyAlignment="1">
      <alignment horizontal="center" vertical="center"/>
    </xf>
    <xf numFmtId="0" fontId="63" fillId="3" borderId="27" xfId="0" applyFont="1" applyFill="1" applyBorder="1" applyAlignment="1">
      <alignment horizontal="left" vertical="center" wrapText="1"/>
    </xf>
    <xf numFmtId="0" fontId="63" fillId="0" borderId="27" xfId="0" applyFont="1" applyBorder="1" applyAlignment="1">
      <alignment horizontal="center" vertical="center" wrapText="1"/>
    </xf>
    <xf numFmtId="189" fontId="63" fillId="0" borderId="27" xfId="0" applyNumberFormat="1" applyFont="1" applyBorder="1" applyAlignment="1">
      <alignment vertical="center"/>
    </xf>
    <xf numFmtId="0" fontId="63" fillId="0" borderId="27" xfId="0" applyFont="1" applyBorder="1" applyAlignment="1">
      <alignment horizontal="center" vertical="center"/>
    </xf>
    <xf numFmtId="190" fontId="63" fillId="0" borderId="27" xfId="0" applyNumberFormat="1" applyFont="1" applyBorder="1" applyAlignment="1">
      <alignment horizontal="right" vertical="center"/>
    </xf>
    <xf numFmtId="3" fontId="63" fillId="3" borderId="27" xfId="0" applyNumberFormat="1" applyFont="1" applyFill="1" applyBorder="1" applyAlignment="1">
      <alignment horizontal="center" vertical="center"/>
    </xf>
    <xf numFmtId="4" fontId="63" fillId="3" borderId="27" xfId="0" applyNumberFormat="1" applyFont="1" applyFill="1" applyBorder="1" applyAlignment="1">
      <alignment horizontal="center" vertical="center"/>
    </xf>
    <xf numFmtId="190" fontId="64" fillId="0" borderId="19" xfId="0" applyNumberFormat="1" applyFont="1" applyBorder="1" applyAlignment="1">
      <alignment horizontal="right" vertical="center"/>
    </xf>
    <xf numFmtId="0" fontId="63" fillId="0" borderId="3" xfId="0" applyFont="1" applyBorder="1" applyAlignment="1">
      <alignment horizontal="center" vertical="center"/>
    </xf>
    <xf numFmtId="44" fontId="63" fillId="0" borderId="3" xfId="0" applyNumberFormat="1" applyFont="1" applyBorder="1" applyAlignment="1">
      <alignment horizontal="center" vertical="center"/>
    </xf>
    <xf numFmtId="44" fontId="63" fillId="0" borderId="0" xfId="0" applyNumberFormat="1" applyFont="1"/>
    <xf numFmtId="4" fontId="63" fillId="0" borderId="0" xfId="0" applyNumberFormat="1" applyFont="1"/>
    <xf numFmtId="0" fontId="63" fillId="0" borderId="3" xfId="0" applyFont="1" applyBorder="1" applyAlignment="1">
      <alignment horizontal="center"/>
    </xf>
    <xf numFmtId="3" fontId="63" fillId="0" borderId="27" xfId="0" applyNumberFormat="1" applyFont="1" applyBorder="1" applyAlignment="1">
      <alignment horizontal="center" vertical="center"/>
    </xf>
    <xf numFmtId="181" fontId="63" fillId="0" borderId="3" xfId="0" applyNumberFormat="1" applyFont="1" applyBorder="1" applyAlignment="1">
      <alignment horizontal="center"/>
    </xf>
    <xf numFmtId="2" fontId="63" fillId="0" borderId="3" xfId="0" applyNumberFormat="1" applyFont="1" applyBorder="1" applyAlignment="1">
      <alignment horizontal="center"/>
    </xf>
    <xf numFmtId="0" fontId="63" fillId="0" borderId="27" xfId="0" applyFont="1" applyBorder="1" applyAlignment="1">
      <alignment horizontal="left" vertical="center" wrapText="1"/>
    </xf>
    <xf numFmtId="0" fontId="63" fillId="0" borderId="0" xfId="0" applyFont="1" applyAlignment="1">
      <alignment vertical="center"/>
    </xf>
    <xf numFmtId="0" fontId="63" fillId="3" borderId="19" xfId="0" applyFont="1" applyFill="1" applyBorder="1" applyAlignment="1">
      <alignment horizontal="left" vertical="center" wrapText="1"/>
    </xf>
    <xf numFmtId="0" fontId="63" fillId="3" borderId="23" xfId="0" applyFont="1" applyFill="1" applyBorder="1" applyAlignment="1">
      <alignment horizontal="center" vertical="center"/>
    </xf>
    <xf numFmtId="0" fontId="63" fillId="3" borderId="3" xfId="0" applyFont="1" applyFill="1" applyBorder="1" applyAlignment="1">
      <alignment horizontal="center" vertical="center"/>
    </xf>
    <xf numFmtId="0" fontId="63" fillId="3" borderId="83" xfId="0" applyFont="1" applyFill="1" applyBorder="1" applyAlignment="1">
      <alignment horizontal="left" vertical="center" wrapText="1"/>
    </xf>
    <xf numFmtId="0" fontId="63" fillId="0" borderId="84" xfId="0" applyFont="1" applyBorder="1" applyAlignment="1">
      <alignment horizontal="center" vertical="center" wrapText="1"/>
    </xf>
    <xf numFmtId="189" fontId="63" fillId="0" borderId="84" xfId="0" applyNumberFormat="1" applyFont="1" applyBorder="1" applyAlignment="1">
      <alignment vertical="center"/>
    </xf>
    <xf numFmtId="0" fontId="63" fillId="0" borderId="84" xfId="0" applyFont="1" applyBorder="1" applyAlignment="1">
      <alignment horizontal="center" vertical="center"/>
    </xf>
    <xf numFmtId="3" fontId="63" fillId="3" borderId="84" xfId="0" applyNumberFormat="1" applyFont="1" applyFill="1" applyBorder="1" applyAlignment="1">
      <alignment horizontal="center" vertical="center"/>
    </xf>
    <xf numFmtId="0" fontId="63" fillId="3" borderId="85" xfId="0" applyFont="1" applyFill="1" applyBorder="1" applyAlignment="1">
      <alignment horizontal="left" vertical="center" wrapText="1"/>
    </xf>
    <xf numFmtId="0" fontId="63" fillId="0" borderId="16" xfId="0" applyFont="1" applyBorder="1" applyAlignment="1">
      <alignment horizontal="center" vertical="center" wrapText="1"/>
    </xf>
    <xf numFmtId="189" fontId="63" fillId="0" borderId="16" xfId="0" applyNumberFormat="1" applyFont="1" applyBorder="1" applyAlignment="1">
      <alignment vertical="center"/>
    </xf>
    <xf numFmtId="0" fontId="64" fillId="0" borderId="16" xfId="0" applyFont="1" applyBorder="1" applyAlignment="1">
      <alignment horizontal="center"/>
    </xf>
    <xf numFmtId="3" fontId="63" fillId="3" borderId="16" xfId="0" applyNumberFormat="1" applyFont="1" applyFill="1" applyBorder="1" applyAlignment="1">
      <alignment horizontal="center" vertical="center"/>
    </xf>
    <xf numFmtId="4" fontId="63" fillId="3" borderId="16" xfId="0" applyNumberFormat="1" applyFont="1" applyFill="1" applyBorder="1" applyAlignment="1">
      <alignment horizontal="center" vertical="center"/>
    </xf>
    <xf numFmtId="190" fontId="64" fillId="0" borderId="86" xfId="0" applyNumberFormat="1" applyFont="1" applyBorder="1" applyAlignment="1">
      <alignment horizontal="right" vertical="center"/>
    </xf>
    <xf numFmtId="0" fontId="63" fillId="3" borderId="22" xfId="0" applyFont="1" applyFill="1" applyBorder="1" applyAlignment="1">
      <alignment horizontal="center" vertical="center"/>
    </xf>
    <xf numFmtId="0" fontId="64" fillId="0" borderId="27" xfId="0" applyFont="1" applyBorder="1" applyAlignment="1">
      <alignment horizontal="center"/>
    </xf>
    <xf numFmtId="191" fontId="63" fillId="0" borderId="3" xfId="0" applyNumberFormat="1" applyFont="1" applyBorder="1" applyAlignment="1">
      <alignment horizontal="center"/>
    </xf>
    <xf numFmtId="0" fontId="63" fillId="3" borderId="16" xfId="0" applyFont="1" applyFill="1" applyBorder="1" applyAlignment="1">
      <alignment horizontal="left" vertical="center" wrapText="1"/>
    </xf>
    <xf numFmtId="0" fontId="63" fillId="3" borderId="27" xfId="0" applyFont="1" applyFill="1" applyBorder="1" applyAlignment="1">
      <alignment horizontal="center" vertical="center" wrapText="1"/>
    </xf>
    <xf numFmtId="44" fontId="63" fillId="0" borderId="0" xfId="1" applyFont="1" applyFill="1"/>
    <xf numFmtId="190" fontId="64" fillId="0" borderId="27" xfId="0" applyNumberFormat="1" applyFont="1" applyBorder="1" applyAlignment="1">
      <alignment horizontal="right" vertical="center"/>
    </xf>
    <xf numFmtId="0" fontId="63" fillId="0" borderId="16" xfId="0" applyFont="1" applyBorder="1" applyAlignment="1">
      <alignment horizontal="left" vertical="center" wrapText="1"/>
    </xf>
    <xf numFmtId="190" fontId="64" fillId="0" borderId="27" xfId="0" applyNumberFormat="1" applyFont="1" applyBorder="1" applyAlignment="1">
      <alignment horizontal="right"/>
    </xf>
    <xf numFmtId="0" fontId="65" fillId="0" borderId="72" xfId="0" applyFont="1" applyBorder="1" applyAlignment="1">
      <alignment horizontal="center" vertical="center"/>
    </xf>
    <xf numFmtId="190" fontId="66" fillId="0" borderId="72" xfId="0" applyNumberFormat="1" applyFont="1" applyBorder="1" applyAlignment="1">
      <alignment horizontal="right"/>
    </xf>
    <xf numFmtId="0" fontId="65" fillId="0" borderId="15" xfId="0" applyFont="1" applyBorder="1" applyAlignment="1">
      <alignment horizontal="center" vertical="center"/>
    </xf>
    <xf numFmtId="190" fontId="66" fillId="0" borderId="15" xfId="0" applyNumberFormat="1" applyFont="1" applyBorder="1" applyAlignment="1">
      <alignment horizontal="right"/>
    </xf>
    <xf numFmtId="189" fontId="63" fillId="0" borderId="27" xfId="0" applyNumberFormat="1" applyFont="1" applyBorder="1" applyAlignment="1">
      <alignment horizontal="center" vertical="center"/>
    </xf>
    <xf numFmtId="0" fontId="64" fillId="3" borderId="27" xfId="0" applyFont="1" applyFill="1" applyBorder="1" applyAlignment="1">
      <alignment horizontal="center"/>
    </xf>
    <xf numFmtId="0" fontId="63" fillId="0" borderId="3" xfId="0" applyFont="1" applyBorder="1"/>
    <xf numFmtId="0" fontId="64" fillId="0" borderId="27" xfId="0" applyFont="1" applyBorder="1" applyAlignment="1">
      <alignment horizontal="left" vertical="center" wrapText="1"/>
    </xf>
    <xf numFmtId="185" fontId="64" fillId="0" borderId="27" xfId="0" applyNumberFormat="1" applyFont="1" applyBorder="1" applyAlignment="1">
      <alignment horizontal="right"/>
    </xf>
    <xf numFmtId="185" fontId="64" fillId="3" borderId="27" xfId="0" applyNumberFormat="1" applyFont="1" applyFill="1" applyBorder="1" applyAlignment="1">
      <alignment horizontal="center"/>
    </xf>
    <xf numFmtId="185" fontId="64" fillId="0" borderId="19" xfId="0" applyNumberFormat="1" applyFont="1" applyBorder="1" applyAlignment="1">
      <alignment horizontal="right"/>
    </xf>
    <xf numFmtId="44" fontId="64" fillId="0" borderId="3" xfId="0" applyNumberFormat="1" applyFont="1" applyBorder="1"/>
    <xf numFmtId="9" fontId="63" fillId="0" borderId="27" xfId="0" applyNumberFormat="1" applyFont="1" applyBorder="1" applyAlignment="1">
      <alignment horizontal="center" vertical="center" wrapText="1"/>
    </xf>
    <xf numFmtId="9" fontId="68" fillId="0" borderId="27" xfId="0" applyNumberFormat="1" applyFont="1" applyBorder="1" applyAlignment="1">
      <alignment horizontal="center" vertical="center" wrapText="1"/>
    </xf>
    <xf numFmtId="44" fontId="63" fillId="0" borderId="0" xfId="1" applyFont="1"/>
    <xf numFmtId="0" fontId="69" fillId="0" borderId="27" xfId="0" applyFont="1" applyBorder="1" applyAlignment="1">
      <alignment horizontal="center" vertical="center"/>
    </xf>
    <xf numFmtId="192" fontId="63" fillId="0" borderId="0" xfId="0" applyNumberFormat="1" applyFont="1"/>
    <xf numFmtId="0" fontId="64" fillId="33" borderId="0" xfId="0" applyFont="1" applyFill="1" applyAlignment="1">
      <alignment horizontal="center" vertical="center"/>
    </xf>
    <xf numFmtId="189" fontId="64" fillId="33" borderId="0" xfId="0" applyNumberFormat="1" applyFont="1" applyFill="1" applyAlignment="1">
      <alignment horizontal="center" vertical="center" wrapText="1"/>
    </xf>
    <xf numFmtId="185" fontId="64" fillId="33" borderId="0" xfId="0" applyNumberFormat="1" applyFont="1" applyFill="1" applyAlignment="1">
      <alignment horizontal="center" vertical="center"/>
    </xf>
    <xf numFmtId="0" fontId="63" fillId="3" borderId="0" xfId="0" applyFont="1" applyFill="1"/>
    <xf numFmtId="0" fontId="64" fillId="30" borderId="26" xfId="0" applyFont="1" applyFill="1" applyBorder="1" applyAlignment="1">
      <alignment horizontal="center" vertical="center"/>
    </xf>
    <xf numFmtId="183" fontId="64" fillId="0" borderId="19" xfId="0" applyNumberFormat="1" applyFont="1" applyBorder="1" applyAlignment="1">
      <alignment horizontal="center" vertical="center"/>
    </xf>
    <xf numFmtId="183" fontId="64" fillId="0" borderId="3" xfId="0" applyNumberFormat="1" applyFont="1" applyBorder="1" applyAlignment="1">
      <alignment horizontal="center" vertical="center"/>
    </xf>
    <xf numFmtId="0" fontId="63" fillId="3" borderId="27" xfId="0" applyFont="1" applyFill="1" applyBorder="1" applyAlignment="1">
      <alignment horizontal="center"/>
    </xf>
    <xf numFmtId="0" fontId="63" fillId="3" borderId="27" xfId="0" applyFont="1" applyFill="1" applyBorder="1"/>
    <xf numFmtId="190" fontId="63" fillId="3" borderId="19" xfId="0" applyNumberFormat="1" applyFont="1" applyFill="1" applyBorder="1"/>
    <xf numFmtId="44" fontId="63" fillId="0" borderId="3" xfId="0" applyNumberFormat="1" applyFont="1" applyBorder="1"/>
    <xf numFmtId="189" fontId="63" fillId="0" borderId="0" xfId="0" applyNumberFormat="1" applyFont="1"/>
    <xf numFmtId="193" fontId="63" fillId="0" borderId="3" xfId="0" applyNumberFormat="1" applyFont="1" applyBorder="1" applyAlignment="1">
      <alignment horizontal="center"/>
    </xf>
    <xf numFmtId="0" fontId="63" fillId="0" borderId="27" xfId="0" applyFont="1" applyBorder="1" applyAlignment="1">
      <alignment horizontal="center"/>
    </xf>
    <xf numFmtId="0" fontId="63" fillId="0" borderId="27" xfId="0" applyFont="1" applyBorder="1"/>
    <xf numFmtId="0" fontId="63" fillId="3" borderId="84" xfId="0" applyFont="1" applyFill="1" applyBorder="1" applyAlignment="1">
      <alignment horizontal="center" vertical="center"/>
    </xf>
    <xf numFmtId="0" fontId="63" fillId="3" borderId="84" xfId="0" applyFont="1" applyFill="1" applyBorder="1" applyAlignment="1">
      <alignment horizontal="left" vertical="center" wrapText="1"/>
    </xf>
    <xf numFmtId="190" fontId="63" fillId="0" borderId="84" xfId="0" applyNumberFormat="1" applyFont="1" applyBorder="1" applyAlignment="1">
      <alignment horizontal="right" vertical="center"/>
    </xf>
    <xf numFmtId="0" fontId="63" fillId="3" borderId="84" xfId="0" applyFont="1" applyFill="1" applyBorder="1" applyAlignment="1">
      <alignment horizontal="center"/>
    </xf>
    <xf numFmtId="0" fontId="63" fillId="3" borderId="84" xfId="0" applyFont="1" applyFill="1" applyBorder="1"/>
    <xf numFmtId="190" fontId="63" fillId="3" borderId="87" xfId="0" applyNumberFormat="1" applyFont="1" applyFill="1" applyBorder="1"/>
    <xf numFmtId="0" fontId="63" fillId="3" borderId="88" xfId="0" applyFont="1" applyFill="1" applyBorder="1" applyAlignment="1">
      <alignment horizontal="center" vertical="center"/>
    </xf>
    <xf numFmtId="0" fontId="63" fillId="3" borderId="89" xfId="0" applyFont="1" applyFill="1" applyBorder="1" applyAlignment="1">
      <alignment horizontal="left" vertical="center" wrapText="1"/>
    </xf>
    <xf numFmtId="0" fontId="63" fillId="0" borderId="89" xfId="0" applyFont="1" applyBorder="1" applyAlignment="1">
      <alignment horizontal="center" vertical="center" wrapText="1"/>
    </xf>
    <xf numFmtId="189" fontId="63" fillId="0" borderId="89" xfId="0" applyNumberFormat="1" applyFont="1" applyBorder="1" applyAlignment="1">
      <alignment vertical="center"/>
    </xf>
    <xf numFmtId="0" fontId="63" fillId="0" borderId="89" xfId="0" applyFont="1" applyBorder="1" applyAlignment="1">
      <alignment horizontal="center" vertical="center"/>
    </xf>
    <xf numFmtId="190" fontId="64" fillId="0" borderId="89" xfId="0" applyNumberFormat="1" applyFont="1" applyBorder="1" applyAlignment="1">
      <alignment horizontal="right" vertical="center"/>
    </xf>
    <xf numFmtId="0" fontId="63" fillId="3" borderId="89" xfId="0" applyFont="1" applyFill="1" applyBorder="1" applyAlignment="1">
      <alignment horizontal="center"/>
    </xf>
    <xf numFmtId="190" fontId="63" fillId="0" borderId="89" xfId="0" applyNumberFormat="1" applyFont="1" applyBorder="1" applyAlignment="1">
      <alignment horizontal="right" vertical="center"/>
    </xf>
    <xf numFmtId="0" fontId="63" fillId="3" borderId="89" xfId="0" applyFont="1" applyFill="1" applyBorder="1"/>
    <xf numFmtId="190" fontId="63" fillId="3" borderId="90" xfId="0" applyNumberFormat="1" applyFont="1" applyFill="1" applyBorder="1"/>
    <xf numFmtId="0" fontId="63" fillId="3" borderId="22" xfId="0" applyFont="1" applyFill="1" applyBorder="1" applyAlignment="1">
      <alignment horizontal="center" vertical="center" wrapText="1"/>
    </xf>
    <xf numFmtId="0" fontId="63" fillId="3" borderId="22" xfId="0" applyFont="1" applyFill="1" applyBorder="1" applyAlignment="1">
      <alignment horizontal="left" vertical="center" wrapText="1"/>
    </xf>
    <xf numFmtId="0" fontId="63" fillId="0" borderId="22" xfId="0" applyFont="1" applyBorder="1" applyAlignment="1">
      <alignment horizontal="center" vertical="center"/>
    </xf>
    <xf numFmtId="189" fontId="63" fillId="0" borderId="22" xfId="0" applyNumberFormat="1" applyFont="1" applyBorder="1" applyAlignment="1">
      <alignment vertical="center"/>
    </xf>
    <xf numFmtId="0" fontId="63" fillId="0" borderId="22" xfId="0" applyFont="1" applyBorder="1" applyAlignment="1">
      <alignment horizontal="center"/>
    </xf>
    <xf numFmtId="190" fontId="64" fillId="0" borderId="22" xfId="0" applyNumberFormat="1" applyFont="1" applyBorder="1" applyAlignment="1">
      <alignment horizontal="right" vertical="center"/>
    </xf>
    <xf numFmtId="0" fontId="63" fillId="3" borderId="22" xfId="0" applyFont="1" applyFill="1" applyBorder="1" applyAlignment="1">
      <alignment horizontal="center"/>
    </xf>
    <xf numFmtId="0" fontId="63" fillId="3" borderId="22" xfId="0" applyFont="1" applyFill="1" applyBorder="1"/>
    <xf numFmtId="190" fontId="63" fillId="3" borderId="76" xfId="0" applyNumberFormat="1" applyFont="1" applyFill="1" applyBorder="1"/>
    <xf numFmtId="44" fontId="70" fillId="0" borderId="0" xfId="1" applyFont="1" applyFill="1"/>
    <xf numFmtId="0" fontId="67" fillId="0" borderId="0" xfId="0" applyFont="1"/>
    <xf numFmtId="0" fontId="64" fillId="0" borderId="23" xfId="0" applyFont="1" applyBorder="1" applyAlignment="1">
      <alignment horizontal="center"/>
    </xf>
    <xf numFmtId="190" fontId="64" fillId="0" borderId="23" xfId="0" applyNumberFormat="1" applyFont="1" applyBorder="1" applyAlignment="1">
      <alignment horizontal="right"/>
    </xf>
    <xf numFmtId="0" fontId="63" fillId="3" borderId="23" xfId="0" applyFont="1" applyFill="1" applyBorder="1" applyAlignment="1">
      <alignment horizontal="center"/>
    </xf>
    <xf numFmtId="0" fontId="63" fillId="3" borderId="23" xfId="0" applyFont="1" applyFill="1" applyBorder="1"/>
    <xf numFmtId="190" fontId="63" fillId="3" borderId="26" xfId="0" applyNumberFormat="1" applyFont="1" applyFill="1" applyBorder="1"/>
    <xf numFmtId="0" fontId="63" fillId="0" borderId="12" xfId="0" applyFont="1" applyBorder="1" applyAlignment="1">
      <alignment horizontal="center"/>
    </xf>
    <xf numFmtId="44" fontId="63" fillId="0" borderId="12" xfId="0" applyNumberFormat="1" applyFont="1" applyBorder="1"/>
    <xf numFmtId="189" fontId="63" fillId="0" borderId="19" xfId="0" applyNumberFormat="1" applyFont="1" applyBorder="1" applyAlignment="1">
      <alignment vertical="center"/>
    </xf>
    <xf numFmtId="0" fontId="64" fillId="0" borderId="3" xfId="0" applyFont="1" applyBorder="1" applyAlignment="1">
      <alignment horizontal="center"/>
    </xf>
    <xf numFmtId="190" fontId="64" fillId="0" borderId="3" xfId="0" applyNumberFormat="1" applyFont="1" applyBorder="1" applyAlignment="1">
      <alignment horizontal="right"/>
    </xf>
    <xf numFmtId="0" fontId="63" fillId="3" borderId="3" xfId="0" applyFont="1" applyFill="1" applyBorder="1" applyAlignment="1">
      <alignment horizontal="center"/>
    </xf>
    <xf numFmtId="0" fontId="63" fillId="3" borderId="3" xfId="0" applyFont="1" applyFill="1" applyBorder="1" applyAlignment="1">
      <alignment vertical="center"/>
    </xf>
    <xf numFmtId="190" fontId="63" fillId="3" borderId="3" xfId="0" applyNumberFormat="1" applyFont="1" applyFill="1" applyBorder="1" applyAlignment="1">
      <alignment vertical="center"/>
    </xf>
    <xf numFmtId="44" fontId="63" fillId="0" borderId="3" xfId="0" applyNumberFormat="1" applyFont="1" applyBorder="1" applyAlignment="1">
      <alignment vertical="center"/>
    </xf>
    <xf numFmtId="0" fontId="64" fillId="0" borderId="0" xfId="0" applyFont="1" applyAlignment="1">
      <alignment horizontal="center"/>
    </xf>
    <xf numFmtId="185" fontId="64" fillId="0" borderId="22" xfId="0" applyNumberFormat="1" applyFont="1" applyBorder="1" applyAlignment="1">
      <alignment horizontal="right"/>
    </xf>
    <xf numFmtId="0" fontId="63" fillId="3" borderId="0" xfId="0" applyFont="1" applyFill="1" applyAlignment="1">
      <alignment horizontal="right"/>
    </xf>
    <xf numFmtId="185" fontId="64" fillId="0" borderId="14" xfId="0" applyNumberFormat="1" applyFont="1" applyBorder="1" applyAlignment="1">
      <alignment horizontal="right"/>
    </xf>
    <xf numFmtId="0" fontId="63" fillId="0" borderId="0" xfId="0" applyFont="1" applyAlignment="1">
      <alignment horizontal="center"/>
    </xf>
    <xf numFmtId="44" fontId="64" fillId="0" borderId="14" xfId="0" applyNumberFormat="1" applyFont="1" applyBorder="1"/>
    <xf numFmtId="0" fontId="63" fillId="0" borderId="23" xfId="0" applyFont="1" applyBorder="1" applyAlignment="1">
      <alignment horizontal="center" vertical="center" wrapText="1"/>
    </xf>
    <xf numFmtId="185" fontId="64" fillId="0" borderId="3" xfId="0" applyNumberFormat="1" applyFont="1" applyBorder="1" applyAlignment="1">
      <alignment horizontal="right"/>
    </xf>
    <xf numFmtId="0" fontId="63" fillId="0" borderId="0" xfId="0" applyFont="1" applyAlignment="1">
      <alignment horizontal="center" vertical="center" wrapText="1"/>
    </xf>
    <xf numFmtId="0" fontId="64" fillId="0" borderId="0" xfId="0" applyFont="1" applyAlignment="1">
      <alignment horizontal="center" vertical="center" wrapText="1"/>
    </xf>
    <xf numFmtId="0" fontId="63" fillId="0" borderId="0" xfId="0" applyFont="1" applyAlignment="1">
      <alignment horizontal="center" vertical="center"/>
    </xf>
    <xf numFmtId="0" fontId="64" fillId="30" borderId="26" xfId="0" applyFont="1" applyFill="1" applyBorder="1" applyAlignment="1">
      <alignment horizontal="center" vertical="center" wrapText="1"/>
    </xf>
    <xf numFmtId="0" fontId="64" fillId="30" borderId="23" xfId="0" applyFont="1" applyFill="1" applyBorder="1" applyAlignment="1">
      <alignment vertical="center"/>
    </xf>
    <xf numFmtId="189" fontId="64" fillId="30" borderId="23" xfId="0" applyNumberFormat="1" applyFont="1" applyFill="1" applyBorder="1" applyAlignment="1">
      <alignment vertical="center" wrapText="1"/>
    </xf>
    <xf numFmtId="0" fontId="63" fillId="0" borderId="76" xfId="0" applyFont="1" applyBorder="1" applyAlignment="1">
      <alignment horizontal="center" vertical="center" wrapText="1"/>
    </xf>
    <xf numFmtId="190" fontId="63" fillId="0" borderId="27" xfId="0" applyNumberFormat="1" applyFont="1" applyBorder="1" applyAlignment="1">
      <alignment horizontal="right"/>
    </xf>
    <xf numFmtId="190" fontId="63" fillId="3" borderId="19" xfId="0" applyNumberFormat="1" applyFont="1" applyFill="1" applyBorder="1" applyAlignment="1">
      <alignment horizontal="right"/>
    </xf>
    <xf numFmtId="0" fontId="63" fillId="0" borderId="19" xfId="0" applyFont="1" applyBorder="1" applyAlignment="1">
      <alignment horizontal="center" vertical="center" wrapText="1"/>
    </xf>
    <xf numFmtId="0" fontId="63" fillId="0" borderId="19" xfId="0" applyFont="1" applyBorder="1" applyAlignment="1">
      <alignment horizontal="center" vertical="center"/>
    </xf>
    <xf numFmtId="190" fontId="63" fillId="0" borderId="84" xfId="0" applyNumberFormat="1" applyFont="1" applyBorder="1" applyAlignment="1">
      <alignment horizontal="right"/>
    </xf>
    <xf numFmtId="190" fontId="63" fillId="3" borderId="87" xfId="0" applyNumberFormat="1" applyFont="1" applyFill="1" applyBorder="1" applyAlignment="1">
      <alignment horizontal="right" vertical="center"/>
    </xf>
    <xf numFmtId="166" fontId="63" fillId="0" borderId="3" xfId="0" applyNumberFormat="1" applyFont="1" applyBorder="1" applyAlignment="1">
      <alignment horizontal="center" vertical="center"/>
    </xf>
    <xf numFmtId="0" fontId="65" fillId="3" borderId="27" xfId="0" applyFont="1" applyFill="1" applyBorder="1" applyAlignment="1">
      <alignment horizontal="left" vertical="center" wrapText="1"/>
    </xf>
    <xf numFmtId="166" fontId="63" fillId="0" borderId="3" xfId="0" applyNumberFormat="1" applyFont="1" applyBorder="1" applyAlignment="1">
      <alignment horizontal="center"/>
    </xf>
    <xf numFmtId="0" fontId="63" fillId="3" borderId="89" xfId="0" applyFont="1" applyFill="1" applyBorder="1" applyAlignment="1">
      <alignment horizontal="center" vertical="center"/>
    </xf>
    <xf numFmtId="0" fontId="64" fillId="0" borderId="89" xfId="0" applyFont="1" applyBorder="1" applyAlignment="1">
      <alignment horizontal="center"/>
    </xf>
    <xf numFmtId="185" fontId="64" fillId="0" borderId="89" xfId="0" applyNumberFormat="1" applyFont="1" applyBorder="1" applyAlignment="1">
      <alignment horizontal="center"/>
    </xf>
    <xf numFmtId="190" fontId="63" fillId="0" borderId="89" xfId="0" applyNumberFormat="1" applyFont="1" applyBorder="1" applyAlignment="1">
      <alignment horizontal="right"/>
    </xf>
    <xf numFmtId="190" fontId="63" fillId="3" borderId="90" xfId="0" applyNumberFormat="1" applyFont="1" applyFill="1" applyBorder="1" applyAlignment="1">
      <alignment horizontal="right"/>
    </xf>
    <xf numFmtId="0" fontId="63" fillId="0" borderId="22" xfId="0" applyFont="1" applyBorder="1" applyAlignment="1">
      <alignment horizontal="center" vertical="center" wrapText="1"/>
    </xf>
    <xf numFmtId="0" fontId="64" fillId="0" borderId="22" xfId="0" applyFont="1" applyBorder="1" applyAlignment="1">
      <alignment horizontal="center"/>
    </xf>
    <xf numFmtId="165" fontId="64" fillId="0" borderId="22" xfId="0" applyNumberFormat="1" applyFont="1" applyBorder="1" applyAlignment="1">
      <alignment vertical="center"/>
    </xf>
    <xf numFmtId="190" fontId="63" fillId="3" borderId="76" xfId="0" applyNumberFormat="1" applyFont="1" applyFill="1" applyBorder="1" applyAlignment="1">
      <alignment horizontal="right"/>
    </xf>
    <xf numFmtId="165" fontId="64" fillId="0" borderId="27" xfId="0" applyNumberFormat="1" applyFont="1" applyBorder="1" applyAlignment="1">
      <alignment vertical="center"/>
    </xf>
    <xf numFmtId="190" fontId="63" fillId="3" borderId="26" xfId="0" applyNumberFormat="1" applyFont="1" applyFill="1" applyBorder="1" applyAlignment="1">
      <alignment horizontal="right"/>
    </xf>
    <xf numFmtId="165" fontId="64" fillId="0" borderId="19" xfId="0" applyNumberFormat="1" applyFont="1" applyBorder="1" applyAlignment="1">
      <alignment vertical="center"/>
    </xf>
    <xf numFmtId="190" fontId="63" fillId="0" borderId="90" xfId="0" applyNumberFormat="1" applyFont="1" applyBorder="1" applyAlignment="1">
      <alignment horizontal="right"/>
    </xf>
    <xf numFmtId="190" fontId="63" fillId="3" borderId="3" xfId="0" applyNumberFormat="1" applyFont="1" applyFill="1" applyBorder="1" applyAlignment="1">
      <alignment horizontal="right"/>
    </xf>
    <xf numFmtId="0" fontId="63" fillId="3" borderId="0" xfId="0" applyFont="1" applyFill="1" applyAlignment="1">
      <alignment horizontal="center"/>
    </xf>
    <xf numFmtId="0" fontId="64" fillId="3" borderId="0" xfId="0" applyFont="1" applyFill="1" applyAlignment="1">
      <alignment horizontal="center"/>
    </xf>
    <xf numFmtId="185" fontId="64" fillId="0" borderId="0" xfId="0" applyNumberFormat="1" applyFont="1" applyAlignment="1">
      <alignment horizontal="center"/>
    </xf>
    <xf numFmtId="185" fontId="64" fillId="38" borderId="23" xfId="0" applyNumberFormat="1" applyFont="1" applyFill="1" applyBorder="1" applyAlignment="1">
      <alignment horizontal="center" vertical="center"/>
    </xf>
    <xf numFmtId="185" fontId="71" fillId="0" borderId="23" xfId="0" applyNumberFormat="1" applyFont="1" applyBorder="1" applyAlignment="1">
      <alignment horizontal="center" vertical="center"/>
    </xf>
    <xf numFmtId="185" fontId="64" fillId="27" borderId="3" xfId="0" applyNumberFormat="1" applyFont="1" applyFill="1" applyBorder="1" applyAlignment="1">
      <alignment horizontal="center" vertical="center"/>
    </xf>
    <xf numFmtId="44" fontId="63" fillId="2" borderId="12" xfId="0" applyNumberFormat="1" applyFont="1" applyFill="1" applyBorder="1" applyAlignment="1">
      <alignment vertical="center"/>
    </xf>
    <xf numFmtId="168" fontId="63" fillId="0" borderId="0" xfId="0" applyNumberFormat="1" applyFont="1"/>
    <xf numFmtId="0" fontId="64" fillId="30" borderId="0" xfId="0" applyFont="1" applyFill="1" applyAlignment="1">
      <alignment horizontal="center" vertical="center"/>
    </xf>
    <xf numFmtId="0" fontId="67" fillId="0" borderId="0" xfId="0" applyFont="1" applyAlignment="1">
      <alignment vertical="center"/>
    </xf>
    <xf numFmtId="0" fontId="64" fillId="0" borderId="13" xfId="0" applyFont="1" applyBorder="1" applyAlignment="1">
      <alignment horizontal="center" vertical="center"/>
    </xf>
    <xf numFmtId="185" fontId="64" fillId="0" borderId="11" xfId="0" applyNumberFormat="1" applyFont="1" applyBorder="1" applyAlignment="1">
      <alignment horizontal="center" vertical="center"/>
    </xf>
    <xf numFmtId="185" fontId="71" fillId="8" borderId="3" xfId="0" applyNumberFormat="1" applyFont="1" applyFill="1" applyBorder="1" applyAlignment="1">
      <alignment horizontal="center" vertical="center"/>
    </xf>
    <xf numFmtId="185" fontId="64" fillId="0" borderId="0" xfId="0" applyNumberFormat="1" applyFont="1" applyAlignment="1">
      <alignment horizontal="center" vertical="center"/>
    </xf>
    <xf numFmtId="44" fontId="63" fillId="0" borderId="6" xfId="0" applyNumberFormat="1" applyFont="1" applyBorder="1" applyAlignment="1">
      <alignment vertical="center"/>
    </xf>
    <xf numFmtId="0" fontId="63" fillId="0" borderId="13" xfId="0" applyFont="1" applyBorder="1" applyAlignment="1">
      <alignment vertical="center"/>
    </xf>
    <xf numFmtId="185" fontId="63" fillId="0" borderId="11" xfId="0" applyNumberFormat="1" applyFont="1" applyBorder="1" applyAlignment="1">
      <alignment horizontal="center" vertical="center"/>
    </xf>
    <xf numFmtId="44" fontId="63" fillId="0" borderId="0" xfId="0" applyNumberFormat="1" applyFont="1" applyAlignment="1">
      <alignment horizontal="center" vertical="center"/>
    </xf>
    <xf numFmtId="0" fontId="64" fillId="0" borderId="0" xfId="0" applyFont="1" applyAlignment="1">
      <alignment horizontal="center" vertical="center"/>
    </xf>
    <xf numFmtId="0" fontId="63" fillId="0" borderId="10" xfId="0" applyFont="1" applyBorder="1" applyAlignment="1">
      <alignment vertical="center"/>
    </xf>
    <xf numFmtId="44" fontId="63" fillId="0" borderId="11" xfId="1" applyFont="1" applyBorder="1" applyAlignment="1">
      <alignment vertical="center"/>
    </xf>
    <xf numFmtId="185" fontId="63" fillId="0" borderId="0" xfId="0" applyNumberFormat="1" applyFont="1" applyAlignment="1">
      <alignment horizontal="center" vertical="center"/>
    </xf>
    <xf numFmtId="0" fontId="63" fillId="0" borderId="0" xfId="0" applyFont="1" applyAlignment="1">
      <alignment vertical="center" wrapText="1"/>
    </xf>
    <xf numFmtId="44" fontId="63" fillId="0" borderId="0" xfId="0" applyNumberFormat="1" applyFont="1" applyAlignment="1">
      <alignment vertical="center"/>
    </xf>
    <xf numFmtId="192" fontId="63" fillId="0" borderId="0" xfId="0" applyNumberFormat="1" applyFont="1" applyAlignment="1">
      <alignment horizontal="center" vertical="center"/>
    </xf>
    <xf numFmtId="44" fontId="63" fillId="0" borderId="0" xfId="1" applyFont="1" applyBorder="1" applyAlignment="1">
      <alignment vertical="center"/>
    </xf>
    <xf numFmtId="168" fontId="72" fillId="0" borderId="0" xfId="0" applyNumberFormat="1" applyFont="1" applyAlignment="1">
      <alignment horizontal="center"/>
    </xf>
    <xf numFmtId="168" fontId="64" fillId="0" borderId="0" xfId="0" applyNumberFormat="1" applyFont="1" applyAlignment="1">
      <alignment horizontal="center"/>
    </xf>
    <xf numFmtId="189" fontId="63" fillId="8" borderId="27" xfId="0" applyNumberFormat="1" applyFont="1" applyFill="1" applyBorder="1" applyAlignment="1">
      <alignment vertical="center"/>
    </xf>
    <xf numFmtId="44" fontId="26" fillId="0" borderId="0" xfId="1" applyFont="1"/>
    <xf numFmtId="174" fontId="27" fillId="0" borderId="3" xfId="0" applyNumberFormat="1" applyFont="1" applyFill="1" applyBorder="1" applyAlignment="1">
      <alignment vertical="center"/>
    </xf>
    <xf numFmtId="174" fontId="26" fillId="0" borderId="0" xfId="1" applyNumberFormat="1" applyFont="1"/>
    <xf numFmtId="0" fontId="22" fillId="0" borderId="3" xfId="0" applyFont="1" applyBorder="1" applyAlignment="1">
      <alignment horizontal="center" vertical="center" wrapText="1"/>
    </xf>
    <xf numFmtId="2" fontId="27" fillId="0" borderId="3" xfId="4" applyNumberFormat="1" applyFont="1" applyBorder="1" applyAlignment="1">
      <alignment horizontal="center" vertical="center"/>
    </xf>
    <xf numFmtId="0" fontId="27" fillId="40" borderId="3" xfId="4" applyFont="1" applyFill="1" applyBorder="1" applyAlignment="1">
      <alignment horizontal="center" vertical="center"/>
    </xf>
    <xf numFmtId="0" fontId="27" fillId="40" borderId="3" xfId="4" applyFont="1" applyFill="1" applyBorder="1" applyAlignment="1">
      <alignment vertical="center" wrapText="1"/>
    </xf>
    <xf numFmtId="2" fontId="27" fillId="40" borderId="3" xfId="4" applyNumberFormat="1" applyFont="1" applyFill="1" applyBorder="1" applyAlignment="1">
      <alignment vertical="center"/>
    </xf>
    <xf numFmtId="0" fontId="26" fillId="40" borderId="3" xfId="0" applyFont="1" applyFill="1" applyBorder="1"/>
    <xf numFmtId="164" fontId="26" fillId="40" borderId="3" xfId="0" applyNumberFormat="1" applyFont="1" applyFill="1" applyBorder="1"/>
    <xf numFmtId="0" fontId="27" fillId="40" borderId="3" xfId="4" applyFont="1" applyFill="1" applyBorder="1" applyAlignment="1">
      <alignment horizontal="center" vertical="center" wrapText="1"/>
    </xf>
    <xf numFmtId="0" fontId="26" fillId="40" borderId="0" xfId="0" applyFont="1" applyFill="1"/>
    <xf numFmtId="10" fontId="0" fillId="0" borderId="3" xfId="0" applyNumberFormat="1" applyBorder="1" applyAlignment="1">
      <alignment horizontal="center"/>
    </xf>
    <xf numFmtId="8" fontId="73" fillId="14" borderId="3" xfId="0" applyNumberFormat="1" applyFont="1" applyFill="1" applyBorder="1" applyAlignment="1">
      <alignment vertical="center"/>
    </xf>
    <xf numFmtId="165" fontId="26" fillId="34" borderId="3" xfId="4" applyNumberFormat="1" applyFont="1" applyFill="1" applyBorder="1" applyAlignment="1">
      <alignment horizontal="center" vertical="center"/>
    </xf>
    <xf numFmtId="164" fontId="26" fillId="34" borderId="3" xfId="4" applyNumberFormat="1" applyFont="1" applyFill="1" applyBorder="1" applyAlignment="1">
      <alignment horizontal="center" vertical="center"/>
    </xf>
    <xf numFmtId="165" fontId="26" fillId="34" borderId="3" xfId="4" applyNumberFormat="1" applyFont="1" applyFill="1" applyBorder="1" applyAlignment="1" applyProtection="1">
      <alignment horizontal="center" vertical="center"/>
      <protection locked="0"/>
    </xf>
    <xf numFmtId="44" fontId="26" fillId="34" borderId="3" xfId="1" applyFont="1" applyFill="1" applyBorder="1" applyAlignment="1">
      <alignment horizontal="center" vertical="center"/>
    </xf>
    <xf numFmtId="44" fontId="26" fillId="0" borderId="3" xfId="1" applyFont="1" applyBorder="1" applyAlignment="1">
      <alignment vertical="center"/>
    </xf>
    <xf numFmtId="167" fontId="37" fillId="34" borderId="14" xfId="3" applyNumberFormat="1" applyFont="1" applyFill="1" applyBorder="1" applyAlignment="1">
      <alignment horizontal="left" vertical="center" wrapText="1"/>
    </xf>
    <xf numFmtId="0" fontId="35" fillId="34" borderId="3" xfId="3" applyFont="1" applyFill="1" applyBorder="1" applyAlignment="1">
      <alignment vertical="center" wrapText="1"/>
    </xf>
    <xf numFmtId="0" fontId="6" fillId="0" borderId="0" xfId="3" applyFont="1" applyBorder="1" applyAlignment="1">
      <alignment horizontal="center" vertical="center"/>
    </xf>
    <xf numFmtId="0" fontId="26" fillId="0" borderId="0" xfId="0" applyFont="1" applyFill="1"/>
    <xf numFmtId="0" fontId="26" fillId="0" borderId="0" xfId="0" applyFont="1" applyFill="1" applyAlignment="1">
      <alignment horizontal="center"/>
    </xf>
    <xf numFmtId="0" fontId="29" fillId="0" borderId="0" xfId="0" applyFont="1" applyFill="1"/>
    <xf numFmtId="10" fontId="26" fillId="0" borderId="0" xfId="2" applyNumberFormat="1" applyFont="1" applyFill="1" applyAlignment="1">
      <alignment horizontal="left" vertical="center"/>
    </xf>
    <xf numFmtId="0" fontId="0" fillId="0" borderId="0" xfId="0" applyFill="1"/>
    <xf numFmtId="2" fontId="26" fillId="0" borderId="3" xfId="1" applyNumberFormat="1" applyFont="1" applyFill="1" applyBorder="1" applyAlignment="1">
      <alignment horizontal="center" vertical="center" wrapText="1"/>
    </xf>
    <xf numFmtId="2" fontId="26" fillId="0" borderId="3" xfId="1" applyNumberFormat="1" applyFont="1" applyFill="1" applyBorder="1" applyAlignment="1">
      <alignment horizontal="left" vertical="center" wrapText="1"/>
    </xf>
    <xf numFmtId="10" fontId="26" fillId="0" borderId="0" xfId="2" applyNumberFormat="1" applyFont="1" applyAlignment="1">
      <alignment horizontal="center"/>
    </xf>
    <xf numFmtId="44" fontId="26" fillId="0" borderId="3" xfId="1" applyNumberFormat="1" applyFont="1" applyFill="1" applyBorder="1" applyAlignment="1">
      <alignment horizontal="center" vertical="center"/>
    </xf>
    <xf numFmtId="0" fontId="5" fillId="0" borderId="0" xfId="3" applyFont="1" applyBorder="1" applyAlignment="1">
      <alignment vertical="center" wrapText="1"/>
    </xf>
    <xf numFmtId="0" fontId="27" fillId="2" borderId="13" xfId="0" applyFont="1" applyFill="1" applyBorder="1" applyAlignment="1">
      <alignment vertical="center" wrapText="1"/>
    </xf>
    <xf numFmtId="2" fontId="26" fillId="41" borderId="3" xfId="4" applyNumberFormat="1" applyFont="1" applyFill="1" applyBorder="1" applyAlignment="1">
      <alignment horizontal="center" vertical="center"/>
    </xf>
    <xf numFmtId="0" fontId="26" fillId="41" borderId="3" xfId="4" applyFont="1" applyFill="1" applyBorder="1" applyAlignment="1">
      <alignment horizontal="center" vertical="center"/>
    </xf>
    <xf numFmtId="2" fontId="26" fillId="41" borderId="3" xfId="1" applyNumberFormat="1" applyFont="1" applyFill="1" applyBorder="1" applyAlignment="1">
      <alignment horizontal="center" vertical="center"/>
    </xf>
    <xf numFmtId="44" fontId="26" fillId="0" borderId="3" xfId="0" applyNumberFormat="1" applyFont="1" applyBorder="1" applyAlignment="1">
      <alignment vertical="center"/>
    </xf>
    <xf numFmtId="44" fontId="27" fillId="14" borderId="3" xfId="0" applyNumberFormat="1" applyFont="1" applyFill="1" applyBorder="1" applyAlignment="1">
      <alignment vertical="center"/>
    </xf>
    <xf numFmtId="44" fontId="26" fillId="0" borderId="0" xfId="0" applyNumberFormat="1" applyFont="1"/>
    <xf numFmtId="44" fontId="27" fillId="0" borderId="3" xfId="0" applyNumberFormat="1" applyFont="1" applyFill="1" applyBorder="1" applyAlignment="1">
      <alignment vertical="center"/>
    </xf>
    <xf numFmtId="44" fontId="74" fillId="14" borderId="3" xfId="0" applyNumberFormat="1" applyFont="1" applyFill="1" applyBorder="1" applyAlignment="1">
      <alignment vertical="center"/>
    </xf>
    <xf numFmtId="0" fontId="26" fillId="43" borderId="3" xfId="0" applyFont="1" applyFill="1" applyBorder="1"/>
    <xf numFmtId="0" fontId="26" fillId="41" borderId="3" xfId="0" applyFont="1" applyFill="1" applyBorder="1" applyAlignment="1">
      <alignment horizontal="center" vertical="center"/>
    </xf>
    <xf numFmtId="0" fontId="26" fillId="0" borderId="0" xfId="0" applyFont="1" applyAlignment="1">
      <alignment horizontal="left" vertical="center"/>
    </xf>
    <xf numFmtId="171" fontId="2" fillId="34" borderId="3" xfId="3" applyNumberFormat="1" applyFont="1" applyFill="1" applyBorder="1" applyAlignment="1">
      <alignment vertical="center"/>
    </xf>
    <xf numFmtId="44" fontId="26" fillId="0" borderId="0" xfId="0" applyNumberFormat="1" applyFont="1" applyFill="1"/>
    <xf numFmtId="0" fontId="26" fillId="34" borderId="3" xfId="0" applyFont="1" applyFill="1" applyBorder="1"/>
    <xf numFmtId="0" fontId="27" fillId="16" borderId="3" xfId="0" applyFont="1" applyFill="1" applyBorder="1" applyAlignment="1">
      <alignment horizontal="center" vertical="center" wrapText="1"/>
    </xf>
    <xf numFmtId="0" fontId="27" fillId="42" borderId="3" xfId="0" applyFont="1" applyFill="1" applyBorder="1" applyAlignment="1">
      <alignment horizontal="center" vertical="center" wrapText="1"/>
    </xf>
    <xf numFmtId="0" fontId="27" fillId="13" borderId="3" xfId="0" applyFont="1" applyFill="1" applyBorder="1" applyAlignment="1">
      <alignment horizontal="center" vertical="center" wrapText="1"/>
    </xf>
    <xf numFmtId="0" fontId="27" fillId="0" borderId="3" xfId="4" applyFont="1" applyFill="1" applyBorder="1" applyAlignment="1">
      <alignment horizontal="center" vertical="center" wrapText="1"/>
    </xf>
    <xf numFmtId="44" fontId="26" fillId="0" borderId="3" xfId="1" applyFont="1" applyFill="1" applyBorder="1"/>
    <xf numFmtId="44" fontId="26" fillId="0" borderId="3" xfId="1" applyFont="1" applyFill="1" applyBorder="1" applyAlignment="1">
      <alignment vertical="center"/>
    </xf>
    <xf numFmtId="0" fontId="0" fillId="0" borderId="0" xfId="0" applyAlignment="1">
      <alignment horizontal="right"/>
    </xf>
    <xf numFmtId="0" fontId="26" fillId="0" borderId="0" xfId="0" applyFont="1" applyAlignment="1">
      <alignment vertical="center"/>
    </xf>
    <xf numFmtId="0" fontId="26" fillId="8" borderId="3" xfId="4" applyFont="1" applyFill="1" applyBorder="1" applyAlignment="1">
      <alignment vertical="center" wrapText="1"/>
    </xf>
    <xf numFmtId="0" fontId="27" fillId="18" borderId="3" xfId="0" applyFont="1" applyFill="1" applyBorder="1" applyAlignment="1">
      <alignment vertical="center" wrapText="1"/>
    </xf>
    <xf numFmtId="0" fontId="26" fillId="13" borderId="3" xfId="4" applyFont="1" applyFill="1" applyBorder="1" applyAlignment="1">
      <alignment horizontal="center" vertical="center"/>
    </xf>
    <xf numFmtId="0" fontId="26" fillId="44" borderId="3" xfId="4" applyFont="1" applyFill="1" applyBorder="1" applyAlignment="1">
      <alignment horizontal="center" vertical="center"/>
    </xf>
    <xf numFmtId="166" fontId="26" fillId="13" borderId="3" xfId="4" applyNumberFormat="1" applyFont="1" applyFill="1" applyBorder="1" applyAlignment="1">
      <alignment horizontal="center" vertical="center"/>
    </xf>
    <xf numFmtId="0" fontId="26" fillId="13" borderId="3" xfId="0" applyFont="1" applyFill="1" applyBorder="1" applyAlignment="1">
      <alignment horizontal="center" vertical="center"/>
    </xf>
    <xf numFmtId="2" fontId="26" fillId="13" borderId="3" xfId="4" applyNumberFormat="1" applyFont="1" applyFill="1" applyBorder="1" applyAlignment="1">
      <alignment horizontal="center" vertical="center"/>
    </xf>
    <xf numFmtId="1" fontId="26" fillId="13" borderId="3" xfId="4" applyNumberFormat="1" applyFont="1" applyFill="1" applyBorder="1" applyAlignment="1">
      <alignment horizontal="center" vertical="center"/>
    </xf>
    <xf numFmtId="0" fontId="26" fillId="45" borderId="3" xfId="4" applyFont="1" applyFill="1" applyBorder="1" applyAlignment="1">
      <alignment horizontal="center" vertical="center"/>
    </xf>
    <xf numFmtId="0" fontId="26" fillId="2" borderId="3" xfId="0" applyFont="1" applyFill="1" applyBorder="1" applyAlignment="1">
      <alignment horizontal="center" vertical="center"/>
    </xf>
    <xf numFmtId="0" fontId="26" fillId="2" borderId="3" xfId="4" applyFont="1" applyFill="1" applyBorder="1" applyAlignment="1">
      <alignment horizontal="center" vertical="center"/>
    </xf>
    <xf numFmtId="0" fontId="76" fillId="0" borderId="0" xfId="0" applyFont="1"/>
    <xf numFmtId="0" fontId="77" fillId="0" borderId="0" xfId="0" applyFont="1"/>
    <xf numFmtId="10" fontId="27" fillId="42" borderId="3" xfId="0" applyNumberFormat="1" applyFont="1" applyFill="1" applyBorder="1" applyAlignment="1">
      <alignment horizontal="center" vertical="center"/>
    </xf>
    <xf numFmtId="0" fontId="26" fillId="42" borderId="3" xfId="0" applyFont="1" applyFill="1" applyBorder="1"/>
    <xf numFmtId="44" fontId="26" fillId="8" borderId="3" xfId="1" applyNumberFormat="1" applyFont="1" applyFill="1" applyBorder="1" applyAlignment="1">
      <alignment horizontal="center" vertical="center"/>
    </xf>
    <xf numFmtId="44" fontId="26" fillId="15" borderId="3" xfId="1" applyNumberFormat="1" applyFont="1" applyFill="1" applyBorder="1" applyAlignment="1">
      <alignment horizontal="center" vertical="center"/>
    </xf>
    <xf numFmtId="44" fontId="29" fillId="0" borderId="3" xfId="1" applyNumberFormat="1" applyFont="1" applyBorder="1" applyAlignment="1">
      <alignment horizontal="center" vertical="center"/>
    </xf>
    <xf numFmtId="44" fontId="2" fillId="8" borderId="3" xfId="1" applyNumberFormat="1" applyFont="1" applyFill="1" applyBorder="1" applyAlignment="1">
      <alignment horizontal="center" vertical="center"/>
    </xf>
    <xf numFmtId="44" fontId="0" fillId="0" borderId="3" xfId="1" applyFont="1" applyBorder="1"/>
    <xf numFmtId="44" fontId="0" fillId="0" borderId="0" xfId="0" applyNumberFormat="1"/>
    <xf numFmtId="44" fontId="22" fillId="0" borderId="3" xfId="0" applyNumberFormat="1" applyFont="1" applyBorder="1"/>
    <xf numFmtId="0" fontId="0" fillId="0" borderId="3" xfId="0" applyBorder="1" applyAlignment="1">
      <alignment horizontal="center" vertical="center"/>
    </xf>
    <xf numFmtId="0" fontId="22" fillId="0" borderId="3" xfId="0" applyFont="1" applyBorder="1"/>
    <xf numFmtId="0" fontId="22" fillId="0" borderId="3" xfId="0" applyFont="1" applyBorder="1" applyAlignment="1">
      <alignment horizontal="center"/>
    </xf>
    <xf numFmtId="44" fontId="22" fillId="0" borderId="3" xfId="1" applyFont="1" applyBorder="1" applyAlignment="1">
      <alignment horizontal="center"/>
    </xf>
    <xf numFmtId="44" fontId="0" fillId="0" borderId="3" xfId="1" applyFont="1" applyBorder="1" applyAlignment="1">
      <alignment horizontal="center"/>
    </xf>
    <xf numFmtId="44" fontId="0" fillId="0" borderId="0" xfId="1" applyFont="1" applyAlignment="1">
      <alignment horizontal="center"/>
    </xf>
    <xf numFmtId="44" fontId="22" fillId="0" borderId="3" xfId="1" applyFont="1" applyBorder="1"/>
    <xf numFmtId="44" fontId="0" fillId="0" borderId="3" xfId="0" applyNumberFormat="1" applyBorder="1"/>
    <xf numFmtId="10" fontId="0" fillId="0" borderId="3" xfId="2" applyNumberFormat="1" applyFont="1" applyBorder="1" applyAlignment="1">
      <alignment horizontal="center"/>
    </xf>
    <xf numFmtId="44" fontId="22" fillId="42" borderId="3" xfId="0" applyNumberFormat="1" applyFont="1" applyFill="1" applyBorder="1"/>
    <xf numFmtId="0" fontId="0" fillId="0" borderId="3" xfId="0" applyBorder="1" applyAlignment="1">
      <alignment vertical="center" wrapText="1"/>
    </xf>
    <xf numFmtId="44" fontId="22" fillId="27" borderId="3" xfId="0" applyNumberFormat="1" applyFont="1" applyFill="1" applyBorder="1"/>
    <xf numFmtId="0" fontId="22" fillId="27" borderId="13" xfId="0" applyFont="1" applyFill="1" applyBorder="1" applyAlignment="1"/>
    <xf numFmtId="0" fontId="22" fillId="27" borderId="10" xfId="0" applyFont="1" applyFill="1" applyBorder="1" applyAlignment="1"/>
    <xf numFmtId="0" fontId="22" fillId="42" borderId="13" xfId="0" applyFont="1" applyFill="1" applyBorder="1" applyAlignment="1"/>
    <xf numFmtId="0" fontId="22" fillId="42" borderId="10" xfId="0" applyFont="1" applyFill="1" applyBorder="1" applyAlignment="1"/>
    <xf numFmtId="0" fontId="22" fillId="0" borderId="3" xfId="0" applyFont="1" applyBorder="1" applyAlignment="1">
      <alignment horizontal="center" vertical="center"/>
    </xf>
    <xf numFmtId="44" fontId="22" fillId="0" borderId="3" xfId="1" applyFont="1" applyBorder="1" applyAlignment="1">
      <alignment horizontal="center" vertical="center"/>
    </xf>
    <xf numFmtId="0" fontId="22" fillId="27" borderId="3" xfId="0" applyFont="1" applyFill="1" applyBorder="1"/>
    <xf numFmtId="10" fontId="22" fillId="0" borderId="3" xfId="0" applyNumberFormat="1" applyFont="1" applyBorder="1"/>
    <xf numFmtId="0" fontId="22" fillId="0" borderId="0" xfId="0" applyFont="1" applyAlignment="1">
      <alignment horizontal="center"/>
    </xf>
    <xf numFmtId="0" fontId="22" fillId="0" borderId="11" xfId="0" applyFont="1" applyBorder="1"/>
    <xf numFmtId="0" fontId="79" fillId="46" borderId="3" xfId="0" applyFont="1" applyFill="1" applyBorder="1"/>
    <xf numFmtId="9" fontId="0" fillId="8" borderId="3" xfId="0" applyNumberFormat="1" applyFill="1" applyBorder="1" applyAlignment="1">
      <alignment horizontal="center"/>
    </xf>
    <xf numFmtId="0" fontId="22" fillId="43" borderId="13" xfId="0" applyFont="1" applyFill="1" applyBorder="1" applyAlignment="1"/>
    <xf numFmtId="0" fontId="22" fillId="43" borderId="10" xfId="0" applyFont="1" applyFill="1" applyBorder="1" applyAlignment="1"/>
    <xf numFmtId="44" fontId="22" fillId="43" borderId="3" xfId="0" applyNumberFormat="1" applyFont="1" applyFill="1" applyBorder="1"/>
    <xf numFmtId="10" fontId="0" fillId="0" borderId="0" xfId="2" applyNumberFormat="1" applyFont="1" applyBorder="1"/>
    <xf numFmtId="0" fontId="0" fillId="0" borderId="37" xfId="0" applyBorder="1"/>
    <xf numFmtId="0" fontId="0" fillId="0" borderId="37" xfId="0" applyBorder="1" applyAlignment="1">
      <alignment horizontal="right"/>
    </xf>
    <xf numFmtId="10" fontId="0" fillId="0" borderId="37" xfId="2" applyNumberFormat="1" applyFont="1" applyBorder="1"/>
    <xf numFmtId="0" fontId="0" fillId="0" borderId="37" xfId="0" applyBorder="1" applyAlignment="1">
      <alignment horizontal="center"/>
    </xf>
    <xf numFmtId="44" fontId="0" fillId="0" borderId="37" xfId="1" applyFont="1" applyBorder="1" applyAlignment="1">
      <alignment horizontal="center"/>
    </xf>
    <xf numFmtId="0" fontId="26" fillId="0" borderId="3" xfId="0" applyFont="1" applyFill="1" applyBorder="1" applyAlignment="1">
      <alignment vertical="center" wrapText="1"/>
    </xf>
    <xf numFmtId="0" fontId="26" fillId="13" borderId="3" xfId="0" applyFont="1" applyFill="1" applyBorder="1" applyAlignment="1">
      <alignment vertical="center" wrapText="1"/>
    </xf>
    <xf numFmtId="0" fontId="2" fillId="25" borderId="3" xfId="0" applyFont="1" applyFill="1" applyBorder="1" applyAlignment="1">
      <alignment vertical="center" wrapText="1"/>
    </xf>
    <xf numFmtId="0" fontId="26" fillId="36" borderId="3" xfId="0" applyFont="1" applyFill="1" applyBorder="1" applyAlignment="1">
      <alignment vertical="center" wrapText="1"/>
    </xf>
    <xf numFmtId="0" fontId="26" fillId="47" borderId="3" xfId="0" applyFont="1" applyFill="1" applyBorder="1"/>
    <xf numFmtId="174" fontId="26" fillId="0" borderId="3" xfId="0" applyNumberFormat="1" applyFont="1" applyBorder="1"/>
    <xf numFmtId="0" fontId="27" fillId="0" borderId="3" xfId="0" applyFont="1" applyBorder="1"/>
    <xf numFmtId="174" fontId="27" fillId="0" borderId="3" xfId="0" applyNumberFormat="1" applyFont="1" applyBorder="1"/>
    <xf numFmtId="0" fontId="26" fillId="0" borderId="3" xfId="0" applyFont="1" applyBorder="1" applyAlignment="1">
      <alignment horizontal="center"/>
    </xf>
    <xf numFmtId="195" fontId="0" fillId="0" borderId="0" xfId="1" applyNumberFormat="1" applyFont="1"/>
    <xf numFmtId="9" fontId="0" fillId="8" borderId="0" xfId="1" applyNumberFormat="1" applyFont="1" applyFill="1"/>
    <xf numFmtId="44" fontId="22" fillId="0" borderId="0" xfId="0" applyNumberFormat="1" applyFont="1"/>
    <xf numFmtId="44" fontId="0" fillId="8" borderId="0" xfId="1" applyFont="1" applyFill="1"/>
    <xf numFmtId="0" fontId="0" fillId="0" borderId="0" xfId="0"/>
    <xf numFmtId="0" fontId="22" fillId="0" borderId="0" xfId="0" applyFont="1"/>
    <xf numFmtId="0" fontId="0" fillId="0" borderId="3" xfId="0" applyBorder="1"/>
    <xf numFmtId="10" fontId="0" fillId="0" borderId="0" xfId="2" applyNumberFormat="1" applyFont="1"/>
    <xf numFmtId="0" fontId="0" fillId="8" borderId="0" xfId="0" applyFill="1"/>
    <xf numFmtId="0" fontId="22" fillId="0" borderId="0" xfId="0" applyFont="1" applyAlignment="1">
      <alignment horizontal="right"/>
    </xf>
    <xf numFmtId="0" fontId="22" fillId="0" borderId="0" xfId="0" applyFont="1" applyAlignment="1">
      <alignment horizontal="center"/>
    </xf>
    <xf numFmtId="196" fontId="0" fillId="0" borderId="0" xfId="0" applyNumberFormat="1" applyAlignment="1">
      <alignment horizontal="left"/>
    </xf>
    <xf numFmtId="181" fontId="0" fillId="0" borderId="0" xfId="0" applyNumberFormat="1"/>
    <xf numFmtId="194" fontId="0" fillId="0" borderId="0" xfId="2" applyNumberFormat="1" applyFont="1"/>
    <xf numFmtId="10" fontId="22" fillId="0" borderId="0" xfId="2" applyNumberFormat="1" applyFont="1"/>
    <xf numFmtId="44" fontId="22" fillId="18" borderId="3" xfId="1" applyFont="1" applyFill="1" applyBorder="1"/>
    <xf numFmtId="44" fontId="22" fillId="18" borderId="3" xfId="0" applyNumberFormat="1" applyFont="1" applyFill="1" applyBorder="1"/>
    <xf numFmtId="0" fontId="22" fillId="18" borderId="3" xfId="0" applyFont="1" applyFill="1" applyBorder="1"/>
    <xf numFmtId="10" fontId="22" fillId="18" borderId="3" xfId="2" applyNumberFormat="1" applyFont="1" applyFill="1" applyBorder="1" applyAlignment="1">
      <alignment horizontal="center"/>
    </xf>
    <xf numFmtId="10" fontId="22" fillId="18" borderId="3" xfId="2" applyNumberFormat="1" applyFont="1" applyFill="1" applyBorder="1"/>
    <xf numFmtId="9" fontId="26" fillId="0" borderId="0" xfId="2" applyFont="1"/>
    <xf numFmtId="0" fontId="2" fillId="41" borderId="3" xfId="0" applyFont="1" applyFill="1" applyBorder="1" applyAlignment="1">
      <alignment horizontal="center" vertical="center"/>
    </xf>
    <xf numFmtId="44" fontId="26" fillId="0" borderId="3" xfId="0" applyNumberFormat="1" applyFont="1" applyFill="1" applyBorder="1" applyAlignment="1">
      <alignment vertical="center"/>
    </xf>
    <xf numFmtId="0" fontId="26" fillId="0" borderId="3" xfId="0" applyFont="1" applyFill="1" applyBorder="1"/>
    <xf numFmtId="199" fontId="26" fillId="0" borderId="3" xfId="2" applyNumberFormat="1" applyFont="1" applyFill="1" applyBorder="1" applyAlignment="1">
      <alignment horizontal="left"/>
    </xf>
    <xf numFmtId="199" fontId="27" fillId="0" borderId="3" xfId="2" applyNumberFormat="1" applyFont="1" applyFill="1" applyBorder="1" applyAlignment="1">
      <alignment horizontal="left"/>
    </xf>
    <xf numFmtId="44" fontId="0" fillId="0" borderId="3" xfId="2" applyNumberFormat="1" applyFont="1" applyBorder="1" applyAlignment="1">
      <alignment horizontal="center"/>
    </xf>
    <xf numFmtId="174" fontId="0" fillId="0" borderId="3" xfId="1" applyNumberFormat="1" applyFont="1" applyBorder="1" applyAlignment="1">
      <alignment horizontal="center" vertical="center"/>
    </xf>
    <xf numFmtId="174" fontId="0" fillId="0" borderId="3" xfId="1" applyNumberFormat="1" applyFont="1" applyBorder="1" applyAlignment="1">
      <alignment vertical="center"/>
    </xf>
    <xf numFmtId="174" fontId="22" fillId="27" borderId="3" xfId="0" applyNumberFormat="1" applyFont="1" applyFill="1" applyBorder="1" applyAlignment="1">
      <alignment vertical="center"/>
    </xf>
    <xf numFmtId="0" fontId="26" fillId="0" borderId="13" xfId="4" applyFont="1" applyBorder="1" applyAlignment="1">
      <alignment horizontal="left" vertical="center"/>
    </xf>
    <xf numFmtId="0" fontId="26" fillId="0" borderId="11" xfId="4" applyFont="1" applyBorder="1" applyAlignment="1">
      <alignment horizontal="left" vertical="center"/>
    </xf>
    <xf numFmtId="10" fontId="22" fillId="0" borderId="3" xfId="2" applyNumberFormat="1" applyFont="1" applyFill="1" applyBorder="1"/>
    <xf numFmtId="10" fontId="22" fillId="0" borderId="3" xfId="2" applyNumberFormat="1" applyFont="1" applyFill="1" applyBorder="1" applyAlignment="1">
      <alignment horizontal="center"/>
    </xf>
    <xf numFmtId="174" fontId="0" fillId="0" borderId="0" xfId="1" applyNumberFormat="1" applyFont="1"/>
    <xf numFmtId="10" fontId="22" fillId="0" borderId="3" xfId="2" applyNumberFormat="1" applyFont="1" applyBorder="1" applyAlignment="1">
      <alignment horizontal="center" vertical="center"/>
    </xf>
    <xf numFmtId="10" fontId="0" fillId="0" borderId="3" xfId="2" applyNumberFormat="1" applyFont="1" applyBorder="1" applyAlignment="1">
      <alignment horizontal="center" vertical="center"/>
    </xf>
    <xf numFmtId="10" fontId="0" fillId="0" borderId="0" xfId="2" applyNumberFormat="1" applyFont="1" applyAlignment="1">
      <alignment horizontal="center"/>
    </xf>
    <xf numFmtId="10" fontId="0" fillId="0" borderId="0" xfId="2" applyNumberFormat="1" applyFont="1" applyBorder="1" applyAlignment="1">
      <alignment horizontal="center"/>
    </xf>
    <xf numFmtId="10" fontId="22" fillId="27" borderId="3" xfId="2" applyNumberFormat="1" applyFont="1" applyFill="1" applyBorder="1" applyAlignment="1">
      <alignment horizontal="center" vertical="center"/>
    </xf>
    <xf numFmtId="10" fontId="22" fillId="42" borderId="3" xfId="2" applyNumberFormat="1" applyFont="1" applyFill="1" applyBorder="1" applyAlignment="1">
      <alignment horizontal="center"/>
    </xf>
    <xf numFmtId="174" fontId="22" fillId="18" borderId="3" xfId="0" applyNumberFormat="1" applyFont="1" applyFill="1" applyBorder="1"/>
    <xf numFmtId="174" fontId="22" fillId="18" borderId="3" xfId="2" applyNumberFormat="1" applyFont="1" applyFill="1" applyBorder="1" applyAlignment="1">
      <alignment horizontal="center"/>
    </xf>
    <xf numFmtId="42" fontId="26" fillId="13" borderId="3" xfId="0" applyNumberFormat="1" applyFont="1" applyFill="1" applyBorder="1" applyAlignment="1">
      <alignment vertical="center" wrapText="1"/>
    </xf>
    <xf numFmtId="42" fontId="2" fillId="25" borderId="3" xfId="0" applyNumberFormat="1" applyFont="1" applyFill="1" applyBorder="1" applyAlignment="1">
      <alignment vertical="center" wrapText="1"/>
    </xf>
    <xf numFmtId="42" fontId="26" fillId="36" borderId="3" xfId="0" applyNumberFormat="1" applyFont="1" applyFill="1" applyBorder="1" applyAlignment="1">
      <alignment vertical="center" wrapText="1"/>
    </xf>
    <xf numFmtId="42" fontId="26" fillId="47" borderId="3" xfId="0" applyNumberFormat="1" applyFont="1" applyFill="1" applyBorder="1"/>
    <xf numFmtId="0" fontId="26" fillId="13" borderId="3" xfId="0" applyFont="1" applyFill="1" applyBorder="1" applyAlignment="1">
      <alignment horizontal="center" vertical="center" wrapText="1"/>
    </xf>
    <xf numFmtId="0" fontId="2" fillId="25" borderId="3" xfId="0" applyFont="1" applyFill="1" applyBorder="1" applyAlignment="1">
      <alignment horizontal="center" vertical="center" wrapText="1"/>
    </xf>
    <xf numFmtId="0" fontId="26" fillId="36" borderId="3" xfId="0" applyFont="1" applyFill="1" applyBorder="1" applyAlignment="1">
      <alignment horizontal="center" vertical="center" wrapText="1"/>
    </xf>
    <xf numFmtId="0" fontId="26" fillId="47" borderId="3" xfId="0" applyFont="1" applyFill="1" applyBorder="1" applyAlignment="1">
      <alignment horizontal="center"/>
    </xf>
    <xf numFmtId="0" fontId="22" fillId="18" borderId="3" xfId="0" applyFont="1" applyFill="1" applyBorder="1" applyAlignment="1">
      <alignment horizontal="center"/>
    </xf>
    <xf numFmtId="44" fontId="0" fillId="0" borderId="3" xfId="1" applyNumberFormat="1" applyFont="1" applyBorder="1"/>
    <xf numFmtId="197" fontId="22" fillId="0" borderId="3" xfId="0" applyNumberFormat="1" applyFont="1" applyBorder="1" applyAlignment="1">
      <alignment horizontal="center" vertical="center"/>
    </xf>
    <xf numFmtId="197" fontId="22" fillId="18" borderId="3" xfId="0" applyNumberFormat="1" applyFont="1" applyFill="1" applyBorder="1" applyAlignment="1">
      <alignment horizontal="center" vertical="center"/>
    </xf>
    <xf numFmtId="10" fontId="22" fillId="18" borderId="3" xfId="2" applyNumberFormat="1" applyFont="1" applyFill="1" applyBorder="1" applyAlignment="1">
      <alignment horizontal="center" vertical="center"/>
    </xf>
    <xf numFmtId="0" fontId="26" fillId="0" borderId="12" xfId="0" applyFont="1" applyBorder="1" applyAlignment="1">
      <alignment horizontal="center" vertical="center"/>
    </xf>
    <xf numFmtId="2" fontId="26" fillId="0" borderId="12" xfId="4" applyNumberFormat="1" applyFont="1" applyBorder="1" applyAlignment="1" applyProtection="1">
      <alignment horizontal="center" vertical="center"/>
      <protection locked="0"/>
    </xf>
    <xf numFmtId="165" fontId="26" fillId="0" borderId="12" xfId="4" applyNumberFormat="1" applyFont="1" applyBorder="1" applyAlignment="1" applyProtection="1">
      <alignment horizontal="center" vertical="center"/>
      <protection locked="0"/>
    </xf>
    <xf numFmtId="164" fontId="26" fillId="0" borderId="12" xfId="4" applyNumberFormat="1" applyFont="1" applyBorder="1" applyAlignment="1">
      <alignment horizontal="center" vertical="center"/>
    </xf>
    <xf numFmtId="171" fontId="2" fillId="0" borderId="12" xfId="3" applyNumberFormat="1" applyFont="1" applyFill="1" applyBorder="1" applyAlignment="1">
      <alignment vertical="center"/>
    </xf>
    <xf numFmtId="44" fontId="26" fillId="0" borderId="12" xfId="1" applyFont="1" applyBorder="1" applyAlignment="1">
      <alignment horizontal="center" vertical="center"/>
    </xf>
    <xf numFmtId="2" fontId="26" fillId="0" borderId="12" xfId="4" applyNumberFormat="1" applyFont="1" applyBorder="1" applyAlignment="1">
      <alignment horizontal="center" vertical="center"/>
    </xf>
    <xf numFmtId="0" fontId="26" fillId="0" borderId="12" xfId="0" applyFont="1" applyBorder="1" applyAlignment="1">
      <alignment horizontal="justify" vertical="center"/>
    </xf>
    <xf numFmtId="44" fontId="26" fillId="0" borderId="12" xfId="1" applyNumberFormat="1" applyFont="1" applyBorder="1" applyAlignment="1">
      <alignment horizontal="center" vertical="center"/>
    </xf>
    <xf numFmtId="0" fontId="26" fillId="0" borderId="7" xfId="4" applyFont="1" applyBorder="1" applyAlignment="1">
      <alignment horizontal="left" vertical="center"/>
    </xf>
    <xf numFmtId="0" fontId="26" fillId="0" borderId="9" xfId="4" applyFont="1" applyBorder="1" applyAlignment="1">
      <alignment horizontal="left" vertical="center"/>
    </xf>
    <xf numFmtId="9" fontId="26" fillId="0" borderId="14" xfId="2" applyFont="1" applyFill="1" applyBorder="1" applyAlignment="1">
      <alignment horizontal="center" vertical="center" wrapText="1"/>
    </xf>
    <xf numFmtId="164" fontId="26" fillId="0" borderId="14" xfId="2" applyNumberFormat="1" applyFont="1" applyFill="1" applyBorder="1" applyAlignment="1">
      <alignment horizontal="center" vertical="center" wrapText="1"/>
    </xf>
    <xf numFmtId="10" fontId="26" fillId="0" borderId="14" xfId="2" applyNumberFormat="1" applyFont="1" applyFill="1" applyBorder="1" applyAlignment="1">
      <alignment horizontal="center" vertical="center" wrapText="1"/>
    </xf>
    <xf numFmtId="44" fontId="26" fillId="0" borderId="14" xfId="1" applyNumberFormat="1" applyFont="1" applyBorder="1" applyAlignment="1">
      <alignment horizontal="center" vertical="center"/>
    </xf>
    <xf numFmtId="0" fontId="27" fillId="0" borderId="70" xfId="4" applyFont="1" applyBorder="1" applyAlignment="1">
      <alignment horizontal="left" vertical="center"/>
    </xf>
    <xf numFmtId="0" fontId="27" fillId="0" borderId="69" xfId="4" applyFont="1" applyBorder="1" applyAlignment="1">
      <alignment horizontal="left" vertical="center"/>
    </xf>
    <xf numFmtId="0" fontId="26" fillId="0" borderId="63" xfId="0" applyFont="1" applyBorder="1"/>
    <xf numFmtId="164" fontId="27" fillId="0" borderId="63" xfId="0" applyNumberFormat="1" applyFont="1" applyBorder="1"/>
    <xf numFmtId="44" fontId="26" fillId="0" borderId="63" xfId="0" applyNumberFormat="1" applyFont="1" applyBorder="1"/>
    <xf numFmtId="0" fontId="26" fillId="0" borderId="63" xfId="4" applyFont="1" applyBorder="1" applyAlignment="1">
      <alignment horizontal="center" vertical="center" wrapText="1"/>
    </xf>
    <xf numFmtId="164" fontId="27" fillId="0" borderId="63" xfId="4" applyNumberFormat="1" applyFont="1" applyBorder="1" applyAlignment="1">
      <alignment horizontal="center" vertical="center"/>
    </xf>
    <xf numFmtId="0" fontId="26" fillId="0" borderId="71" xfId="0" applyFont="1" applyFill="1" applyBorder="1"/>
    <xf numFmtId="0" fontId="0" fillId="0" borderId="71" xfId="0" applyBorder="1" applyAlignment="1">
      <alignment horizontal="center"/>
    </xf>
    <xf numFmtId="0" fontId="0" fillId="0" borderId="71" xfId="0" applyBorder="1"/>
    <xf numFmtId="164" fontId="27" fillId="0" borderId="64" xfId="4" applyNumberFormat="1" applyFont="1" applyBorder="1" applyAlignment="1">
      <alignment horizontal="center" vertical="center"/>
    </xf>
    <xf numFmtId="0" fontId="26" fillId="0" borderId="4" xfId="4" applyFont="1" applyBorder="1" applyAlignment="1">
      <alignment horizontal="left" vertical="center"/>
    </xf>
    <xf numFmtId="0" fontId="26" fillId="0" borderId="6" xfId="4" applyFont="1" applyBorder="1" applyAlignment="1">
      <alignment horizontal="left" vertical="center"/>
    </xf>
    <xf numFmtId="9" fontId="26" fillId="0" borderId="12" xfId="2" applyFont="1" applyFill="1" applyBorder="1" applyAlignment="1">
      <alignment horizontal="center" vertical="center" wrapText="1"/>
    </xf>
    <xf numFmtId="164" fontId="26" fillId="0" borderId="12" xfId="2" applyNumberFormat="1" applyFont="1" applyFill="1" applyBorder="1" applyAlignment="1">
      <alignment horizontal="center" vertical="center" wrapText="1"/>
    </xf>
    <xf numFmtId="10" fontId="26" fillId="0" borderId="12" xfId="2" applyNumberFormat="1" applyFont="1" applyFill="1" applyBorder="1" applyAlignment="1">
      <alignment horizontal="center" vertical="center" wrapText="1"/>
    </xf>
    <xf numFmtId="0" fontId="27" fillId="14" borderId="62" xfId="4" applyFont="1" applyFill="1" applyBorder="1" applyAlignment="1">
      <alignment vertical="center"/>
    </xf>
    <xf numFmtId="2" fontId="26" fillId="14" borderId="63" xfId="1" applyNumberFormat="1" applyFont="1" applyFill="1" applyBorder="1" applyAlignment="1">
      <alignment horizontal="center" vertical="center"/>
    </xf>
    <xf numFmtId="0" fontId="26" fillId="14" borderId="63" xfId="0" applyFont="1" applyFill="1" applyBorder="1"/>
    <xf numFmtId="164" fontId="27" fillId="14" borderId="63" xfId="0" applyNumberFormat="1" applyFont="1" applyFill="1" applyBorder="1"/>
    <xf numFmtId="0" fontId="26" fillId="14" borderId="63" xfId="4" applyFont="1" applyFill="1" applyBorder="1" applyAlignment="1">
      <alignment horizontal="center" vertical="center" wrapText="1"/>
    </xf>
    <xf numFmtId="44" fontId="27" fillId="14" borderId="64" xfId="1" applyNumberFormat="1" applyFont="1" applyFill="1" applyBorder="1" applyAlignment="1">
      <alignment horizontal="center" vertical="center"/>
    </xf>
    <xf numFmtId="0" fontId="27" fillId="0" borderId="68" xfId="4" applyFont="1" applyBorder="1" applyAlignment="1">
      <alignment horizontal="left" vertical="center"/>
    </xf>
    <xf numFmtId="0" fontId="27" fillId="0" borderId="71" xfId="4" applyFont="1" applyBorder="1" applyAlignment="1">
      <alignment horizontal="left" vertical="center"/>
    </xf>
    <xf numFmtId="0" fontId="26" fillId="0" borderId="7" xfId="4" applyFont="1" applyBorder="1" applyAlignment="1">
      <alignment horizontal="left" vertical="center" indent="4"/>
    </xf>
    <xf numFmtId="44" fontId="26" fillId="0" borderId="14" xfId="0" applyNumberFormat="1" applyFont="1" applyBorder="1" applyAlignment="1">
      <alignment vertical="center"/>
    </xf>
    <xf numFmtId="0" fontId="27" fillId="2" borderId="71" xfId="4" applyFont="1" applyFill="1" applyBorder="1" applyAlignment="1">
      <alignment horizontal="center"/>
    </xf>
    <xf numFmtId="0" fontId="26" fillId="2" borderId="71" xfId="0" applyFont="1" applyFill="1" applyBorder="1"/>
    <xf numFmtId="164" fontId="9" fillId="2" borderId="71" xfId="0" applyNumberFormat="1" applyFont="1" applyFill="1" applyBorder="1"/>
    <xf numFmtId="0" fontId="26" fillId="2" borderId="71" xfId="4" applyFont="1" applyFill="1" applyBorder="1"/>
    <xf numFmtId="44" fontId="27" fillId="2" borderId="64" xfId="1" applyNumberFormat="1" applyFont="1" applyFill="1" applyBorder="1" applyAlignment="1">
      <alignment horizontal="center" vertical="center"/>
    </xf>
    <xf numFmtId="0" fontId="26" fillId="0" borderId="0" xfId="0" applyFont="1" applyFill="1" applyAlignment="1">
      <alignment horizontal="center" vertical="center"/>
    </xf>
    <xf numFmtId="0" fontId="2" fillId="0" borderId="3" xfId="0" applyFont="1" applyFill="1" applyBorder="1" applyAlignment="1">
      <alignment vertical="center" wrapText="1"/>
    </xf>
    <xf numFmtId="0" fontId="27" fillId="2" borderId="70" xfId="4" applyFont="1" applyFill="1" applyBorder="1" applyAlignment="1">
      <alignment horizontal="left"/>
    </xf>
    <xf numFmtId="0" fontId="26" fillId="0" borderId="9" xfId="4" applyFont="1" applyBorder="1" applyAlignment="1">
      <alignment horizontal="left" vertical="center"/>
    </xf>
    <xf numFmtId="0" fontId="26" fillId="0" borderId="11" xfId="4" applyFont="1" applyBorder="1" applyAlignment="1">
      <alignment horizontal="left" vertical="center"/>
    </xf>
    <xf numFmtId="0" fontId="27" fillId="0" borderId="8" xfId="4" applyFont="1" applyBorder="1" applyAlignment="1">
      <alignment horizontal="center" vertical="center"/>
    </xf>
    <xf numFmtId="0" fontId="81" fillId="0" borderId="0" xfId="0" applyFont="1" applyFill="1" applyBorder="1" applyAlignment="1">
      <alignment horizontal="center" vertical="center"/>
    </xf>
    <xf numFmtId="44" fontId="82" fillId="0" borderId="0" xfId="0" applyNumberFormat="1" applyFont="1" applyFill="1" applyBorder="1" applyAlignment="1">
      <alignment vertical="center"/>
    </xf>
    <xf numFmtId="174" fontId="81" fillId="0" borderId="0" xfId="0" applyNumberFormat="1" applyFont="1" applyFill="1" applyBorder="1" applyAlignment="1">
      <alignment vertical="center"/>
    </xf>
    <xf numFmtId="198" fontId="81" fillId="0" borderId="0" xfId="0" applyNumberFormat="1" applyFont="1" applyFill="1" applyBorder="1" applyAlignment="1">
      <alignment vertical="center"/>
    </xf>
    <xf numFmtId="0" fontId="82" fillId="0" borderId="0" xfId="0" applyFont="1" applyFill="1" applyBorder="1" applyAlignment="1">
      <alignment vertical="center" wrapText="1"/>
    </xf>
    <xf numFmtId="10" fontId="82" fillId="0" borderId="0" xfId="2" applyNumberFormat="1" applyFont="1" applyFill="1" applyBorder="1" applyAlignment="1">
      <alignment horizontal="center" vertical="center"/>
    </xf>
    <xf numFmtId="0" fontId="81" fillId="0" borderId="0" xfId="0" applyFont="1" applyFill="1" applyBorder="1" applyAlignment="1">
      <alignment vertical="center"/>
    </xf>
    <xf numFmtId="0" fontId="27" fillId="14" borderId="3" xfId="0" applyFont="1" applyFill="1" applyBorder="1" applyAlignment="1">
      <alignment vertical="center" wrapText="1"/>
    </xf>
    <xf numFmtId="0" fontId="27" fillId="14" borderId="3" xfId="0" applyFont="1" applyFill="1" applyBorder="1" applyAlignment="1">
      <alignment vertical="center"/>
    </xf>
    <xf numFmtId="44" fontId="81" fillId="0" borderId="0" xfId="0" applyNumberFormat="1" applyFont="1" applyFill="1" applyBorder="1" applyAlignment="1">
      <alignment vertical="center"/>
    </xf>
    <xf numFmtId="0" fontId="82" fillId="0" borderId="0" xfId="0" applyFont="1" applyFill="1" applyBorder="1" applyAlignment="1">
      <alignment vertical="center"/>
    </xf>
    <xf numFmtId="0" fontId="27" fillId="18" borderId="3" xfId="0" applyFont="1" applyFill="1" applyBorder="1" applyAlignment="1">
      <alignment horizontal="center" vertical="center" wrapText="1"/>
    </xf>
    <xf numFmtId="0" fontId="82" fillId="0" borderId="0" xfId="0" applyFont="1" applyFill="1"/>
    <xf numFmtId="10" fontId="82" fillId="0" borderId="0" xfId="2" applyNumberFormat="1" applyFont="1" applyFill="1" applyAlignment="1">
      <alignment horizontal="left" vertical="center"/>
    </xf>
    <xf numFmtId="0" fontId="27" fillId="40" borderId="11" xfId="4" applyFont="1" applyFill="1" applyBorder="1" applyAlignment="1">
      <alignment horizontal="left" vertical="center" wrapText="1"/>
    </xf>
    <xf numFmtId="2" fontId="26" fillId="0" borderId="3" xfId="4" applyNumberFormat="1" applyFont="1" applyFill="1" applyBorder="1" applyAlignment="1">
      <alignment horizontal="center" vertical="center"/>
    </xf>
    <xf numFmtId="2" fontId="26" fillId="0" borderId="3" xfId="4" applyNumberFormat="1" applyFont="1" applyFill="1" applyBorder="1" applyAlignment="1" applyProtection="1">
      <alignment horizontal="center" vertical="center"/>
      <protection locked="0"/>
    </xf>
    <xf numFmtId="0" fontId="26" fillId="0" borderId="3" xfId="4" applyFont="1" applyFill="1" applyBorder="1" applyAlignment="1">
      <alignment horizontal="center" vertical="center"/>
    </xf>
    <xf numFmtId="0" fontId="27" fillId="2" borderId="3" xfId="0" applyFont="1" applyFill="1" applyBorder="1" applyAlignment="1">
      <alignment vertical="center" wrapText="1"/>
    </xf>
    <xf numFmtId="0" fontId="27" fillId="0" borderId="3" xfId="0" applyFont="1" applyBorder="1" applyAlignment="1">
      <alignment horizontal="center" vertical="center" wrapText="1"/>
    </xf>
    <xf numFmtId="0" fontId="26" fillId="0" borderId="13" xfId="4" applyFont="1" applyBorder="1" applyAlignment="1">
      <alignment horizontal="left" vertical="center"/>
    </xf>
    <xf numFmtId="0" fontId="26" fillId="0" borderId="11" xfId="4" applyFont="1" applyBorder="1" applyAlignment="1">
      <alignment horizontal="left" vertical="center"/>
    </xf>
    <xf numFmtId="0" fontId="26" fillId="0" borderId="4" xfId="4" applyFont="1" applyBorder="1" applyAlignment="1">
      <alignment horizontal="left" vertical="center"/>
    </xf>
    <xf numFmtId="0" fontId="26" fillId="0" borderId="6" xfId="4" applyFont="1" applyBorder="1" applyAlignment="1">
      <alignment horizontal="left" vertical="center"/>
    </xf>
    <xf numFmtId="0" fontId="26" fillId="0" borderId="7" xfId="4" applyFont="1" applyBorder="1" applyAlignment="1">
      <alignment horizontal="left" vertical="center"/>
    </xf>
    <xf numFmtId="0" fontId="26" fillId="0" borderId="9" xfId="4" applyFont="1" applyBorder="1" applyAlignment="1">
      <alignment horizontal="left" vertical="center"/>
    </xf>
    <xf numFmtId="0" fontId="27" fillId="0" borderId="69" xfId="4" applyFont="1" applyBorder="1" applyAlignment="1">
      <alignment horizontal="left" vertical="center"/>
    </xf>
    <xf numFmtId="0" fontId="26" fillId="41" borderId="3" xfId="0" applyFont="1" applyFill="1" applyBorder="1" applyAlignment="1">
      <alignment horizontal="justify" vertical="center"/>
    </xf>
    <xf numFmtId="0" fontId="0" fillId="0" borderId="70" xfId="0" applyBorder="1" applyAlignment="1">
      <alignment horizontal="center"/>
    </xf>
    <xf numFmtId="164" fontId="9" fillId="2" borderId="91" xfId="0" applyNumberFormat="1" applyFont="1" applyFill="1" applyBorder="1"/>
    <xf numFmtId="164" fontId="27" fillId="14" borderId="64" xfId="0" applyNumberFormat="1" applyFont="1" applyFill="1" applyBorder="1"/>
    <xf numFmtId="0" fontId="0" fillId="0" borderId="5" xfId="0" applyBorder="1" applyAlignment="1"/>
    <xf numFmtId="10" fontId="22" fillId="0" borderId="3" xfId="2" applyNumberFormat="1" applyFont="1" applyBorder="1" applyAlignment="1">
      <alignment horizontal="center"/>
    </xf>
    <xf numFmtId="10" fontId="22" fillId="27" borderId="3" xfId="2" applyNumberFormat="1" applyFont="1" applyFill="1" applyBorder="1" applyAlignment="1">
      <alignment horizontal="center"/>
    </xf>
    <xf numFmtId="44" fontId="0" fillId="0" borderId="3" xfId="0" applyNumberFormat="1" applyFont="1" applyBorder="1"/>
    <xf numFmtId="0" fontId="27" fillId="2" borderId="68" xfId="0" applyFont="1" applyFill="1" applyBorder="1" applyAlignment="1">
      <alignment vertical="center" wrapText="1"/>
    </xf>
    <xf numFmtId="0" fontId="27" fillId="2" borderId="71" xfId="0" applyFont="1" applyFill="1" applyBorder="1" applyAlignment="1">
      <alignment vertical="center" wrapText="1"/>
    </xf>
    <xf numFmtId="44" fontId="27" fillId="2" borderId="91" xfId="0" applyNumberFormat="1" applyFont="1" applyFill="1" applyBorder="1" applyAlignment="1">
      <alignment vertical="center" wrapText="1"/>
    </xf>
    <xf numFmtId="0" fontId="27" fillId="2" borderId="68" xfId="4" applyFont="1" applyFill="1" applyBorder="1" applyAlignment="1">
      <alignment vertical="center"/>
    </xf>
    <xf numFmtId="0" fontId="27" fillId="2" borderId="71" xfId="4" applyFont="1" applyFill="1" applyBorder="1" applyAlignment="1">
      <alignment vertical="center"/>
    </xf>
    <xf numFmtId="0" fontId="27" fillId="2" borderId="69" xfId="4" applyFont="1" applyFill="1" applyBorder="1" applyAlignment="1">
      <alignment vertical="center"/>
    </xf>
    <xf numFmtId="0" fontId="27" fillId="2" borderId="70" xfId="4" applyFont="1" applyFill="1" applyBorder="1" applyAlignment="1"/>
    <xf numFmtId="0" fontId="27" fillId="2" borderId="71" xfId="4" applyFont="1" applyFill="1" applyBorder="1" applyAlignment="1"/>
    <xf numFmtId="0" fontId="26" fillId="2" borderId="71" xfId="0" applyFont="1" applyFill="1" applyBorder="1" applyAlignment="1"/>
    <xf numFmtId="164" fontId="9" fillId="2" borderId="71" xfId="0" applyNumberFormat="1" applyFont="1" applyFill="1" applyBorder="1" applyAlignment="1"/>
    <xf numFmtId="0" fontId="26" fillId="2" borderId="71" xfId="4" applyFont="1" applyFill="1" applyBorder="1" applyAlignment="1"/>
    <xf numFmtId="0" fontId="27" fillId="40" borderId="14" xfId="4" applyFont="1" applyFill="1" applyBorder="1" applyAlignment="1">
      <alignment horizontal="center" vertical="center"/>
    </xf>
    <xf numFmtId="0" fontId="27" fillId="40" borderId="14" xfId="4" applyFont="1" applyFill="1" applyBorder="1" applyAlignment="1">
      <alignment vertical="center" wrapText="1"/>
    </xf>
    <xf numFmtId="2" fontId="27" fillId="40" borderId="14" xfId="4" applyNumberFormat="1" applyFont="1" applyFill="1" applyBorder="1" applyAlignment="1">
      <alignment vertical="center"/>
    </xf>
    <xf numFmtId="0" fontId="26" fillId="40" borderId="14" xfId="0" applyFont="1" applyFill="1" applyBorder="1"/>
    <xf numFmtId="164" fontId="26" fillId="40" borderId="14" xfId="0" applyNumberFormat="1" applyFont="1" applyFill="1" applyBorder="1"/>
    <xf numFmtId="0" fontId="27" fillId="40" borderId="14" xfId="4" applyFont="1" applyFill="1" applyBorder="1" applyAlignment="1">
      <alignment horizontal="center" vertical="center" wrapText="1"/>
    </xf>
    <xf numFmtId="0" fontId="27" fillId="2" borderId="62" xfId="4" applyFont="1" applyFill="1" applyBorder="1" applyAlignment="1">
      <alignment horizontal="center" vertical="center"/>
    </xf>
    <xf numFmtId="0" fontId="27" fillId="2" borderId="63" xfId="4" applyFont="1" applyFill="1" applyBorder="1" applyAlignment="1">
      <alignment vertical="center"/>
    </xf>
    <xf numFmtId="0" fontId="27" fillId="2" borderId="63" xfId="0" applyFont="1" applyFill="1" applyBorder="1" applyAlignment="1">
      <alignment horizontal="center" vertical="center" wrapText="1"/>
    </xf>
    <xf numFmtId="0" fontId="27" fillId="0" borderId="0" xfId="4" applyFont="1" applyBorder="1" applyAlignment="1">
      <alignment horizontal="center" vertical="center"/>
    </xf>
    <xf numFmtId="0" fontId="26" fillId="0" borderId="0" xfId="0" applyFont="1" applyBorder="1"/>
    <xf numFmtId="0" fontId="27" fillId="0" borderId="14" xfId="4" applyFont="1" applyBorder="1" applyAlignment="1">
      <alignment horizontal="center" vertical="center"/>
    </xf>
    <xf numFmtId="0" fontId="27" fillId="0" borderId="14" xfId="4" applyFont="1" applyBorder="1" applyAlignment="1">
      <alignment horizontal="center" vertical="center" wrapText="1"/>
    </xf>
    <xf numFmtId="2" fontId="27" fillId="0" borderId="14" xfId="4" applyNumberFormat="1" applyFont="1" applyBorder="1" applyAlignment="1">
      <alignment horizontal="center" vertical="center"/>
    </xf>
    <xf numFmtId="0" fontId="27" fillId="2" borderId="70" xfId="0" applyFont="1" applyFill="1" applyBorder="1" applyAlignment="1">
      <alignment vertical="center" wrapText="1"/>
    </xf>
    <xf numFmtId="0" fontId="26" fillId="3" borderId="14" xfId="4" applyFont="1" applyFill="1" applyBorder="1" applyAlignment="1">
      <alignment horizontal="center" vertical="center"/>
    </xf>
    <xf numFmtId="0" fontId="26" fillId="0" borderId="14" xfId="0" applyFont="1" applyBorder="1" applyAlignment="1">
      <alignment horizontal="justify" vertical="center"/>
    </xf>
    <xf numFmtId="0" fontId="26" fillId="0" borderId="14" xfId="0" applyFont="1" applyBorder="1" applyAlignment="1">
      <alignment horizontal="center" vertical="center"/>
    </xf>
    <xf numFmtId="2" fontId="26" fillId="0" borderId="14" xfId="4" applyNumberFormat="1" applyFont="1" applyBorder="1" applyAlignment="1">
      <alignment horizontal="center" vertical="center"/>
    </xf>
    <xf numFmtId="165" fontId="26" fillId="0" borderId="14" xfId="4" applyNumberFormat="1" applyFont="1" applyFill="1" applyBorder="1" applyAlignment="1">
      <alignment horizontal="center" vertical="center"/>
    </xf>
    <xf numFmtId="164" fontId="26" fillId="0" borderId="14" xfId="4" applyNumberFormat="1" applyFont="1" applyFill="1" applyBorder="1" applyAlignment="1">
      <alignment horizontal="center" vertical="center"/>
    </xf>
    <xf numFmtId="164" fontId="26" fillId="0" borderId="14" xfId="4" applyNumberFormat="1" applyFont="1" applyBorder="1" applyAlignment="1">
      <alignment horizontal="center" vertical="center"/>
    </xf>
    <xf numFmtId="171" fontId="2" fillId="0" borderId="14" xfId="3" applyNumberFormat="1" applyFont="1" applyFill="1" applyBorder="1" applyAlignment="1">
      <alignment vertical="center"/>
    </xf>
    <xf numFmtId="0" fontId="27" fillId="2" borderId="64" xfId="4" applyFont="1" applyFill="1" applyBorder="1" applyAlignment="1">
      <alignment vertical="center"/>
    </xf>
    <xf numFmtId="0" fontId="27" fillId="2" borderId="62" xfId="0" applyFont="1" applyFill="1" applyBorder="1" applyAlignment="1">
      <alignment horizontal="center" vertical="center" wrapText="1"/>
    </xf>
    <xf numFmtId="0" fontId="26" fillId="0" borderId="3" xfId="0" applyFont="1" applyFill="1" applyBorder="1" applyAlignment="1">
      <alignment horizontal="justify" vertical="center"/>
    </xf>
    <xf numFmtId="0" fontId="26" fillId="0" borderId="3" xfId="4" applyFont="1" applyFill="1" applyBorder="1" applyAlignment="1">
      <alignment vertical="center" wrapText="1"/>
    </xf>
    <xf numFmtId="0" fontId="9" fillId="6" borderId="0" xfId="4" applyFont="1" applyFill="1" applyAlignment="1">
      <alignment horizontal="center"/>
    </xf>
    <xf numFmtId="0" fontId="6" fillId="0" borderId="1" xfId="3" applyFont="1" applyBorder="1" applyAlignment="1">
      <alignment horizontal="center" vertical="center"/>
    </xf>
    <xf numFmtId="0" fontId="6" fillId="0" borderId="2" xfId="3" applyFont="1" applyBorder="1" applyAlignment="1">
      <alignment horizontal="center" vertical="center"/>
    </xf>
    <xf numFmtId="0" fontId="5" fillId="0" borderId="0" xfId="3" applyFont="1" applyAlignment="1">
      <alignment horizontal="center" vertical="center"/>
    </xf>
    <xf numFmtId="0" fontId="6" fillId="0" borderId="10" xfId="3" applyFont="1" applyBorder="1" applyAlignment="1">
      <alignment horizontal="center" vertical="center"/>
    </xf>
    <xf numFmtId="0" fontId="4" fillId="0" borderId="4" xfId="4" applyFont="1" applyBorder="1" applyAlignment="1">
      <alignment horizontal="center" vertical="center"/>
    </xf>
    <xf numFmtId="0" fontId="4" fillId="0" borderId="5" xfId="4" applyFont="1" applyBorder="1" applyAlignment="1">
      <alignment horizontal="center" vertical="center"/>
    </xf>
    <xf numFmtId="0" fontId="6" fillId="0" borderId="24" xfId="3" applyFont="1" applyBorder="1" applyAlignment="1">
      <alignment horizontal="left" vertical="center" wrapText="1"/>
    </xf>
    <xf numFmtId="0" fontId="6" fillId="0" borderId="0" xfId="3" applyFont="1" applyBorder="1" applyAlignment="1">
      <alignment horizontal="left" vertical="center" wrapText="1"/>
    </xf>
    <xf numFmtId="0" fontId="5" fillId="0" borderId="24" xfId="3" applyFont="1" applyBorder="1" applyAlignment="1">
      <alignment horizontal="center" vertical="center" wrapText="1"/>
    </xf>
    <xf numFmtId="0" fontId="5" fillId="0" borderId="0" xfId="3" applyFont="1" applyBorder="1" applyAlignment="1">
      <alignment horizontal="center" vertical="center" wrapText="1"/>
    </xf>
    <xf numFmtId="0" fontId="10" fillId="11" borderId="8" xfId="0" applyFont="1" applyFill="1" applyBorder="1" applyAlignment="1">
      <alignment horizontal="center" vertical="center" wrapText="1"/>
    </xf>
    <xf numFmtId="0" fontId="10" fillId="7" borderId="8" xfId="0" applyFont="1" applyFill="1" applyBorder="1" applyAlignment="1">
      <alignment horizontal="center" vertical="center" wrapText="1"/>
    </xf>
    <xf numFmtId="0" fontId="9" fillId="2" borderId="0" xfId="0" applyFont="1" applyFill="1" applyAlignment="1">
      <alignment horizontal="left" vertical="center" wrapText="1"/>
    </xf>
    <xf numFmtId="0" fontId="27" fillId="40" borderId="13" xfId="4" applyFont="1" applyFill="1" applyBorder="1" applyAlignment="1">
      <alignment horizontal="left" vertical="center" wrapText="1"/>
    </xf>
    <xf numFmtId="0" fontId="27" fillId="40" borderId="10" xfId="4" applyFont="1" applyFill="1" applyBorder="1" applyAlignment="1">
      <alignment horizontal="left" vertical="center" wrapText="1"/>
    </xf>
    <xf numFmtId="0" fontId="27" fillId="40" borderId="11" xfId="4" applyFont="1" applyFill="1" applyBorder="1" applyAlignment="1">
      <alignment horizontal="left" vertical="center" wrapText="1"/>
    </xf>
    <xf numFmtId="0" fontId="27" fillId="0" borderId="68" xfId="4" applyFont="1" applyBorder="1" applyAlignment="1">
      <alignment horizontal="left" vertical="center"/>
    </xf>
    <xf numFmtId="0" fontId="27" fillId="0" borderId="71" xfId="4" applyFont="1" applyBorder="1" applyAlignment="1">
      <alignment horizontal="left" vertical="center"/>
    </xf>
    <xf numFmtId="0" fontId="27" fillId="0" borderId="69" xfId="4" applyFont="1" applyBorder="1" applyAlignment="1">
      <alignment horizontal="left" vertical="center"/>
    </xf>
    <xf numFmtId="0" fontId="27" fillId="14" borderId="68" xfId="4" applyFont="1" applyFill="1" applyBorder="1" applyAlignment="1">
      <alignment horizontal="left" vertical="center"/>
    </xf>
    <xf numFmtId="0" fontId="27" fillId="14" borderId="71" xfId="4" applyFont="1" applyFill="1" applyBorder="1" applyAlignment="1">
      <alignment horizontal="left" vertical="center"/>
    </xf>
    <xf numFmtId="0" fontId="27" fillId="14" borderId="69" xfId="4" applyFont="1" applyFill="1" applyBorder="1" applyAlignment="1">
      <alignment horizontal="left" vertical="center"/>
    </xf>
    <xf numFmtId="0" fontId="26" fillId="0" borderId="7" xfId="4" applyFont="1" applyBorder="1" applyAlignment="1">
      <alignment horizontal="left" vertical="center"/>
    </xf>
    <xf numFmtId="0" fontId="26" fillId="0" borderId="9" xfId="4" applyFont="1" applyBorder="1" applyAlignment="1">
      <alignment horizontal="left" vertical="center"/>
    </xf>
    <xf numFmtId="0" fontId="26" fillId="0" borderId="13" xfId="4" applyFont="1" applyBorder="1" applyAlignment="1">
      <alignment horizontal="left" vertical="center"/>
    </xf>
    <xf numFmtId="0" fontId="26" fillId="0" borderId="11" xfId="4" applyFont="1" applyBorder="1" applyAlignment="1">
      <alignment horizontal="left" vertical="center"/>
    </xf>
    <xf numFmtId="0" fontId="26" fillId="0" borderId="4" xfId="4" applyFont="1" applyBorder="1" applyAlignment="1">
      <alignment horizontal="left" vertical="center"/>
    </xf>
    <xf numFmtId="0" fontId="26" fillId="0" borderId="6" xfId="4" applyFont="1" applyBorder="1" applyAlignment="1">
      <alignment horizontal="left" vertical="center"/>
    </xf>
    <xf numFmtId="0" fontId="26" fillId="13" borderId="68" xfId="0" applyFont="1" applyFill="1" applyBorder="1" applyAlignment="1">
      <alignment horizontal="center" vertical="center" wrapText="1"/>
    </xf>
    <xf numFmtId="0" fontId="26" fillId="13" borderId="91" xfId="0" applyFont="1" applyFill="1" applyBorder="1" applyAlignment="1">
      <alignment horizontal="center" vertical="center" wrapText="1"/>
    </xf>
    <xf numFmtId="0" fontId="27" fillId="2" borderId="68" xfId="0" applyFont="1" applyFill="1" applyBorder="1" applyAlignment="1">
      <alignment horizontal="left" vertical="center" wrapText="1"/>
    </xf>
    <xf numFmtId="0" fontId="27" fillId="2" borderId="71" xfId="0" applyFont="1" applyFill="1" applyBorder="1" applyAlignment="1">
      <alignment horizontal="left" vertical="center" wrapText="1"/>
    </xf>
    <xf numFmtId="0" fontId="27" fillId="2" borderId="91" xfId="0" applyFont="1" applyFill="1" applyBorder="1" applyAlignment="1">
      <alignment horizontal="left" vertical="center" wrapText="1"/>
    </xf>
    <xf numFmtId="0" fontId="6" fillId="0" borderId="24" xfId="3" applyFont="1" applyBorder="1" applyAlignment="1">
      <alignment horizontal="center" vertical="center" wrapText="1"/>
    </xf>
    <xf numFmtId="0" fontId="6" fillId="0" borderId="0" xfId="3" applyFont="1" applyBorder="1" applyAlignment="1">
      <alignment horizontal="center" vertical="center" wrapText="1"/>
    </xf>
    <xf numFmtId="0" fontId="27" fillId="0" borderId="0" xfId="4" applyFont="1" applyBorder="1" applyAlignment="1">
      <alignment horizontal="center" vertical="center"/>
    </xf>
    <xf numFmtId="0" fontId="27" fillId="2" borderId="69" xfId="0" applyFont="1" applyFill="1" applyBorder="1" applyAlignment="1">
      <alignment horizontal="left" vertical="center" wrapText="1"/>
    </xf>
    <xf numFmtId="0" fontId="26" fillId="7" borderId="68" xfId="0" applyFont="1" applyFill="1" applyBorder="1" applyAlignment="1">
      <alignment horizontal="center" vertical="center" wrapText="1"/>
    </xf>
    <xf numFmtId="0" fontId="26" fillId="7" borderId="69" xfId="0" applyFont="1" applyFill="1" applyBorder="1" applyAlignment="1">
      <alignment horizontal="center" vertical="center" wrapText="1"/>
    </xf>
    <xf numFmtId="0" fontId="26" fillId="11" borderId="68" xfId="0" applyFont="1" applyFill="1" applyBorder="1" applyAlignment="1">
      <alignment horizontal="center" vertical="center" wrapText="1"/>
    </xf>
    <xf numFmtId="0" fontId="26" fillId="11" borderId="69" xfId="0" applyFont="1" applyFill="1" applyBorder="1" applyAlignment="1">
      <alignment horizontal="center" vertical="center" wrapText="1"/>
    </xf>
    <xf numFmtId="0" fontId="27" fillId="0" borderId="8" xfId="0" applyFont="1" applyBorder="1" applyAlignment="1">
      <alignment horizontal="center"/>
    </xf>
    <xf numFmtId="0" fontId="75" fillId="0" borderId="0" xfId="0" applyFont="1" applyAlignment="1">
      <alignment horizontal="left" vertical="center" wrapText="1"/>
    </xf>
    <xf numFmtId="0" fontId="27" fillId="0" borderId="0" xfId="0" applyFont="1" applyBorder="1" applyAlignment="1">
      <alignment horizontal="center"/>
    </xf>
    <xf numFmtId="0" fontId="27" fillId="0" borderId="8" xfId="4" applyFont="1" applyBorder="1" applyAlignment="1">
      <alignment horizontal="center" vertical="center"/>
    </xf>
    <xf numFmtId="0" fontId="27" fillId="14" borderId="70" xfId="4" applyFont="1" applyFill="1" applyBorder="1" applyAlignment="1">
      <alignment horizontal="center" vertical="center"/>
    </xf>
    <xf numFmtId="0" fontId="27" fillId="14" borderId="71" xfId="4" applyFont="1" applyFill="1" applyBorder="1" applyAlignment="1">
      <alignment horizontal="center" vertical="center"/>
    </xf>
    <xf numFmtId="0" fontId="27" fillId="14" borderId="69" xfId="4" applyFont="1" applyFill="1" applyBorder="1" applyAlignment="1">
      <alignment horizontal="center" vertical="center"/>
    </xf>
    <xf numFmtId="0" fontId="27" fillId="2" borderId="13" xfId="0" applyFont="1" applyFill="1" applyBorder="1" applyAlignment="1">
      <alignment horizontal="left" vertical="center" wrapText="1"/>
    </xf>
    <xf numFmtId="0" fontId="27" fillId="2" borderId="10" xfId="0" applyFont="1" applyFill="1" applyBorder="1" applyAlignment="1">
      <alignment horizontal="left" vertical="center" wrapText="1"/>
    </xf>
    <xf numFmtId="0" fontId="27" fillId="2" borderId="11" xfId="0" applyFont="1" applyFill="1" applyBorder="1" applyAlignment="1">
      <alignment horizontal="left" vertical="center" wrapText="1"/>
    </xf>
    <xf numFmtId="0" fontId="27" fillId="2" borderId="13" xfId="4" applyFont="1" applyFill="1" applyBorder="1" applyAlignment="1">
      <alignment horizontal="left" vertical="center"/>
    </xf>
    <xf numFmtId="0" fontId="27" fillId="2" borderId="10" xfId="4" applyFont="1" applyFill="1" applyBorder="1" applyAlignment="1">
      <alignment horizontal="left" vertical="center"/>
    </xf>
    <xf numFmtId="0" fontId="27" fillId="2" borderId="11" xfId="4" applyFont="1" applyFill="1" applyBorder="1" applyAlignment="1">
      <alignment horizontal="left" vertical="center"/>
    </xf>
    <xf numFmtId="0" fontId="27" fillId="2" borderId="3" xfId="4" applyFont="1" applyFill="1" applyBorder="1" applyAlignment="1">
      <alignment horizontal="left" vertical="center"/>
    </xf>
    <xf numFmtId="0" fontId="27" fillId="0" borderId="12"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13" xfId="0" applyFont="1" applyBorder="1" applyAlignment="1">
      <alignment horizontal="center" vertical="center"/>
    </xf>
    <xf numFmtId="0" fontId="27" fillId="0" borderId="10" xfId="0" applyFont="1" applyBorder="1" applyAlignment="1">
      <alignment horizontal="center" vertical="center"/>
    </xf>
    <xf numFmtId="0" fontId="27" fillId="0" borderId="11" xfId="0" applyFont="1" applyBorder="1" applyAlignment="1">
      <alignment horizontal="center" vertical="center"/>
    </xf>
    <xf numFmtId="0" fontId="5" fillId="0" borderId="24" xfId="3" applyFont="1" applyBorder="1" applyAlignment="1">
      <alignment horizontal="left" vertical="center" wrapText="1"/>
    </xf>
    <xf numFmtId="0" fontId="5" fillId="0" borderId="0" xfId="3" applyFont="1" applyBorder="1" applyAlignment="1">
      <alignment horizontal="left" vertical="center" wrapText="1"/>
    </xf>
    <xf numFmtId="0" fontId="27" fillId="0" borderId="13"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6" fillId="7" borderId="13" xfId="0" applyFont="1" applyFill="1" applyBorder="1" applyAlignment="1">
      <alignment horizontal="center" vertical="center" wrapText="1"/>
    </xf>
    <xf numFmtId="0" fontId="26" fillId="7" borderId="11" xfId="0" applyFont="1" applyFill="1" applyBorder="1" applyAlignment="1">
      <alignment horizontal="center" vertical="center" wrapText="1"/>
    </xf>
    <xf numFmtId="0" fontId="26" fillId="11" borderId="13" xfId="0" applyFont="1" applyFill="1" applyBorder="1" applyAlignment="1">
      <alignment horizontal="center" vertical="center" wrapText="1"/>
    </xf>
    <xf numFmtId="0" fontId="26" fillId="11" borderId="11" xfId="0" applyFont="1" applyFill="1" applyBorder="1" applyAlignment="1">
      <alignment horizontal="center" vertical="center" wrapText="1"/>
    </xf>
    <xf numFmtId="0" fontId="26" fillId="13" borderId="13" xfId="0" applyFont="1" applyFill="1" applyBorder="1" applyAlignment="1">
      <alignment horizontal="center" vertical="center" wrapText="1"/>
    </xf>
    <xf numFmtId="0" fontId="26" fillId="13" borderId="11" xfId="0" applyFont="1" applyFill="1" applyBorder="1" applyAlignment="1">
      <alignment horizontal="center" vertical="center" wrapText="1"/>
    </xf>
    <xf numFmtId="0" fontId="5" fillId="21" borderId="13" xfId="3" applyFont="1" applyFill="1" applyBorder="1" applyAlignment="1">
      <alignment horizontal="center" vertical="center" wrapText="1"/>
    </xf>
    <xf numFmtId="0" fontId="5" fillId="21" borderId="10" xfId="3" applyFont="1" applyFill="1" applyBorder="1" applyAlignment="1">
      <alignment horizontal="center" vertical="center" wrapText="1"/>
    </xf>
    <xf numFmtId="0" fontId="5" fillId="21" borderId="11" xfId="3" applyFont="1" applyFill="1" applyBorder="1" applyAlignment="1">
      <alignment horizontal="center" vertical="center" wrapText="1"/>
    </xf>
    <xf numFmtId="0" fontId="5" fillId="0" borderId="25" xfId="3" applyFont="1" applyBorder="1" applyAlignment="1">
      <alignment horizontal="center" vertical="center" wrapText="1"/>
    </xf>
    <xf numFmtId="0" fontId="5" fillId="0" borderId="7" xfId="3" applyFont="1" applyBorder="1" applyAlignment="1">
      <alignment horizontal="center" vertical="center" wrapText="1"/>
    </xf>
    <xf numFmtId="0" fontId="5" fillId="0" borderId="8" xfId="3" applyFont="1" applyBorder="1" applyAlignment="1">
      <alignment horizontal="center" vertical="center" wrapText="1"/>
    </xf>
    <xf numFmtId="0" fontId="5" fillId="0" borderId="9" xfId="3" applyFont="1" applyBorder="1" applyAlignment="1">
      <alignment horizontal="center" vertical="center" wrapText="1"/>
    </xf>
    <xf numFmtId="0" fontId="22" fillId="0" borderId="13" xfId="0" applyFont="1" applyBorder="1" applyAlignment="1">
      <alignment horizontal="center"/>
    </xf>
    <xf numFmtId="0" fontId="22" fillId="0" borderId="11" xfId="0" applyFont="1" applyBorder="1" applyAlignment="1">
      <alignment horizontal="center"/>
    </xf>
    <xf numFmtId="0" fontId="78" fillId="46" borderId="13" xfId="0" applyFont="1" applyFill="1" applyBorder="1" applyAlignment="1">
      <alignment horizontal="center"/>
    </xf>
    <xf numFmtId="0" fontId="78" fillId="46" borderId="10" xfId="0" applyFont="1" applyFill="1" applyBorder="1" applyAlignment="1">
      <alignment horizontal="center"/>
    </xf>
    <xf numFmtId="0" fontId="78" fillId="46" borderId="11" xfId="0" applyFont="1" applyFill="1" applyBorder="1" applyAlignment="1">
      <alignment horizontal="center"/>
    </xf>
    <xf numFmtId="0" fontId="22" fillId="27" borderId="13" xfId="0" applyFont="1" applyFill="1" applyBorder="1" applyAlignment="1">
      <alignment horizontal="center" vertical="center"/>
    </xf>
    <xf numFmtId="0" fontId="22" fillId="27" borderId="10" xfId="0" applyFont="1" applyFill="1" applyBorder="1" applyAlignment="1">
      <alignment horizontal="center" vertical="center"/>
    </xf>
    <xf numFmtId="0" fontId="22" fillId="27" borderId="11" xfId="0" applyFont="1" applyFill="1" applyBorder="1" applyAlignment="1">
      <alignment horizontal="center" vertical="center"/>
    </xf>
    <xf numFmtId="0" fontId="22" fillId="0" borderId="10" xfId="0" applyFont="1" applyBorder="1" applyAlignment="1">
      <alignment horizontal="center"/>
    </xf>
    <xf numFmtId="0" fontId="22" fillId="0" borderId="12" xfId="0" applyFont="1" applyBorder="1" applyAlignment="1">
      <alignment horizontal="center" vertical="center" wrapText="1"/>
    </xf>
    <xf numFmtId="0" fontId="22" fillId="0" borderId="14" xfId="0" applyFont="1" applyBorder="1" applyAlignment="1">
      <alignment horizontal="center" vertical="center" wrapText="1"/>
    </xf>
    <xf numFmtId="0" fontId="33" fillId="0" borderId="31" xfId="3" applyFont="1" applyBorder="1" applyAlignment="1">
      <alignment horizontal="center" vertical="center"/>
    </xf>
    <xf numFmtId="0" fontId="33" fillId="0" borderId="32" xfId="3" applyFont="1" applyBorder="1" applyAlignment="1">
      <alignment horizontal="center" vertical="center"/>
    </xf>
    <xf numFmtId="0" fontId="33" fillId="0" borderId="33" xfId="3" applyFont="1" applyBorder="1" applyAlignment="1">
      <alignment horizontal="center" vertical="center"/>
    </xf>
    <xf numFmtId="0" fontId="33" fillId="0" borderId="34" xfId="3" applyFont="1" applyBorder="1" applyAlignment="1">
      <alignment horizontal="center" vertical="center"/>
    </xf>
    <xf numFmtId="0" fontId="33" fillId="0" borderId="0" xfId="3" applyFont="1" applyAlignment="1">
      <alignment horizontal="center" vertical="center"/>
    </xf>
    <xf numFmtId="0" fontId="33" fillId="0" borderId="35" xfId="3" applyFont="1" applyBorder="1" applyAlignment="1">
      <alignment horizontal="center" vertical="center"/>
    </xf>
    <xf numFmtId="0" fontId="33" fillId="0" borderId="36" xfId="3" applyFont="1" applyBorder="1" applyAlignment="1">
      <alignment horizontal="center" vertical="center"/>
    </xf>
    <xf numFmtId="0" fontId="33" fillId="0" borderId="37" xfId="3" applyFont="1" applyBorder="1" applyAlignment="1">
      <alignment horizontal="center" vertical="center"/>
    </xf>
    <xf numFmtId="0" fontId="33" fillId="0" borderId="38" xfId="3" applyFont="1" applyBorder="1" applyAlignment="1">
      <alignment horizontal="center" vertical="center"/>
    </xf>
    <xf numFmtId="0" fontId="5" fillId="0" borderId="31" xfId="3" applyFont="1" applyBorder="1" applyAlignment="1">
      <alignment horizontal="center" vertical="center"/>
    </xf>
    <xf numFmtId="0" fontId="5" fillId="0" borderId="32" xfId="3" applyFont="1" applyBorder="1" applyAlignment="1">
      <alignment horizontal="center" vertical="center"/>
    </xf>
    <xf numFmtId="0" fontId="5" fillId="0" borderId="33" xfId="3" applyFont="1" applyBorder="1" applyAlignment="1">
      <alignment horizontal="center" vertical="center"/>
    </xf>
    <xf numFmtId="0" fontId="5" fillId="0" borderId="39" xfId="3" applyFont="1" applyBorder="1" applyAlignment="1">
      <alignment horizontal="center" vertical="center"/>
    </xf>
    <xf numFmtId="0" fontId="5" fillId="0" borderId="8" xfId="3" applyFont="1" applyBorder="1" applyAlignment="1">
      <alignment horizontal="center" vertical="center"/>
    </xf>
    <xf numFmtId="0" fontId="5" fillId="0" borderId="40" xfId="3" applyFont="1" applyBorder="1" applyAlignment="1">
      <alignment horizontal="center" vertical="center"/>
    </xf>
    <xf numFmtId="169" fontId="34" fillId="0" borderId="31" xfId="7" applyFont="1" applyFill="1" applyBorder="1" applyAlignment="1" applyProtection="1">
      <alignment horizontal="center" vertical="center" wrapText="1"/>
      <protection locked="0"/>
    </xf>
    <xf numFmtId="169" fontId="34" fillId="0" borderId="32" xfId="7" applyFont="1" applyFill="1" applyBorder="1" applyAlignment="1" applyProtection="1">
      <alignment horizontal="center" vertical="center" wrapText="1"/>
      <protection locked="0"/>
    </xf>
    <xf numFmtId="169" fontId="34" fillId="0" borderId="33" xfId="7" applyFont="1" applyFill="1" applyBorder="1" applyAlignment="1" applyProtection="1">
      <alignment horizontal="center" vertical="center" wrapText="1"/>
      <protection locked="0"/>
    </xf>
    <xf numFmtId="0" fontId="5" fillId="0" borderId="34" xfId="3" applyFont="1" applyBorder="1" applyAlignment="1">
      <alignment horizontal="left" vertical="center" wrapText="1"/>
    </xf>
    <xf numFmtId="0" fontId="5" fillId="0" borderId="35" xfId="3" applyFont="1" applyBorder="1" applyAlignment="1">
      <alignment horizontal="left" vertical="center" wrapText="1"/>
    </xf>
    <xf numFmtId="0" fontId="5" fillId="0" borderId="39" xfId="3" applyFont="1" applyBorder="1" applyAlignment="1">
      <alignment horizontal="left" vertical="center" wrapText="1"/>
    </xf>
    <xf numFmtId="0" fontId="5" fillId="0" borderId="8" xfId="3" applyFont="1" applyBorder="1" applyAlignment="1">
      <alignment horizontal="left" vertical="center" wrapText="1"/>
    </xf>
    <xf numFmtId="0" fontId="5" fillId="0" borderId="40" xfId="3" applyFont="1" applyBorder="1" applyAlignment="1">
      <alignment horizontal="left" vertical="center" wrapText="1"/>
    </xf>
    <xf numFmtId="0" fontId="5" fillId="0" borderId="4" xfId="3" applyFont="1" applyBorder="1" applyAlignment="1">
      <alignment horizontal="center" vertical="center" wrapText="1"/>
    </xf>
    <xf numFmtId="0" fontId="5" fillId="0" borderId="5" xfId="3" applyFont="1" applyBorder="1" applyAlignment="1">
      <alignment horizontal="center" vertical="center" wrapText="1"/>
    </xf>
    <xf numFmtId="0" fontId="5" fillId="0" borderId="42" xfId="3" applyFont="1" applyBorder="1" applyAlignment="1">
      <alignment horizontal="center" vertical="center" wrapText="1"/>
    </xf>
    <xf numFmtId="0" fontId="5" fillId="0" borderId="35" xfId="3" applyFont="1" applyBorder="1" applyAlignment="1">
      <alignment horizontal="center" vertical="center" wrapText="1"/>
    </xf>
    <xf numFmtId="0" fontId="5" fillId="0" borderId="40" xfId="3" applyFont="1" applyBorder="1" applyAlignment="1">
      <alignment horizontal="center" vertical="center" wrapText="1"/>
    </xf>
    <xf numFmtId="0" fontId="5" fillId="0" borderId="41" xfId="3" applyFont="1" applyBorder="1" applyAlignment="1">
      <alignment horizontal="center" vertical="center"/>
    </xf>
    <xf numFmtId="0" fontId="5" fillId="0" borderId="3" xfId="3" applyFont="1" applyBorder="1" applyAlignment="1">
      <alignment horizontal="center" vertical="center"/>
    </xf>
    <xf numFmtId="164" fontId="5" fillId="0" borderId="3" xfId="3" applyNumberFormat="1" applyFont="1" applyBorder="1" applyAlignment="1">
      <alignment horizontal="center" vertical="center"/>
    </xf>
    <xf numFmtId="176" fontId="5" fillId="0" borderId="3" xfId="3" applyNumberFormat="1" applyFont="1" applyBorder="1" applyAlignment="1">
      <alignment horizontal="center" vertical="center"/>
    </xf>
    <xf numFmtId="0" fontId="34" fillId="0" borderId="44" xfId="3" applyFont="1" applyBorder="1" applyAlignment="1" applyProtection="1">
      <alignment horizontal="left" vertical="top" wrapText="1"/>
      <protection locked="0"/>
    </xf>
    <xf numFmtId="0" fontId="34" fillId="0" borderId="45" xfId="3" applyFont="1" applyBorder="1" applyAlignment="1" applyProtection="1">
      <alignment horizontal="left" vertical="top" wrapText="1"/>
      <protection locked="0"/>
    </xf>
    <xf numFmtId="0" fontId="5" fillId="0" borderId="45" xfId="3" applyFont="1" applyBorder="1" applyAlignment="1">
      <alignment horizontal="center" vertical="center" wrapText="1"/>
    </xf>
    <xf numFmtId="0" fontId="5" fillId="0" borderId="12" xfId="3" applyFont="1" applyBorder="1" applyAlignment="1">
      <alignment horizontal="center" vertical="center"/>
    </xf>
    <xf numFmtId="0" fontId="34" fillId="19" borderId="1" xfId="3" applyFont="1" applyFill="1" applyBorder="1" applyAlignment="1" applyProtection="1">
      <alignment horizontal="center" vertical="center" wrapText="1"/>
      <protection locked="0"/>
    </xf>
    <xf numFmtId="0" fontId="34" fillId="19" borderId="48" xfId="3" applyFont="1" applyFill="1" applyBorder="1" applyAlignment="1" applyProtection="1">
      <alignment horizontal="center" vertical="center" wrapText="1"/>
      <protection locked="0"/>
    </xf>
    <xf numFmtId="0" fontId="34" fillId="19" borderId="49" xfId="3" applyFont="1" applyFill="1" applyBorder="1" applyAlignment="1" applyProtection="1">
      <alignment horizontal="center" vertical="center" wrapText="1"/>
      <protection locked="0"/>
    </xf>
    <xf numFmtId="0" fontId="34" fillId="19" borderId="2" xfId="3" applyFont="1" applyFill="1" applyBorder="1" applyAlignment="1" applyProtection="1">
      <alignment horizontal="center" vertical="center" wrapText="1"/>
      <protection locked="0"/>
    </xf>
    <xf numFmtId="0" fontId="34" fillId="19" borderId="50" xfId="3" applyFont="1" applyFill="1" applyBorder="1" applyAlignment="1" applyProtection="1">
      <alignment horizontal="center" vertical="center" wrapText="1"/>
      <protection locked="0"/>
    </xf>
    <xf numFmtId="0" fontId="34" fillId="19" borderId="51" xfId="3" applyFont="1" applyFill="1" applyBorder="1" applyAlignment="1" applyProtection="1">
      <alignment horizontal="center" vertical="center" wrapText="1"/>
      <protection locked="0"/>
    </xf>
    <xf numFmtId="0" fontId="34" fillId="19" borderId="52" xfId="3" applyFont="1" applyFill="1" applyBorder="1" applyAlignment="1" applyProtection="1">
      <alignment horizontal="center" vertical="center" wrapText="1"/>
      <protection locked="0"/>
    </xf>
    <xf numFmtId="0" fontId="34" fillId="19" borderId="53" xfId="3" applyFont="1" applyFill="1" applyBorder="1" applyAlignment="1" applyProtection="1">
      <alignment horizontal="center" vertical="center" wrapText="1"/>
      <protection locked="0"/>
    </xf>
    <xf numFmtId="0" fontId="42" fillId="5" borderId="65" xfId="0" applyFont="1" applyFill="1" applyBorder="1" applyAlignment="1">
      <alignment horizontal="left" vertical="center" wrapText="1"/>
    </xf>
    <xf numFmtId="0" fontId="42" fillId="5" borderId="11" xfId="0" applyFont="1" applyFill="1" applyBorder="1" applyAlignment="1">
      <alignment horizontal="left" vertical="center" wrapText="1"/>
    </xf>
    <xf numFmtId="0" fontId="34" fillId="20" borderId="9" xfId="3" applyFont="1" applyFill="1" applyBorder="1" applyAlignment="1" applyProtection="1">
      <alignment horizontal="center" vertical="center" wrapText="1"/>
      <protection locked="0"/>
    </xf>
    <xf numFmtId="0" fontId="34" fillId="20" borderId="14" xfId="3" applyFont="1" applyFill="1" applyBorder="1" applyAlignment="1" applyProtection="1">
      <alignment horizontal="center" vertical="center" wrapText="1"/>
      <protection locked="0"/>
    </xf>
    <xf numFmtId="0" fontId="4" fillId="0" borderId="50" xfId="0" applyFont="1" applyBorder="1" applyAlignment="1">
      <alignment horizontal="right" vertical="center" wrapText="1"/>
    </xf>
    <xf numFmtId="0" fontId="4" fillId="0" borderId="3" xfId="0" applyFont="1" applyBorder="1" applyAlignment="1">
      <alignment horizontal="right" vertical="center" wrapText="1"/>
    </xf>
    <xf numFmtId="0" fontId="4" fillId="0" borderId="45" xfId="0" applyFont="1" applyBorder="1" applyAlignment="1">
      <alignment horizontal="right" vertical="center" wrapText="1"/>
    </xf>
    <xf numFmtId="0" fontId="5" fillId="22" borderId="62" xfId="3" applyFont="1" applyFill="1" applyBorder="1" applyAlignment="1">
      <alignment horizontal="center"/>
    </xf>
    <xf numFmtId="0" fontId="5" fillId="22" borderId="63" xfId="3" applyFont="1" applyFill="1" applyBorder="1" applyAlignment="1">
      <alignment horizontal="center"/>
    </xf>
    <xf numFmtId="0" fontId="5" fillId="22" borderId="64" xfId="3" applyFont="1" applyFill="1" applyBorder="1" applyAlignment="1">
      <alignment horizontal="center"/>
    </xf>
    <xf numFmtId="0" fontId="42" fillId="5" borderId="54" xfId="0" applyFont="1" applyFill="1" applyBorder="1" applyAlignment="1">
      <alignment horizontal="left" vertical="center" wrapText="1"/>
    </xf>
    <xf numFmtId="0" fontId="42" fillId="5" borderId="14" xfId="0" applyFont="1" applyFill="1" applyBorder="1" applyAlignment="1">
      <alignment horizontal="left" vertical="center" wrapText="1"/>
    </xf>
    <xf numFmtId="0" fontId="5" fillId="0" borderId="32" xfId="3" applyFont="1" applyBorder="1" applyAlignment="1">
      <alignment horizontal="center"/>
    </xf>
    <xf numFmtId="0" fontId="34" fillId="0" borderId="0" xfId="3" applyFont="1" applyBorder="1" applyAlignment="1" applyProtection="1">
      <alignment horizontal="center"/>
      <protection locked="0"/>
    </xf>
    <xf numFmtId="0" fontId="5" fillId="0" borderId="37" xfId="3" applyFont="1" applyBorder="1" applyAlignment="1">
      <alignment horizontal="center"/>
    </xf>
    <xf numFmtId="0" fontId="42" fillId="5" borderId="41" xfId="0" applyFont="1" applyFill="1" applyBorder="1" applyAlignment="1">
      <alignment horizontal="left" vertical="center" wrapText="1"/>
    </xf>
    <xf numFmtId="0" fontId="42" fillId="5" borderId="3" xfId="0" applyFont="1" applyFill="1" applyBorder="1" applyAlignment="1">
      <alignment horizontal="left" vertical="center" wrapText="1"/>
    </xf>
    <xf numFmtId="0" fontId="42" fillId="5" borderId="44" xfId="0" applyFont="1" applyFill="1" applyBorder="1" applyAlignment="1">
      <alignment horizontal="left" vertical="center" wrapText="1"/>
    </xf>
    <xf numFmtId="0" fontId="42" fillId="5" borderId="45" xfId="0" applyFont="1" applyFill="1" applyBorder="1" applyAlignment="1">
      <alignment horizontal="left" vertical="center" wrapText="1"/>
    </xf>
    <xf numFmtId="0" fontId="40" fillId="0" borderId="37" xfId="3" applyFont="1" applyBorder="1" applyAlignment="1" applyProtection="1">
      <alignment horizontal="center"/>
      <protection locked="0"/>
    </xf>
    <xf numFmtId="0" fontId="5" fillId="0" borderId="3" xfId="0" applyFont="1" applyBorder="1" applyAlignment="1">
      <alignment horizontal="center" vertical="center"/>
    </xf>
    <xf numFmtId="0" fontId="35" fillId="0" borderId="3" xfId="0" applyFont="1" applyFill="1" applyBorder="1" applyAlignment="1">
      <alignment horizontal="left" vertical="center" wrapText="1"/>
    </xf>
    <xf numFmtId="0" fontId="35" fillId="0" borderId="3" xfId="0" applyFont="1" applyBorder="1" applyAlignment="1">
      <alignment horizontal="center" vertical="center" wrapText="1"/>
    </xf>
    <xf numFmtId="164" fontId="35" fillId="0" borderId="3" xfId="0" applyNumberFormat="1" applyFont="1" applyBorder="1" applyAlignment="1">
      <alignment vertical="center"/>
    </xf>
    <xf numFmtId="0" fontId="45" fillId="0" borderId="0" xfId="0" applyFont="1" applyAlignment="1">
      <alignment horizontal="center" vertical="center"/>
    </xf>
    <xf numFmtId="0" fontId="45" fillId="0" borderId="0" xfId="0" applyFont="1" applyBorder="1" applyAlignment="1">
      <alignment horizontal="center" vertical="center"/>
    </xf>
    <xf numFmtId="0" fontId="35" fillId="0" borderId="32" xfId="0" applyFont="1" applyBorder="1" applyAlignment="1">
      <alignment horizontal="center"/>
    </xf>
    <xf numFmtId="167" fontId="37" fillId="5" borderId="3" xfId="3" applyNumberFormat="1" applyFont="1" applyFill="1" applyBorder="1" applyAlignment="1">
      <alignment horizontal="center" vertical="center" wrapText="1"/>
    </xf>
    <xf numFmtId="0" fontId="35" fillId="0" borderId="13" xfId="0" applyFont="1" applyBorder="1" applyAlignment="1">
      <alignment horizontal="center"/>
    </xf>
    <xf numFmtId="0" fontId="35" fillId="0" borderId="11" xfId="0" applyFont="1" applyBorder="1" applyAlignment="1">
      <alignment horizontal="center"/>
    </xf>
    <xf numFmtId="0" fontId="34" fillId="0" borderId="3" xfId="3" applyFont="1" applyBorder="1" applyAlignment="1" applyProtection="1">
      <alignment horizontal="left" vertical="top" wrapText="1"/>
      <protection locked="0"/>
    </xf>
    <xf numFmtId="0" fontId="34" fillId="0" borderId="13" xfId="3" applyFont="1" applyBorder="1" applyAlignment="1" applyProtection="1">
      <alignment horizontal="center" vertical="top" wrapText="1"/>
      <protection locked="0"/>
    </xf>
    <xf numFmtId="0" fontId="34" fillId="0" borderId="11" xfId="3" applyFont="1" applyBorder="1" applyAlignment="1" applyProtection="1">
      <alignment horizontal="center" vertical="top" wrapText="1"/>
      <protection locked="0"/>
    </xf>
    <xf numFmtId="0" fontId="34" fillId="28" borderId="3" xfId="3" applyFont="1" applyFill="1" applyBorder="1" applyAlignment="1" applyProtection="1">
      <alignment horizontal="center" vertical="center" wrapText="1"/>
      <protection locked="0"/>
    </xf>
    <xf numFmtId="167" fontId="37" fillId="5" borderId="13" xfId="3" applyNumberFormat="1" applyFont="1" applyFill="1" applyBorder="1" applyAlignment="1">
      <alignment horizontal="center" vertical="center" wrapText="1"/>
    </xf>
    <xf numFmtId="167" fontId="37" fillId="5" borderId="11" xfId="3" applyNumberFormat="1" applyFont="1" applyFill="1" applyBorder="1" applyAlignment="1">
      <alignment horizontal="center" vertical="center" wrapText="1"/>
    </xf>
    <xf numFmtId="0" fontId="35" fillId="29" borderId="13" xfId="3" applyFont="1" applyFill="1" applyBorder="1" applyAlignment="1">
      <alignment horizontal="center" vertical="center"/>
    </xf>
    <xf numFmtId="0" fontId="35" fillId="29" borderId="10" xfId="3" applyFont="1" applyFill="1" applyBorder="1" applyAlignment="1">
      <alignment horizontal="center" vertical="center"/>
    </xf>
    <xf numFmtId="0" fontId="35" fillId="29" borderId="57" xfId="3" applyFont="1" applyFill="1" applyBorder="1" applyAlignment="1">
      <alignment horizontal="center" vertical="center"/>
    </xf>
    <xf numFmtId="0" fontId="37" fillId="5" borderId="66" xfId="3" applyNumberFormat="1" applyFont="1" applyFill="1" applyBorder="1" applyAlignment="1">
      <alignment horizontal="center" vertical="center"/>
    </xf>
    <xf numFmtId="0" fontId="37" fillId="5" borderId="5" xfId="3" applyNumberFormat="1" applyFont="1" applyFill="1" applyBorder="1" applyAlignment="1">
      <alignment horizontal="center" vertical="center"/>
    </xf>
    <xf numFmtId="0" fontId="37" fillId="5" borderId="34" xfId="3" applyNumberFormat="1" applyFont="1" applyFill="1" applyBorder="1" applyAlignment="1">
      <alignment horizontal="center" vertical="center"/>
    </xf>
    <xf numFmtId="0" fontId="37" fillId="5" borderId="0" xfId="3" applyNumberFormat="1" applyFont="1" applyFill="1" applyBorder="1" applyAlignment="1">
      <alignment horizontal="center" vertical="center"/>
    </xf>
    <xf numFmtId="0" fontId="37" fillId="5" borderId="39" xfId="3" applyNumberFormat="1" applyFont="1" applyFill="1" applyBorder="1" applyAlignment="1">
      <alignment horizontal="center" vertical="center"/>
    </xf>
    <xf numFmtId="0" fontId="37" fillId="5" borderId="8" xfId="3" applyNumberFormat="1" applyFont="1" applyFill="1" applyBorder="1" applyAlignment="1">
      <alignment horizontal="center" vertical="center"/>
    </xf>
    <xf numFmtId="167" fontId="37" fillId="5" borderId="52" xfId="3" applyNumberFormat="1" applyFont="1" applyFill="1" applyBorder="1" applyAlignment="1">
      <alignment horizontal="center" vertical="center" wrapText="1"/>
    </xf>
    <xf numFmtId="167" fontId="37" fillId="5" borderId="50" xfId="3" applyNumberFormat="1" applyFont="1" applyFill="1" applyBorder="1" applyAlignment="1">
      <alignment horizontal="center" vertical="center" wrapText="1"/>
    </xf>
    <xf numFmtId="167" fontId="37" fillId="5" borderId="41" xfId="3" applyNumberFormat="1" applyFont="1" applyFill="1" applyBorder="1" applyAlignment="1">
      <alignment horizontal="center" vertical="center" wrapText="1"/>
    </xf>
    <xf numFmtId="167" fontId="37" fillId="5" borderId="44" xfId="3" applyNumberFormat="1" applyFont="1" applyFill="1" applyBorder="1" applyAlignment="1">
      <alignment horizontal="center" vertical="center" wrapText="1"/>
    </xf>
    <xf numFmtId="167" fontId="37" fillId="5" borderId="45" xfId="3" applyNumberFormat="1" applyFont="1" applyFill="1" applyBorder="1" applyAlignment="1">
      <alignment horizontal="center" vertical="center" wrapText="1"/>
    </xf>
    <xf numFmtId="167" fontId="37" fillId="5" borderId="63" xfId="3" applyNumberFormat="1" applyFont="1" applyFill="1" applyBorder="1" applyAlignment="1">
      <alignment horizontal="center" vertical="center" wrapText="1"/>
    </xf>
    <xf numFmtId="0" fontId="35" fillId="29" borderId="7" xfId="3" applyFont="1" applyFill="1" applyBorder="1" applyAlignment="1">
      <alignment horizontal="center" vertical="center"/>
    </xf>
    <xf numFmtId="0" fontId="35" fillId="29" borderId="8" xfId="3" applyFont="1" applyFill="1" applyBorder="1" applyAlignment="1">
      <alignment horizontal="center" vertical="center"/>
    </xf>
    <xf numFmtId="0" fontId="35" fillId="29" borderId="40" xfId="3" applyFont="1" applyFill="1" applyBorder="1" applyAlignment="1">
      <alignment horizontal="center" vertical="center"/>
    </xf>
    <xf numFmtId="167" fontId="37" fillId="5" borderId="65" xfId="3" applyNumberFormat="1" applyFont="1" applyFill="1" applyBorder="1" applyAlignment="1">
      <alignment horizontal="center" vertical="center" wrapText="1"/>
    </xf>
    <xf numFmtId="0" fontId="5" fillId="0" borderId="66" xfId="3" applyFont="1" applyFill="1" applyBorder="1" applyAlignment="1">
      <alignment horizontal="center" vertical="center"/>
    </xf>
    <xf numFmtId="0" fontId="5" fillId="0" borderId="5" xfId="3" applyFont="1" applyFill="1" applyBorder="1" applyAlignment="1">
      <alignment horizontal="center" vertical="center"/>
    </xf>
    <xf numFmtId="0" fontId="5" fillId="0" borderId="34" xfId="3" applyFont="1" applyFill="1" applyBorder="1" applyAlignment="1">
      <alignment horizontal="center" vertical="center"/>
    </xf>
    <xf numFmtId="0" fontId="5" fillId="0" borderId="0" xfId="3" applyFont="1" applyFill="1" applyBorder="1" applyAlignment="1">
      <alignment horizontal="center" vertical="center"/>
    </xf>
    <xf numFmtId="167" fontId="37" fillId="5" borderId="12" xfId="3" applyNumberFormat="1" applyFont="1" applyFill="1" applyBorder="1" applyAlignment="1">
      <alignment horizontal="center" vertical="center" wrapText="1"/>
    </xf>
    <xf numFmtId="0" fontId="35" fillId="5" borderId="66" xfId="3" applyNumberFormat="1" applyFont="1" applyFill="1" applyBorder="1" applyAlignment="1">
      <alignment horizontal="center" vertical="center"/>
    </xf>
    <xf numFmtId="0" fontId="35" fillId="5" borderId="5" xfId="3" applyNumberFormat="1" applyFont="1" applyFill="1" applyBorder="1" applyAlignment="1">
      <alignment horizontal="center" vertical="center"/>
    </xf>
    <xf numFmtId="0" fontId="35" fillId="5" borderId="34" xfId="3" applyNumberFormat="1" applyFont="1" applyFill="1" applyBorder="1" applyAlignment="1">
      <alignment horizontal="center" vertical="center"/>
    </xf>
    <xf numFmtId="0" fontId="35" fillId="5" borderId="0" xfId="3" applyNumberFormat="1" applyFont="1" applyFill="1" applyBorder="1" applyAlignment="1">
      <alignment horizontal="center" vertical="center"/>
    </xf>
    <xf numFmtId="0" fontId="35" fillId="5" borderId="39" xfId="3" applyNumberFormat="1" applyFont="1" applyFill="1" applyBorder="1" applyAlignment="1">
      <alignment horizontal="center" vertical="center"/>
    </xf>
    <xf numFmtId="0" fontId="35" fillId="5" borderId="8" xfId="3" applyNumberFormat="1" applyFont="1" applyFill="1" applyBorder="1" applyAlignment="1">
      <alignment horizontal="center" vertical="center"/>
    </xf>
    <xf numFmtId="167" fontId="37" fillId="5" borderId="1" xfId="3" applyNumberFormat="1" applyFont="1" applyFill="1" applyBorder="1" applyAlignment="1">
      <alignment horizontal="center" vertical="center" wrapText="1"/>
    </xf>
    <xf numFmtId="167" fontId="37" fillId="5" borderId="48" xfId="3" applyNumberFormat="1" applyFont="1" applyFill="1" applyBorder="1" applyAlignment="1">
      <alignment horizontal="center" vertical="center" wrapText="1"/>
    </xf>
    <xf numFmtId="167" fontId="37" fillId="5" borderId="2" xfId="3" applyNumberFormat="1" applyFont="1" applyFill="1" applyBorder="1" applyAlignment="1">
      <alignment horizontal="center" vertical="center" wrapText="1"/>
    </xf>
    <xf numFmtId="167" fontId="37" fillId="5" borderId="51" xfId="3" applyNumberFormat="1" applyFont="1" applyFill="1" applyBorder="1" applyAlignment="1">
      <alignment horizontal="center" vertical="center" wrapText="1"/>
    </xf>
    <xf numFmtId="167" fontId="37" fillId="5" borderId="66" xfId="3" applyNumberFormat="1" applyFont="1" applyFill="1" applyBorder="1" applyAlignment="1">
      <alignment horizontal="center" vertical="center" wrapText="1"/>
    </xf>
    <xf numFmtId="167" fontId="37" fillId="5" borderId="6" xfId="3" applyNumberFormat="1" applyFont="1" applyFill="1" applyBorder="1" applyAlignment="1">
      <alignment horizontal="center" vertical="center" wrapText="1"/>
    </xf>
    <xf numFmtId="167" fontId="37" fillId="5" borderId="4" xfId="3" applyNumberFormat="1" applyFont="1" applyFill="1" applyBorder="1" applyAlignment="1">
      <alignment horizontal="center" vertical="center" wrapText="1"/>
    </xf>
    <xf numFmtId="167" fontId="37" fillId="5" borderId="68" xfId="3" applyNumberFormat="1" applyFont="1" applyFill="1" applyBorder="1" applyAlignment="1">
      <alignment horizontal="center" vertical="center" wrapText="1"/>
    </xf>
    <xf numFmtId="167" fontId="37" fillId="5" borderId="69" xfId="3" applyNumberFormat="1" applyFont="1" applyFill="1" applyBorder="1" applyAlignment="1">
      <alignment horizontal="center" vertical="center" wrapText="1"/>
    </xf>
    <xf numFmtId="0" fontId="5" fillId="8" borderId="71" xfId="3" applyFont="1" applyFill="1" applyBorder="1" applyAlignment="1">
      <alignment horizontal="center" vertical="center"/>
    </xf>
    <xf numFmtId="0" fontId="5" fillId="8" borderId="69" xfId="3" applyFont="1" applyFill="1" applyBorder="1" applyAlignment="1">
      <alignment horizontal="center" vertical="center"/>
    </xf>
    <xf numFmtId="175" fontId="35" fillId="8" borderId="68" xfId="7" applyNumberFormat="1" applyFont="1" applyFill="1" applyBorder="1" applyAlignment="1">
      <alignment horizontal="center" vertical="center"/>
    </xf>
    <xf numFmtId="175" fontId="35" fillId="8" borderId="71" xfId="7" applyNumberFormat="1" applyFont="1" applyFill="1" applyBorder="1" applyAlignment="1">
      <alignment horizontal="center" vertical="center"/>
    </xf>
    <xf numFmtId="175" fontId="35" fillId="8" borderId="69" xfId="7" applyNumberFormat="1" applyFont="1" applyFill="1" applyBorder="1" applyAlignment="1">
      <alignment horizontal="center" vertical="center"/>
    </xf>
    <xf numFmtId="0" fontId="40" fillId="0" borderId="5" xfId="3" applyFont="1" applyFill="1" applyBorder="1" applyAlignment="1" applyProtection="1">
      <alignment horizontal="left"/>
      <protection locked="0"/>
    </xf>
    <xf numFmtId="0" fontId="40" fillId="0" borderId="42" xfId="3" applyFont="1" applyFill="1" applyBorder="1" applyAlignment="1" applyProtection="1">
      <alignment horizontal="left"/>
      <protection locked="0"/>
    </xf>
    <xf numFmtId="0" fontId="40" fillId="0" borderId="0" xfId="3" applyFont="1" applyFill="1" applyBorder="1" applyAlignment="1" applyProtection="1">
      <alignment horizontal="left"/>
      <protection locked="0"/>
    </xf>
    <xf numFmtId="0" fontId="40" fillId="0" borderId="35" xfId="3" applyFont="1" applyFill="1" applyBorder="1" applyAlignment="1" applyProtection="1">
      <alignment horizontal="left"/>
      <protection locked="0"/>
    </xf>
    <xf numFmtId="164" fontId="40" fillId="0" borderId="8" xfId="3" applyNumberFormat="1" applyFont="1" applyFill="1" applyBorder="1" applyAlignment="1" applyProtection="1">
      <alignment horizontal="center"/>
      <protection locked="0"/>
    </xf>
    <xf numFmtId="0" fontId="40" fillId="0" borderId="8" xfId="3" applyFont="1" applyFill="1" applyBorder="1" applyAlignment="1" applyProtection="1">
      <alignment horizontal="center"/>
      <protection locked="0"/>
    </xf>
    <xf numFmtId="0" fontId="40" fillId="0" borderId="0" xfId="3" applyFont="1" applyFill="1" applyBorder="1" applyAlignment="1" applyProtection="1">
      <alignment horizontal="center"/>
      <protection locked="0"/>
    </xf>
    <xf numFmtId="0" fontId="40" fillId="0" borderId="35" xfId="3" applyFont="1" applyFill="1" applyBorder="1" applyAlignment="1" applyProtection="1">
      <alignment horizontal="center"/>
      <protection locked="0"/>
    </xf>
    <xf numFmtId="0" fontId="5" fillId="0" borderId="5" xfId="0" applyFont="1" applyBorder="1" applyAlignment="1">
      <alignment horizontal="center" vertical="center"/>
    </xf>
    <xf numFmtId="177" fontId="34" fillId="0" borderId="0" xfId="3" applyNumberFormat="1" applyFont="1" applyFill="1" applyBorder="1" applyAlignment="1" applyProtection="1">
      <alignment horizontal="center" vertical="center" wrapText="1"/>
      <protection locked="0"/>
    </xf>
    <xf numFmtId="177" fontId="34" fillId="0" borderId="35" xfId="3" applyNumberFormat="1" applyFont="1" applyFill="1" applyBorder="1" applyAlignment="1" applyProtection="1">
      <alignment horizontal="center" vertical="center" wrapText="1"/>
      <protection locked="0"/>
    </xf>
    <xf numFmtId="164" fontId="40" fillId="0" borderId="0" xfId="3" applyNumberFormat="1" applyFont="1" applyFill="1" applyBorder="1" applyAlignment="1" applyProtection="1">
      <alignment horizontal="center"/>
      <protection locked="0"/>
    </xf>
    <xf numFmtId="164" fontId="40" fillId="0" borderId="0" xfId="3" applyNumberFormat="1" applyFont="1" applyFill="1" applyBorder="1" applyAlignment="1" applyProtection="1">
      <alignment horizontal="center" wrapText="1"/>
      <protection locked="0"/>
    </xf>
    <xf numFmtId="164" fontId="40" fillId="0" borderId="35" xfId="3" applyNumberFormat="1" applyFont="1" applyFill="1" applyBorder="1" applyAlignment="1" applyProtection="1">
      <alignment horizontal="center" wrapText="1"/>
      <protection locked="0"/>
    </xf>
    <xf numFmtId="164" fontId="37" fillId="0" borderId="0" xfId="0" applyNumberFormat="1" applyFont="1" applyFill="1" applyBorder="1" applyAlignment="1">
      <alignment horizontal="center" wrapText="1"/>
    </xf>
    <xf numFmtId="164" fontId="35" fillId="0" borderId="0" xfId="0" applyNumberFormat="1" applyFont="1" applyFill="1" applyBorder="1" applyAlignment="1">
      <alignment horizontal="center"/>
    </xf>
    <xf numFmtId="0" fontId="37" fillId="0" borderId="0" xfId="0" applyFont="1" applyFill="1" applyBorder="1" applyAlignment="1">
      <alignment horizontal="center"/>
    </xf>
    <xf numFmtId="164" fontId="37" fillId="0" borderId="35" xfId="0" applyNumberFormat="1" applyFont="1" applyFill="1" applyBorder="1" applyAlignment="1">
      <alignment horizontal="center" wrapText="1"/>
    </xf>
    <xf numFmtId="0" fontId="35" fillId="0" borderId="0" xfId="3" applyFont="1" applyBorder="1" applyAlignment="1">
      <alignment horizontal="center"/>
    </xf>
    <xf numFmtId="177" fontId="34" fillId="0" borderId="5" xfId="3" applyNumberFormat="1" applyFont="1" applyFill="1" applyBorder="1" applyAlignment="1" applyProtection="1">
      <alignment horizontal="center" wrapText="1"/>
      <protection locked="0"/>
    </xf>
    <xf numFmtId="0" fontId="37" fillId="0" borderId="29" xfId="0" applyFont="1" applyBorder="1" applyAlignment="1">
      <alignment horizontal="center" vertical="center" wrapText="1"/>
    </xf>
    <xf numFmtId="0" fontId="16" fillId="0" borderId="19" xfId="0" applyFont="1" applyBorder="1" applyAlignment="1">
      <alignment horizontal="left"/>
    </xf>
    <xf numFmtId="0" fontId="8" fillId="0" borderId="72" xfId="0" applyFont="1" applyBorder="1"/>
    <xf numFmtId="0" fontId="16" fillId="0" borderId="73" xfId="0" applyFont="1" applyBorder="1" applyAlignment="1">
      <alignment horizontal="left"/>
    </xf>
    <xf numFmtId="0" fontId="8" fillId="0" borderId="73" xfId="0" applyFont="1" applyBorder="1"/>
    <xf numFmtId="0" fontId="8" fillId="0" borderId="74" xfId="0" applyFont="1" applyBorder="1"/>
    <xf numFmtId="0" fontId="11" fillId="0" borderId="26" xfId="0" applyFont="1" applyBorder="1" applyAlignment="1">
      <alignment horizontal="left" vertical="center" wrapText="1"/>
    </xf>
    <xf numFmtId="0" fontId="8" fillId="0" borderId="75" xfId="0" applyFont="1" applyBorder="1"/>
    <xf numFmtId="0" fontId="10" fillId="0" borderId="0" xfId="0" applyFont="1"/>
    <xf numFmtId="0" fontId="8" fillId="0" borderId="28" xfId="0" applyFont="1" applyBorder="1"/>
    <xf numFmtId="0" fontId="8" fillId="0" borderId="76" xfId="0" applyFont="1" applyBorder="1"/>
    <xf numFmtId="0" fontId="8" fillId="0" borderId="29" xfId="0" applyFont="1" applyBorder="1"/>
    <xf numFmtId="0" fontId="8" fillId="0" borderId="15" xfId="0" applyFont="1" applyBorder="1"/>
    <xf numFmtId="0" fontId="11" fillId="0" borderId="75" xfId="0" applyFont="1" applyBorder="1" applyAlignment="1">
      <alignment horizontal="left" vertical="center" wrapText="1"/>
    </xf>
    <xf numFmtId="0" fontId="11" fillId="0" borderId="19" xfId="0" applyFont="1" applyBorder="1" applyAlignment="1">
      <alignment horizontal="left" vertical="center"/>
    </xf>
    <xf numFmtId="0" fontId="8" fillId="0" borderId="72" xfId="0" applyFont="1" applyBorder="1" applyAlignment="1">
      <alignment vertical="center"/>
    </xf>
    <xf numFmtId="0" fontId="11" fillId="0" borderId="20" xfId="0" applyFont="1" applyBorder="1" applyAlignment="1">
      <alignment horizontal="left"/>
    </xf>
    <xf numFmtId="183" fontId="16" fillId="0" borderId="20" xfId="0" applyNumberFormat="1" applyFont="1" applyBorder="1" applyAlignment="1">
      <alignment horizontal="center"/>
    </xf>
    <xf numFmtId="0" fontId="9" fillId="3" borderId="29" xfId="0" applyFont="1" applyFill="1" applyBorder="1" applyAlignment="1">
      <alignment horizontal="center" vertical="center"/>
    </xf>
    <xf numFmtId="0" fontId="11" fillId="0" borderId="19" xfId="0" applyFont="1" applyBorder="1" applyAlignment="1">
      <alignment horizontal="left" vertical="center" wrapText="1"/>
    </xf>
    <xf numFmtId="0" fontId="8" fillId="0" borderId="20" xfId="0" applyFont="1" applyBorder="1"/>
    <xf numFmtId="0" fontId="10" fillId="0" borderId="29" xfId="0" applyFont="1" applyBorder="1" applyAlignment="1">
      <alignment horizontal="center" vertical="center"/>
    </xf>
    <xf numFmtId="0" fontId="8" fillId="0" borderId="15" xfId="0" applyFont="1" applyBorder="1" applyAlignment="1">
      <alignment horizontal="center"/>
    </xf>
    <xf numFmtId="0" fontId="11" fillId="0" borderId="29" xfId="0" applyFont="1" applyBorder="1" applyAlignment="1">
      <alignment horizontal="left" vertical="center"/>
    </xf>
    <xf numFmtId="0" fontId="8" fillId="0" borderId="15" xfId="0" applyFont="1" applyBorder="1" applyAlignment="1">
      <alignment vertical="center"/>
    </xf>
    <xf numFmtId="165" fontId="9" fillId="3" borderId="29" xfId="0" applyNumberFormat="1" applyFont="1" applyFill="1" applyBorder="1" applyAlignment="1">
      <alignment horizontal="center" vertical="center"/>
    </xf>
    <xf numFmtId="0" fontId="8" fillId="0" borderId="29" xfId="0" applyFont="1" applyBorder="1" applyAlignment="1">
      <alignment vertical="center"/>
    </xf>
    <xf numFmtId="0" fontId="11" fillId="0" borderId="20" xfId="0" applyFont="1" applyBorder="1" applyAlignment="1">
      <alignment horizontal="center"/>
    </xf>
    <xf numFmtId="0" fontId="11" fillId="0" borderId="19" xfId="0" applyFont="1" applyBorder="1" applyAlignment="1">
      <alignment horizontal="left"/>
    </xf>
    <xf numFmtId="0" fontId="9" fillId="30" borderId="19" xfId="0" applyFont="1" applyFill="1" applyBorder="1" applyAlignment="1">
      <alignment horizontal="left" vertical="center" wrapText="1"/>
    </xf>
    <xf numFmtId="0" fontId="8" fillId="0" borderId="72" xfId="0" applyFont="1" applyBorder="1" applyAlignment="1">
      <alignment wrapText="1"/>
    </xf>
    <xf numFmtId="0" fontId="9" fillId="30" borderId="19" xfId="0" applyFont="1" applyFill="1" applyBorder="1" applyAlignment="1">
      <alignment horizontal="center" vertical="center"/>
    </xf>
    <xf numFmtId="0" fontId="9" fillId="30" borderId="20" xfId="0" applyFont="1" applyFill="1" applyBorder="1" applyAlignment="1">
      <alignment horizontal="center" vertical="center"/>
    </xf>
    <xf numFmtId="0" fontId="9" fillId="30" borderId="72" xfId="0" applyFont="1" applyFill="1" applyBorder="1" applyAlignment="1">
      <alignment horizontal="center" vertical="center"/>
    </xf>
    <xf numFmtId="0" fontId="21" fillId="31" borderId="19" xfId="0" applyFont="1" applyFill="1" applyBorder="1" applyAlignment="1">
      <alignment horizontal="center" vertical="center"/>
    </xf>
    <xf numFmtId="0" fontId="47" fillId="0" borderId="72" xfId="0" applyFont="1" applyBorder="1"/>
    <xf numFmtId="0" fontId="9" fillId="32" borderId="19" xfId="0" applyFont="1" applyFill="1" applyBorder="1" applyAlignment="1">
      <alignment horizontal="center" vertical="center"/>
    </xf>
    <xf numFmtId="0" fontId="10" fillId="0" borderId="73" xfId="0" applyFont="1" applyBorder="1" applyAlignment="1">
      <alignment horizontal="left" vertical="center" wrapText="1"/>
    </xf>
    <xf numFmtId="0" fontId="47" fillId="31" borderId="26" xfId="0" applyFont="1" applyFill="1" applyBorder="1" applyAlignment="1">
      <alignment horizontal="center" vertical="center"/>
    </xf>
    <xf numFmtId="0" fontId="47" fillId="0" borderId="74" xfId="0" applyFont="1" applyBorder="1"/>
    <xf numFmtId="0" fontId="9" fillId="32" borderId="26" xfId="0" applyFont="1" applyFill="1" applyBorder="1" applyAlignment="1">
      <alignment horizontal="center" vertical="center"/>
    </xf>
    <xf numFmtId="0" fontId="10" fillId="0" borderId="0" xfId="0" applyFont="1" applyBorder="1" applyAlignment="1">
      <alignment horizontal="left" vertical="center" wrapText="1"/>
    </xf>
    <xf numFmtId="0" fontId="9" fillId="30" borderId="19" xfId="0" applyFont="1" applyFill="1" applyBorder="1" applyAlignment="1">
      <alignment horizontal="left" vertical="center"/>
    </xf>
    <xf numFmtId="0" fontId="9" fillId="30" borderId="23" xfId="0" applyFont="1" applyFill="1" applyBorder="1" applyAlignment="1">
      <alignment horizontal="center" vertical="center"/>
    </xf>
    <xf numFmtId="0" fontId="8" fillId="0" borderId="22" xfId="0" applyFont="1" applyBorder="1"/>
    <xf numFmtId="0" fontId="9" fillId="30" borderId="23" xfId="0" applyFont="1" applyFill="1" applyBorder="1" applyAlignment="1">
      <alignment horizontal="center" vertical="center" wrapText="1"/>
    </xf>
    <xf numFmtId="0" fontId="16" fillId="33" borderId="0" xfId="0" applyFont="1" applyFill="1" applyAlignment="1">
      <alignment horizontal="center"/>
    </xf>
    <xf numFmtId="0" fontId="8" fillId="0" borderId="0" xfId="0" applyFont="1" applyAlignment="1">
      <alignment vertical="center"/>
    </xf>
    <xf numFmtId="0" fontId="16" fillId="0" borderId="3" xfId="0" applyFont="1" applyBorder="1" applyAlignment="1">
      <alignment horizontal="center" wrapText="1"/>
    </xf>
    <xf numFmtId="0" fontId="8" fillId="0" borderId="3" xfId="0" applyFont="1" applyBorder="1" applyAlignment="1">
      <alignment vertical="center"/>
    </xf>
    <xf numFmtId="0" fontId="16" fillId="0" borderId="13" xfId="0" applyFont="1" applyBorder="1" applyAlignment="1">
      <alignment horizontal="center" wrapText="1"/>
    </xf>
    <xf numFmtId="0" fontId="16" fillId="0" borderId="10" xfId="0" applyFont="1" applyBorder="1" applyAlignment="1">
      <alignment horizontal="center" wrapText="1"/>
    </xf>
    <xf numFmtId="0" fontId="16" fillId="0" borderId="11" xfId="0" applyFont="1" applyBorder="1" applyAlignment="1">
      <alignment horizontal="center" wrapText="1"/>
    </xf>
    <xf numFmtId="0" fontId="9" fillId="30" borderId="77" xfId="0" applyFont="1" applyFill="1" applyBorder="1" applyAlignment="1">
      <alignment horizontal="center" vertical="center"/>
    </xf>
    <xf numFmtId="0" fontId="8" fillId="0" borderId="78" xfId="0" applyFont="1" applyBorder="1" applyAlignment="1">
      <alignment vertical="center"/>
    </xf>
    <xf numFmtId="0" fontId="8" fillId="0" borderId="79" xfId="0" applyFont="1" applyBorder="1" applyAlignment="1">
      <alignment vertical="center"/>
    </xf>
    <xf numFmtId="0" fontId="16" fillId="0" borderId="3" xfId="0" applyFont="1" applyBorder="1" applyAlignment="1">
      <alignment horizontal="center"/>
    </xf>
    <xf numFmtId="0" fontId="10" fillId="0" borderId="3" xfId="0" applyFont="1" applyBorder="1" applyAlignment="1">
      <alignment vertical="center"/>
    </xf>
    <xf numFmtId="0" fontId="63" fillId="0" borderId="0" xfId="0" applyFont="1" applyAlignment="1">
      <alignment horizontal="center" vertical="center" wrapText="1"/>
    </xf>
    <xf numFmtId="0" fontId="66" fillId="0" borderId="0" xfId="0" applyFont="1" applyAlignment="1">
      <alignment horizontal="center" vertical="center" wrapText="1"/>
    </xf>
    <xf numFmtId="0" fontId="67" fillId="0" borderId="0" xfId="0" applyFont="1" applyAlignment="1">
      <alignment horizontal="center" vertical="center"/>
    </xf>
    <xf numFmtId="0" fontId="64" fillId="30" borderId="19" xfId="0" applyFont="1" applyFill="1" applyBorder="1" applyAlignment="1">
      <alignment horizontal="left" vertical="center"/>
    </xf>
    <xf numFmtId="0" fontId="67" fillId="0" borderId="20" xfId="0" applyFont="1" applyBorder="1" applyAlignment="1"/>
    <xf numFmtId="0" fontId="64" fillId="30" borderId="19" xfId="0" applyFont="1" applyFill="1" applyBorder="1" applyAlignment="1">
      <alignment horizontal="center" vertical="center" wrapText="1"/>
    </xf>
    <xf numFmtId="0" fontId="64" fillId="30" borderId="20" xfId="0" applyFont="1" applyFill="1" applyBorder="1" applyAlignment="1">
      <alignment horizontal="center" vertical="center" wrapText="1"/>
    </xf>
    <xf numFmtId="0" fontId="64" fillId="30" borderId="72" xfId="0" applyFont="1" applyFill="1" applyBorder="1" applyAlignment="1">
      <alignment horizontal="center" vertical="center" wrapText="1"/>
    </xf>
    <xf numFmtId="0" fontId="64" fillId="38" borderId="19" xfId="0" applyFont="1" applyFill="1" applyBorder="1" applyAlignment="1">
      <alignment horizontal="center" vertical="center" wrapText="1"/>
    </xf>
    <xf numFmtId="0" fontId="67" fillId="0" borderId="72" xfId="0" applyFont="1" applyBorder="1" applyAlignment="1">
      <alignment wrapText="1"/>
    </xf>
    <xf numFmtId="0" fontId="64" fillId="39" borderId="19" xfId="0" applyFont="1" applyFill="1" applyBorder="1" applyAlignment="1">
      <alignment horizontal="center" vertical="center"/>
    </xf>
    <xf numFmtId="0" fontId="67" fillId="0" borderId="72" xfId="0" applyFont="1" applyBorder="1" applyAlignment="1"/>
    <xf numFmtId="0" fontId="64" fillId="37" borderId="26" xfId="0" applyFont="1" applyFill="1" applyBorder="1" applyAlignment="1">
      <alignment horizontal="center" vertical="center"/>
    </xf>
    <xf numFmtId="0" fontId="67" fillId="0" borderId="74" xfId="0" applyFont="1" applyBorder="1" applyAlignment="1"/>
    <xf numFmtId="0" fontId="64" fillId="30" borderId="13" xfId="0" applyFont="1" applyFill="1" applyBorder="1" applyAlignment="1">
      <alignment horizontal="center" vertical="center"/>
    </xf>
    <xf numFmtId="0" fontId="67" fillId="0" borderId="10" xfId="0" applyFont="1" applyBorder="1" applyAlignment="1">
      <alignment vertical="center"/>
    </xf>
    <xf numFmtId="0" fontId="64" fillId="37" borderId="19" xfId="0" applyFont="1" applyFill="1" applyBorder="1" applyAlignment="1">
      <alignment horizontal="center" vertical="center" wrapText="1"/>
    </xf>
    <xf numFmtId="0" fontId="64" fillId="37" borderId="20" xfId="0" applyFont="1" applyFill="1" applyBorder="1" applyAlignment="1">
      <alignment horizontal="center" vertical="center" wrapText="1"/>
    </xf>
    <xf numFmtId="0" fontId="64" fillId="37" borderId="72" xfId="0" applyFont="1" applyFill="1" applyBorder="1" applyAlignment="1">
      <alignment horizontal="center" vertical="center" wrapText="1"/>
    </xf>
    <xf numFmtId="0" fontId="64" fillId="37" borderId="19" xfId="0" applyFont="1" applyFill="1" applyBorder="1" applyAlignment="1">
      <alignment horizontal="center" vertical="center"/>
    </xf>
    <xf numFmtId="0" fontId="64" fillId="30" borderId="19" xfId="0" applyFont="1" applyFill="1" applyBorder="1" applyAlignment="1">
      <alignment horizontal="left" vertical="center" wrapText="1"/>
    </xf>
    <xf numFmtId="0" fontId="65" fillId="0" borderId="13" xfId="0" applyFont="1" applyBorder="1" applyAlignment="1">
      <alignment horizontal="left" vertical="center" wrapText="1"/>
    </xf>
    <xf numFmtId="0" fontId="65" fillId="0" borderId="11" xfId="0" applyFont="1" applyBorder="1" applyAlignment="1">
      <alignment horizontal="left" vertical="center" wrapText="1"/>
    </xf>
    <xf numFmtId="0" fontId="65" fillId="0" borderId="13" xfId="0" applyFont="1" applyBorder="1" applyAlignment="1">
      <alignment horizontal="left" vertical="center"/>
    </xf>
    <xf numFmtId="0" fontId="65" fillId="0" borderId="11" xfId="0" applyFont="1" applyBorder="1" applyAlignment="1">
      <alignment horizontal="left" vertical="center"/>
    </xf>
    <xf numFmtId="0" fontId="67" fillId="0" borderId="13" xfId="0" applyFont="1" applyBorder="1" applyAlignment="1">
      <alignment horizontal="center" vertical="center"/>
    </xf>
    <xf numFmtId="0" fontId="67" fillId="0" borderId="11" xfId="0" applyFont="1" applyBorder="1" applyAlignment="1">
      <alignment horizontal="center" vertical="center"/>
    </xf>
    <xf numFmtId="44" fontId="63" fillId="0" borderId="3" xfId="0" applyNumberFormat="1" applyFont="1" applyBorder="1" applyAlignment="1">
      <alignment horizontal="center" vertical="center"/>
    </xf>
    <xf numFmtId="0" fontId="63" fillId="0" borderId="3" xfId="0" applyFont="1" applyBorder="1" applyAlignment="1">
      <alignment horizontal="center" vertical="center"/>
    </xf>
    <xf numFmtId="0" fontId="65" fillId="0" borderId="13" xfId="0" applyFont="1" applyBorder="1" applyAlignment="1">
      <alignment horizontal="left"/>
    </xf>
    <xf numFmtId="0" fontId="65" fillId="0" borderId="11" xfId="0" applyFont="1" applyBorder="1" applyAlignment="1">
      <alignment horizontal="left"/>
    </xf>
    <xf numFmtId="0" fontId="65" fillId="0" borderId="10" xfId="0" applyFont="1" applyBorder="1" applyAlignment="1">
      <alignment horizontal="left" vertical="center"/>
    </xf>
    <xf numFmtId="0" fontId="65" fillId="0" borderId="13" xfId="0" applyFont="1" applyBorder="1" applyAlignment="1">
      <alignment horizontal="center"/>
    </xf>
    <xf numFmtId="0" fontId="65" fillId="0" borderId="11" xfId="0" applyFont="1" applyBorder="1" applyAlignment="1">
      <alignment horizontal="center"/>
    </xf>
    <xf numFmtId="168" fontId="63" fillId="0" borderId="3" xfId="0" applyNumberFormat="1" applyFont="1" applyBorder="1" applyAlignment="1">
      <alignment horizontal="right"/>
    </xf>
    <xf numFmtId="0" fontId="63" fillId="0" borderId="3" xfId="0" applyFont="1" applyBorder="1" applyAlignment="1">
      <alignment horizontal="right"/>
    </xf>
    <xf numFmtId="0" fontId="65" fillId="0" borderId="7" xfId="0" applyFont="1" applyBorder="1" applyAlignment="1">
      <alignment horizontal="left"/>
    </xf>
    <xf numFmtId="0" fontId="65" fillId="0" borderId="9" xfId="0" applyFont="1" applyBorder="1" applyAlignment="1">
      <alignment horizontal="left"/>
    </xf>
    <xf numFmtId="0" fontId="67" fillId="0" borderId="7" xfId="0" applyFont="1" applyBorder="1" applyAlignment="1">
      <alignment horizontal="center"/>
    </xf>
    <xf numFmtId="0" fontId="67" fillId="0" borderId="9" xfId="0" applyFont="1" applyBorder="1" applyAlignment="1">
      <alignment horizontal="center"/>
    </xf>
    <xf numFmtId="44" fontId="63" fillId="0" borderId="3" xfId="0" applyNumberFormat="1" applyFont="1" applyBorder="1" applyAlignment="1">
      <alignment horizontal="center"/>
    </xf>
    <xf numFmtId="0" fontId="63" fillId="0" borderId="3" xfId="0" applyFont="1" applyBorder="1" applyAlignment="1">
      <alignment horizontal="center"/>
    </xf>
    <xf numFmtId="0" fontId="64" fillId="0" borderId="0" xfId="0" applyFont="1" applyAlignment="1">
      <alignment horizontal="center" vertical="center" wrapText="1"/>
    </xf>
    <xf numFmtId="0" fontId="66" fillId="0" borderId="73" xfId="0" applyFont="1" applyBorder="1" applyAlignment="1">
      <alignment horizontal="center"/>
    </xf>
    <xf numFmtId="0" fontId="66" fillId="0" borderId="82" xfId="0" applyFont="1" applyBorder="1" applyAlignment="1">
      <alignment horizontal="center"/>
    </xf>
    <xf numFmtId="0" fontId="66" fillId="0" borderId="13" xfId="0" applyFont="1" applyBorder="1" applyAlignment="1">
      <alignment horizontal="center"/>
    </xf>
    <xf numFmtId="0" fontId="66" fillId="0" borderId="10" xfId="0" applyFont="1" applyBorder="1" applyAlignment="1">
      <alignment horizontal="center"/>
    </xf>
    <xf numFmtId="0" fontId="66" fillId="0" borderId="11" xfId="0" applyFont="1" applyBorder="1" applyAlignment="1">
      <alignment horizontal="center"/>
    </xf>
    <xf numFmtId="0" fontId="65" fillId="0" borderId="4" xfId="0" applyFont="1" applyBorder="1" applyAlignment="1">
      <alignment horizontal="center" vertical="center" wrapText="1"/>
    </xf>
    <xf numFmtId="0" fontId="65" fillId="0" borderId="5" xfId="0" applyFont="1" applyBorder="1" applyAlignment="1">
      <alignment horizontal="center" vertical="center" wrapText="1"/>
    </xf>
    <xf numFmtId="0" fontId="65" fillId="0" borderId="6" xfId="0" applyFont="1" applyBorder="1" applyAlignment="1">
      <alignment horizontal="center" vertical="center" wrapText="1"/>
    </xf>
    <xf numFmtId="0" fontId="65" fillId="0" borderId="24" xfId="0" applyFont="1" applyBorder="1" applyAlignment="1">
      <alignment horizontal="center" vertical="center" wrapText="1"/>
    </xf>
    <xf numFmtId="0" fontId="65" fillId="0" borderId="0" xfId="0" applyFont="1" applyAlignment="1">
      <alignment horizontal="center" vertical="center" wrapText="1"/>
    </xf>
    <xf numFmtId="0" fontId="65" fillId="0" borderId="25" xfId="0" applyFont="1" applyBorder="1" applyAlignment="1">
      <alignment horizontal="center" vertical="center" wrapText="1"/>
    </xf>
    <xf numFmtId="0" fontId="65" fillId="0" borderId="7" xfId="0" applyFont="1" applyBorder="1" applyAlignment="1">
      <alignment horizontal="center" vertical="center" wrapText="1"/>
    </xf>
    <xf numFmtId="0" fontId="65" fillId="0" borderId="8" xfId="0" applyFont="1" applyBorder="1" applyAlignment="1">
      <alignment horizontal="center" vertical="center" wrapText="1"/>
    </xf>
    <xf numFmtId="0" fontId="65" fillId="0" borderId="9" xfId="0" applyFont="1" applyBorder="1" applyAlignment="1">
      <alignment horizontal="center" vertical="center" wrapText="1"/>
    </xf>
    <xf numFmtId="0" fontId="5" fillId="0" borderId="52" xfId="3" applyFont="1" applyBorder="1" applyAlignment="1">
      <alignment horizontal="center" vertical="center"/>
    </xf>
    <xf numFmtId="0" fontId="5" fillId="0" borderId="50" xfId="3" applyFont="1" applyBorder="1" applyAlignment="1">
      <alignment horizontal="center" vertical="center"/>
    </xf>
    <xf numFmtId="169" fontId="49" fillId="0" borderId="50" xfId="7" applyFont="1" applyFill="1" applyBorder="1" applyAlignment="1" applyProtection="1">
      <alignment horizontal="center" vertical="center" wrapText="1"/>
      <protection locked="0"/>
    </xf>
    <xf numFmtId="169" fontId="49" fillId="0" borderId="53" xfId="7" applyFont="1" applyFill="1" applyBorder="1" applyAlignment="1" applyProtection="1">
      <alignment horizontal="center" vertical="center" wrapText="1"/>
      <protection locked="0"/>
    </xf>
    <xf numFmtId="0" fontId="25" fillId="0" borderId="4" xfId="3" applyFont="1" applyFill="1" applyBorder="1" applyAlignment="1">
      <alignment horizontal="center" vertical="center" wrapText="1"/>
    </xf>
    <xf numFmtId="0" fontId="25" fillId="0" borderId="5" xfId="3" applyFont="1" applyFill="1" applyBorder="1" applyAlignment="1">
      <alignment horizontal="center" vertical="center" wrapText="1"/>
    </xf>
    <xf numFmtId="0" fontId="25" fillId="0" borderId="42" xfId="3" applyFont="1" applyFill="1" applyBorder="1" applyAlignment="1">
      <alignment horizontal="center" vertical="center" wrapText="1"/>
    </xf>
    <xf numFmtId="0" fontId="25" fillId="0" borderId="7" xfId="3" applyFont="1" applyFill="1" applyBorder="1" applyAlignment="1">
      <alignment horizontal="center" vertical="center" wrapText="1"/>
    </xf>
    <xf numFmtId="0" fontId="25" fillId="0" borderId="8" xfId="3" applyFont="1" applyFill="1" applyBorder="1" applyAlignment="1">
      <alignment horizontal="center" vertical="center" wrapText="1"/>
    </xf>
    <xf numFmtId="0" fontId="25" fillId="0" borderId="40" xfId="3" applyFont="1" applyFill="1" applyBorder="1" applyAlignment="1">
      <alignment horizontal="center" vertical="center" wrapText="1"/>
    </xf>
    <xf numFmtId="0" fontId="25" fillId="0" borderId="3" xfId="3" applyFont="1" applyBorder="1" applyAlignment="1">
      <alignment horizontal="center" vertical="center" wrapText="1"/>
    </xf>
    <xf numFmtId="0" fontId="6" fillId="0" borderId="41" xfId="3" applyFont="1" applyBorder="1" applyAlignment="1">
      <alignment horizontal="center" vertical="center"/>
    </xf>
    <xf numFmtId="0" fontId="6" fillId="0" borderId="3" xfId="3" applyFont="1" applyBorder="1" applyAlignment="1">
      <alignment horizontal="center" vertical="center"/>
    </xf>
    <xf numFmtId="176" fontId="6" fillId="0" borderId="3" xfId="3" applyNumberFormat="1" applyFont="1" applyBorder="1" applyAlignment="1">
      <alignment horizontal="center" vertical="center"/>
    </xf>
    <xf numFmtId="0" fontId="25" fillId="0" borderId="41" xfId="3" applyFont="1" applyBorder="1" applyAlignment="1">
      <alignment horizontal="center" vertical="center"/>
    </xf>
    <xf numFmtId="0" fontId="25" fillId="0" borderId="3" xfId="3" applyFont="1" applyBorder="1" applyAlignment="1">
      <alignment horizontal="center" vertical="center"/>
    </xf>
    <xf numFmtId="0" fontId="51" fillId="0" borderId="41" xfId="3" applyFont="1" applyBorder="1" applyAlignment="1" applyProtection="1">
      <alignment horizontal="left" vertical="top" wrapText="1"/>
      <protection locked="0"/>
    </xf>
    <xf numFmtId="0" fontId="51" fillId="0" borderId="3" xfId="3" applyFont="1" applyBorder="1" applyAlignment="1" applyProtection="1">
      <alignment horizontal="left" vertical="top" wrapText="1"/>
      <protection locked="0"/>
    </xf>
    <xf numFmtId="0" fontId="50" fillId="0" borderId="3" xfId="3" applyFont="1" applyBorder="1" applyAlignment="1">
      <alignment horizontal="center" vertical="center"/>
    </xf>
    <xf numFmtId="0" fontId="51" fillId="19" borderId="59" xfId="3" applyFont="1" applyFill="1" applyBorder="1" applyAlignment="1" applyProtection="1">
      <alignment horizontal="center" vertical="center" wrapText="1"/>
      <protection locked="0"/>
    </xf>
    <xf numFmtId="0" fontId="51" fillId="19" borderId="81" xfId="3" applyFont="1" applyFill="1" applyBorder="1" applyAlignment="1" applyProtection="1">
      <alignment horizontal="center" vertical="center" wrapText="1"/>
      <protection locked="0"/>
    </xf>
    <xf numFmtId="0" fontId="51" fillId="19" borderId="58" xfId="3" applyFont="1" applyFill="1" applyBorder="1" applyAlignment="1" applyProtection="1">
      <alignment horizontal="center" vertical="center" wrapText="1"/>
      <protection locked="0"/>
    </xf>
    <xf numFmtId="0" fontId="51" fillId="19" borderId="45" xfId="3" applyFont="1" applyFill="1" applyBorder="1" applyAlignment="1" applyProtection="1">
      <alignment horizontal="center" vertical="center" wrapText="1"/>
      <protection locked="0"/>
    </xf>
    <xf numFmtId="0" fontId="42" fillId="5" borderId="41" xfId="0" applyFont="1" applyFill="1" applyBorder="1" applyAlignment="1">
      <alignment horizontal="center" vertical="center" wrapText="1"/>
    </xf>
    <xf numFmtId="0" fontId="42" fillId="5" borderId="3" xfId="0" applyFont="1" applyFill="1" applyBorder="1" applyAlignment="1">
      <alignment horizontal="center" vertical="center" wrapText="1"/>
    </xf>
    <xf numFmtId="0" fontId="51" fillId="19" borderId="46" xfId="3" applyFont="1" applyFill="1" applyBorder="1" applyAlignment="1" applyProtection="1">
      <alignment horizontal="center" vertical="center" wrapText="1"/>
      <protection locked="0"/>
    </xf>
    <xf numFmtId="0" fontId="34" fillId="20" borderId="52" xfId="3" applyFont="1" applyFill="1" applyBorder="1" applyAlignment="1" applyProtection="1">
      <alignment horizontal="center" vertical="center"/>
      <protection locked="0"/>
    </xf>
    <xf numFmtId="0" fontId="34" fillId="20" borderId="50" xfId="3" applyFont="1" applyFill="1" applyBorder="1" applyAlignment="1" applyProtection="1">
      <alignment horizontal="center" vertical="center"/>
      <protection locked="0"/>
    </xf>
    <xf numFmtId="0" fontId="4" fillId="0" borderId="14" xfId="0" applyFont="1" applyBorder="1" applyAlignment="1">
      <alignment horizontal="right" wrapText="1"/>
    </xf>
    <xf numFmtId="0" fontId="4" fillId="0" borderId="3" xfId="0" applyFont="1" applyBorder="1" applyAlignment="1">
      <alignment horizontal="right" wrapText="1"/>
    </xf>
    <xf numFmtId="0" fontId="4" fillId="0" borderId="45" xfId="0" applyFont="1" applyBorder="1" applyAlignment="1">
      <alignment horizontal="right" wrapText="1"/>
    </xf>
    <xf numFmtId="0" fontId="5" fillId="22" borderId="31" xfId="3" applyFont="1" applyFill="1" applyBorder="1" applyAlignment="1">
      <alignment horizontal="center"/>
    </xf>
    <xf numFmtId="0" fontId="5" fillId="22" borderId="32" xfId="3" applyFont="1" applyFill="1" applyBorder="1" applyAlignment="1">
      <alignment horizontal="center"/>
    </xf>
    <xf numFmtId="0" fontId="5" fillId="22" borderId="33" xfId="3" applyFont="1" applyFill="1" applyBorder="1" applyAlignment="1">
      <alignment horizontal="center"/>
    </xf>
    <xf numFmtId="0" fontId="42" fillId="5" borderId="52" xfId="0" applyFont="1" applyFill="1" applyBorder="1" applyAlignment="1">
      <alignment horizontal="center" vertical="center" wrapText="1"/>
    </xf>
    <xf numFmtId="0" fontId="42" fillId="5" borderId="50" xfId="0" applyFont="1" applyFill="1" applyBorder="1" applyAlignment="1">
      <alignment horizontal="center" vertical="center" wrapText="1"/>
    </xf>
    <xf numFmtId="177" fontId="34" fillId="0" borderId="0" xfId="3" applyNumberFormat="1" applyFont="1" applyFill="1" applyBorder="1" applyAlignment="1" applyProtection="1">
      <alignment horizontal="center"/>
      <protection locked="0"/>
    </xf>
    <xf numFmtId="0" fontId="62" fillId="0" borderId="0" xfId="3" applyFont="1" applyFill="1" applyBorder="1" applyAlignment="1" applyProtection="1">
      <alignment horizontal="center"/>
      <protection locked="0"/>
    </xf>
    <xf numFmtId="0" fontId="42" fillId="5" borderId="44" xfId="0" applyFont="1" applyFill="1" applyBorder="1" applyAlignment="1">
      <alignment horizontal="center" vertical="center" wrapText="1"/>
    </xf>
    <xf numFmtId="0" fontId="42" fillId="5" borderId="45" xfId="0" applyFont="1" applyFill="1" applyBorder="1" applyAlignment="1">
      <alignment horizontal="center" vertical="center" wrapText="1"/>
    </xf>
    <xf numFmtId="0" fontId="5" fillId="0" borderId="0" xfId="3" applyFont="1" applyBorder="1" applyAlignment="1">
      <alignment horizontal="center"/>
    </xf>
    <xf numFmtId="0" fontId="5" fillId="0" borderId="5" xfId="3" applyFont="1" applyBorder="1" applyAlignment="1">
      <alignment horizontal="center"/>
    </xf>
    <xf numFmtId="0" fontId="10" fillId="0" borderId="0" xfId="0" applyFont="1" applyAlignment="1">
      <alignment horizontal="center"/>
    </xf>
    <xf numFmtId="0" fontId="5" fillId="0" borderId="3" xfId="3" applyFont="1" applyBorder="1" applyAlignment="1">
      <alignment horizontal="center" vertical="center" wrapText="1"/>
    </xf>
    <xf numFmtId="0" fontId="6" fillId="0" borderId="4" xfId="3" applyFont="1" applyBorder="1" applyAlignment="1">
      <alignment horizontal="left" vertical="top" wrapText="1"/>
    </xf>
    <xf numFmtId="0" fontId="6" fillId="0" borderId="5" xfId="3" applyFont="1" applyBorder="1" applyAlignment="1">
      <alignment horizontal="left" vertical="top" wrapText="1"/>
    </xf>
    <xf numFmtId="0" fontId="6" fillId="0" borderId="6" xfId="3" applyFont="1" applyBorder="1" applyAlignment="1">
      <alignment horizontal="left" vertical="top" wrapText="1"/>
    </xf>
    <xf numFmtId="0" fontId="6" fillId="0" borderId="7" xfId="3" applyFont="1" applyBorder="1" applyAlignment="1">
      <alignment horizontal="left" vertical="top" wrapText="1"/>
    </xf>
    <xf numFmtId="0" fontId="6" fillId="0" borderId="8" xfId="3" applyFont="1" applyBorder="1" applyAlignment="1">
      <alignment horizontal="left" vertical="top" wrapText="1"/>
    </xf>
    <xf numFmtId="0" fontId="6" fillId="0" borderId="9" xfId="3" applyFont="1" applyBorder="1" applyAlignment="1">
      <alignment horizontal="left" vertical="top" wrapText="1"/>
    </xf>
  </cellXfs>
  <cellStyles count="24">
    <cellStyle name="Hipervínculo 2" xfId="6" xr:uid="{00000000-0005-0000-0000-000000000000}"/>
    <cellStyle name="Millares" xfId="8" builtinId="3"/>
    <cellStyle name="Millares [0] 2" xfId="15" xr:uid="{00000000-0005-0000-0000-000002000000}"/>
    <cellStyle name="Millares 18" xfId="7" xr:uid="{00000000-0005-0000-0000-000003000000}"/>
    <cellStyle name="Millares 18 2" xfId="23" xr:uid="{00000000-0005-0000-0000-000004000000}"/>
    <cellStyle name="Millares 2" xfId="12" xr:uid="{00000000-0005-0000-0000-000005000000}"/>
    <cellStyle name="Millares 2 2" xfId="10" xr:uid="{00000000-0005-0000-0000-000006000000}"/>
    <cellStyle name="Millares 20" xfId="20" xr:uid="{00000000-0005-0000-0000-000007000000}"/>
    <cellStyle name="Moneda" xfId="1" builtinId="4"/>
    <cellStyle name="Moneda [0]" xfId="9" builtinId="7"/>
    <cellStyle name="Moneda [0] 2" xfId="13" xr:uid="{00000000-0005-0000-0000-00000A000000}"/>
    <cellStyle name="Moneda 2" xfId="16" xr:uid="{00000000-0005-0000-0000-00000B000000}"/>
    <cellStyle name="Moneda 2 2" xfId="14" xr:uid="{00000000-0005-0000-0000-00000C000000}"/>
    <cellStyle name="Normal" xfId="0" builtinId="0"/>
    <cellStyle name="Normal 2" xfId="4" xr:uid="{00000000-0005-0000-0000-00000E000000}"/>
    <cellStyle name="Normal 2 10 2" xfId="3" xr:uid="{00000000-0005-0000-0000-00000F000000}"/>
    <cellStyle name="Normal 2 2" xfId="5" xr:uid="{00000000-0005-0000-0000-000010000000}"/>
    <cellStyle name="Normal 2 3" xfId="18" xr:uid="{00000000-0005-0000-0000-000011000000}"/>
    <cellStyle name="Normal 4 3" xfId="11" xr:uid="{00000000-0005-0000-0000-000012000000}"/>
    <cellStyle name="Normal 40 3" xfId="22" xr:uid="{00000000-0005-0000-0000-000013000000}"/>
    <cellStyle name="Normal 48" xfId="19" xr:uid="{00000000-0005-0000-0000-000014000000}"/>
    <cellStyle name="Porcentaje" xfId="2" builtinId="5"/>
    <cellStyle name="Porcentaje 2" xfId="21" xr:uid="{00000000-0005-0000-0000-000016000000}"/>
    <cellStyle name="Porcentual 2 4" xfId="17" xr:uid="{00000000-0005-0000-0000-000017000000}"/>
  </cellStyles>
  <dxfs count="28">
    <dxf>
      <font>
        <b val="0"/>
        <i val="0"/>
        <strike val="0"/>
        <condense val="0"/>
        <extend val="0"/>
        <outline val="0"/>
        <shadow val="0"/>
        <u val="none"/>
        <vertAlign val="baseline"/>
        <sz val="9"/>
        <color theme="1"/>
        <name val="Arial"/>
        <scheme val="none"/>
      </font>
      <numFmt numFmtId="165" formatCode="_-&quot;$&quot;\ * #,##0.00_-;\-&quot;$&quot;\ * #,##0.00_-;_-&quot;$&quot;\ * &quot;-&quot;??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165" formatCode="_-&quot;$&quot;\ * #,##0.00_-;\-&quot;$&quot;\ * #,##0.00_-;_-&quot;$&quot;\ * &quot;-&quot;??_-;_-@"/>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scheme val="none"/>
      </font>
      <fill>
        <patternFill patternType="solid">
          <fgColor theme="0"/>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indexed="64"/>
        </left>
        <top style="thin">
          <color indexed="64"/>
        </top>
      </border>
    </dxf>
    <dxf>
      <font>
        <strike val="0"/>
        <outline val="0"/>
        <shadow val="0"/>
        <u val="none"/>
        <vertAlign val="baseline"/>
        <sz val="9"/>
        <name val="Arial"/>
        <scheme val="none"/>
      </font>
    </dxf>
    <dxf>
      <font>
        <strike val="0"/>
        <outline val="0"/>
        <shadow val="0"/>
        <u val="none"/>
        <vertAlign val="baseline"/>
        <sz val="9"/>
        <color theme="1"/>
        <name val="Arial"/>
        <scheme val="none"/>
      </font>
    </dxf>
    <dxf>
      <font>
        <strike val="0"/>
        <outline val="0"/>
        <shadow val="0"/>
        <u val="none"/>
        <vertAlign val="baseline"/>
        <sz val="9"/>
        <name val="Arial"/>
        <scheme val="none"/>
      </font>
      <numFmt numFmtId="34" formatCode="_-&quot;$&quot;\ * #,##0.00_-;\-&quot;$&quot;\ * #,##0.00_-;_-&quot;$&quot;\ * &quot;-&quot;??_-;_-@_-"/>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numFmt numFmtId="165" formatCode="_-&quot;$&quot;\ * #,##0.00_-;\-&quot;$&quot;\ * #,##0.00_-;_-&quot;$&quot;\ * &quot;-&quot;??_-;_-@"/>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numFmt numFmtId="164" formatCode="_-[$$-240A]\ * #,##0.00_-;\-[$$-240A]\ * #,##0.00_-;_-[$$-240A]\ * &quot;-&quot;??_-;_-@_-"/>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9"/>
        <color theme="1"/>
        <name val="Arial"/>
        <scheme val="none"/>
      </font>
      <numFmt numFmtId="164" formatCode="_-[$$-240A]\ * #,##0.00_-;\-[$$-240A]\ * #,##0.00_-;_-[$$-240A]\ * &quot;-&quot;??_-;_-@_-"/>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sz val="9"/>
        <name val="Arial"/>
        <scheme val="none"/>
      </font>
    </dxf>
    <dxf>
      <font>
        <b val="0"/>
        <i val="0"/>
        <strike val="0"/>
        <condense val="0"/>
        <extend val="0"/>
        <outline val="0"/>
        <shadow val="0"/>
        <u val="none"/>
        <vertAlign val="baseline"/>
        <sz val="9"/>
        <color theme="1"/>
        <name val="Arial"/>
        <scheme val="none"/>
      </font>
      <numFmt numFmtId="2" formatCode="0.00"/>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Arial"/>
        <scheme val="none"/>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name val="Arial"/>
        <scheme val="none"/>
      </font>
      <fill>
        <patternFill patternType="solid">
          <fgColor theme="0"/>
          <bgColor theme="0"/>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left style="thin">
          <color indexed="64"/>
        </left>
        <top style="thin">
          <color indexed="64"/>
        </top>
      </border>
    </dxf>
    <dxf>
      <font>
        <strike val="0"/>
        <outline val="0"/>
        <shadow val="0"/>
        <u val="none"/>
        <vertAlign val="baseline"/>
        <sz val="9"/>
        <name val="Arial"/>
        <scheme val="none"/>
      </font>
    </dxf>
    <dxf>
      <font>
        <strike val="0"/>
        <outline val="0"/>
        <shadow val="0"/>
        <u val="none"/>
        <vertAlign val="baseline"/>
        <sz val="9"/>
        <color theme="1"/>
        <name val="Arial"/>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1"/>
          <c:order val="0"/>
          <c:tx>
            <c:strRef>
              <c:f>ejecución!$E$11</c:f>
              <c:strCache>
                <c:ptCount val="1"/>
                <c:pt idx="0">
                  <c:v>total</c:v>
                </c:pt>
              </c:strCache>
            </c:strRef>
          </c:tx>
          <c:spPr>
            <a:ln w="19050" cap="rnd">
              <a:solidFill>
                <a:srgbClr val="FF0000"/>
              </a:solidFill>
              <a:prstDash val="sysDash"/>
              <a:round/>
            </a:ln>
            <a:effectLst/>
          </c:spPr>
          <c:marker>
            <c:symbol val="circle"/>
            <c:size val="5"/>
            <c:spPr>
              <a:solidFill>
                <a:schemeClr val="accent2"/>
              </a:solidFill>
              <a:ln w="9525">
                <a:solidFill>
                  <a:schemeClr val="accent2"/>
                </a:solidFill>
              </a:ln>
              <a:effectLst/>
            </c:spPr>
          </c:marker>
          <c:dLbls>
            <c:dLbl>
              <c:idx val="0"/>
              <c:layout>
                <c:manualLayout>
                  <c:x val="-4.1732935501255274E-3"/>
                  <c:y val="0.1020041111443219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89C-4516-8F2B-3FAE64A1B3B9}"/>
                </c:ext>
              </c:extLst>
            </c:dLbl>
            <c:numFmt formatCode="_(&quot;$&quot;* #,##0.00_);_(&quot;$&quot;* \(#,##0.00\);_(&quot;$&quot;* &quot;-&quot;??_);_(@_)"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xVal>
            <c:numRef>
              <c:f>ejecución!$H$1:$L$1</c:f>
              <c:numCache>
                <c:formatCode>"Mes"\ 0</c:formatCode>
                <c:ptCount val="5"/>
                <c:pt idx="0">
                  <c:v>1</c:v>
                </c:pt>
                <c:pt idx="1">
                  <c:v>2</c:v>
                </c:pt>
                <c:pt idx="2">
                  <c:v>3</c:v>
                </c:pt>
                <c:pt idx="3">
                  <c:v>4</c:v>
                </c:pt>
                <c:pt idx="4">
                  <c:v>5</c:v>
                </c:pt>
              </c:numCache>
            </c:numRef>
          </c:xVal>
          <c:yVal>
            <c:numRef>
              <c:f>ejecución!$H$11:$K$11</c:f>
              <c:numCache>
                <c:formatCode>_("$"* #,##0.00_);_("$"* \(#,##0.00\);_("$"* "-"??_);_(@_)</c:formatCode>
                <c:ptCount val="4"/>
                <c:pt idx="0">
                  <c:v>576.01861714386041</c:v>
                </c:pt>
                <c:pt idx="1">
                  <c:v>403.89755847673888</c:v>
                </c:pt>
                <c:pt idx="2">
                  <c:v>233.05149111494097</c:v>
                </c:pt>
                <c:pt idx="3">
                  <c:v>81.248821264459735</c:v>
                </c:pt>
              </c:numCache>
            </c:numRef>
          </c:yVal>
          <c:smooth val="0"/>
          <c:extLst>
            <c:ext xmlns:c16="http://schemas.microsoft.com/office/drawing/2014/chart" uri="{C3380CC4-5D6E-409C-BE32-E72D297353CC}">
              <c16:uniqueId val="{00000001-289C-4516-8F2B-3FAE64A1B3B9}"/>
            </c:ext>
          </c:extLst>
        </c:ser>
        <c:ser>
          <c:idx val="4"/>
          <c:order val="1"/>
          <c:tx>
            <c:strRef>
              <c:f>ejecución!$E$15</c:f>
              <c:strCache>
                <c:ptCount val="1"/>
                <c:pt idx="0">
                  <c:v>acumulada</c:v>
                </c:pt>
              </c:strCache>
            </c:strRef>
          </c:tx>
          <c:spPr>
            <a:ln w="19050" cap="rnd">
              <a:solidFill>
                <a:schemeClr val="accent5"/>
              </a:solidFill>
              <a:round/>
            </a:ln>
            <a:effectLst/>
          </c:spPr>
          <c:marker>
            <c:symbol val="circle"/>
            <c:size val="5"/>
            <c:spPr>
              <a:solidFill>
                <a:schemeClr val="accent5"/>
              </a:solidFill>
              <a:ln w="9525">
                <a:solidFill>
                  <a:schemeClr val="accent5"/>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yVal>
            <c:numRef>
              <c:f>ejecución!$H$15:$K$15</c:f>
              <c:numCache>
                <c:formatCode>_("$"* #,##0.00_);_("$"* \(#,##0.00\);_("$"* "-"??_);_(@_)</c:formatCode>
                <c:ptCount val="4"/>
                <c:pt idx="0">
                  <c:v>576.01861714386041</c:v>
                </c:pt>
                <c:pt idx="1">
                  <c:v>979.91617562059923</c:v>
                </c:pt>
                <c:pt idx="2">
                  <c:v>1212.9676667355402</c:v>
                </c:pt>
                <c:pt idx="3">
                  <c:v>1294.216488</c:v>
                </c:pt>
              </c:numCache>
            </c:numRef>
          </c:yVal>
          <c:smooth val="0"/>
          <c:extLst>
            <c:ext xmlns:c16="http://schemas.microsoft.com/office/drawing/2014/chart" uri="{C3380CC4-5D6E-409C-BE32-E72D297353CC}">
              <c16:uniqueId val="{00000002-289C-4516-8F2B-3FAE64A1B3B9}"/>
            </c:ext>
          </c:extLst>
        </c:ser>
        <c:dLbls>
          <c:showLegendKey val="0"/>
          <c:showVal val="0"/>
          <c:showCatName val="0"/>
          <c:showSerName val="0"/>
          <c:showPercent val="0"/>
          <c:showBubbleSize val="0"/>
        </c:dLbls>
        <c:axId val="1553745728"/>
        <c:axId val="1553747904"/>
      </c:scatterChart>
      <c:valAx>
        <c:axId val="1553747904"/>
        <c:scaling>
          <c:orientation val="minMax"/>
        </c:scaling>
        <c:delete val="0"/>
        <c:axPos val="l"/>
        <c:numFmt formatCode="_(&quot;$&quot;* #,##0.00_);_(&quot;$&quot;* \(#,##0.00\);_(&quot;$&quot;* &quot;-&quot;??_);_(@_)"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53745728"/>
        <c:crosses val="autoZero"/>
        <c:crossBetween val="midCat"/>
      </c:valAx>
      <c:valAx>
        <c:axId val="1553745728"/>
        <c:scaling>
          <c:orientation val="minMax"/>
        </c:scaling>
        <c:delete val="1"/>
        <c:axPos val="b"/>
        <c:numFmt formatCode="&quot;Mes&quot;\ 0" sourceLinked="1"/>
        <c:majorTickMark val="out"/>
        <c:minorTickMark val="none"/>
        <c:tickLblPos val="nextTo"/>
        <c:crossAx val="1553747904"/>
        <c:crosses val="autoZero"/>
        <c:crossBetween val="midCat"/>
      </c:valAx>
      <c:spPr>
        <a:solidFill>
          <a:schemeClr val="accent1">
            <a:alpha val="6000"/>
          </a:schemeClr>
        </a:solid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chart" Target="../charts/chart1.xml"/><Relationship Id="rId5" Type="http://schemas.microsoft.com/office/2007/relationships/hdphoto" Target="../media/hdphoto2.wdp"/><Relationship Id="rId4"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243987</xdr:colOff>
      <xdr:row>0</xdr:row>
      <xdr:rowOff>95983</xdr:rowOff>
    </xdr:from>
    <xdr:to>
      <xdr:col>1</xdr:col>
      <xdr:colOff>1539387</xdr:colOff>
      <xdr:row>0</xdr:row>
      <xdr:rowOff>705583</xdr:rowOff>
    </xdr:to>
    <xdr:pic>
      <xdr:nvPicPr>
        <xdr:cNvPr id="2" name="Imagen 39" descr="Logo CSJ RGB_0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987" y="95983"/>
          <a:ext cx="17621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243987</xdr:colOff>
      <xdr:row>26</xdr:row>
      <xdr:rowOff>95983</xdr:rowOff>
    </xdr:from>
    <xdr:to>
      <xdr:col>1</xdr:col>
      <xdr:colOff>1539387</xdr:colOff>
      <xdr:row>26</xdr:row>
      <xdr:rowOff>705583</xdr:rowOff>
    </xdr:to>
    <xdr:pic>
      <xdr:nvPicPr>
        <xdr:cNvPr id="2" name="Imagen 39" descr="Logo CSJ RGB_0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987" y="95983"/>
          <a:ext cx="1847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243987</xdr:colOff>
      <xdr:row>25</xdr:row>
      <xdr:rowOff>95983</xdr:rowOff>
    </xdr:from>
    <xdr:to>
      <xdr:col>1</xdr:col>
      <xdr:colOff>1539387</xdr:colOff>
      <xdr:row>25</xdr:row>
      <xdr:rowOff>705583</xdr:rowOff>
    </xdr:to>
    <xdr:pic>
      <xdr:nvPicPr>
        <xdr:cNvPr id="2" name="Imagen 39" descr="Logo CSJ RGB_0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987" y="4106008"/>
          <a:ext cx="1847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148737</xdr:colOff>
      <xdr:row>25</xdr:row>
      <xdr:rowOff>123197</xdr:rowOff>
    </xdr:from>
    <xdr:to>
      <xdr:col>12</xdr:col>
      <xdr:colOff>1444137</xdr:colOff>
      <xdr:row>25</xdr:row>
      <xdr:rowOff>732797</xdr:rowOff>
    </xdr:to>
    <xdr:pic>
      <xdr:nvPicPr>
        <xdr:cNvPr id="3" name="Imagen 39" descr="Logo CSJ RGB_01">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572308" y="4164518"/>
          <a:ext cx="205740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243987</xdr:colOff>
      <xdr:row>25</xdr:row>
      <xdr:rowOff>95983</xdr:rowOff>
    </xdr:from>
    <xdr:to>
      <xdr:col>1</xdr:col>
      <xdr:colOff>1539387</xdr:colOff>
      <xdr:row>25</xdr:row>
      <xdr:rowOff>705583</xdr:rowOff>
    </xdr:to>
    <xdr:pic>
      <xdr:nvPicPr>
        <xdr:cNvPr id="4" name="Imagen 39" descr="Logo CSJ RGB_01">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987" y="4925158"/>
          <a:ext cx="1847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243987</xdr:colOff>
      <xdr:row>25</xdr:row>
      <xdr:rowOff>95983</xdr:rowOff>
    </xdr:from>
    <xdr:to>
      <xdr:col>1</xdr:col>
      <xdr:colOff>1539387</xdr:colOff>
      <xdr:row>25</xdr:row>
      <xdr:rowOff>705583</xdr:rowOff>
    </xdr:to>
    <xdr:pic>
      <xdr:nvPicPr>
        <xdr:cNvPr id="2" name="Imagen 39" descr="Logo CSJ RGB_01">
          <a:extLst>
            <a:ext uri="{FF2B5EF4-FFF2-40B4-BE49-F238E27FC236}">
              <a16:creationId xmlns:a16="http://schemas.microsoft.com/office/drawing/2014/main" id="{73A383EA-EC50-45DE-A43C-EED8248161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987" y="4687033"/>
          <a:ext cx="1847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243987</xdr:colOff>
      <xdr:row>25</xdr:row>
      <xdr:rowOff>95983</xdr:rowOff>
    </xdr:from>
    <xdr:to>
      <xdr:col>1</xdr:col>
      <xdr:colOff>1539387</xdr:colOff>
      <xdr:row>25</xdr:row>
      <xdr:rowOff>705583</xdr:rowOff>
    </xdr:to>
    <xdr:pic>
      <xdr:nvPicPr>
        <xdr:cNvPr id="4" name="Imagen 39" descr="Logo CSJ RGB_01">
          <a:extLst>
            <a:ext uri="{FF2B5EF4-FFF2-40B4-BE49-F238E27FC236}">
              <a16:creationId xmlns:a16="http://schemas.microsoft.com/office/drawing/2014/main" id="{F65562AF-A890-4281-B0AF-CF218FF7D0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987" y="4687033"/>
          <a:ext cx="1847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0</xdr:rowOff>
    </xdr:from>
    <xdr:to>
      <xdr:col>1</xdr:col>
      <xdr:colOff>1295400</xdr:colOff>
      <xdr:row>5</xdr:row>
      <xdr:rowOff>47625</xdr:rowOff>
    </xdr:to>
    <xdr:pic>
      <xdr:nvPicPr>
        <xdr:cNvPr id="2" name="Imagen 39" descr="Logo CSJ RGB_0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8478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536356</xdr:colOff>
      <xdr:row>25</xdr:row>
      <xdr:rowOff>83491</xdr:rowOff>
    </xdr:from>
    <xdr:to>
      <xdr:col>14</xdr:col>
      <xdr:colOff>179294</xdr:colOff>
      <xdr:row>34</xdr:row>
      <xdr:rowOff>112058</xdr:rowOff>
    </xdr:to>
    <xdr:graphicFrame macro="">
      <xdr:nvGraphicFramePr>
        <xdr:cNvPr id="6" name="Gráfico 5">
          <a:extLst>
            <a:ext uri="{FF2B5EF4-FFF2-40B4-BE49-F238E27FC236}">
              <a16:creationId xmlns:a16="http://schemas.microsoft.com/office/drawing/2014/main" id="{00000000-0008-0000-07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789081</xdr:colOff>
      <xdr:row>14</xdr:row>
      <xdr:rowOff>87923</xdr:rowOff>
    </xdr:from>
    <xdr:to>
      <xdr:col>3</xdr:col>
      <xdr:colOff>179826</xdr:colOff>
      <xdr:row>18</xdr:row>
      <xdr:rowOff>192735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2">
          <a:duotone>
            <a:prstClr val="black"/>
            <a:schemeClr val="tx1">
              <a:tint val="45000"/>
              <a:satMod val="400000"/>
            </a:schemeClr>
          </a:duotone>
          <a:extLst>
            <a:ext uri="{BEBA8EAE-BF5A-486C-A8C5-ECC9F3942E4B}">
              <a14:imgProps xmlns:a14="http://schemas.microsoft.com/office/drawing/2010/main">
                <a14:imgLayer r:embed="rId3">
                  <a14:imgEffect>
                    <a14:backgroundRemoval t="70892" b="96766" l="10000" r="90000"/>
                  </a14:imgEffect>
                  <a14:imgEffect>
                    <a14:brightnessContrast bright="-40000" contrast="40000"/>
                  </a14:imgEffect>
                </a14:imgLayer>
              </a14:imgProps>
            </a:ext>
          </a:extLst>
        </a:blip>
        <a:srcRect t="67658"/>
        <a:stretch/>
      </xdr:blipFill>
      <xdr:spPr>
        <a:xfrm>
          <a:off x="2418184" y="2886302"/>
          <a:ext cx="1131521" cy="866812"/>
        </a:xfrm>
        <a:prstGeom prst="rect">
          <a:avLst/>
        </a:prstGeom>
      </xdr:spPr>
    </xdr:pic>
    <xdr:clientData/>
  </xdr:twoCellAnchor>
  <xdr:twoCellAnchor editAs="oneCell">
    <xdr:from>
      <xdr:col>0</xdr:col>
      <xdr:colOff>571500</xdr:colOff>
      <xdr:row>15</xdr:row>
      <xdr:rowOff>134470</xdr:rowOff>
    </xdr:from>
    <xdr:to>
      <xdr:col>4</xdr:col>
      <xdr:colOff>27454</xdr:colOff>
      <xdr:row>32</xdr:row>
      <xdr:rowOff>166407</xdr:rowOff>
    </xdr:to>
    <xdr:pic>
      <xdr:nvPicPr>
        <xdr:cNvPr id="3" name="Imagen 2" descr="File:Valle del Cauca.PNG">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a:extLst>
            <a:ext uri="{BEBA8EAE-BF5A-486C-A8C5-ECC9F3942E4B}">
              <a14:imgProps xmlns:a14="http://schemas.microsoft.com/office/drawing/2010/main">
                <a14:imgLayer r:embed="rId5">
                  <a14:imgEffect>
                    <a14:backgroundRemoval t="255" b="100000" l="0" r="100000"/>
                  </a14:imgEffect>
                </a14:imgLayer>
              </a14:imgProps>
            </a:ext>
            <a:ext uri="{28A0092B-C50C-407E-A947-70E740481C1C}">
              <a14:useLocalDpi xmlns:a14="http://schemas.microsoft.com/office/drawing/2010/main" val="0"/>
            </a:ext>
          </a:extLst>
        </a:blip>
        <a:srcRect/>
        <a:stretch>
          <a:fillRect/>
        </a:stretch>
      </xdr:blipFill>
      <xdr:spPr bwMode="auto">
        <a:xfrm>
          <a:off x="571500" y="3955676"/>
          <a:ext cx="3590925" cy="37298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620316</xdr:colOff>
      <xdr:row>15</xdr:row>
      <xdr:rowOff>93039</xdr:rowOff>
    </xdr:from>
    <xdr:to>
      <xdr:col>3</xdr:col>
      <xdr:colOff>31808</xdr:colOff>
      <xdr:row>16</xdr:row>
      <xdr:rowOff>21602</xdr:rowOff>
    </xdr:to>
    <xdr:sp macro="" textlink="">
      <xdr:nvSpPr>
        <xdr:cNvPr id="7" name="Elipse 6">
          <a:extLst>
            <a:ext uri="{FF2B5EF4-FFF2-40B4-BE49-F238E27FC236}">
              <a16:creationId xmlns:a16="http://schemas.microsoft.com/office/drawing/2014/main" id="{00000000-0008-0000-0700-000007000000}"/>
            </a:ext>
          </a:extLst>
        </xdr:cNvPr>
        <xdr:cNvSpPr/>
      </xdr:nvSpPr>
      <xdr:spPr>
        <a:xfrm>
          <a:off x="3287316" y="3086610"/>
          <a:ext cx="119063" cy="119063"/>
        </a:xfrm>
        <a:prstGeom prst="ellipse">
          <a:avLst/>
        </a:prstGeom>
        <a:ln w="3175">
          <a:solidFill>
            <a:schemeClr val="tx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s-CO" sz="700">
              <a:solidFill>
                <a:sysClr val="windowText" lastClr="000000"/>
              </a:solidFill>
            </a:rPr>
            <a:t>1</a:t>
          </a:r>
          <a:endParaRPr lang="es-CO" sz="1100">
            <a:solidFill>
              <a:sysClr val="windowText" lastClr="000000"/>
            </a:solidFill>
          </a:endParaRPr>
        </a:p>
      </xdr:txBody>
    </xdr:sp>
    <xdr:clientData/>
  </xdr:twoCellAnchor>
  <xdr:twoCellAnchor>
    <xdr:from>
      <xdr:col>1</xdr:col>
      <xdr:colOff>850812</xdr:colOff>
      <xdr:row>29</xdr:row>
      <xdr:rowOff>90858</xdr:rowOff>
    </xdr:from>
    <xdr:to>
      <xdr:col>1</xdr:col>
      <xdr:colOff>969875</xdr:colOff>
      <xdr:row>30</xdr:row>
      <xdr:rowOff>19421</xdr:rowOff>
    </xdr:to>
    <xdr:sp macro="" textlink="">
      <xdr:nvSpPr>
        <xdr:cNvPr id="9" name="Elipse 8">
          <a:extLst>
            <a:ext uri="{FF2B5EF4-FFF2-40B4-BE49-F238E27FC236}">
              <a16:creationId xmlns:a16="http://schemas.microsoft.com/office/drawing/2014/main" id="{00000000-0008-0000-0700-000009000000}"/>
            </a:ext>
          </a:extLst>
        </xdr:cNvPr>
        <xdr:cNvSpPr/>
      </xdr:nvSpPr>
      <xdr:spPr>
        <a:xfrm>
          <a:off x="2475665" y="7038505"/>
          <a:ext cx="119063" cy="119063"/>
        </a:xfrm>
        <a:prstGeom prst="ellipse">
          <a:avLst/>
        </a:prstGeom>
        <a:solidFill>
          <a:schemeClr val="accent1">
            <a:lumMod val="20000"/>
            <a:lumOff val="80000"/>
          </a:schemeClr>
        </a:solidFill>
        <a:ln w="3175">
          <a:solidFill>
            <a:schemeClr val="tx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s-CO" sz="900">
              <a:solidFill>
                <a:sysClr val="windowText" lastClr="000000"/>
              </a:solidFill>
            </a:rPr>
            <a:t>1</a:t>
          </a:r>
        </a:p>
      </xdr:txBody>
    </xdr:sp>
    <xdr:clientData/>
  </xdr:twoCellAnchor>
  <xdr:twoCellAnchor>
    <xdr:from>
      <xdr:col>1</xdr:col>
      <xdr:colOff>103035</xdr:colOff>
      <xdr:row>30</xdr:row>
      <xdr:rowOff>86549</xdr:rowOff>
    </xdr:from>
    <xdr:to>
      <xdr:col>1</xdr:col>
      <xdr:colOff>222098</xdr:colOff>
      <xdr:row>31</xdr:row>
      <xdr:rowOff>15112</xdr:rowOff>
    </xdr:to>
    <xdr:sp macro="" textlink="">
      <xdr:nvSpPr>
        <xdr:cNvPr id="11" name="Elipse 10">
          <a:extLst>
            <a:ext uri="{FF2B5EF4-FFF2-40B4-BE49-F238E27FC236}">
              <a16:creationId xmlns:a16="http://schemas.microsoft.com/office/drawing/2014/main" id="{00000000-0008-0000-0700-00000B000000}"/>
            </a:ext>
          </a:extLst>
        </xdr:cNvPr>
        <xdr:cNvSpPr/>
      </xdr:nvSpPr>
      <xdr:spPr>
        <a:xfrm>
          <a:off x="1729612" y="6226511"/>
          <a:ext cx="119063" cy="119063"/>
        </a:xfrm>
        <a:prstGeom prst="ellipse">
          <a:avLst/>
        </a:prstGeom>
        <a:solidFill>
          <a:schemeClr val="accent2">
            <a:lumMod val="60000"/>
            <a:lumOff val="40000"/>
          </a:schemeClr>
        </a:solidFill>
        <a:ln w="3175">
          <a:solidFill>
            <a:schemeClr val="tx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s-CO" sz="800">
              <a:solidFill>
                <a:sysClr val="windowText" lastClr="000000"/>
              </a:solidFill>
            </a:rPr>
            <a:t>2</a:t>
          </a:r>
          <a:endParaRPr lang="es-CO" sz="1100">
            <a:solidFill>
              <a:sysClr val="windowText" lastClr="000000"/>
            </a:solidFill>
          </a:endParaRPr>
        </a:p>
      </xdr:txBody>
    </xdr:sp>
    <xdr:clientData/>
  </xdr:twoCellAnchor>
  <xdr:twoCellAnchor>
    <xdr:from>
      <xdr:col>2</xdr:col>
      <xdr:colOff>702549</xdr:colOff>
      <xdr:row>24</xdr:row>
      <xdr:rowOff>158094</xdr:rowOff>
    </xdr:from>
    <xdr:to>
      <xdr:col>3</xdr:col>
      <xdr:colOff>115641</xdr:colOff>
      <xdr:row>25</xdr:row>
      <xdr:rowOff>86657</xdr:rowOff>
    </xdr:to>
    <xdr:sp macro="" textlink="">
      <xdr:nvSpPr>
        <xdr:cNvPr id="13" name="Elipse 12">
          <a:extLst>
            <a:ext uri="{FF2B5EF4-FFF2-40B4-BE49-F238E27FC236}">
              <a16:creationId xmlns:a16="http://schemas.microsoft.com/office/drawing/2014/main" id="{00000000-0008-0000-0700-00000D000000}"/>
            </a:ext>
          </a:extLst>
        </xdr:cNvPr>
        <xdr:cNvSpPr/>
      </xdr:nvSpPr>
      <xdr:spPr>
        <a:xfrm>
          <a:off x="3369549" y="6153241"/>
          <a:ext cx="119063" cy="119063"/>
        </a:xfrm>
        <a:prstGeom prst="ellipse">
          <a:avLst/>
        </a:prstGeom>
        <a:solidFill>
          <a:schemeClr val="bg2">
            <a:lumMod val="50000"/>
          </a:schemeClr>
        </a:solidFill>
        <a:ln w="3175">
          <a:solidFill>
            <a:schemeClr val="tx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s-CO" sz="900" b="0">
              <a:solidFill>
                <a:schemeClr val="bg1"/>
              </a:solidFill>
            </a:rPr>
            <a:t>1</a:t>
          </a:r>
          <a:endParaRPr lang="es-CO" sz="1100" b="0">
            <a:solidFill>
              <a:schemeClr val="bg1"/>
            </a:solidFill>
          </a:endParaRPr>
        </a:p>
      </xdr:txBody>
    </xdr:sp>
    <xdr:clientData/>
  </xdr:twoCellAnchor>
  <xdr:oneCellAnchor>
    <xdr:from>
      <xdr:col>2</xdr:col>
      <xdr:colOff>600807</xdr:colOff>
      <xdr:row>28</xdr:row>
      <xdr:rowOff>102576</xdr:rowOff>
    </xdr:from>
    <xdr:ext cx="619337" cy="264560"/>
    <xdr:sp macro="" textlink="">
      <xdr:nvSpPr>
        <xdr:cNvPr id="5" name="CuadroTexto 4">
          <a:extLst>
            <a:ext uri="{FF2B5EF4-FFF2-40B4-BE49-F238E27FC236}">
              <a16:creationId xmlns:a16="http://schemas.microsoft.com/office/drawing/2014/main" id="{00000000-0008-0000-0700-000005000000}"/>
            </a:ext>
          </a:extLst>
        </xdr:cNvPr>
        <xdr:cNvSpPr txBox="1"/>
      </xdr:nvSpPr>
      <xdr:spPr>
        <a:xfrm>
          <a:off x="3267807" y="5861538"/>
          <a:ext cx="61933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Pal</a:t>
          </a:r>
          <a:r>
            <a:rPr lang="es-CO" sz="1100" baseline="0"/>
            <a:t>mira</a:t>
          </a:r>
          <a:endParaRPr lang="es-CO" sz="1100"/>
        </a:p>
      </xdr:txBody>
    </xdr:sp>
    <xdr:clientData/>
  </xdr:oneCellAnchor>
  <xdr:oneCellAnchor>
    <xdr:from>
      <xdr:col>3</xdr:col>
      <xdr:colOff>76716</xdr:colOff>
      <xdr:row>24</xdr:row>
      <xdr:rowOff>108179</xdr:rowOff>
    </xdr:from>
    <xdr:ext cx="501612" cy="264560"/>
    <xdr:sp macro="" textlink="">
      <xdr:nvSpPr>
        <xdr:cNvPr id="15" name="CuadroTexto 14">
          <a:extLst>
            <a:ext uri="{FF2B5EF4-FFF2-40B4-BE49-F238E27FC236}">
              <a16:creationId xmlns:a16="http://schemas.microsoft.com/office/drawing/2014/main" id="{00000000-0008-0000-0700-00000F000000}"/>
            </a:ext>
          </a:extLst>
        </xdr:cNvPr>
        <xdr:cNvSpPr txBox="1"/>
      </xdr:nvSpPr>
      <xdr:spPr>
        <a:xfrm>
          <a:off x="3449687" y="6103326"/>
          <a:ext cx="50161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Tuluá</a:t>
          </a:r>
        </a:p>
      </xdr:txBody>
    </xdr:sp>
    <xdr:clientData/>
  </xdr:oneCellAnchor>
  <xdr:oneCellAnchor>
    <xdr:from>
      <xdr:col>0</xdr:col>
      <xdr:colOff>959826</xdr:colOff>
      <xdr:row>30</xdr:row>
      <xdr:rowOff>161191</xdr:rowOff>
    </xdr:from>
    <xdr:ext cx="993670" cy="264560"/>
    <xdr:sp macro="" textlink="">
      <xdr:nvSpPr>
        <xdr:cNvPr id="16" name="CuadroTexto 15">
          <a:extLst>
            <a:ext uri="{FF2B5EF4-FFF2-40B4-BE49-F238E27FC236}">
              <a16:creationId xmlns:a16="http://schemas.microsoft.com/office/drawing/2014/main" id="{00000000-0008-0000-0700-000010000000}"/>
            </a:ext>
          </a:extLst>
        </xdr:cNvPr>
        <xdr:cNvSpPr txBox="1"/>
      </xdr:nvSpPr>
      <xdr:spPr>
        <a:xfrm>
          <a:off x="959826" y="6301153"/>
          <a:ext cx="99367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Buenaventura</a:t>
          </a:r>
        </a:p>
      </xdr:txBody>
    </xdr:sp>
    <xdr:clientData/>
  </xdr:oneCellAnchor>
  <xdr:oneCellAnchor>
    <xdr:from>
      <xdr:col>1</xdr:col>
      <xdr:colOff>769326</xdr:colOff>
      <xdr:row>18</xdr:row>
      <xdr:rowOff>446940</xdr:rowOff>
    </xdr:from>
    <xdr:ext cx="649473" cy="264560"/>
    <xdr:sp macro="" textlink="">
      <xdr:nvSpPr>
        <xdr:cNvPr id="17" name="CuadroTexto 16">
          <a:extLst>
            <a:ext uri="{FF2B5EF4-FFF2-40B4-BE49-F238E27FC236}">
              <a16:creationId xmlns:a16="http://schemas.microsoft.com/office/drawing/2014/main" id="{00000000-0008-0000-0700-000011000000}"/>
            </a:ext>
          </a:extLst>
        </xdr:cNvPr>
        <xdr:cNvSpPr txBox="1"/>
      </xdr:nvSpPr>
      <xdr:spPr>
        <a:xfrm>
          <a:off x="2395903" y="4007825"/>
          <a:ext cx="64947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El Dovio</a:t>
          </a:r>
        </a:p>
      </xdr:txBody>
    </xdr:sp>
    <xdr:clientData/>
  </xdr:oneCellAnchor>
  <xdr:oneCellAnchor>
    <xdr:from>
      <xdr:col>3</xdr:col>
      <xdr:colOff>329710</xdr:colOff>
      <xdr:row>18</xdr:row>
      <xdr:rowOff>285748</xdr:rowOff>
    </xdr:from>
    <xdr:ext cx="642420" cy="264560"/>
    <xdr:sp macro="" textlink="">
      <xdr:nvSpPr>
        <xdr:cNvPr id="18" name="CuadroTexto 17">
          <a:extLst>
            <a:ext uri="{FF2B5EF4-FFF2-40B4-BE49-F238E27FC236}">
              <a16:creationId xmlns:a16="http://schemas.microsoft.com/office/drawing/2014/main" id="{00000000-0008-0000-0700-000012000000}"/>
            </a:ext>
          </a:extLst>
        </xdr:cNvPr>
        <xdr:cNvSpPr txBox="1"/>
      </xdr:nvSpPr>
      <xdr:spPr>
        <a:xfrm>
          <a:off x="3700095" y="3846633"/>
          <a:ext cx="64242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Obando</a:t>
          </a:r>
        </a:p>
      </xdr:txBody>
    </xdr:sp>
    <xdr:clientData/>
  </xdr:oneCellAnchor>
  <xdr:oneCellAnchor>
    <xdr:from>
      <xdr:col>2</xdr:col>
      <xdr:colOff>696057</xdr:colOff>
      <xdr:row>15</xdr:row>
      <xdr:rowOff>29306</xdr:rowOff>
    </xdr:from>
    <xdr:ext cx="1310487" cy="264560"/>
    <xdr:sp macro="" textlink="">
      <xdr:nvSpPr>
        <xdr:cNvPr id="19" name="CuadroTexto 18">
          <a:extLst>
            <a:ext uri="{FF2B5EF4-FFF2-40B4-BE49-F238E27FC236}">
              <a16:creationId xmlns:a16="http://schemas.microsoft.com/office/drawing/2014/main" id="{00000000-0008-0000-0700-000013000000}"/>
            </a:ext>
          </a:extLst>
        </xdr:cNvPr>
        <xdr:cNvSpPr txBox="1"/>
      </xdr:nvSpPr>
      <xdr:spPr>
        <a:xfrm>
          <a:off x="3363057" y="3018691"/>
          <a:ext cx="131048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San Jose del Palmar</a:t>
          </a:r>
        </a:p>
      </xdr:txBody>
    </xdr:sp>
    <xdr:clientData/>
  </xdr:oneCellAnchor>
  <xdr:twoCellAnchor>
    <xdr:from>
      <xdr:col>3</xdr:col>
      <xdr:colOff>268624</xdr:colOff>
      <xdr:row>18</xdr:row>
      <xdr:rowOff>342154</xdr:rowOff>
    </xdr:from>
    <xdr:to>
      <xdr:col>3</xdr:col>
      <xdr:colOff>383501</xdr:colOff>
      <xdr:row>18</xdr:row>
      <xdr:rowOff>461217</xdr:rowOff>
    </xdr:to>
    <xdr:sp macro="" textlink="">
      <xdr:nvSpPr>
        <xdr:cNvPr id="20" name="Elipse 19">
          <a:extLst>
            <a:ext uri="{FF2B5EF4-FFF2-40B4-BE49-F238E27FC236}">
              <a16:creationId xmlns:a16="http://schemas.microsoft.com/office/drawing/2014/main" id="{00000000-0008-0000-0700-000014000000}"/>
            </a:ext>
          </a:extLst>
        </xdr:cNvPr>
        <xdr:cNvSpPr/>
      </xdr:nvSpPr>
      <xdr:spPr>
        <a:xfrm>
          <a:off x="3639009" y="3903039"/>
          <a:ext cx="114877" cy="119063"/>
        </a:xfrm>
        <a:prstGeom prst="ellipse">
          <a:avLst/>
        </a:prstGeom>
        <a:ln w="3175">
          <a:solidFill>
            <a:schemeClr val="tx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s-CO" sz="700">
              <a:solidFill>
                <a:sysClr val="windowText" lastClr="000000"/>
              </a:solidFill>
            </a:rPr>
            <a:t>1</a:t>
          </a:r>
          <a:endParaRPr lang="es-CO" sz="1100">
            <a:solidFill>
              <a:sysClr val="windowText" lastClr="000000"/>
            </a:solidFill>
          </a:endParaRPr>
        </a:p>
      </xdr:txBody>
    </xdr:sp>
    <xdr:clientData/>
  </xdr:twoCellAnchor>
  <xdr:twoCellAnchor>
    <xdr:from>
      <xdr:col>2</xdr:col>
      <xdr:colOff>334567</xdr:colOff>
      <xdr:row>19</xdr:row>
      <xdr:rowOff>5115</xdr:rowOff>
    </xdr:from>
    <xdr:to>
      <xdr:col>2</xdr:col>
      <xdr:colOff>449444</xdr:colOff>
      <xdr:row>19</xdr:row>
      <xdr:rowOff>124178</xdr:rowOff>
    </xdr:to>
    <xdr:sp macro="" textlink="">
      <xdr:nvSpPr>
        <xdr:cNvPr id="21" name="Elipse 20">
          <a:extLst>
            <a:ext uri="{FF2B5EF4-FFF2-40B4-BE49-F238E27FC236}">
              <a16:creationId xmlns:a16="http://schemas.microsoft.com/office/drawing/2014/main" id="{00000000-0008-0000-0700-000015000000}"/>
            </a:ext>
          </a:extLst>
        </xdr:cNvPr>
        <xdr:cNvSpPr/>
      </xdr:nvSpPr>
      <xdr:spPr>
        <a:xfrm>
          <a:off x="3001567" y="4049577"/>
          <a:ext cx="114877" cy="119063"/>
        </a:xfrm>
        <a:prstGeom prst="ellipse">
          <a:avLst/>
        </a:prstGeom>
        <a:ln w="3175">
          <a:solidFill>
            <a:schemeClr val="tx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s-CO" sz="700">
              <a:solidFill>
                <a:sysClr val="windowText" lastClr="000000"/>
              </a:solidFill>
            </a:rPr>
            <a:t>1</a:t>
          </a:r>
          <a:endParaRPr lang="es-CO" sz="1100">
            <a:solidFill>
              <a:sysClr val="windowText" lastClr="000000"/>
            </a:solidFill>
          </a:endParaRPr>
        </a:p>
      </xdr:txBody>
    </xdr:sp>
    <xdr:clientData/>
  </xdr:twoCellAnchor>
  <xdr:twoCellAnchor>
    <xdr:from>
      <xdr:col>2</xdr:col>
      <xdr:colOff>482569</xdr:colOff>
      <xdr:row>28</xdr:row>
      <xdr:rowOff>180333</xdr:rowOff>
    </xdr:from>
    <xdr:to>
      <xdr:col>2</xdr:col>
      <xdr:colOff>601632</xdr:colOff>
      <xdr:row>29</xdr:row>
      <xdr:rowOff>108896</xdr:rowOff>
    </xdr:to>
    <xdr:sp macro="" textlink="">
      <xdr:nvSpPr>
        <xdr:cNvPr id="22" name="Elipse 21">
          <a:extLst>
            <a:ext uri="{FF2B5EF4-FFF2-40B4-BE49-F238E27FC236}">
              <a16:creationId xmlns:a16="http://schemas.microsoft.com/office/drawing/2014/main" id="{00000000-0008-0000-0700-000016000000}"/>
            </a:ext>
          </a:extLst>
        </xdr:cNvPr>
        <xdr:cNvSpPr/>
      </xdr:nvSpPr>
      <xdr:spPr>
        <a:xfrm>
          <a:off x="3149569" y="5939295"/>
          <a:ext cx="119063" cy="119063"/>
        </a:xfrm>
        <a:prstGeom prst="ellipse">
          <a:avLst/>
        </a:prstGeom>
        <a:solidFill>
          <a:schemeClr val="bg2">
            <a:lumMod val="50000"/>
          </a:schemeClr>
        </a:solidFill>
        <a:ln w="3175">
          <a:solidFill>
            <a:schemeClr val="tx1"/>
          </a:solid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s-CO" sz="900" b="0">
              <a:solidFill>
                <a:schemeClr val="bg1"/>
              </a:solidFill>
            </a:rPr>
            <a:t>2</a:t>
          </a:r>
          <a:endParaRPr lang="es-CO" sz="1100" b="0">
            <a:solidFill>
              <a:schemeClr val="bg1"/>
            </a:solidFill>
          </a:endParaRPr>
        </a:p>
      </xdr:txBody>
    </xdr:sp>
    <xdr:clientData/>
  </xdr:twoCellAnchor>
  <xdr:oneCellAnchor>
    <xdr:from>
      <xdr:col>1</xdr:col>
      <xdr:colOff>757690</xdr:colOff>
      <xdr:row>29</xdr:row>
      <xdr:rowOff>158605</xdr:rowOff>
    </xdr:from>
    <xdr:ext cx="392223" cy="264560"/>
    <xdr:sp macro="" textlink="">
      <xdr:nvSpPr>
        <xdr:cNvPr id="23" name="CuadroTexto 22">
          <a:extLst>
            <a:ext uri="{FF2B5EF4-FFF2-40B4-BE49-F238E27FC236}">
              <a16:creationId xmlns:a16="http://schemas.microsoft.com/office/drawing/2014/main" id="{00000000-0008-0000-0700-000017000000}"/>
            </a:ext>
          </a:extLst>
        </xdr:cNvPr>
        <xdr:cNvSpPr txBox="1"/>
      </xdr:nvSpPr>
      <xdr:spPr>
        <a:xfrm>
          <a:off x="2382543" y="7106252"/>
          <a:ext cx="39222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Cali</a:t>
          </a:r>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243987</xdr:colOff>
      <xdr:row>0</xdr:row>
      <xdr:rowOff>95983</xdr:rowOff>
    </xdr:from>
    <xdr:to>
      <xdr:col>1</xdr:col>
      <xdr:colOff>1539387</xdr:colOff>
      <xdr:row>0</xdr:row>
      <xdr:rowOff>705583</xdr:rowOff>
    </xdr:to>
    <xdr:pic>
      <xdr:nvPicPr>
        <xdr:cNvPr id="2" name="Imagen 39" descr="Logo CSJ RGB_0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987" y="95983"/>
          <a:ext cx="18478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arendond\Downloads\Prefactibilidad%20L.%20Maldonado%20-%20COSTOS%20ARTIKO%20-%20Apartaestudios%2031.12.xlsx%20V3%20-%20revisi&#243;n%20Gerencia%20-%20$3000mm%20anticipo%20-%20enviada%20a%20Perigeo%20Parther.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tbcsj-my.sharepoint.com/personal/puadtivalle_cendoj_ramajudicial_gov_co/Documents/ARQUITECTA/MENOR%20CUANTIA%202/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FACTIBILIDAD"/>
      <sheetName val="CABIDA con ICA cesión en sitio"/>
      <sheetName val="Pref. etapa 1"/>
      <sheetName val="Pref. etapa 2"/>
      <sheetName val="Pref. consolidada"/>
      <sheetName val="Forma de pago Predio"/>
      <sheetName val="CRÉDITOS"/>
      <sheetName val="const e Indexaciones"/>
      <sheetName val="programación"/>
      <sheetName val="Fiducia"/>
      <sheetName val="DIAGRAMA GANTT - 01  "/>
      <sheetName val="RPH"/>
      <sheetName val="CABIDA con ICA"/>
      <sheetName val="APARTAMENTOS"/>
      <sheetName val="CABIDA sin ICA"/>
      <sheetName val="ventas 112"/>
      <sheetName val="CABIDA sin ICA cesión en sitio"/>
      <sheetName val="precio venta "/>
      <sheetName val="competencia"/>
      <sheetName val="LOTE"/>
      <sheetName val="Pólizas"/>
      <sheetName val="Incremento ventas"/>
      <sheetName val="Pólizas E1"/>
      <sheetName val="Pólizas E2"/>
      <sheetName val="Precios Artiko"/>
      <sheetName val="ventas 160"/>
      <sheetName val="Indexaciones"/>
      <sheetName val="Cuotas clientes"/>
      <sheetName val="Predial"/>
      <sheetName val="fiducias"/>
      <sheetName val="Catalina"/>
      <sheetName val="Licencias"/>
      <sheetName val=" imp. delineación"/>
      <sheetName val="diseños"/>
      <sheetName val="proyección ventas"/>
      <sheetName val="bomberos"/>
      <sheetName val="FV Consolidado"/>
      <sheetName val="FI E1"/>
      <sheetName val="FI E2"/>
      <sheetName val="Areas fernando cardona"/>
    </sheetNames>
    <sheetDataSet>
      <sheetData sheetId="0"/>
      <sheetData sheetId="1"/>
      <sheetData sheetId="2"/>
      <sheetData sheetId="3"/>
      <sheetData sheetId="4">
        <row r="41">
          <cell r="T4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JC A.1"/>
      <sheetName val="PJC A.2"/>
      <sheetName val="PJC A.3"/>
      <sheetName val="PJC A.4"/>
      <sheetName val="PJC A.5"/>
      <sheetName val="PJC A.6"/>
      <sheetName val="PJC A.7"/>
      <sheetName val="PJC A.8"/>
      <sheetName val="PJC A.9"/>
      <sheetName val="B. DOVIO"/>
      <sheetName val="C. 1 PALMIR"/>
      <sheetName val="C. 2 PALMIR "/>
      <sheetName val="C. 3 PALMIR  "/>
      <sheetName val="C. 4 PALMIR "/>
      <sheetName val="C. 5 PALMIR  "/>
      <sheetName val="C. 6 PALMIR  "/>
      <sheetName val="C. 7 PALMIR "/>
      <sheetName val="C. 8 PALMIR  "/>
      <sheetName val="D. 1 PALMIR  "/>
      <sheetName val="D. 2 PALMIR "/>
      <sheetName val="D. 3 PALMIR "/>
      <sheetName val="D. 4  PALMIR "/>
      <sheetName val="D. 5 PALMIR  "/>
      <sheetName val="D. 6 PALMIR "/>
      <sheetName val="E. 1 NAL BUENAV"/>
      <sheetName val="E. 2 NAL BUENAV "/>
      <sheetName val="E. 3 NAL BUENAV"/>
      <sheetName val="E. 4 NAL BUENAV "/>
      <sheetName val="E. 5 NAL BUENAV "/>
      <sheetName val="E. 6 NAL BUENAV"/>
      <sheetName val="F. 1 TRANSF BUENAV"/>
      <sheetName val="F. 2 TRANSF BUENAV "/>
      <sheetName val="F. 3 TRANSF BUENAV"/>
      <sheetName val="F. 4 TRANSF BUENAV "/>
      <sheetName val="G. 1 OBANDO"/>
      <sheetName val="G. 2 OBANDO"/>
      <sheetName val="G. 3 OBANDO "/>
      <sheetName val="G. 4 OBANDO  "/>
      <sheetName val="H. 1 SAN JOSE"/>
      <sheetName val="H. 2 SAN JOSE "/>
      <sheetName val="H. 3 SAN JOSE "/>
      <sheetName val="I. 1 ROLDANILL"/>
      <sheetName val="I. 2 ROLDANILL "/>
      <sheetName val="I. 3 ROLDANILL "/>
      <sheetName val="I. 4 ROLDANILL  "/>
      <sheetName val="I. 5 ROLDANILL  "/>
      <sheetName val="J. 1 TULU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0000000}" name="Tabla3" displayName="Tabla3" ref="A8:P536" totalsRowShown="0" headerRowDxfId="27" dataDxfId="26" tableBorderDxfId="25">
  <autoFilter ref="A8:P536" xr:uid="{00000000-0009-0000-0100-000006000000}"/>
  <tableColumns count="16">
    <tableColumn id="1" xr3:uid="{00000000-0010-0000-0000-000001000000}" name="ITEM" dataDxfId="24" dataCellStyle="Normal 2"/>
    <tableColumn id="2" xr3:uid="{00000000-0010-0000-0000-000002000000}" name="DESCRIPCION" dataDxfId="23" dataCellStyle="Normal 2"/>
    <tableColumn id="3" xr3:uid="{00000000-0010-0000-0000-000003000000}" name="UND" dataDxfId="22" dataCellStyle="Normal 2"/>
    <tableColumn id="4" xr3:uid="{00000000-0010-0000-0000-000004000000}" name="CANTIDAD " dataDxfId="21" dataCellStyle="Moneda">
      <calculatedColumnFormula>IFERROR(VLOOKUP(Tabla3[[#This Row],[ITEM]],[2]!Tabla5[#All],3,FALSE),"")</calculatedColumnFormula>
    </tableColumn>
    <tableColumn id="7" xr3:uid="{00000000-0010-0000-0000-000007000000}" name="VALOR UNITARIO " dataDxfId="20"/>
    <tableColumn id="13" xr3:uid="{00000000-0010-0000-0000-00000D000000}" name="VALOR TOTAL " dataDxfId="19" dataCellStyle="Porcentaje">
      <calculatedColumnFormula>Tabla3[[#This Row],[VALOR UNITARIO ]]*Tabla3[[#This Row],[CANTIDAD ]]</calculatedColumnFormula>
    </tableColumn>
    <tableColumn id="15" xr3:uid="{00000000-0010-0000-0000-00000F000000}" name="VALOR UNITARIO" dataDxfId="18" dataCellStyle="Porcentaje"/>
    <tableColumn id="14" xr3:uid="{00000000-0010-0000-0000-00000E000000}" name="VALOR TOTAL" dataDxfId="17" dataCellStyle="Porcentaje">
      <calculatedColumnFormula>Tabla3[[#This Row],[VALOR UNITARIO]]*Tabla3[[#This Row],[CANTIDAD ]]</calculatedColumnFormula>
    </tableColumn>
    <tableColumn id="17" xr3:uid="{00000000-0010-0000-0000-000011000000}" name="VALOR UNITARIO2" dataDxfId="16" dataCellStyle="Porcentaje"/>
    <tableColumn id="16" xr3:uid="{00000000-0010-0000-0000-000010000000}" name="VALOR TOTAL4" dataDxfId="15" dataCellStyle="Porcentaje"/>
    <tableColumn id="18" xr3:uid="{00000000-0010-0000-0000-000012000000}" name="VALOR UNITARIO3" dataDxfId="14" dataCellStyle="Porcentaje"/>
    <tableColumn id="19" xr3:uid="{00000000-0010-0000-0000-000013000000}" name="VALOR TOTAL 2" dataDxfId="13" dataCellStyle="Porcentaje"/>
    <tableColumn id="20" xr3:uid="{00000000-0010-0000-0000-000014000000}" name="VALOR UNITARIO 2" dataDxfId="12" dataCellStyle="Porcentaje"/>
    <tableColumn id="21" xr3:uid="{00000000-0010-0000-0000-000015000000}" name="VALOR TOTAL 3" dataDxfId="11" dataCellStyle="Porcentaje"/>
    <tableColumn id="12" xr3:uid="{00000000-0010-0000-0000-00000C000000}" name="VALOR UNITARIO 3" dataDxfId="10" dataCellStyle="Porcentaje"/>
    <tableColumn id="8" xr3:uid="{00000000-0010-0000-0000-000008000000}" name="VALOR TOTAL3" dataDxfId="9">
      <calculatedColumnFormula>Tabla3[[#This Row],[VALOR UNITARIO ]]*Tabla3[[#This Row],[CANTIDAD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33" displayName="Tabla33" ref="A8:F532" totalsRowShown="0" headerRowDxfId="8" dataDxfId="7" tableBorderDxfId="6">
  <autoFilter ref="A8:F532" xr:uid="{00000000-0009-0000-0100-000002000000}"/>
  <tableColumns count="6">
    <tableColumn id="1" xr3:uid="{00000000-0010-0000-0100-000001000000}" name="ITEM" dataDxfId="5" dataCellStyle="Normal 2"/>
    <tableColumn id="2" xr3:uid="{00000000-0010-0000-0100-000002000000}" name="DESCRIPCION" dataDxfId="4" dataCellStyle="Normal 2"/>
    <tableColumn id="3" xr3:uid="{00000000-0010-0000-0100-000003000000}" name="UND" dataDxfId="3" dataCellStyle="Normal 2"/>
    <tableColumn id="4" xr3:uid="{00000000-0010-0000-0100-000004000000}" name="CANTIDAD " dataDxfId="2" dataCellStyle="Moneda">
      <calculatedColumnFormula>IFERROR(VLOOKUP(Tabla33[[#This Row],[ITEM]],[2]!Tabla5[#All],3,FALSE),"")</calculatedColumnFormula>
    </tableColumn>
    <tableColumn id="5" xr3:uid="{00000000-0010-0000-0100-000005000000}" name="VALOR UNITARIO " dataDxfId="1" dataCellStyle="Normal 2"/>
    <tableColumn id="6" xr3:uid="{00000000-0010-0000-0100-000006000000}" name="VALOR TOTAL" dataDxfId="0" dataCellStyle="Normal 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A2"/>
  <sheetViews>
    <sheetView workbookViewId="0">
      <selection activeCell="H17" sqref="H17"/>
    </sheetView>
  </sheetViews>
  <sheetFormatPr baseColWidth="10" defaultRowHeight="15" x14ac:dyDescent="0.25"/>
  <cols>
    <col min="1" max="1" width="66.7109375" customWidth="1"/>
  </cols>
  <sheetData>
    <row r="1" spans="1:1" ht="90" x14ac:dyDescent="0.25">
      <c r="A1" s="332" t="s">
        <v>795</v>
      </c>
    </row>
    <row r="2" spans="1:1" ht="30" x14ac:dyDescent="0.25">
      <c r="A2" s="332" t="s">
        <v>800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T543"/>
  <sheetViews>
    <sheetView showGridLines="0" zoomScaleNormal="100" workbookViewId="0">
      <selection activeCell="A3" sqref="A3:P4"/>
    </sheetView>
  </sheetViews>
  <sheetFormatPr baseColWidth="10" defaultRowHeight="12" x14ac:dyDescent="0.2"/>
  <cols>
    <col min="1" max="1" width="8.28515625" style="1" bestFit="1" customWidth="1"/>
    <col min="2" max="2" width="55.28515625" style="1" customWidth="1"/>
    <col min="3" max="3" width="10.42578125" style="1" customWidth="1"/>
    <col min="4" max="4" width="11.5703125" style="238" customWidth="1"/>
    <col min="5" max="5" width="20.28515625" style="238" customWidth="1"/>
    <col min="6" max="6" width="24.5703125" style="238" customWidth="1"/>
    <col min="7" max="7" width="20.28515625" style="238" customWidth="1"/>
    <col min="8" max="8" width="25.140625" style="238" customWidth="1"/>
    <col min="9" max="15" width="20.28515625" style="238" hidden="1" customWidth="1"/>
    <col min="16" max="16" width="18.28515625" style="1" hidden="1" customWidth="1"/>
    <col min="17" max="17" width="11.42578125" style="1"/>
    <col min="18" max="19" width="20" style="238" hidden="1" customWidth="1"/>
    <col min="20" max="20" width="20.28515625" style="238" hidden="1" customWidth="1"/>
    <col min="21" max="22" width="0" style="1" hidden="1" customWidth="1"/>
    <col min="23" max="16384" width="11.42578125" style="1"/>
  </cols>
  <sheetData>
    <row r="1" spans="1:20" ht="65.25" customHeight="1" x14ac:dyDescent="0.2">
      <c r="A1" s="1823"/>
      <c r="B1" s="1824"/>
      <c r="C1" s="1831" t="s">
        <v>0</v>
      </c>
      <c r="D1" s="1832"/>
      <c r="E1" s="1832"/>
      <c r="F1" s="1832"/>
      <c r="G1" s="1832"/>
      <c r="H1" s="1832"/>
      <c r="I1" s="1832"/>
      <c r="J1" s="1832"/>
      <c r="K1" s="1832"/>
      <c r="L1" s="1832"/>
      <c r="M1" s="1832"/>
      <c r="N1" s="1832"/>
      <c r="O1" s="1832"/>
      <c r="P1" s="1832"/>
      <c r="R1" s="273"/>
      <c r="S1" s="273"/>
      <c r="T1" s="273"/>
    </row>
    <row r="2" spans="1:20" ht="15" x14ac:dyDescent="0.2">
      <c r="A2" s="1825" t="s">
        <v>1</v>
      </c>
      <c r="B2" s="1825"/>
      <c r="C2" s="1825"/>
      <c r="D2" s="1825"/>
    </row>
    <row r="3" spans="1:20" ht="24" customHeight="1" x14ac:dyDescent="0.2">
      <c r="A3" s="1829" t="s">
        <v>753</v>
      </c>
      <c r="B3" s="1830"/>
      <c r="C3" s="1830"/>
      <c r="D3" s="1830"/>
      <c r="E3" s="1830"/>
      <c r="F3" s="1830"/>
      <c r="G3" s="1830"/>
      <c r="H3" s="1830"/>
      <c r="I3" s="1830"/>
      <c r="J3" s="1830"/>
      <c r="K3" s="1830"/>
      <c r="L3" s="1830"/>
      <c r="M3" s="1830"/>
      <c r="N3" s="1830"/>
      <c r="O3" s="1830"/>
      <c r="P3" s="1830"/>
      <c r="R3" s="273"/>
      <c r="S3" s="273"/>
      <c r="T3" s="273"/>
    </row>
    <row r="4" spans="1:20" ht="30.75" customHeight="1" x14ac:dyDescent="0.2">
      <c r="A4" s="1829"/>
      <c r="B4" s="1830"/>
      <c r="C4" s="1830"/>
      <c r="D4" s="1830"/>
      <c r="E4" s="1830"/>
      <c r="F4" s="1830"/>
      <c r="G4" s="1830"/>
      <c r="H4" s="1830"/>
      <c r="I4" s="1830"/>
      <c r="J4" s="1830"/>
      <c r="K4" s="1830"/>
      <c r="L4" s="1830"/>
      <c r="M4" s="1830"/>
      <c r="N4" s="1830"/>
      <c r="O4" s="1830"/>
      <c r="P4" s="1830"/>
      <c r="R4" s="273"/>
      <c r="S4" s="273"/>
      <c r="T4" s="273"/>
    </row>
    <row r="5" spans="1:20" x14ac:dyDescent="0.2">
      <c r="A5" s="1826"/>
      <c r="B5" s="1826"/>
      <c r="C5" s="1826"/>
      <c r="D5" s="1826"/>
    </row>
    <row r="6" spans="1:20" ht="15" x14ac:dyDescent="0.2">
      <c r="A6" s="1827" t="s">
        <v>2</v>
      </c>
      <c r="B6" s="1828"/>
      <c r="C6" s="1828"/>
      <c r="D6" s="1828"/>
    </row>
    <row r="7" spans="1:20" ht="21.75" customHeight="1" x14ac:dyDescent="0.2">
      <c r="A7" s="1835" t="s">
        <v>3</v>
      </c>
      <c r="B7" s="1835"/>
      <c r="C7" s="1835"/>
      <c r="D7" s="1835"/>
      <c r="E7" s="1834" t="s">
        <v>764</v>
      </c>
      <c r="F7" s="1834"/>
      <c r="G7" s="1833" t="s">
        <v>768</v>
      </c>
      <c r="H7" s="1833"/>
      <c r="I7" s="1834" t="s">
        <v>769</v>
      </c>
      <c r="J7" s="1834"/>
      <c r="K7" s="1834" t="s">
        <v>770</v>
      </c>
      <c r="L7" s="1834"/>
      <c r="M7" s="1834" t="s">
        <v>778</v>
      </c>
      <c r="N7" s="1834"/>
      <c r="O7" s="1834" t="s">
        <v>779</v>
      </c>
      <c r="P7" s="1834"/>
      <c r="R7" s="273"/>
      <c r="S7" s="273"/>
      <c r="T7" s="273"/>
    </row>
    <row r="8" spans="1:20" x14ac:dyDescent="0.2">
      <c r="A8" s="2" t="s">
        <v>4</v>
      </c>
      <c r="B8" s="3" t="s">
        <v>5</v>
      </c>
      <c r="C8" s="4" t="s">
        <v>6</v>
      </c>
      <c r="D8" s="5" t="s">
        <v>7</v>
      </c>
      <c r="E8" s="6" t="s">
        <v>8</v>
      </c>
      <c r="F8" s="6" t="s">
        <v>771</v>
      </c>
      <c r="G8" s="6" t="s">
        <v>772</v>
      </c>
      <c r="H8" s="6" t="s">
        <v>9</v>
      </c>
      <c r="I8" s="6" t="s">
        <v>774</v>
      </c>
      <c r="J8" s="6" t="s">
        <v>775</v>
      </c>
      <c r="K8" s="6" t="s">
        <v>776</v>
      </c>
      <c r="L8" s="6" t="s">
        <v>773</v>
      </c>
      <c r="M8" s="6" t="s">
        <v>765</v>
      </c>
      <c r="N8" s="6" t="s">
        <v>777</v>
      </c>
      <c r="O8" s="6" t="s">
        <v>767</v>
      </c>
      <c r="P8" s="4" t="s">
        <v>766</v>
      </c>
      <c r="R8" s="274" t="s">
        <v>782</v>
      </c>
      <c r="S8" s="274" t="s">
        <v>783</v>
      </c>
      <c r="T8" s="274" t="s">
        <v>784</v>
      </c>
    </row>
    <row r="9" spans="1:20" ht="24.75" customHeight="1" x14ac:dyDescent="0.2">
      <c r="A9" s="7" t="s">
        <v>10</v>
      </c>
      <c r="B9" s="8" t="s">
        <v>11</v>
      </c>
      <c r="C9" s="9"/>
      <c r="D9" s="10"/>
      <c r="F9" s="254"/>
      <c r="H9" s="254"/>
      <c r="I9" s="270">
        <f>Tabla3[[#This Row],[VALOR TOTAL]]*Tabla3[[#This Row],[CANTIDAD ]]</f>
        <v>0</v>
      </c>
      <c r="P9" s="240"/>
      <c r="R9" s="254"/>
      <c r="S9" s="254"/>
      <c r="T9" s="254"/>
    </row>
    <row r="10" spans="1:20" ht="108" customHeight="1" x14ac:dyDescent="0.2">
      <c r="A10" s="11" t="s">
        <v>12</v>
      </c>
      <c r="B10" s="12" t="s">
        <v>13</v>
      </c>
      <c r="C10" s="13" t="s">
        <v>14</v>
      </c>
      <c r="D10" s="14">
        <v>36</v>
      </c>
      <c r="E10" s="18">
        <v>40000</v>
      </c>
      <c r="F10" s="39">
        <f>Tabla3[[#This Row],[VALOR UNITARIO ]]*Tabla3[[#This Row],[CANTIDAD ]]</f>
        <v>1440000</v>
      </c>
      <c r="G10" s="239">
        <v>27131</v>
      </c>
      <c r="H10" s="39">
        <f>Tabla3[[#This Row],[VALOR UNITARIO]]*Tabla3[[#This Row],[CANTIDAD ]]</f>
        <v>976716</v>
      </c>
      <c r="I10" s="39"/>
      <c r="J10" s="39"/>
      <c r="K10" s="39"/>
      <c r="L10" s="39"/>
      <c r="M10" s="39"/>
      <c r="N10" s="39"/>
      <c r="O10" s="39"/>
      <c r="P10" s="239"/>
      <c r="R10" s="18">
        <f>MAX(Tabla3[[#This Row],[VALOR TOTAL]],Tabla3[[#This Row],[VALOR TOTAL ]])</f>
        <v>1440000</v>
      </c>
      <c r="S10" s="18">
        <f>MIN(Tabla3[[#This Row],[VALOR TOTAL ]],Tabla3[[#This Row],[VALOR TOTAL]])</f>
        <v>976716</v>
      </c>
      <c r="T10" s="18">
        <f>AVERAGE(Tabla3[[#This Row],[VALOR TOTAL ]:[VALOR TOTAL]])</f>
        <v>814615.66666666663</v>
      </c>
    </row>
    <row r="11" spans="1:20" ht="24" x14ac:dyDescent="0.2">
      <c r="A11" s="11" t="s">
        <v>15</v>
      </c>
      <c r="B11" s="12" t="s">
        <v>16</v>
      </c>
      <c r="C11" s="13" t="s">
        <v>6</v>
      </c>
      <c r="D11" s="16">
        <v>4</v>
      </c>
      <c r="E11" s="18">
        <v>120000</v>
      </c>
      <c r="F11" s="39">
        <f>Tabla3[[#This Row],[VALOR UNITARIO ]]*Tabla3[[#This Row],[CANTIDAD ]]</f>
        <v>480000</v>
      </c>
      <c r="G11" s="239">
        <v>165000</v>
      </c>
      <c r="H11" s="39">
        <f>Tabla3[[#This Row],[VALOR UNITARIO]]*Tabla3[[#This Row],[CANTIDAD ]]</f>
        <v>660000</v>
      </c>
      <c r="I11" s="39"/>
      <c r="J11" s="39"/>
      <c r="K11" s="39"/>
      <c r="L11" s="39"/>
      <c r="M11" s="39"/>
      <c r="N11" s="39"/>
      <c r="O11" s="39"/>
      <c r="P11" s="239"/>
      <c r="R11" s="39">
        <f>MAX(Tabla3[[#This Row],[VALOR TOTAL]],Tabla3[[#This Row],[VALOR TOTAL ]])</f>
        <v>660000</v>
      </c>
      <c r="S11" s="39">
        <f>MIN(Tabla3[[#This Row],[VALOR TOTAL ]],Tabla3[[#This Row],[VALOR TOTAL]])</f>
        <v>480000</v>
      </c>
      <c r="T11" s="39">
        <f>AVERAGE(Tabla3[[#This Row],[VALOR TOTAL ]:[VALOR TOTAL]])</f>
        <v>435000</v>
      </c>
    </row>
    <row r="12" spans="1:20" ht="24" x14ac:dyDescent="0.2">
      <c r="A12" s="11" t="s">
        <v>17</v>
      </c>
      <c r="B12" s="12" t="s">
        <v>18</v>
      </c>
      <c r="C12" s="17" t="s">
        <v>19</v>
      </c>
      <c r="D12" s="14">
        <v>288</v>
      </c>
      <c r="E12" s="18">
        <v>30000</v>
      </c>
      <c r="F12" s="39">
        <f>Tabla3[[#This Row],[VALOR UNITARIO ]]*Tabla3[[#This Row],[CANTIDAD ]]</f>
        <v>8640000</v>
      </c>
      <c r="G12" s="239">
        <v>8450</v>
      </c>
      <c r="H12" s="39">
        <f>Tabla3[[#This Row],[VALOR UNITARIO]]*Tabla3[[#This Row],[CANTIDAD ]]</f>
        <v>2433600</v>
      </c>
      <c r="I12" s="39"/>
      <c r="J12" s="39"/>
      <c r="K12" s="39"/>
      <c r="L12" s="39"/>
      <c r="M12" s="39"/>
      <c r="N12" s="39"/>
      <c r="O12" s="39"/>
      <c r="P12" s="239"/>
      <c r="R12" s="39">
        <f>MAX(Tabla3[[#This Row],[VALOR TOTAL]],Tabla3[[#This Row],[VALOR TOTAL ]])</f>
        <v>8640000</v>
      </c>
      <c r="S12" s="39">
        <f>MIN(Tabla3[[#This Row],[VALOR TOTAL ]],Tabla3[[#This Row],[VALOR TOTAL]])</f>
        <v>2433600</v>
      </c>
      <c r="T12" s="39">
        <f>AVERAGE(Tabla3[[#This Row],[VALOR TOTAL ]:[VALOR TOTAL]])</f>
        <v>3694016.6666666665</v>
      </c>
    </row>
    <row r="13" spans="1:20" ht="17.25" customHeight="1" x14ac:dyDescent="0.2">
      <c r="A13" s="11" t="s">
        <v>20</v>
      </c>
      <c r="B13" s="12" t="s">
        <v>21</v>
      </c>
      <c r="C13" s="17" t="s">
        <v>19</v>
      </c>
      <c r="D13" s="14">
        <v>288</v>
      </c>
      <c r="E13" s="18">
        <v>20000</v>
      </c>
      <c r="F13" s="39">
        <f>Tabla3[[#This Row],[VALOR UNITARIO ]]*Tabla3[[#This Row],[CANTIDAD ]]</f>
        <v>5760000</v>
      </c>
      <c r="G13" s="239">
        <v>19500</v>
      </c>
      <c r="H13" s="39">
        <f>Tabla3[[#This Row],[VALOR UNITARIO]]*Tabla3[[#This Row],[CANTIDAD ]]</f>
        <v>5616000</v>
      </c>
      <c r="I13" s="39"/>
      <c r="J13" s="39"/>
      <c r="K13" s="39"/>
      <c r="L13" s="39"/>
      <c r="M13" s="39"/>
      <c r="N13" s="39"/>
      <c r="O13" s="39"/>
      <c r="P13" s="239"/>
      <c r="R13" s="39">
        <f>MAX(Tabla3[[#This Row],[VALOR TOTAL]],Tabla3[[#This Row],[VALOR TOTAL ]])</f>
        <v>5760000</v>
      </c>
      <c r="S13" s="39">
        <f>MIN(Tabla3[[#This Row],[VALOR TOTAL ]],Tabla3[[#This Row],[VALOR TOTAL]])</f>
        <v>5616000</v>
      </c>
      <c r="T13" s="39">
        <f>AVERAGE(Tabla3[[#This Row],[VALOR TOTAL ]:[VALOR TOTAL]])</f>
        <v>3798500</v>
      </c>
    </row>
    <row r="14" spans="1:20" ht="24" x14ac:dyDescent="0.2">
      <c r="A14" s="11" t="s">
        <v>22</v>
      </c>
      <c r="B14" s="12" t="s">
        <v>23</v>
      </c>
      <c r="C14" s="17" t="s">
        <v>19</v>
      </c>
      <c r="D14" s="14">
        <v>288</v>
      </c>
      <c r="E14" s="19">
        <v>35000</v>
      </c>
      <c r="F14" s="241">
        <f>Tabla3[[#This Row],[VALOR UNITARIO ]]*Tabla3[[#This Row],[CANTIDAD ]]</f>
        <v>10080000</v>
      </c>
      <c r="G14" s="239">
        <v>3731</v>
      </c>
      <c r="H14" s="241">
        <f>Tabla3[[#This Row],[VALOR UNITARIO]]*Tabla3[[#This Row],[CANTIDAD ]]</f>
        <v>1074528</v>
      </c>
      <c r="I14" s="241"/>
      <c r="J14" s="241"/>
      <c r="K14" s="241"/>
      <c r="L14" s="241"/>
      <c r="M14" s="241"/>
      <c r="N14" s="241"/>
      <c r="O14" s="241"/>
      <c r="P14" s="239"/>
      <c r="R14" s="241">
        <f>MAX(Tabla3[[#This Row],[VALOR TOTAL]],Tabla3[[#This Row],[VALOR TOTAL ]])</f>
        <v>10080000</v>
      </c>
      <c r="S14" s="241">
        <f>MIN(Tabla3[[#This Row],[VALOR TOTAL ]],Tabla3[[#This Row],[VALOR TOTAL]])</f>
        <v>1074528</v>
      </c>
      <c r="T14" s="241">
        <f>AVERAGE(Tabla3[[#This Row],[VALOR TOTAL ]:[VALOR TOTAL]])</f>
        <v>3719419.6666666665</v>
      </c>
    </row>
    <row r="15" spans="1:20" ht="21" customHeight="1" x14ac:dyDescent="0.2">
      <c r="A15" s="11" t="s">
        <v>24</v>
      </c>
      <c r="B15" s="12" t="s">
        <v>25</v>
      </c>
      <c r="C15" s="17" t="s">
        <v>19</v>
      </c>
      <c r="D15" s="14">
        <v>288</v>
      </c>
      <c r="E15" s="19">
        <v>27000</v>
      </c>
      <c r="F15" s="241">
        <f>Tabla3[[#This Row],[VALOR UNITARIO ]]*Tabla3[[#This Row],[CANTIDAD ]]</f>
        <v>7776000</v>
      </c>
      <c r="G15" s="239">
        <v>4400</v>
      </c>
      <c r="H15" s="241">
        <f>Tabla3[[#This Row],[VALOR UNITARIO]]*Tabla3[[#This Row],[CANTIDAD ]]</f>
        <v>1267200</v>
      </c>
      <c r="I15" s="241"/>
      <c r="J15" s="241"/>
      <c r="K15" s="241"/>
      <c r="L15" s="241"/>
      <c r="M15" s="241"/>
      <c r="N15" s="241"/>
      <c r="O15" s="241"/>
      <c r="P15" s="239"/>
      <c r="R15" s="241">
        <f>MAX(Tabla3[[#This Row],[VALOR TOTAL]],Tabla3[[#This Row],[VALOR TOTAL ]])</f>
        <v>7776000</v>
      </c>
      <c r="S15" s="241">
        <f>MIN(Tabla3[[#This Row],[VALOR TOTAL ]],Tabla3[[#This Row],[VALOR TOTAL]])</f>
        <v>1267200</v>
      </c>
      <c r="T15" s="241">
        <f>AVERAGE(Tabla3[[#This Row],[VALOR TOTAL ]:[VALOR TOTAL]])</f>
        <v>3015866.6666666665</v>
      </c>
    </row>
    <row r="16" spans="1:20" ht="21" customHeight="1" x14ac:dyDescent="0.2">
      <c r="A16" s="20" t="s">
        <v>26</v>
      </c>
      <c r="B16" s="12" t="s">
        <v>27</v>
      </c>
      <c r="C16" s="17" t="s">
        <v>19</v>
      </c>
      <c r="D16" s="14">
        <v>288</v>
      </c>
      <c r="E16" s="19">
        <v>75000</v>
      </c>
      <c r="F16" s="241">
        <f>Tabla3[[#This Row],[VALOR UNITARIO ]]*Tabla3[[#This Row],[CANTIDAD ]]</f>
        <v>21600000</v>
      </c>
      <c r="G16" s="239">
        <v>9230</v>
      </c>
      <c r="H16" s="241">
        <f>Tabla3[[#This Row],[VALOR UNITARIO]]*Tabla3[[#This Row],[CANTIDAD ]]</f>
        <v>2658240</v>
      </c>
      <c r="I16" s="241"/>
      <c r="J16" s="241"/>
      <c r="K16" s="241"/>
      <c r="L16" s="241"/>
      <c r="M16" s="241"/>
      <c r="N16" s="241"/>
      <c r="O16" s="241"/>
      <c r="P16" s="239"/>
      <c r="R16" s="241">
        <f>MAX(Tabla3[[#This Row],[VALOR TOTAL]],Tabla3[[#This Row],[VALOR TOTAL ]])</f>
        <v>21600000</v>
      </c>
      <c r="S16" s="241">
        <f>MIN(Tabla3[[#This Row],[VALOR TOTAL ]],Tabla3[[#This Row],[VALOR TOTAL]])</f>
        <v>2658240</v>
      </c>
      <c r="T16" s="241">
        <f>AVERAGE(Tabla3[[#This Row],[VALOR TOTAL ]:[VALOR TOTAL]])</f>
        <v>8089156.666666667</v>
      </c>
    </row>
    <row r="17" spans="1:20" ht="41.25" customHeight="1" x14ac:dyDescent="0.2">
      <c r="A17" s="11" t="s">
        <v>28</v>
      </c>
      <c r="B17" s="12" t="s">
        <v>29</v>
      </c>
      <c r="C17" s="17" t="s">
        <v>19</v>
      </c>
      <c r="D17" s="21">
        <v>288</v>
      </c>
      <c r="E17" s="19">
        <v>38000</v>
      </c>
      <c r="F17" s="241">
        <f>Tabla3[[#This Row],[VALOR UNITARIO ]]*Tabla3[[#This Row],[CANTIDAD ]]</f>
        <v>10944000</v>
      </c>
      <c r="G17" s="239">
        <v>32500</v>
      </c>
      <c r="H17" s="241">
        <f>Tabla3[[#This Row],[VALOR UNITARIO]]*Tabla3[[#This Row],[CANTIDAD ]]</f>
        <v>9360000</v>
      </c>
      <c r="I17" s="241"/>
      <c r="J17" s="241"/>
      <c r="K17" s="241"/>
      <c r="L17" s="241"/>
      <c r="M17" s="241"/>
      <c r="N17" s="241"/>
      <c r="O17" s="241"/>
      <c r="P17" s="239"/>
      <c r="R17" s="241">
        <f>MAX(Tabla3[[#This Row],[VALOR TOTAL]],Tabla3[[#This Row],[VALOR TOTAL ]])</f>
        <v>10944000</v>
      </c>
      <c r="S17" s="241">
        <f>MIN(Tabla3[[#This Row],[VALOR TOTAL ]],Tabla3[[#This Row],[VALOR TOTAL]])</f>
        <v>9360000</v>
      </c>
      <c r="T17" s="241">
        <f>AVERAGE(Tabla3[[#This Row],[VALOR TOTAL ]:[VALOR TOTAL]])</f>
        <v>6778833.333333333</v>
      </c>
    </row>
    <row r="18" spans="1:20" ht="53.25" customHeight="1" x14ac:dyDescent="0.2">
      <c r="A18" s="20" t="s">
        <v>30</v>
      </c>
      <c r="B18" s="12" t="s">
        <v>31</v>
      </c>
      <c r="C18" s="22" t="s">
        <v>19</v>
      </c>
      <c r="D18" s="14">
        <v>288</v>
      </c>
      <c r="E18" s="19">
        <v>320000</v>
      </c>
      <c r="F18" s="241">
        <f>Tabla3[[#This Row],[VALOR UNITARIO ]]*Tabla3[[#This Row],[CANTIDAD ]]</f>
        <v>92160000</v>
      </c>
      <c r="G18" s="239">
        <v>128700</v>
      </c>
      <c r="H18" s="241">
        <f>Tabla3[[#This Row],[VALOR UNITARIO]]*Tabla3[[#This Row],[CANTIDAD ]]</f>
        <v>37065600</v>
      </c>
      <c r="I18" s="241"/>
      <c r="J18" s="241"/>
      <c r="K18" s="241"/>
      <c r="L18" s="241"/>
      <c r="M18" s="241"/>
      <c r="N18" s="241"/>
      <c r="O18" s="241"/>
      <c r="P18" s="239"/>
      <c r="R18" s="241">
        <f>MAX(Tabla3[[#This Row],[VALOR TOTAL]],Tabla3[[#This Row],[VALOR TOTAL ]])</f>
        <v>92160000</v>
      </c>
      <c r="S18" s="241">
        <f>MIN(Tabla3[[#This Row],[VALOR TOTAL ]],Tabla3[[#This Row],[VALOR TOTAL]])</f>
        <v>37065600</v>
      </c>
      <c r="T18" s="241">
        <f>AVERAGE(Tabla3[[#This Row],[VALOR TOTAL ]:[VALOR TOTAL]])</f>
        <v>43118100</v>
      </c>
    </row>
    <row r="19" spans="1:20" ht="48" x14ac:dyDescent="0.2">
      <c r="A19" s="11" t="s">
        <v>32</v>
      </c>
      <c r="B19" s="23" t="s">
        <v>33</v>
      </c>
      <c r="C19" s="17" t="s">
        <v>14</v>
      </c>
      <c r="D19" s="14">
        <v>410</v>
      </c>
      <c r="E19" s="19">
        <v>50000</v>
      </c>
      <c r="F19" s="241">
        <f>Tabla3[[#This Row],[VALOR UNITARIO ]]*Tabla3[[#This Row],[CANTIDAD ]]</f>
        <v>20500000</v>
      </c>
      <c r="G19" s="239">
        <v>52117</v>
      </c>
      <c r="H19" s="241">
        <f>Tabla3[[#This Row],[VALOR UNITARIO]]*Tabla3[[#This Row],[CANTIDAD ]]</f>
        <v>21367970</v>
      </c>
      <c r="I19" s="241"/>
      <c r="J19" s="241"/>
      <c r="K19" s="241"/>
      <c r="L19" s="241"/>
      <c r="M19" s="241"/>
      <c r="N19" s="241"/>
      <c r="O19" s="241"/>
      <c r="P19" s="239"/>
      <c r="R19" s="241">
        <f>MAX(Tabla3[[#This Row],[VALOR TOTAL]],Tabla3[[#This Row],[VALOR TOTAL ]])</f>
        <v>21367970</v>
      </c>
      <c r="S19" s="241">
        <f>MIN(Tabla3[[#This Row],[VALOR TOTAL ]],Tabla3[[#This Row],[VALOR TOTAL]])</f>
        <v>20500000</v>
      </c>
      <c r="T19" s="241">
        <f>AVERAGE(Tabla3[[#This Row],[VALOR TOTAL ]:[VALOR TOTAL]])</f>
        <v>13973362.333333334</v>
      </c>
    </row>
    <row r="20" spans="1:20" ht="35.25" customHeight="1" x14ac:dyDescent="0.2">
      <c r="A20" s="20" t="s">
        <v>34</v>
      </c>
      <c r="B20" s="24" t="s">
        <v>35</v>
      </c>
      <c r="C20" s="22" t="s">
        <v>19</v>
      </c>
      <c r="D20" s="14">
        <v>288</v>
      </c>
      <c r="E20" s="19">
        <v>140000</v>
      </c>
      <c r="F20" s="241">
        <f>Tabla3[[#This Row],[VALOR UNITARIO ]]*Tabla3[[#This Row],[CANTIDAD ]]</f>
        <v>40320000</v>
      </c>
      <c r="G20" s="18">
        <f>106276*1.1</f>
        <v>116903.6</v>
      </c>
      <c r="H20" s="241">
        <f>Tabla3[[#This Row],[VALOR UNITARIO]]*Tabla3[[#This Row],[CANTIDAD ]]</f>
        <v>33668236.800000004</v>
      </c>
      <c r="I20" s="241"/>
      <c r="J20" s="241"/>
      <c r="K20" s="241"/>
      <c r="L20" s="241"/>
      <c r="M20" s="241"/>
      <c r="N20" s="241"/>
      <c r="O20" s="241"/>
      <c r="P20" s="239"/>
      <c r="R20" s="241">
        <f>MAX(Tabla3[[#This Row],[VALOR TOTAL]],Tabla3[[#This Row],[VALOR TOTAL ]])</f>
        <v>40320000</v>
      </c>
      <c r="S20" s="241">
        <f>MIN(Tabla3[[#This Row],[VALOR TOTAL ]],Tabla3[[#This Row],[VALOR TOTAL]])</f>
        <v>33668236.800000004</v>
      </c>
      <c r="T20" s="241">
        <f>AVERAGE(Tabla3[[#This Row],[VALOR TOTAL ]:[VALOR TOTAL]])</f>
        <v>24701713.466666669</v>
      </c>
    </row>
    <row r="21" spans="1:20" ht="35.25" customHeight="1" x14ac:dyDescent="0.2">
      <c r="A21" s="11" t="s">
        <v>36</v>
      </c>
      <c r="B21" s="24" t="s">
        <v>37</v>
      </c>
      <c r="C21" s="22" t="s">
        <v>14</v>
      </c>
      <c r="D21" s="14">
        <v>91</v>
      </c>
      <c r="E21" s="19">
        <v>35000</v>
      </c>
      <c r="F21" s="241">
        <f>Tabla3[[#This Row],[VALOR UNITARIO ]]*Tabla3[[#This Row],[CANTIDAD ]]</f>
        <v>3185000</v>
      </c>
      <c r="G21" s="18">
        <f>14420*1.3</f>
        <v>18746</v>
      </c>
      <c r="H21" s="241">
        <f>Tabla3[[#This Row],[VALOR UNITARIO]]*Tabla3[[#This Row],[CANTIDAD ]]</f>
        <v>1705886</v>
      </c>
      <c r="I21" s="241"/>
      <c r="J21" s="241"/>
      <c r="K21" s="241"/>
      <c r="L21" s="241"/>
      <c r="M21" s="241"/>
      <c r="N21" s="241"/>
      <c r="O21" s="241"/>
      <c r="P21" s="239"/>
      <c r="R21" s="241">
        <f>MAX(Tabla3[[#This Row],[VALOR TOTAL]],Tabla3[[#This Row],[VALOR TOTAL ]])</f>
        <v>3185000</v>
      </c>
      <c r="S21" s="241">
        <f>MIN(Tabla3[[#This Row],[VALOR TOTAL ]],Tabla3[[#This Row],[VALOR TOTAL]])</f>
        <v>1705886</v>
      </c>
      <c r="T21" s="241">
        <f>AVERAGE(Tabla3[[#This Row],[VALOR TOTAL ]:[VALOR TOTAL]])</f>
        <v>1636544</v>
      </c>
    </row>
    <row r="22" spans="1:20" ht="29.25" customHeight="1" x14ac:dyDescent="0.2">
      <c r="A22" s="20" t="s">
        <v>38</v>
      </c>
      <c r="B22" s="24" t="s">
        <v>39</v>
      </c>
      <c r="C22" s="22" t="s">
        <v>14</v>
      </c>
      <c r="D22" s="14">
        <v>60</v>
      </c>
      <c r="E22" s="19">
        <v>40000</v>
      </c>
      <c r="F22" s="241">
        <f>Tabla3[[#This Row],[VALOR UNITARIO ]]*Tabla3[[#This Row],[CANTIDAD ]]</f>
        <v>2400000</v>
      </c>
      <c r="G22" s="18">
        <f>13210*1.3</f>
        <v>17173</v>
      </c>
      <c r="H22" s="241">
        <f>Tabla3[[#This Row],[VALOR UNITARIO]]*Tabla3[[#This Row],[CANTIDAD ]]</f>
        <v>1030380</v>
      </c>
      <c r="I22" s="241"/>
      <c r="J22" s="241"/>
      <c r="K22" s="241"/>
      <c r="L22" s="241"/>
      <c r="M22" s="241"/>
      <c r="N22" s="241"/>
      <c r="O22" s="241"/>
      <c r="P22" s="239"/>
      <c r="R22" s="241">
        <f>MAX(Tabla3[[#This Row],[VALOR TOTAL]],Tabla3[[#This Row],[VALOR TOTAL ]])</f>
        <v>2400000</v>
      </c>
      <c r="S22" s="241">
        <f>MIN(Tabla3[[#This Row],[VALOR TOTAL ]],Tabla3[[#This Row],[VALOR TOTAL]])</f>
        <v>1030380</v>
      </c>
      <c r="T22" s="241">
        <f>AVERAGE(Tabla3[[#This Row],[VALOR TOTAL ]:[VALOR TOTAL]])</f>
        <v>1149184.3333333333</v>
      </c>
    </row>
    <row r="23" spans="1:20" ht="29.25" customHeight="1" x14ac:dyDescent="0.2">
      <c r="A23" s="25" t="s">
        <v>40</v>
      </c>
      <c r="B23" s="8" t="s">
        <v>41</v>
      </c>
      <c r="C23" s="26"/>
      <c r="D23" s="16"/>
      <c r="F23" s="254"/>
      <c r="G23" s="260"/>
      <c r="H23" s="254"/>
      <c r="I23" s="270"/>
      <c r="P23" s="240"/>
      <c r="R23" s="254"/>
      <c r="S23" s="254"/>
      <c r="T23" s="254"/>
    </row>
    <row r="24" spans="1:20" ht="33" customHeight="1" x14ac:dyDescent="0.2">
      <c r="A24" s="11" t="s">
        <v>42</v>
      </c>
      <c r="B24" s="27" t="s">
        <v>43</v>
      </c>
      <c r="C24" s="28" t="s">
        <v>6</v>
      </c>
      <c r="D24" s="14">
        <v>52</v>
      </c>
      <c r="E24" s="19">
        <v>66000</v>
      </c>
      <c r="F24" s="19">
        <f>Tabla3[[#This Row],[VALOR UNITARIO ]]*Tabla3[[#This Row],[CANTIDAD ]]</f>
        <v>3432000</v>
      </c>
      <c r="G24" s="261">
        <v>32500</v>
      </c>
      <c r="H24" s="19">
        <f>Tabla3[[#This Row],[VALOR UNITARIO]]*Tabla3[[#This Row],[CANTIDAD ]]</f>
        <v>1690000</v>
      </c>
      <c r="I24" s="19"/>
      <c r="J24" s="19"/>
      <c r="K24" s="19"/>
      <c r="L24" s="19"/>
      <c r="M24" s="19"/>
      <c r="N24" s="19"/>
      <c r="O24" s="19"/>
      <c r="P24" s="18"/>
      <c r="R24" s="19">
        <f>MAX(Tabla3[[#This Row],[VALOR TOTAL]],Tabla3[[#This Row],[VALOR TOTAL ]])</f>
        <v>3432000</v>
      </c>
      <c r="S24" s="19">
        <f>MIN(Tabla3[[#This Row],[VALOR TOTAL ]],Tabla3[[#This Row],[VALOR TOTAL]])</f>
        <v>1690000</v>
      </c>
      <c r="T24" s="19">
        <f>AVERAGE(Tabla3[[#This Row],[VALOR TOTAL ]:[VALOR TOTAL]])</f>
        <v>1718166.6666666667</v>
      </c>
    </row>
    <row r="25" spans="1:20" ht="60" x14ac:dyDescent="0.2">
      <c r="A25" s="20" t="s">
        <v>44</v>
      </c>
      <c r="B25" s="29" t="s">
        <v>45</v>
      </c>
      <c r="C25" s="30" t="s">
        <v>6</v>
      </c>
      <c r="D25" s="14">
        <v>52</v>
      </c>
      <c r="E25" s="19">
        <v>66000</v>
      </c>
      <c r="F25" s="19">
        <f>Tabla3[[#This Row],[VALOR UNITARIO ]]*Tabla3[[#This Row],[CANTIDAD ]]</f>
        <v>3432000</v>
      </c>
      <c r="G25" s="239">
        <v>35581</v>
      </c>
      <c r="H25" s="19">
        <f>Tabla3[[#This Row],[VALOR UNITARIO]]*Tabla3[[#This Row],[CANTIDAD ]]</f>
        <v>1850212</v>
      </c>
      <c r="I25" s="19"/>
      <c r="J25" s="19"/>
      <c r="K25" s="19"/>
      <c r="L25" s="19"/>
      <c r="M25" s="19"/>
      <c r="N25" s="19"/>
      <c r="O25" s="19"/>
      <c r="P25" s="18"/>
      <c r="R25" s="19">
        <f>MAX(Tabla3[[#This Row],[VALOR TOTAL]],Tabla3[[#This Row],[VALOR TOTAL ]])</f>
        <v>3432000</v>
      </c>
      <c r="S25" s="19">
        <f>MIN(Tabla3[[#This Row],[VALOR TOTAL ]],Tabla3[[#This Row],[VALOR TOTAL]])</f>
        <v>1850212</v>
      </c>
      <c r="T25" s="19">
        <f>AVERAGE(Tabla3[[#This Row],[VALOR TOTAL ]:[VALOR TOTAL]])</f>
        <v>1772597.6666666667</v>
      </c>
    </row>
    <row r="26" spans="1:20" ht="36" customHeight="1" x14ac:dyDescent="0.2">
      <c r="A26" s="31" t="s">
        <v>46</v>
      </c>
      <c r="B26" s="24" t="s">
        <v>47</v>
      </c>
      <c r="C26" s="22" t="s">
        <v>14</v>
      </c>
      <c r="D26" s="14">
        <v>97</v>
      </c>
      <c r="E26" s="19">
        <v>118000</v>
      </c>
      <c r="F26" s="19">
        <f>Tabla3[[#This Row],[VALOR UNITARIO ]]*Tabla3[[#This Row],[CANTIDAD ]]</f>
        <v>11446000</v>
      </c>
      <c r="G26" s="239">
        <v>132301</v>
      </c>
      <c r="H26" s="19">
        <f>Tabla3[[#This Row],[VALOR UNITARIO]]*Tabla3[[#This Row],[CANTIDAD ]]</f>
        <v>12833197</v>
      </c>
      <c r="I26" s="19"/>
      <c r="J26" s="19"/>
      <c r="K26" s="19"/>
      <c r="L26" s="19"/>
      <c r="M26" s="19"/>
      <c r="N26" s="19"/>
      <c r="O26" s="19"/>
      <c r="P26" s="18"/>
      <c r="R26" s="19">
        <f>MAX(Tabla3[[#This Row],[VALOR TOTAL]],Tabla3[[#This Row],[VALOR TOTAL ]])</f>
        <v>12833197</v>
      </c>
      <c r="S26" s="19">
        <f>MIN(Tabla3[[#This Row],[VALOR TOTAL ]],Tabla3[[#This Row],[VALOR TOTAL]])</f>
        <v>11446000</v>
      </c>
      <c r="T26" s="19">
        <f>AVERAGE(Tabla3[[#This Row],[VALOR TOTAL ]:[VALOR TOTAL]])</f>
        <v>8137166</v>
      </c>
    </row>
    <row r="27" spans="1:20" ht="31.5" customHeight="1" x14ac:dyDescent="0.2">
      <c r="A27" s="20" t="s">
        <v>48</v>
      </c>
      <c r="B27" s="24" t="s">
        <v>49</v>
      </c>
      <c r="C27" s="22" t="s">
        <v>14</v>
      </c>
      <c r="D27" s="14">
        <v>212</v>
      </c>
      <c r="E27" s="19">
        <v>110000</v>
      </c>
      <c r="F27" s="19">
        <f>Tabla3[[#This Row],[VALOR UNITARIO ]]*Tabla3[[#This Row],[CANTIDAD ]]</f>
        <v>23320000</v>
      </c>
      <c r="G27" s="239">
        <v>110500</v>
      </c>
      <c r="H27" s="19">
        <f>Tabla3[[#This Row],[VALOR UNITARIO]]*Tabla3[[#This Row],[CANTIDAD ]]</f>
        <v>23426000</v>
      </c>
      <c r="I27" s="19"/>
      <c r="J27" s="19"/>
      <c r="K27" s="19"/>
      <c r="L27" s="19"/>
      <c r="M27" s="19"/>
      <c r="N27" s="19"/>
      <c r="O27" s="19"/>
      <c r="P27" s="18"/>
      <c r="R27" s="19">
        <f>MAX(Tabla3[[#This Row],[VALOR TOTAL]],Tabla3[[#This Row],[VALOR TOTAL ]])</f>
        <v>23426000</v>
      </c>
      <c r="S27" s="19">
        <f>MIN(Tabla3[[#This Row],[VALOR TOTAL ]],Tabla3[[#This Row],[VALOR TOTAL]])</f>
        <v>23320000</v>
      </c>
      <c r="T27" s="19">
        <f>AVERAGE(Tabla3[[#This Row],[VALOR TOTAL ]:[VALOR TOTAL]])</f>
        <v>15618833.333333334</v>
      </c>
    </row>
    <row r="28" spans="1:20" ht="36" x14ac:dyDescent="0.2">
      <c r="A28" s="32" t="s">
        <v>50</v>
      </c>
      <c r="B28" s="24" t="s">
        <v>51</v>
      </c>
      <c r="C28" s="22" t="s">
        <v>14</v>
      </c>
      <c r="D28" s="14">
        <v>255</v>
      </c>
      <c r="E28" s="19">
        <v>100000</v>
      </c>
      <c r="F28" s="19">
        <f>Tabla3[[#This Row],[VALOR UNITARIO ]]*Tabla3[[#This Row],[CANTIDAD ]]</f>
        <v>25500000</v>
      </c>
      <c r="G28" s="239">
        <v>104000</v>
      </c>
      <c r="H28" s="19">
        <f>Tabla3[[#This Row],[VALOR UNITARIO]]*Tabla3[[#This Row],[CANTIDAD ]]</f>
        <v>26520000</v>
      </c>
      <c r="I28" s="19"/>
      <c r="J28" s="19"/>
      <c r="K28" s="19"/>
      <c r="L28" s="19"/>
      <c r="M28" s="19"/>
      <c r="N28" s="19"/>
      <c r="O28" s="19"/>
      <c r="P28" s="18"/>
      <c r="R28" s="19">
        <f>MAX(Tabla3[[#This Row],[VALOR TOTAL]],Tabla3[[#This Row],[VALOR TOTAL ]])</f>
        <v>26520000</v>
      </c>
      <c r="S28" s="19">
        <f>MIN(Tabla3[[#This Row],[VALOR TOTAL ]],Tabla3[[#This Row],[VALOR TOTAL]])</f>
        <v>25500000</v>
      </c>
      <c r="T28" s="19">
        <f>AVERAGE(Tabla3[[#This Row],[VALOR TOTAL ]:[VALOR TOTAL]])</f>
        <v>17374666.666666668</v>
      </c>
    </row>
    <row r="29" spans="1:20" ht="24" x14ac:dyDescent="0.2">
      <c r="A29" s="20" t="s">
        <v>52</v>
      </c>
      <c r="B29" s="27" t="s">
        <v>53</v>
      </c>
      <c r="C29" s="30" t="s">
        <v>19</v>
      </c>
      <c r="D29" s="14">
        <v>330</v>
      </c>
      <c r="E29" s="19">
        <v>80000</v>
      </c>
      <c r="F29" s="19">
        <f>Tabla3[[#This Row],[VALOR UNITARIO ]]*Tabla3[[#This Row],[CANTIDAD ]]</f>
        <v>26400000</v>
      </c>
      <c r="G29" s="239">
        <v>65949</v>
      </c>
      <c r="H29" s="19">
        <f>Tabla3[[#This Row],[VALOR UNITARIO]]*Tabla3[[#This Row],[CANTIDAD ]]</f>
        <v>21763170</v>
      </c>
      <c r="I29" s="19"/>
      <c r="J29" s="19"/>
      <c r="K29" s="19"/>
      <c r="L29" s="19"/>
      <c r="M29" s="19"/>
      <c r="N29" s="19"/>
      <c r="O29" s="19"/>
      <c r="P29" s="18"/>
      <c r="R29" s="19">
        <f>MAX(Tabla3[[#This Row],[VALOR TOTAL]],Tabla3[[#This Row],[VALOR TOTAL ]])</f>
        <v>26400000</v>
      </c>
      <c r="S29" s="19">
        <f>MIN(Tabla3[[#This Row],[VALOR TOTAL ]],Tabla3[[#This Row],[VALOR TOTAL]])</f>
        <v>21763170</v>
      </c>
      <c r="T29" s="19">
        <f>AVERAGE(Tabla3[[#This Row],[VALOR TOTAL ]:[VALOR TOTAL]])</f>
        <v>16076373</v>
      </c>
    </row>
    <row r="30" spans="1:20" ht="24" x14ac:dyDescent="0.2">
      <c r="A30" s="32" t="s">
        <v>54</v>
      </c>
      <c r="B30" s="24" t="s">
        <v>55</v>
      </c>
      <c r="C30" s="22" t="s">
        <v>14</v>
      </c>
      <c r="D30" s="14">
        <v>28</v>
      </c>
      <c r="E30" s="19">
        <v>92000</v>
      </c>
      <c r="F30" s="19">
        <f>Tabla3[[#This Row],[VALOR UNITARIO ]]*Tabla3[[#This Row],[CANTIDAD ]]</f>
        <v>2576000</v>
      </c>
      <c r="G30" s="239">
        <v>72813</v>
      </c>
      <c r="H30" s="19">
        <f>Tabla3[[#This Row],[VALOR UNITARIO]]*Tabla3[[#This Row],[CANTIDAD ]]</f>
        <v>2038764</v>
      </c>
      <c r="I30" s="19"/>
      <c r="J30" s="19"/>
      <c r="K30" s="19"/>
      <c r="L30" s="19"/>
      <c r="M30" s="19"/>
      <c r="N30" s="19"/>
      <c r="O30" s="19"/>
      <c r="P30" s="18"/>
      <c r="R30" s="19">
        <f>MAX(Tabla3[[#This Row],[VALOR TOTAL]],Tabla3[[#This Row],[VALOR TOTAL ]])</f>
        <v>2576000</v>
      </c>
      <c r="S30" s="19">
        <f>MIN(Tabla3[[#This Row],[VALOR TOTAL ]],Tabla3[[#This Row],[VALOR TOTAL]])</f>
        <v>2038764</v>
      </c>
      <c r="T30" s="19">
        <f>AVERAGE(Tabla3[[#This Row],[VALOR TOTAL ]:[VALOR TOTAL]])</f>
        <v>1562525.6666666667</v>
      </c>
    </row>
    <row r="31" spans="1:20" ht="24" x14ac:dyDescent="0.2">
      <c r="A31" s="20" t="s">
        <v>56</v>
      </c>
      <c r="B31" s="24" t="s">
        <v>57</v>
      </c>
      <c r="C31" s="22" t="s">
        <v>14</v>
      </c>
      <c r="D31" s="14">
        <v>40</v>
      </c>
      <c r="E31" s="19">
        <v>94000</v>
      </c>
      <c r="F31" s="19">
        <f>Tabla3[[#This Row],[VALOR UNITARIO ]]*Tabla3[[#This Row],[CANTIDAD ]]</f>
        <v>3760000</v>
      </c>
      <c r="G31" s="239">
        <v>113048</v>
      </c>
      <c r="H31" s="19">
        <f>Tabla3[[#This Row],[VALOR UNITARIO]]*Tabla3[[#This Row],[CANTIDAD ]]</f>
        <v>4521920</v>
      </c>
      <c r="I31" s="19"/>
      <c r="J31" s="19"/>
      <c r="K31" s="19"/>
      <c r="L31" s="19"/>
      <c r="M31" s="19"/>
      <c r="N31" s="19"/>
      <c r="O31" s="19"/>
      <c r="P31" s="18"/>
      <c r="R31" s="19">
        <f>MAX(Tabla3[[#This Row],[VALOR TOTAL]],Tabla3[[#This Row],[VALOR TOTAL ]])</f>
        <v>4521920</v>
      </c>
      <c r="S31" s="19">
        <f>MIN(Tabla3[[#This Row],[VALOR TOTAL ]],Tabla3[[#This Row],[VALOR TOTAL]])</f>
        <v>3760000</v>
      </c>
      <c r="T31" s="19">
        <f>AVERAGE(Tabla3[[#This Row],[VALOR TOTAL ]:[VALOR TOTAL]])</f>
        <v>2798322.6666666665</v>
      </c>
    </row>
    <row r="32" spans="1:20" x14ac:dyDescent="0.2">
      <c r="A32" s="32" t="s">
        <v>58</v>
      </c>
      <c r="B32" s="24" t="s">
        <v>59</v>
      </c>
      <c r="C32" s="22" t="s">
        <v>14</v>
      </c>
      <c r="D32" s="14">
        <v>40</v>
      </c>
      <c r="E32" s="19">
        <v>16000</v>
      </c>
      <c r="F32" s="19">
        <f>Tabla3[[#This Row],[VALOR UNITARIO ]]*Tabla3[[#This Row],[CANTIDAD ]]</f>
        <v>640000</v>
      </c>
      <c r="G32" s="239">
        <v>16848</v>
      </c>
      <c r="H32" s="19">
        <f>Tabla3[[#This Row],[VALOR UNITARIO]]*Tabla3[[#This Row],[CANTIDAD ]]</f>
        <v>673920</v>
      </c>
      <c r="I32" s="19"/>
      <c r="J32" s="19"/>
      <c r="K32" s="19"/>
      <c r="L32" s="19"/>
      <c r="M32" s="19"/>
      <c r="N32" s="19"/>
      <c r="O32" s="19"/>
      <c r="P32" s="18"/>
      <c r="R32" s="19">
        <f>MAX(Tabla3[[#This Row],[VALOR TOTAL]],Tabla3[[#This Row],[VALOR TOTAL ]])</f>
        <v>673920</v>
      </c>
      <c r="S32" s="19">
        <f>MIN(Tabla3[[#This Row],[VALOR TOTAL ]],Tabla3[[#This Row],[VALOR TOTAL]])</f>
        <v>640000</v>
      </c>
      <c r="T32" s="19">
        <f>AVERAGE(Tabla3[[#This Row],[VALOR TOTAL ]:[VALOR TOTAL]])</f>
        <v>443589.33333333331</v>
      </c>
    </row>
    <row r="33" spans="1:20" ht="24" x14ac:dyDescent="0.2">
      <c r="A33" s="20" t="s">
        <v>60</v>
      </c>
      <c r="B33" s="24" t="s">
        <v>61</v>
      </c>
      <c r="C33" s="22" t="s">
        <v>14</v>
      </c>
      <c r="D33" s="14">
        <v>70</v>
      </c>
      <c r="E33" s="19">
        <v>46000</v>
      </c>
      <c r="F33" s="19">
        <f>Tabla3[[#This Row],[VALOR UNITARIO ]]*Tabla3[[#This Row],[CANTIDAD ]]</f>
        <v>3220000</v>
      </c>
      <c r="G33" s="239">
        <v>57837</v>
      </c>
      <c r="H33" s="19">
        <f>Tabla3[[#This Row],[VALOR UNITARIO]]*Tabla3[[#This Row],[CANTIDAD ]]</f>
        <v>4048590</v>
      </c>
      <c r="I33" s="19"/>
      <c r="J33" s="19"/>
      <c r="K33" s="19"/>
      <c r="L33" s="19"/>
      <c r="M33" s="19"/>
      <c r="N33" s="19"/>
      <c r="O33" s="19"/>
      <c r="P33" s="18"/>
      <c r="R33" s="19">
        <f>MAX(Tabla3[[#This Row],[VALOR TOTAL]],Tabla3[[#This Row],[VALOR TOTAL ]])</f>
        <v>4048590</v>
      </c>
      <c r="S33" s="19">
        <f>MIN(Tabla3[[#This Row],[VALOR TOTAL ]],Tabla3[[#This Row],[VALOR TOTAL]])</f>
        <v>3220000</v>
      </c>
      <c r="T33" s="19">
        <f>AVERAGE(Tabla3[[#This Row],[VALOR TOTAL ]:[VALOR TOTAL]])</f>
        <v>2442142.3333333335</v>
      </c>
    </row>
    <row r="34" spans="1:20" ht="20.25" customHeight="1" x14ac:dyDescent="0.2">
      <c r="A34" s="32" t="s">
        <v>62</v>
      </c>
      <c r="B34" s="24" t="s">
        <v>63</v>
      </c>
      <c r="C34" s="22" t="s">
        <v>6</v>
      </c>
      <c r="D34" s="14">
        <v>10</v>
      </c>
      <c r="E34" s="19">
        <v>27000</v>
      </c>
      <c r="F34" s="19">
        <f>Tabla3[[#This Row],[VALOR UNITARIO ]]*Tabla3[[#This Row],[CANTIDAD ]]</f>
        <v>270000</v>
      </c>
      <c r="G34" s="239">
        <v>6667.1</v>
      </c>
      <c r="H34" s="19">
        <f>Tabla3[[#This Row],[VALOR UNITARIO]]*Tabla3[[#This Row],[CANTIDAD ]]</f>
        <v>66671</v>
      </c>
      <c r="I34" s="19"/>
      <c r="J34" s="19"/>
      <c r="K34" s="19"/>
      <c r="L34" s="19"/>
      <c r="M34" s="19"/>
      <c r="N34" s="19"/>
      <c r="O34" s="19"/>
      <c r="P34" s="18"/>
      <c r="R34" s="19">
        <f>MAX(Tabla3[[#This Row],[VALOR TOTAL]],Tabla3[[#This Row],[VALOR TOTAL ]])</f>
        <v>270000</v>
      </c>
      <c r="S34" s="19">
        <f>MIN(Tabla3[[#This Row],[VALOR TOTAL ]],Tabla3[[#This Row],[VALOR TOTAL]])</f>
        <v>66671</v>
      </c>
      <c r="T34" s="19">
        <f>AVERAGE(Tabla3[[#This Row],[VALOR TOTAL ]:[VALOR TOTAL]])</f>
        <v>114446.03333333333</v>
      </c>
    </row>
    <row r="35" spans="1:20" ht="20.25" customHeight="1" x14ac:dyDescent="0.2">
      <c r="A35" s="20" t="s">
        <v>64</v>
      </c>
      <c r="B35" s="24" t="s">
        <v>65</v>
      </c>
      <c r="C35" s="22" t="s">
        <v>14</v>
      </c>
      <c r="D35" s="14">
        <v>80</v>
      </c>
      <c r="E35" s="19">
        <v>48000</v>
      </c>
      <c r="F35" s="19">
        <f>Tabla3[[#This Row],[VALOR UNITARIO ]]*Tabla3[[#This Row],[CANTIDAD ]]</f>
        <v>3840000</v>
      </c>
      <c r="G35" s="239">
        <v>36283</v>
      </c>
      <c r="H35" s="19">
        <f>Tabla3[[#This Row],[VALOR UNITARIO]]*Tabla3[[#This Row],[CANTIDAD ]]</f>
        <v>2902640</v>
      </c>
      <c r="I35" s="19"/>
      <c r="J35" s="19"/>
      <c r="K35" s="19"/>
      <c r="L35" s="19"/>
      <c r="M35" s="19"/>
      <c r="N35" s="19"/>
      <c r="O35" s="19"/>
      <c r="P35" s="18"/>
      <c r="R35" s="19">
        <f>MAX(Tabla3[[#This Row],[VALOR TOTAL]],Tabla3[[#This Row],[VALOR TOTAL ]])</f>
        <v>3840000</v>
      </c>
      <c r="S35" s="19">
        <f>MIN(Tabla3[[#This Row],[VALOR TOTAL ]],Tabla3[[#This Row],[VALOR TOTAL]])</f>
        <v>2902640</v>
      </c>
      <c r="T35" s="19">
        <f>AVERAGE(Tabla3[[#This Row],[VALOR TOTAL ]:[VALOR TOTAL]])</f>
        <v>2259641</v>
      </c>
    </row>
    <row r="36" spans="1:20" ht="20.25" customHeight="1" x14ac:dyDescent="0.2">
      <c r="A36" s="20" t="s">
        <v>66</v>
      </c>
      <c r="B36" s="24" t="s">
        <v>67</v>
      </c>
      <c r="C36" s="22" t="s">
        <v>14</v>
      </c>
      <c r="D36" s="14">
        <v>7</v>
      </c>
      <c r="E36" s="33">
        <v>145000</v>
      </c>
      <c r="F36" s="33">
        <f>Tabla3[[#This Row],[VALOR UNITARIO ]]*Tabla3[[#This Row],[CANTIDAD ]]</f>
        <v>1015000</v>
      </c>
      <c r="G36" s="239">
        <v>106490.8</v>
      </c>
      <c r="H36" s="33">
        <f>Tabla3[[#This Row],[VALOR UNITARIO]]*Tabla3[[#This Row],[CANTIDAD ]]</f>
        <v>745435.6</v>
      </c>
      <c r="I36" s="33"/>
      <c r="J36" s="33"/>
      <c r="K36" s="33"/>
      <c r="L36" s="33"/>
      <c r="M36" s="33"/>
      <c r="N36" s="33"/>
      <c r="O36" s="33"/>
      <c r="P36" s="18"/>
      <c r="R36" s="33">
        <f>MAX(Tabla3[[#This Row],[VALOR TOTAL]],Tabla3[[#This Row],[VALOR TOTAL ]])</f>
        <v>1015000</v>
      </c>
      <c r="S36" s="33">
        <f>MIN(Tabla3[[#This Row],[VALOR TOTAL ]],Tabla3[[#This Row],[VALOR TOTAL]])</f>
        <v>745435.6</v>
      </c>
      <c r="T36" s="33">
        <f>AVERAGE(Tabla3[[#This Row],[VALOR TOTAL ]:[VALOR TOTAL]])</f>
        <v>622308.79999999993</v>
      </c>
    </row>
    <row r="37" spans="1:20" ht="43.5" customHeight="1" x14ac:dyDescent="0.2">
      <c r="A37" s="20" t="s">
        <v>68</v>
      </c>
      <c r="B37" s="34" t="s">
        <v>756</v>
      </c>
      <c r="C37" s="22" t="s">
        <v>6</v>
      </c>
      <c r="D37" s="14">
        <v>1</v>
      </c>
      <c r="E37" s="19">
        <v>1200000</v>
      </c>
      <c r="F37" s="19">
        <f>Tabla3[[#This Row],[VALOR UNITARIO ]]*Tabla3[[#This Row],[CANTIDAD ]]</f>
        <v>1200000</v>
      </c>
      <c r="G37" s="239">
        <v>550000</v>
      </c>
      <c r="H37" s="19">
        <f>Tabla3[[#This Row],[VALOR UNITARIO]]*Tabla3[[#This Row],[CANTIDAD ]]</f>
        <v>550000</v>
      </c>
      <c r="I37" s="19"/>
      <c r="J37" s="19"/>
      <c r="K37" s="19"/>
      <c r="L37" s="19"/>
      <c r="M37" s="19"/>
      <c r="N37" s="19"/>
      <c r="O37" s="19"/>
      <c r="P37" s="18"/>
      <c r="R37" s="19">
        <f>MAX(Tabla3[[#This Row],[VALOR TOTAL]],Tabla3[[#This Row],[VALOR TOTAL ]])</f>
        <v>1200000</v>
      </c>
      <c r="S37" s="19">
        <f>MIN(Tabla3[[#This Row],[VALOR TOTAL ]],Tabla3[[#This Row],[VALOR TOTAL]])</f>
        <v>550000</v>
      </c>
      <c r="T37" s="19">
        <f>AVERAGE(Tabla3[[#This Row],[VALOR TOTAL ]:[VALOR TOTAL]])</f>
        <v>766666.66666666663</v>
      </c>
    </row>
    <row r="38" spans="1:20" ht="24.75" customHeight="1" x14ac:dyDescent="0.2">
      <c r="A38" s="25" t="s">
        <v>69</v>
      </c>
      <c r="B38" s="8" t="s">
        <v>70</v>
      </c>
      <c r="C38" s="35"/>
      <c r="D38" s="36"/>
      <c r="F38" s="254"/>
      <c r="G38" s="33"/>
      <c r="H38" s="254"/>
      <c r="I38" s="270"/>
      <c r="P38" s="240"/>
      <c r="R38" s="254"/>
      <c r="S38" s="254"/>
      <c r="T38" s="254"/>
    </row>
    <row r="39" spans="1:20" ht="24" x14ac:dyDescent="0.2">
      <c r="A39" s="31" t="s">
        <v>71</v>
      </c>
      <c r="B39" s="27" t="s">
        <v>72</v>
      </c>
      <c r="C39" s="37" t="s">
        <v>19</v>
      </c>
      <c r="D39" s="38">
        <v>191</v>
      </c>
      <c r="E39" s="241">
        <v>20000</v>
      </c>
      <c r="F39" s="241">
        <f>Tabla3[[#This Row],[VALOR UNITARIO ]]*Tabla3[[#This Row],[CANTIDAD ]]</f>
        <v>3820000</v>
      </c>
      <c r="G39" s="39">
        <v>19500</v>
      </c>
      <c r="H39" s="241">
        <f>Tabla3[[#This Row],[VALOR UNITARIO]]*Tabla3[[#This Row],[CANTIDAD ]]</f>
        <v>3724500</v>
      </c>
      <c r="I39" s="241"/>
      <c r="J39" s="241"/>
      <c r="K39" s="241"/>
      <c r="L39" s="241"/>
      <c r="M39" s="241"/>
      <c r="N39" s="241"/>
      <c r="O39" s="241"/>
      <c r="P39" s="39"/>
      <c r="R39" s="19">
        <f>MAX(Tabla3[[#This Row],[VALOR TOTAL]],Tabla3[[#This Row],[VALOR TOTAL ]])</f>
        <v>3820000</v>
      </c>
      <c r="S39" s="19">
        <f>MIN(Tabla3[[#This Row],[VALOR TOTAL ]],Tabla3[[#This Row],[VALOR TOTAL]])</f>
        <v>3724500</v>
      </c>
      <c r="T39" s="19">
        <f>AVERAGE(Tabla3[[#This Row],[VALOR TOTAL ]:[VALOR TOTAL]])</f>
        <v>2521333.3333333335</v>
      </c>
    </row>
    <row r="40" spans="1:20" ht="24" x14ac:dyDescent="0.2">
      <c r="A40" s="32" t="s">
        <v>73</v>
      </c>
      <c r="B40" s="40" t="s">
        <v>74</v>
      </c>
      <c r="C40" s="41" t="s">
        <v>19</v>
      </c>
      <c r="D40" s="14">
        <v>191</v>
      </c>
      <c r="E40" s="19">
        <v>35000</v>
      </c>
      <c r="F40" s="241">
        <f>Tabla3[[#This Row],[VALOR UNITARIO ]]*Tabla3[[#This Row],[CANTIDAD ]]</f>
        <v>6685000</v>
      </c>
      <c r="G40" s="39">
        <v>3731</v>
      </c>
      <c r="H40" s="241">
        <f>Tabla3[[#This Row],[VALOR UNITARIO]]*Tabla3[[#This Row],[CANTIDAD ]]</f>
        <v>712621</v>
      </c>
      <c r="I40" s="241"/>
      <c r="J40" s="241"/>
      <c r="K40" s="241"/>
      <c r="L40" s="241"/>
      <c r="M40" s="241"/>
      <c r="N40" s="241"/>
      <c r="O40" s="241"/>
      <c r="P40" s="39"/>
      <c r="R40" s="19">
        <f>MAX(Tabla3[[#This Row],[VALOR TOTAL]],Tabla3[[#This Row],[VALOR TOTAL ]])</f>
        <v>6685000</v>
      </c>
      <c r="S40" s="19">
        <f>MIN(Tabla3[[#This Row],[VALOR TOTAL ]],Tabla3[[#This Row],[VALOR TOTAL]])</f>
        <v>712621</v>
      </c>
      <c r="T40" s="19">
        <f>AVERAGE(Tabla3[[#This Row],[VALOR TOTAL ]:[VALOR TOTAL]])</f>
        <v>2467117.3333333335</v>
      </c>
    </row>
    <row r="41" spans="1:20" ht="24" x14ac:dyDescent="0.2">
      <c r="A41" s="31" t="s">
        <v>75</v>
      </c>
      <c r="B41" s="42" t="s">
        <v>76</v>
      </c>
      <c r="C41" s="43" t="s">
        <v>19</v>
      </c>
      <c r="D41" s="14">
        <v>51</v>
      </c>
      <c r="E41" s="19">
        <v>280000</v>
      </c>
      <c r="F41" s="241">
        <f>Tabla3[[#This Row],[VALOR UNITARIO ]]*Tabla3[[#This Row],[CANTIDAD ]]</f>
        <v>14280000</v>
      </c>
      <c r="G41" s="39">
        <v>128700</v>
      </c>
      <c r="H41" s="241">
        <f>Tabla3[[#This Row],[VALOR UNITARIO]]*Tabla3[[#This Row],[CANTIDAD ]]</f>
        <v>6563700</v>
      </c>
      <c r="I41" s="241"/>
      <c r="J41" s="241"/>
      <c r="K41" s="241"/>
      <c r="L41" s="241"/>
      <c r="M41" s="241"/>
      <c r="N41" s="241"/>
      <c r="O41" s="241"/>
      <c r="P41" s="39"/>
      <c r="R41" s="19">
        <f>MAX(Tabla3[[#This Row],[VALOR TOTAL]],Tabla3[[#This Row],[VALOR TOTAL ]])</f>
        <v>14280000</v>
      </c>
      <c r="S41" s="19">
        <f>MIN(Tabla3[[#This Row],[VALOR TOTAL ]],Tabla3[[#This Row],[VALOR TOTAL]])</f>
        <v>6563700</v>
      </c>
      <c r="T41" s="19">
        <f>AVERAGE(Tabla3[[#This Row],[VALOR TOTAL ]:[VALOR TOTAL]])</f>
        <v>6990800</v>
      </c>
    </row>
    <row r="42" spans="1:20" ht="22.5" customHeight="1" x14ac:dyDescent="0.2">
      <c r="A42" s="32" t="s">
        <v>77</v>
      </c>
      <c r="B42" s="40" t="s">
        <v>78</v>
      </c>
      <c r="C42" s="41" t="s">
        <v>19</v>
      </c>
      <c r="D42" s="14">
        <v>140</v>
      </c>
      <c r="E42" s="19">
        <v>120000</v>
      </c>
      <c r="F42" s="241">
        <f>Tabla3[[#This Row],[VALOR UNITARIO ]]*Tabla3[[#This Row],[CANTIDAD ]]</f>
        <v>16800000</v>
      </c>
      <c r="G42" s="39">
        <v>45981</v>
      </c>
      <c r="H42" s="241">
        <f>Tabla3[[#This Row],[VALOR UNITARIO]]*Tabla3[[#This Row],[CANTIDAD ]]</f>
        <v>6437340</v>
      </c>
      <c r="I42" s="241"/>
      <c r="J42" s="241"/>
      <c r="K42" s="241"/>
      <c r="L42" s="241"/>
      <c r="M42" s="241"/>
      <c r="N42" s="241"/>
      <c r="O42" s="241"/>
      <c r="P42" s="39"/>
      <c r="R42" s="19">
        <f>MAX(Tabla3[[#This Row],[VALOR TOTAL]],Tabla3[[#This Row],[VALOR TOTAL ]])</f>
        <v>16800000</v>
      </c>
      <c r="S42" s="19">
        <f>MIN(Tabla3[[#This Row],[VALOR TOTAL ]],Tabla3[[#This Row],[VALOR TOTAL]])</f>
        <v>6437340</v>
      </c>
      <c r="T42" s="19">
        <f>AVERAGE(Tabla3[[#This Row],[VALOR TOTAL ]:[VALOR TOTAL]])</f>
        <v>7761107</v>
      </c>
    </row>
    <row r="43" spans="1:20" ht="36" x14ac:dyDescent="0.2">
      <c r="A43" s="32" t="s">
        <v>79</v>
      </c>
      <c r="B43" s="12" t="s">
        <v>80</v>
      </c>
      <c r="C43" s="17" t="s">
        <v>19</v>
      </c>
      <c r="D43" s="14">
        <v>140</v>
      </c>
      <c r="E43" s="19">
        <v>45000</v>
      </c>
      <c r="F43" s="241">
        <f>Tabla3[[#This Row],[VALOR UNITARIO ]]*Tabla3[[#This Row],[CANTIDAD ]]</f>
        <v>6300000</v>
      </c>
      <c r="G43" s="39">
        <v>32500</v>
      </c>
      <c r="H43" s="241">
        <f>Tabla3[[#This Row],[VALOR UNITARIO]]*Tabla3[[#This Row],[CANTIDAD ]]</f>
        <v>4550000</v>
      </c>
      <c r="I43" s="241"/>
      <c r="J43" s="241"/>
      <c r="K43" s="241"/>
      <c r="L43" s="241"/>
      <c r="M43" s="241"/>
      <c r="N43" s="241"/>
      <c r="O43" s="241"/>
      <c r="P43" s="39"/>
      <c r="R43" s="19">
        <f>MAX(Tabla3[[#This Row],[VALOR TOTAL]],Tabla3[[#This Row],[VALOR TOTAL ]])</f>
        <v>6300000</v>
      </c>
      <c r="S43" s="19">
        <f>MIN(Tabla3[[#This Row],[VALOR TOTAL ]],Tabla3[[#This Row],[VALOR TOTAL]])</f>
        <v>4550000</v>
      </c>
      <c r="T43" s="19">
        <f>AVERAGE(Tabla3[[#This Row],[VALOR TOTAL ]:[VALOR TOTAL]])</f>
        <v>3627500</v>
      </c>
    </row>
    <row r="44" spans="1:20" ht="36" x14ac:dyDescent="0.2">
      <c r="A44" s="25" t="s">
        <v>81</v>
      </c>
      <c r="B44" s="8" t="s">
        <v>82</v>
      </c>
      <c r="C44" s="44"/>
      <c r="D44" s="16"/>
      <c r="F44" s="254"/>
      <c r="G44" s="260"/>
      <c r="H44" s="254"/>
      <c r="I44" s="270"/>
      <c r="P44" s="240"/>
      <c r="R44" s="254"/>
      <c r="S44" s="254"/>
      <c r="T44" s="254"/>
    </row>
    <row r="45" spans="1:20" ht="23.25" customHeight="1" x14ac:dyDescent="0.2">
      <c r="A45" s="20" t="s">
        <v>83</v>
      </c>
      <c r="B45" s="40" t="s">
        <v>84</v>
      </c>
      <c r="C45" s="45" t="s">
        <v>19</v>
      </c>
      <c r="D45" s="14">
        <v>247</v>
      </c>
      <c r="E45" s="19">
        <v>9000</v>
      </c>
      <c r="F45" s="19">
        <f>Tabla3[[#This Row],[VALOR UNITARIO ]]*Tabla3[[#This Row],[CANTIDAD ]]</f>
        <v>2223000</v>
      </c>
      <c r="G45" s="18">
        <v>5200</v>
      </c>
      <c r="H45" s="19">
        <f>Tabla3[[#This Row],[VALOR UNITARIO]]*Tabla3[[#This Row],[CANTIDAD ]]</f>
        <v>1284400</v>
      </c>
      <c r="I45" s="19"/>
      <c r="J45" s="19"/>
      <c r="K45" s="19"/>
      <c r="L45" s="19"/>
      <c r="M45" s="19"/>
      <c r="N45" s="19"/>
      <c r="O45" s="19"/>
      <c r="P45" s="18"/>
      <c r="R45" s="19">
        <f>MAX(Tabla3[[#This Row],[VALOR TOTAL]],Tabla3[[#This Row],[VALOR TOTAL ]])</f>
        <v>2223000</v>
      </c>
      <c r="S45" s="19">
        <f>MIN(Tabla3[[#This Row],[VALOR TOTAL ]],Tabla3[[#This Row],[VALOR TOTAL]])</f>
        <v>1284400</v>
      </c>
      <c r="T45" s="19">
        <f>AVERAGE(Tabla3[[#This Row],[VALOR TOTAL ]:[VALOR TOTAL]])</f>
        <v>1170866.6666666667</v>
      </c>
    </row>
    <row r="46" spans="1:20" ht="36" x14ac:dyDescent="0.2">
      <c r="A46" s="11" t="s">
        <v>85</v>
      </c>
      <c r="B46" s="46" t="s">
        <v>86</v>
      </c>
      <c r="C46" s="45" t="s">
        <v>19</v>
      </c>
      <c r="D46" s="14">
        <v>247</v>
      </c>
      <c r="E46" s="19">
        <v>48000</v>
      </c>
      <c r="F46" s="19">
        <f>Tabla3[[#This Row],[VALOR UNITARIO ]]*Tabla3[[#This Row],[CANTIDAD ]]</f>
        <v>11856000</v>
      </c>
      <c r="G46" s="18">
        <v>45500</v>
      </c>
      <c r="H46" s="19">
        <f>Tabla3[[#This Row],[VALOR UNITARIO]]*Tabla3[[#This Row],[CANTIDAD ]]</f>
        <v>11238500</v>
      </c>
      <c r="I46" s="19"/>
      <c r="J46" s="19"/>
      <c r="K46" s="19"/>
      <c r="L46" s="19"/>
      <c r="M46" s="19"/>
      <c r="N46" s="19"/>
      <c r="O46" s="19"/>
      <c r="P46" s="18"/>
      <c r="R46" s="19">
        <f>MAX(Tabla3[[#This Row],[VALOR TOTAL]],Tabla3[[#This Row],[VALOR TOTAL ]])</f>
        <v>11856000</v>
      </c>
      <c r="S46" s="19">
        <f>MIN(Tabla3[[#This Row],[VALOR TOTAL ]],Tabla3[[#This Row],[VALOR TOTAL]])</f>
        <v>11238500</v>
      </c>
      <c r="T46" s="19">
        <f>AVERAGE(Tabla3[[#This Row],[VALOR TOTAL ]:[VALOR TOTAL]])</f>
        <v>7713333.333333333</v>
      </c>
    </row>
    <row r="47" spans="1:20" ht="16.5" customHeight="1" x14ac:dyDescent="0.2">
      <c r="A47" s="20" t="s">
        <v>87</v>
      </c>
      <c r="B47" s="46" t="s">
        <v>88</v>
      </c>
      <c r="C47" s="45" t="s">
        <v>19</v>
      </c>
      <c r="D47" s="14">
        <v>247</v>
      </c>
      <c r="E47" s="19">
        <v>28000</v>
      </c>
      <c r="F47" s="19">
        <f>Tabla3[[#This Row],[VALOR UNITARIO ]]*Tabla3[[#This Row],[CANTIDAD ]]</f>
        <v>6916000</v>
      </c>
      <c r="G47" s="18">
        <v>11700</v>
      </c>
      <c r="H47" s="19">
        <f>Tabla3[[#This Row],[VALOR UNITARIO]]*Tabla3[[#This Row],[CANTIDAD ]]</f>
        <v>2889900</v>
      </c>
      <c r="I47" s="19"/>
      <c r="J47" s="19"/>
      <c r="K47" s="19"/>
      <c r="L47" s="19"/>
      <c r="M47" s="19"/>
      <c r="N47" s="19"/>
      <c r="O47" s="19"/>
      <c r="P47" s="18"/>
      <c r="R47" s="19">
        <f>MAX(Tabla3[[#This Row],[VALOR TOTAL]],Tabla3[[#This Row],[VALOR TOTAL ]])</f>
        <v>6916000</v>
      </c>
      <c r="S47" s="19">
        <f>MIN(Tabla3[[#This Row],[VALOR TOTAL ]],Tabla3[[#This Row],[VALOR TOTAL]])</f>
        <v>2889900</v>
      </c>
      <c r="T47" s="19">
        <f>AVERAGE(Tabla3[[#This Row],[VALOR TOTAL ]:[VALOR TOTAL]])</f>
        <v>3272533.3333333335</v>
      </c>
    </row>
    <row r="48" spans="1:20" ht="16.5" customHeight="1" x14ac:dyDescent="0.2">
      <c r="A48" s="11" t="s">
        <v>89</v>
      </c>
      <c r="B48" s="40" t="s">
        <v>90</v>
      </c>
      <c r="C48" s="45" t="s">
        <v>19</v>
      </c>
      <c r="D48" s="14">
        <v>353</v>
      </c>
      <c r="E48" s="19">
        <v>19000</v>
      </c>
      <c r="F48" s="19">
        <f>Tabla3[[#This Row],[VALOR UNITARIO ]]*Tabla3[[#This Row],[CANTIDAD ]]</f>
        <v>6707000</v>
      </c>
      <c r="G48" s="18">
        <v>8710</v>
      </c>
      <c r="H48" s="19">
        <f>Tabla3[[#This Row],[VALOR UNITARIO]]*Tabla3[[#This Row],[CANTIDAD ]]</f>
        <v>3074630</v>
      </c>
      <c r="I48" s="19"/>
      <c r="J48" s="19"/>
      <c r="K48" s="19"/>
      <c r="L48" s="19"/>
      <c r="M48" s="19"/>
      <c r="N48" s="19"/>
      <c r="O48" s="19"/>
      <c r="P48" s="18"/>
      <c r="R48" s="19">
        <f>MAX(Tabla3[[#This Row],[VALOR TOTAL]],Tabla3[[#This Row],[VALOR TOTAL ]])</f>
        <v>6707000</v>
      </c>
      <c r="S48" s="19">
        <f>MIN(Tabla3[[#This Row],[VALOR TOTAL ]],Tabla3[[#This Row],[VALOR TOTAL]])</f>
        <v>3074630</v>
      </c>
      <c r="T48" s="19">
        <f>AVERAGE(Tabla3[[#This Row],[VALOR TOTAL ]:[VALOR TOTAL]])</f>
        <v>3263446.6666666665</v>
      </c>
    </row>
    <row r="49" spans="1:20" ht="16.5" customHeight="1" x14ac:dyDescent="0.2">
      <c r="A49" s="47" t="s">
        <v>91</v>
      </c>
      <c r="B49" s="46" t="s">
        <v>92</v>
      </c>
      <c r="C49" s="45" t="s">
        <v>19</v>
      </c>
      <c r="D49" s="14">
        <v>67.16200000000002</v>
      </c>
      <c r="E49" s="19">
        <v>18000</v>
      </c>
      <c r="F49" s="19">
        <f>Tabla3[[#This Row],[VALOR UNITARIO ]]*Tabla3[[#This Row],[CANTIDAD ]]</f>
        <v>1208916.0000000005</v>
      </c>
      <c r="G49" s="18">
        <v>8710</v>
      </c>
      <c r="H49" s="19">
        <f>Tabla3[[#This Row],[VALOR UNITARIO]]*Tabla3[[#This Row],[CANTIDAD ]]</f>
        <v>584981.02000000014</v>
      </c>
      <c r="I49" s="19"/>
      <c r="J49" s="19"/>
      <c r="K49" s="19"/>
      <c r="L49" s="19"/>
      <c r="M49" s="19"/>
      <c r="N49" s="19"/>
      <c r="O49" s="19"/>
      <c r="P49" s="18"/>
      <c r="R49" s="19">
        <f>MAX(Tabla3[[#This Row],[VALOR TOTAL]],Tabla3[[#This Row],[VALOR TOTAL ]])</f>
        <v>1208916.0000000005</v>
      </c>
      <c r="S49" s="19">
        <f>MIN(Tabla3[[#This Row],[VALOR TOTAL ]],Tabla3[[#This Row],[VALOR TOTAL]])</f>
        <v>584981.02000000014</v>
      </c>
      <c r="T49" s="19">
        <f>AVERAGE(Tabla3[[#This Row],[VALOR TOTAL ]:[VALOR TOTAL]])</f>
        <v>600869.00666666683</v>
      </c>
    </row>
    <row r="50" spans="1:20" ht="16.5" customHeight="1" x14ac:dyDescent="0.2">
      <c r="A50" s="11" t="s">
        <v>93</v>
      </c>
      <c r="B50" s="40" t="s">
        <v>94</v>
      </c>
      <c r="C50" s="45" t="s">
        <v>19</v>
      </c>
      <c r="D50" s="14">
        <v>66</v>
      </c>
      <c r="E50" s="19">
        <v>17000</v>
      </c>
      <c r="F50" s="19">
        <f>Tabla3[[#This Row],[VALOR UNITARIO ]]*Tabla3[[#This Row],[CANTIDAD ]]</f>
        <v>1122000</v>
      </c>
      <c r="G50" s="18">
        <v>8710</v>
      </c>
      <c r="H50" s="19">
        <f>Tabla3[[#This Row],[VALOR UNITARIO]]*Tabla3[[#This Row],[CANTIDAD ]]</f>
        <v>574860</v>
      </c>
      <c r="I50" s="19"/>
      <c r="J50" s="19"/>
      <c r="K50" s="19"/>
      <c r="L50" s="19"/>
      <c r="M50" s="19"/>
      <c r="N50" s="19"/>
      <c r="O50" s="19"/>
      <c r="P50" s="18"/>
      <c r="R50" s="19">
        <f>MAX(Tabla3[[#This Row],[VALOR TOTAL]],Tabla3[[#This Row],[VALOR TOTAL ]])</f>
        <v>1122000</v>
      </c>
      <c r="S50" s="19">
        <f>MIN(Tabla3[[#This Row],[VALOR TOTAL ]],Tabla3[[#This Row],[VALOR TOTAL]])</f>
        <v>574860</v>
      </c>
      <c r="T50" s="19">
        <f>AVERAGE(Tabla3[[#This Row],[VALOR TOTAL ]:[VALOR TOTAL]])</f>
        <v>568523.33333333337</v>
      </c>
    </row>
    <row r="51" spans="1:20" ht="16.5" customHeight="1" x14ac:dyDescent="0.2">
      <c r="A51" s="20" t="s">
        <v>95</v>
      </c>
      <c r="B51" s="40" t="s">
        <v>84</v>
      </c>
      <c r="C51" s="45" t="s">
        <v>14</v>
      </c>
      <c r="D51" s="14">
        <v>73</v>
      </c>
      <c r="E51" s="19">
        <v>7500</v>
      </c>
      <c r="F51" s="19">
        <f>Tabla3[[#This Row],[VALOR UNITARIO ]]*Tabla3[[#This Row],[CANTIDAD ]]</f>
        <v>547500</v>
      </c>
      <c r="G51" s="18">
        <v>5200</v>
      </c>
      <c r="H51" s="19">
        <f>Tabla3[[#This Row],[VALOR UNITARIO]]*Tabla3[[#This Row],[CANTIDAD ]]</f>
        <v>379600</v>
      </c>
      <c r="I51" s="19"/>
      <c r="J51" s="19"/>
      <c r="K51" s="19"/>
      <c r="L51" s="19"/>
      <c r="M51" s="19"/>
      <c r="N51" s="19"/>
      <c r="O51" s="19"/>
      <c r="P51" s="18"/>
      <c r="R51" s="19">
        <f>MAX(Tabla3[[#This Row],[VALOR TOTAL]],Tabla3[[#This Row],[VALOR TOTAL ]])</f>
        <v>547500</v>
      </c>
      <c r="S51" s="19">
        <f>MIN(Tabla3[[#This Row],[VALOR TOTAL ]],Tabla3[[#This Row],[VALOR TOTAL]])</f>
        <v>379600</v>
      </c>
      <c r="T51" s="19">
        <f>AVERAGE(Tabla3[[#This Row],[VALOR TOTAL ]:[VALOR TOTAL]])</f>
        <v>310766.66666666669</v>
      </c>
    </row>
    <row r="52" spans="1:20" ht="16.5" customHeight="1" x14ac:dyDescent="0.2">
      <c r="A52" s="11" t="s">
        <v>96</v>
      </c>
      <c r="B52" s="46" t="s">
        <v>88</v>
      </c>
      <c r="C52" s="45" t="s">
        <v>14</v>
      </c>
      <c r="D52" s="14">
        <v>121</v>
      </c>
      <c r="E52" s="19">
        <v>16800</v>
      </c>
      <c r="F52" s="19">
        <f>Tabla3[[#This Row],[VALOR UNITARIO ]]*Tabla3[[#This Row],[CANTIDAD ]]</f>
        <v>2032800</v>
      </c>
      <c r="G52" s="18">
        <v>11700</v>
      </c>
      <c r="H52" s="19">
        <f>Tabla3[[#This Row],[VALOR UNITARIO]]*Tabla3[[#This Row],[CANTIDAD ]]</f>
        <v>1415700</v>
      </c>
      <c r="I52" s="19"/>
      <c r="J52" s="19"/>
      <c r="K52" s="19"/>
      <c r="L52" s="19"/>
      <c r="M52" s="19"/>
      <c r="N52" s="19"/>
      <c r="O52" s="19"/>
      <c r="P52" s="18"/>
      <c r="R52" s="51">
        <f>MAX(Tabla3[[#This Row],[VALOR TOTAL]],Tabla3[[#This Row],[VALOR TOTAL ]])</f>
        <v>2032800</v>
      </c>
      <c r="S52" s="51">
        <f>MIN(Tabla3[[#This Row],[VALOR TOTAL ]],Tabla3[[#This Row],[VALOR TOTAL]])</f>
        <v>1415700</v>
      </c>
      <c r="T52" s="51">
        <f>AVERAGE(Tabla3[[#This Row],[VALOR TOTAL ]:[VALOR TOTAL]])</f>
        <v>1153400</v>
      </c>
    </row>
    <row r="53" spans="1:20" ht="16.5" customHeight="1" x14ac:dyDescent="0.2">
      <c r="A53" s="20" t="s">
        <v>97</v>
      </c>
      <c r="B53" s="24" t="s">
        <v>98</v>
      </c>
      <c r="C53" s="22" t="s">
        <v>14</v>
      </c>
      <c r="D53" s="14">
        <v>121</v>
      </c>
      <c r="E53" s="19">
        <v>10200</v>
      </c>
      <c r="F53" s="19">
        <f>Tabla3[[#This Row],[VALOR UNITARIO ]]*Tabla3[[#This Row],[CANTIDAD ]]</f>
        <v>1234200</v>
      </c>
      <c r="G53" s="18">
        <v>5200</v>
      </c>
      <c r="H53" s="19">
        <f>Tabla3[[#This Row],[VALOR UNITARIO]]*Tabla3[[#This Row],[CANTIDAD ]]</f>
        <v>629200</v>
      </c>
      <c r="I53" s="19"/>
      <c r="J53" s="19"/>
      <c r="K53" s="19"/>
      <c r="L53" s="19"/>
      <c r="M53" s="19"/>
      <c r="N53" s="19"/>
      <c r="O53" s="19"/>
      <c r="P53" s="18"/>
      <c r="R53" s="19">
        <f>MAX(Tabla3[[#This Row],[VALOR TOTAL]],Tabla3[[#This Row],[VALOR TOTAL ]])</f>
        <v>1234200</v>
      </c>
      <c r="S53" s="19">
        <f>MIN(Tabla3[[#This Row],[VALOR TOTAL ]],Tabla3[[#This Row],[VALOR TOTAL]])</f>
        <v>629200</v>
      </c>
      <c r="T53" s="19">
        <f>AVERAGE(Tabla3[[#This Row],[VALOR TOTAL ]:[VALOR TOTAL]])</f>
        <v>622866.66666666663</v>
      </c>
    </row>
    <row r="54" spans="1:20" ht="16.5" customHeight="1" x14ac:dyDescent="0.2">
      <c r="A54" s="11" t="s">
        <v>99</v>
      </c>
      <c r="B54" s="48" t="s">
        <v>92</v>
      </c>
      <c r="C54" s="49" t="s">
        <v>14</v>
      </c>
      <c r="D54" s="50">
        <v>73</v>
      </c>
      <c r="E54" s="51">
        <v>10800</v>
      </c>
      <c r="F54" s="51">
        <f>Tabla3[[#This Row],[VALOR UNITARIO ]]*Tabla3[[#This Row],[CANTIDAD ]]</f>
        <v>788400</v>
      </c>
      <c r="G54" s="18">
        <v>5200</v>
      </c>
      <c r="H54" s="51">
        <f>Tabla3[[#This Row],[VALOR UNITARIO]]*Tabla3[[#This Row],[CANTIDAD ]]</f>
        <v>379600</v>
      </c>
      <c r="I54" s="51"/>
      <c r="J54" s="51"/>
      <c r="K54" s="51"/>
      <c r="L54" s="51"/>
      <c r="M54" s="51"/>
      <c r="N54" s="51"/>
      <c r="O54" s="51"/>
      <c r="P54" s="242"/>
      <c r="R54" s="19">
        <f>MAX(Tabla3[[#This Row],[VALOR TOTAL]],Tabla3[[#This Row],[VALOR TOTAL ]])</f>
        <v>788400</v>
      </c>
      <c r="S54" s="19">
        <f>MIN(Tabla3[[#This Row],[VALOR TOTAL ]],Tabla3[[#This Row],[VALOR TOTAL]])</f>
        <v>379600</v>
      </c>
      <c r="T54" s="19">
        <f>AVERAGE(Tabla3[[#This Row],[VALOR TOTAL ]:[VALOR TOTAL]])</f>
        <v>391066.66666666669</v>
      </c>
    </row>
    <row r="55" spans="1:20" ht="22.5" customHeight="1" x14ac:dyDescent="0.2">
      <c r="A55" s="52" t="s">
        <v>100</v>
      </c>
      <c r="B55" s="53" t="s">
        <v>101</v>
      </c>
      <c r="C55" s="54"/>
      <c r="D55" s="55"/>
      <c r="F55" s="254"/>
      <c r="G55" s="55"/>
      <c r="H55" s="254"/>
      <c r="I55" s="270"/>
      <c r="P55" s="240"/>
      <c r="R55" s="254"/>
      <c r="S55" s="254"/>
      <c r="T55" s="254"/>
    </row>
    <row r="56" spans="1:20" ht="43.5" customHeight="1" x14ac:dyDescent="0.2">
      <c r="A56" s="11" t="s">
        <v>102</v>
      </c>
      <c r="B56" s="56" t="s">
        <v>103</v>
      </c>
      <c r="C56" s="57" t="s">
        <v>19</v>
      </c>
      <c r="D56" s="38">
        <v>158</v>
      </c>
      <c r="E56" s="241">
        <v>130000</v>
      </c>
      <c r="F56" s="241">
        <f>Tabla3[[#This Row],[VALOR UNITARIO ]]*Tabla3[[#This Row],[CANTIDAD ]]</f>
        <v>20540000</v>
      </c>
      <c r="G56" s="39">
        <v>122971.77200000001</v>
      </c>
      <c r="H56" s="241">
        <f>Tabla3[[#This Row],[VALOR UNITARIO]]*Tabla3[[#This Row],[CANTIDAD ]]</f>
        <v>19429539.976000004</v>
      </c>
      <c r="I56" s="241"/>
      <c r="J56" s="241"/>
      <c r="K56" s="241"/>
      <c r="L56" s="241"/>
      <c r="M56" s="241"/>
      <c r="N56" s="241"/>
      <c r="O56" s="241"/>
      <c r="P56" s="39"/>
      <c r="R56" s="19">
        <f>MAX(Tabla3[[#This Row],[VALOR TOTAL]],Tabla3[[#This Row],[VALOR TOTAL ]])</f>
        <v>20540000</v>
      </c>
      <c r="S56" s="19">
        <f>MIN(Tabla3[[#This Row],[VALOR TOTAL ]],Tabla3[[#This Row],[VALOR TOTAL]])</f>
        <v>19429539.976000004</v>
      </c>
      <c r="T56" s="19">
        <f>AVERAGE(Tabla3[[#This Row],[VALOR TOTAL ]:[VALOR TOTAL]])</f>
        <v>13364170.582666667</v>
      </c>
    </row>
    <row r="57" spans="1:20" ht="16.5" customHeight="1" x14ac:dyDescent="0.2">
      <c r="A57" s="11" t="s">
        <v>104</v>
      </c>
      <c r="B57" s="58" t="s">
        <v>105</v>
      </c>
      <c r="C57" s="59" t="s">
        <v>14</v>
      </c>
      <c r="D57" s="14">
        <v>40</v>
      </c>
      <c r="E57" s="19">
        <v>50000</v>
      </c>
      <c r="F57" s="241">
        <f>Tabla3[[#This Row],[VALOR UNITARIO ]]*Tabla3[[#This Row],[CANTIDAD ]]</f>
        <v>2000000</v>
      </c>
      <c r="G57" s="39">
        <v>111069.57400000001</v>
      </c>
      <c r="H57" s="241">
        <f>Tabla3[[#This Row],[VALOR UNITARIO]]*Tabla3[[#This Row],[CANTIDAD ]]</f>
        <v>4442782.96</v>
      </c>
      <c r="I57" s="241"/>
      <c r="J57" s="241"/>
      <c r="K57" s="241"/>
      <c r="L57" s="241"/>
      <c r="M57" s="241"/>
      <c r="N57" s="241"/>
      <c r="O57" s="241"/>
      <c r="P57" s="39"/>
      <c r="R57" s="241">
        <f>MAX(Tabla3[[#This Row],[VALOR TOTAL]],Tabla3[[#This Row],[VALOR TOTAL ]])</f>
        <v>4442782.96</v>
      </c>
      <c r="S57" s="241">
        <f>MIN(Tabla3[[#This Row],[VALOR TOTAL ]],Tabla3[[#This Row],[VALOR TOTAL]])</f>
        <v>2000000</v>
      </c>
      <c r="T57" s="241">
        <f>AVERAGE(Tabla3[[#This Row],[VALOR TOTAL ]:[VALOR TOTAL]])</f>
        <v>2184617.5113333333</v>
      </c>
    </row>
    <row r="58" spans="1:20" ht="39.75" customHeight="1" x14ac:dyDescent="0.2">
      <c r="A58" s="11" t="s">
        <v>106</v>
      </c>
      <c r="B58" s="24" t="s">
        <v>107</v>
      </c>
      <c r="C58" s="59" t="s">
        <v>14</v>
      </c>
      <c r="D58" s="14">
        <v>40</v>
      </c>
      <c r="E58" s="19">
        <v>78000</v>
      </c>
      <c r="F58" s="241">
        <f>Tabla3[[#This Row],[VALOR UNITARIO ]]*Tabla3[[#This Row],[CANTIDAD ]]</f>
        <v>3120000</v>
      </c>
      <c r="G58" s="39">
        <v>76011.936000000002</v>
      </c>
      <c r="H58" s="241">
        <f>Tabla3[[#This Row],[VALOR UNITARIO]]*Tabla3[[#This Row],[CANTIDAD ]]</f>
        <v>3040477.44</v>
      </c>
      <c r="I58" s="241"/>
      <c r="J58" s="241"/>
      <c r="K58" s="241"/>
      <c r="L58" s="241"/>
      <c r="M58" s="241"/>
      <c r="N58" s="241"/>
      <c r="O58" s="241"/>
      <c r="P58" s="39"/>
      <c r="R58" s="241">
        <f>MAX(Tabla3[[#This Row],[VALOR TOTAL]],Tabla3[[#This Row],[VALOR TOTAL ]])</f>
        <v>3120000</v>
      </c>
      <c r="S58" s="241">
        <f>MIN(Tabla3[[#This Row],[VALOR TOTAL ]],Tabla3[[#This Row],[VALOR TOTAL]])</f>
        <v>3040477.44</v>
      </c>
      <c r="T58" s="241">
        <f>AVERAGE(Tabla3[[#This Row],[VALOR TOTAL ]:[VALOR TOTAL]])</f>
        <v>2078829.7920000001</v>
      </c>
    </row>
    <row r="59" spans="1:20" ht="25.5" customHeight="1" x14ac:dyDescent="0.2">
      <c r="A59" s="11" t="s">
        <v>108</v>
      </c>
      <c r="B59" s="58" t="s">
        <v>109</v>
      </c>
      <c r="C59" s="59" t="s">
        <v>14</v>
      </c>
      <c r="D59" s="14">
        <v>60</v>
      </c>
      <c r="E59" s="19">
        <v>50000</v>
      </c>
      <c r="F59" s="241">
        <f>Tabla3[[#This Row],[VALOR UNITARIO ]]*Tabla3[[#This Row],[CANTIDAD ]]</f>
        <v>3000000</v>
      </c>
      <c r="G59" s="39">
        <v>17277</v>
      </c>
      <c r="H59" s="241">
        <f>Tabla3[[#This Row],[VALOR UNITARIO]]*Tabla3[[#This Row],[CANTIDAD ]]</f>
        <v>1036620</v>
      </c>
      <c r="I59" s="241"/>
      <c r="J59" s="241"/>
      <c r="K59" s="241"/>
      <c r="L59" s="241"/>
      <c r="M59" s="241"/>
      <c r="N59" s="241"/>
      <c r="O59" s="241"/>
      <c r="P59" s="39"/>
      <c r="R59" s="241">
        <f>MAX(Tabla3[[#This Row],[VALOR TOTAL]],Tabla3[[#This Row],[VALOR TOTAL ]])</f>
        <v>3000000</v>
      </c>
      <c r="S59" s="241">
        <f>MIN(Tabla3[[#This Row],[VALOR TOTAL ]],Tabla3[[#This Row],[VALOR TOTAL]])</f>
        <v>1036620</v>
      </c>
      <c r="T59" s="241">
        <f>AVERAGE(Tabla3[[#This Row],[VALOR TOTAL ]:[VALOR TOTAL]])</f>
        <v>1351299</v>
      </c>
    </row>
    <row r="60" spans="1:20" ht="40.5" customHeight="1" x14ac:dyDescent="0.2">
      <c r="A60" s="32" t="s">
        <v>110</v>
      </c>
      <c r="B60" s="24" t="s">
        <v>111</v>
      </c>
      <c r="C60" s="60" t="s">
        <v>6</v>
      </c>
      <c r="D60" s="61">
        <v>8</v>
      </c>
      <c r="E60" s="62">
        <v>650000</v>
      </c>
      <c r="F60" s="241">
        <f>Tabla3[[#This Row],[VALOR UNITARIO ]]*Tabla3[[#This Row],[CANTIDAD ]]</f>
        <v>5200000</v>
      </c>
      <c r="G60" s="39">
        <v>802118.24000000011</v>
      </c>
      <c r="H60" s="77">
        <f>Tabla3[[#This Row],[VALOR UNITARIO]]*Tabla3[[#This Row],[CANTIDAD ]]</f>
        <v>6416945.9200000009</v>
      </c>
      <c r="I60" s="77"/>
      <c r="J60" s="77"/>
      <c r="K60" s="77"/>
      <c r="L60" s="77"/>
      <c r="M60" s="77"/>
      <c r="N60" s="77"/>
      <c r="O60" s="77"/>
      <c r="P60" s="39"/>
      <c r="R60" s="77">
        <f>MAX(Tabla3[[#This Row],[VALOR TOTAL]],Tabla3[[#This Row],[VALOR TOTAL ]])</f>
        <v>6416945.9200000009</v>
      </c>
      <c r="S60" s="77">
        <f>MIN(Tabla3[[#This Row],[VALOR TOTAL ]],Tabla3[[#This Row],[VALOR TOTAL]])</f>
        <v>5200000</v>
      </c>
      <c r="T60" s="77">
        <f>AVERAGE(Tabla3[[#This Row],[VALOR TOTAL ]:[VALOR TOTAL]])</f>
        <v>4139688.0533333332</v>
      </c>
    </row>
    <row r="61" spans="1:20" ht="24" customHeight="1" x14ac:dyDescent="0.2">
      <c r="A61" s="32" t="s">
        <v>112</v>
      </c>
      <c r="B61" s="63" t="s">
        <v>113</v>
      </c>
      <c r="C61" s="59" t="s">
        <v>14</v>
      </c>
      <c r="D61" s="61">
        <v>1</v>
      </c>
      <c r="E61" s="62">
        <v>55000</v>
      </c>
      <c r="F61" s="77">
        <f>Tabla3[[#This Row],[VALOR UNITARIO ]]*Tabla3[[#This Row],[CANTIDAD ]]</f>
        <v>55000</v>
      </c>
      <c r="G61" s="39">
        <v>17979</v>
      </c>
      <c r="H61" s="77">
        <f>Tabla3[[#This Row],[VALOR UNITARIO]]*Tabla3[[#This Row],[CANTIDAD ]]</f>
        <v>17979</v>
      </c>
      <c r="I61" s="77"/>
      <c r="J61" s="77"/>
      <c r="K61" s="77"/>
      <c r="L61" s="77"/>
      <c r="M61" s="77"/>
      <c r="N61" s="77"/>
      <c r="O61" s="77"/>
      <c r="P61" s="39"/>
      <c r="R61" s="77">
        <f>MAX(Tabla3[[#This Row],[VALOR TOTAL]],Tabla3[[#This Row],[VALOR TOTAL ]])</f>
        <v>55000</v>
      </c>
      <c r="S61" s="77">
        <f>MIN(Tabla3[[#This Row],[VALOR TOTAL ]],Tabla3[[#This Row],[VALOR TOTAL]])</f>
        <v>17979</v>
      </c>
      <c r="T61" s="77">
        <f>AVERAGE(Tabla3[[#This Row],[VALOR TOTAL ]:[VALOR TOTAL]])</f>
        <v>30319.333333333332</v>
      </c>
    </row>
    <row r="62" spans="1:20" ht="36" customHeight="1" x14ac:dyDescent="0.2">
      <c r="A62" s="32" t="s">
        <v>114</v>
      </c>
      <c r="B62" s="24" t="s">
        <v>115</v>
      </c>
      <c r="C62" s="57" t="s">
        <v>19</v>
      </c>
      <c r="D62" s="61">
        <v>16</v>
      </c>
      <c r="E62" s="62">
        <v>80000</v>
      </c>
      <c r="F62" s="77">
        <f>Tabla3[[#This Row],[VALOR UNITARIO ]]*Tabla3[[#This Row],[CANTIDAD ]]</f>
        <v>1280000</v>
      </c>
      <c r="G62" s="39">
        <v>47528</v>
      </c>
      <c r="H62" s="77">
        <f>Tabla3[[#This Row],[VALOR UNITARIO]]*Tabla3[[#This Row],[CANTIDAD ]]</f>
        <v>760448</v>
      </c>
      <c r="I62" s="77"/>
      <c r="J62" s="77"/>
      <c r="K62" s="77"/>
      <c r="L62" s="77"/>
      <c r="M62" s="77"/>
      <c r="N62" s="77"/>
      <c r="O62" s="77"/>
      <c r="P62" s="39"/>
      <c r="R62" s="77">
        <f>MAX(Tabla3[[#This Row],[VALOR TOTAL]],Tabla3[[#This Row],[VALOR TOTAL ]])</f>
        <v>1280000</v>
      </c>
      <c r="S62" s="77">
        <f>MIN(Tabla3[[#This Row],[VALOR TOTAL ]],Tabla3[[#This Row],[VALOR TOTAL]])</f>
        <v>760448</v>
      </c>
      <c r="T62" s="77">
        <f>AVERAGE(Tabla3[[#This Row],[VALOR TOTAL ]:[VALOR TOTAL]])</f>
        <v>695992</v>
      </c>
    </row>
    <row r="63" spans="1:20" ht="48" x14ac:dyDescent="0.2">
      <c r="A63" s="20" t="s">
        <v>116</v>
      </c>
      <c r="B63" s="63" t="s">
        <v>117</v>
      </c>
      <c r="C63" s="64" t="s">
        <v>14</v>
      </c>
      <c r="D63" s="61">
        <v>139</v>
      </c>
      <c r="E63" s="62">
        <v>75000</v>
      </c>
      <c r="F63" s="77">
        <f>Tabla3[[#This Row],[VALOR UNITARIO ]]*Tabla3[[#This Row],[CANTIDAD ]]</f>
        <v>10425000</v>
      </c>
      <c r="G63" s="39">
        <v>31265</v>
      </c>
      <c r="H63" s="77">
        <f>Tabla3[[#This Row],[VALOR UNITARIO]]*Tabla3[[#This Row],[CANTIDAD ]]</f>
        <v>4345835</v>
      </c>
      <c r="I63" s="77"/>
      <c r="J63" s="77"/>
      <c r="K63" s="77"/>
      <c r="L63" s="77"/>
      <c r="M63" s="77"/>
      <c r="N63" s="77"/>
      <c r="O63" s="77"/>
      <c r="P63" s="39"/>
      <c r="R63" s="77">
        <f>MAX(Tabla3[[#This Row],[VALOR TOTAL]],Tabla3[[#This Row],[VALOR TOTAL ]])</f>
        <v>10425000</v>
      </c>
      <c r="S63" s="77">
        <f>MIN(Tabla3[[#This Row],[VALOR TOTAL ]],Tabla3[[#This Row],[VALOR TOTAL]])</f>
        <v>4345835</v>
      </c>
      <c r="T63" s="77">
        <f>AVERAGE(Tabla3[[#This Row],[VALOR TOTAL ]:[VALOR TOTAL]])</f>
        <v>4934033.333333333</v>
      </c>
    </row>
    <row r="64" spans="1:20" ht="34.5" customHeight="1" x14ac:dyDescent="0.2">
      <c r="A64" s="65" t="s">
        <v>118</v>
      </c>
      <c r="B64" s="24" t="s">
        <v>119</v>
      </c>
      <c r="C64" s="22" t="s">
        <v>6</v>
      </c>
      <c r="D64" s="61">
        <v>105</v>
      </c>
      <c r="E64" s="62">
        <v>38000</v>
      </c>
      <c r="F64" s="77">
        <f>Tabla3[[#This Row],[VALOR UNITARIO ]]*Tabla3[[#This Row],[CANTIDAD ]]</f>
        <v>3990000</v>
      </c>
      <c r="G64" s="39">
        <v>16263</v>
      </c>
      <c r="H64" s="77">
        <f>Tabla3[[#This Row],[VALOR UNITARIO]]*Tabla3[[#This Row],[CANTIDAD ]]</f>
        <v>1707615</v>
      </c>
      <c r="I64" s="77"/>
      <c r="J64" s="77"/>
      <c r="K64" s="77"/>
      <c r="L64" s="77"/>
      <c r="M64" s="77"/>
      <c r="N64" s="77"/>
      <c r="O64" s="77"/>
      <c r="P64" s="39"/>
      <c r="R64" s="77">
        <f>MAX(Tabla3[[#This Row],[VALOR TOTAL]],Tabla3[[#This Row],[VALOR TOTAL ]])</f>
        <v>3990000</v>
      </c>
      <c r="S64" s="77">
        <f>MIN(Tabla3[[#This Row],[VALOR TOTAL ]],Tabla3[[#This Row],[VALOR TOTAL]])</f>
        <v>1707615</v>
      </c>
      <c r="T64" s="77">
        <f>AVERAGE(Tabla3[[#This Row],[VALOR TOTAL ]:[VALOR TOTAL]])</f>
        <v>1904626</v>
      </c>
    </row>
    <row r="65" spans="1:20" ht="24" x14ac:dyDescent="0.2">
      <c r="A65" s="20" t="s">
        <v>120</v>
      </c>
      <c r="B65" s="24" t="s">
        <v>121</v>
      </c>
      <c r="C65" s="22" t="s">
        <v>14</v>
      </c>
      <c r="D65" s="61">
        <v>990</v>
      </c>
      <c r="E65" s="62">
        <v>10550</v>
      </c>
      <c r="F65" s="77">
        <f>Tabla3[[#This Row],[VALOR UNITARIO ]]*Tabla3[[#This Row],[CANTIDAD ]]</f>
        <v>10444500</v>
      </c>
      <c r="G65" s="39">
        <v>4732</v>
      </c>
      <c r="H65" s="77">
        <f>Tabla3[[#This Row],[VALOR UNITARIO]]*Tabla3[[#This Row],[CANTIDAD ]]</f>
        <v>4684680</v>
      </c>
      <c r="I65" s="77"/>
      <c r="J65" s="77"/>
      <c r="K65" s="77"/>
      <c r="L65" s="77"/>
      <c r="M65" s="77"/>
      <c r="N65" s="77"/>
      <c r="O65" s="77"/>
      <c r="P65" s="39"/>
      <c r="R65" s="77">
        <f>MAX(Tabla3[[#This Row],[VALOR TOTAL]],Tabla3[[#This Row],[VALOR TOTAL ]])</f>
        <v>10444500</v>
      </c>
      <c r="S65" s="77">
        <f>MIN(Tabla3[[#This Row],[VALOR TOTAL ]],Tabla3[[#This Row],[VALOR TOTAL]])</f>
        <v>4684680</v>
      </c>
      <c r="T65" s="77">
        <f>AVERAGE(Tabla3[[#This Row],[VALOR TOTAL ]:[VALOR TOTAL]])</f>
        <v>5044637.333333333</v>
      </c>
    </row>
    <row r="66" spans="1:20" ht="36" x14ac:dyDescent="0.2">
      <c r="A66" s="65" t="s">
        <v>122</v>
      </c>
      <c r="B66" s="24" t="s">
        <v>123</v>
      </c>
      <c r="C66" s="22" t="s">
        <v>6</v>
      </c>
      <c r="D66" s="61">
        <v>35</v>
      </c>
      <c r="E66" s="62">
        <v>72000</v>
      </c>
      <c r="F66" s="77">
        <f>Tabla3[[#This Row],[VALOR UNITARIO ]]*Tabla3[[#This Row],[CANTIDAD ]]</f>
        <v>2520000</v>
      </c>
      <c r="G66" s="39">
        <v>112086</v>
      </c>
      <c r="H66" s="77">
        <f>Tabla3[[#This Row],[VALOR UNITARIO]]*Tabla3[[#This Row],[CANTIDAD ]]</f>
        <v>3923010</v>
      </c>
      <c r="I66" s="77"/>
      <c r="J66" s="77"/>
      <c r="K66" s="77"/>
      <c r="L66" s="77"/>
      <c r="M66" s="77"/>
      <c r="N66" s="77"/>
      <c r="O66" s="77"/>
      <c r="P66" s="39"/>
      <c r="R66" s="77">
        <f>MAX(Tabla3[[#This Row],[VALOR TOTAL]],Tabla3[[#This Row],[VALOR TOTAL ]])</f>
        <v>3923010</v>
      </c>
      <c r="S66" s="77">
        <f>MIN(Tabla3[[#This Row],[VALOR TOTAL ]],Tabla3[[#This Row],[VALOR TOTAL]])</f>
        <v>2520000</v>
      </c>
      <c r="T66" s="77">
        <f>AVERAGE(Tabla3[[#This Row],[VALOR TOTAL ]:[VALOR TOTAL]])</f>
        <v>2185032</v>
      </c>
    </row>
    <row r="67" spans="1:20" ht="21.75" customHeight="1" x14ac:dyDescent="0.2">
      <c r="A67" s="20" t="s">
        <v>124</v>
      </c>
      <c r="B67" s="24" t="s">
        <v>125</v>
      </c>
      <c r="C67" s="22" t="s">
        <v>6</v>
      </c>
      <c r="D67" s="61">
        <v>35</v>
      </c>
      <c r="E67" s="62">
        <v>20000</v>
      </c>
      <c r="F67" s="77">
        <f>Tabla3[[#This Row],[VALOR UNITARIO ]]*Tabla3[[#This Row],[CANTIDAD ]]</f>
        <v>700000</v>
      </c>
      <c r="G67" s="39">
        <v>33267</v>
      </c>
      <c r="H67" s="77">
        <f>Tabla3[[#This Row],[VALOR UNITARIO]]*Tabla3[[#This Row],[CANTIDAD ]]</f>
        <v>1164345</v>
      </c>
      <c r="I67" s="77"/>
      <c r="J67" s="77"/>
      <c r="K67" s="77"/>
      <c r="L67" s="77"/>
      <c r="M67" s="77"/>
      <c r="N67" s="77"/>
      <c r="O67" s="77"/>
      <c r="P67" s="39"/>
      <c r="R67" s="77">
        <f>MAX(Tabla3[[#This Row],[VALOR TOTAL]],Tabla3[[#This Row],[VALOR TOTAL ]])</f>
        <v>1164345</v>
      </c>
      <c r="S67" s="77">
        <f>MIN(Tabla3[[#This Row],[VALOR TOTAL ]],Tabla3[[#This Row],[VALOR TOTAL]])</f>
        <v>700000</v>
      </c>
      <c r="T67" s="77">
        <f>AVERAGE(Tabla3[[#This Row],[VALOR TOTAL ]:[VALOR TOTAL]])</f>
        <v>632537.33333333337</v>
      </c>
    </row>
    <row r="68" spans="1:20" ht="48" x14ac:dyDescent="0.2">
      <c r="A68" s="65" t="s">
        <v>126</v>
      </c>
      <c r="B68" s="24" t="s">
        <v>127</v>
      </c>
      <c r="C68" s="22" t="s">
        <v>6</v>
      </c>
      <c r="D68" s="61">
        <v>35</v>
      </c>
      <c r="E68" s="62">
        <v>120000</v>
      </c>
      <c r="F68" s="77">
        <f>Tabla3[[#This Row],[VALOR UNITARIO ]]*Tabla3[[#This Row],[CANTIDAD ]]</f>
        <v>4200000</v>
      </c>
      <c r="G68" s="262">
        <v>0</v>
      </c>
      <c r="H68" s="264">
        <f>Tabla3[[#This Row],[VALOR UNITARIO]]*Tabla3[[#This Row],[CANTIDAD ]]</f>
        <v>0</v>
      </c>
      <c r="I68" s="77"/>
      <c r="J68" s="77"/>
      <c r="K68" s="77"/>
      <c r="L68" s="77"/>
      <c r="M68" s="77"/>
      <c r="N68" s="77"/>
      <c r="O68" s="77"/>
      <c r="P68" s="39"/>
      <c r="R68" s="264">
        <f>MAX(Tabla3[[#This Row],[VALOR TOTAL]],Tabla3[[#This Row],[VALOR TOTAL ]])</f>
        <v>4200000</v>
      </c>
      <c r="S68" s="264">
        <f>MIN(Tabla3[[#This Row],[VALOR TOTAL ]],Tabla3[[#This Row],[VALOR TOTAL]])</f>
        <v>0</v>
      </c>
      <c r="T68" s="264">
        <f>AVERAGE(Tabla3[[#This Row],[VALOR TOTAL ]:[VALOR TOTAL]])</f>
        <v>1400000</v>
      </c>
    </row>
    <row r="69" spans="1:20" ht="48" x14ac:dyDescent="0.2">
      <c r="A69" s="20" t="s">
        <v>128</v>
      </c>
      <c r="B69" s="24" t="s">
        <v>129</v>
      </c>
      <c r="C69" s="22" t="s">
        <v>6</v>
      </c>
      <c r="D69" s="61">
        <v>35</v>
      </c>
      <c r="E69" s="62">
        <v>115000</v>
      </c>
      <c r="F69" s="77">
        <f>Tabla3[[#This Row],[VALOR UNITARIO ]]*Tabla3[[#This Row],[CANTIDAD ]]</f>
        <v>4025000</v>
      </c>
      <c r="G69" s="262">
        <v>0</v>
      </c>
      <c r="H69" s="264">
        <f>Tabla3[[#This Row],[VALOR UNITARIO]]*Tabla3[[#This Row],[CANTIDAD ]]</f>
        <v>0</v>
      </c>
      <c r="I69" s="77"/>
      <c r="J69" s="77"/>
      <c r="K69" s="77"/>
      <c r="L69" s="77"/>
      <c r="M69" s="77"/>
      <c r="N69" s="77"/>
      <c r="O69" s="77"/>
      <c r="P69" s="39"/>
      <c r="R69" s="264">
        <f>MAX(Tabla3[[#This Row],[VALOR TOTAL]],Tabla3[[#This Row],[VALOR TOTAL ]])</f>
        <v>4025000</v>
      </c>
      <c r="S69" s="264">
        <f>MIN(Tabla3[[#This Row],[VALOR TOTAL ]],Tabla3[[#This Row],[VALOR TOTAL]])</f>
        <v>0</v>
      </c>
      <c r="T69" s="264">
        <f>AVERAGE(Tabla3[[#This Row],[VALOR TOTAL ]:[VALOR TOTAL]])</f>
        <v>1341666.6666666667</v>
      </c>
    </row>
    <row r="70" spans="1:20" ht="24" x14ac:dyDescent="0.2">
      <c r="A70" s="65" t="s">
        <v>130</v>
      </c>
      <c r="B70" s="24" t="s">
        <v>131</v>
      </c>
      <c r="C70" s="22" t="s">
        <v>6</v>
      </c>
      <c r="D70" s="61">
        <v>5</v>
      </c>
      <c r="E70" s="62">
        <v>95000</v>
      </c>
      <c r="F70" s="77">
        <f>Tabla3[[#This Row],[VALOR UNITARIO ]]*Tabla3[[#This Row],[CANTIDAD ]]</f>
        <v>475000</v>
      </c>
      <c r="G70" s="39">
        <v>22000</v>
      </c>
      <c r="H70" s="77">
        <f>Tabla3[[#This Row],[VALOR UNITARIO]]*Tabla3[[#This Row],[CANTIDAD ]]</f>
        <v>110000</v>
      </c>
      <c r="I70" s="77"/>
      <c r="J70" s="77"/>
      <c r="K70" s="77"/>
      <c r="L70" s="77"/>
      <c r="M70" s="77"/>
      <c r="N70" s="77"/>
      <c r="O70" s="77"/>
      <c r="P70" s="39"/>
      <c r="R70" s="77">
        <f>MAX(Tabla3[[#This Row],[VALOR TOTAL]],Tabla3[[#This Row],[VALOR TOTAL ]])</f>
        <v>475000</v>
      </c>
      <c r="S70" s="77">
        <f>MIN(Tabla3[[#This Row],[VALOR TOTAL ]],Tabla3[[#This Row],[VALOR TOTAL]])</f>
        <v>110000</v>
      </c>
      <c r="T70" s="77">
        <f>AVERAGE(Tabla3[[#This Row],[VALOR TOTAL ]:[VALOR TOTAL]])</f>
        <v>202333.33333333334</v>
      </c>
    </row>
    <row r="71" spans="1:20" ht="24" x14ac:dyDescent="0.2">
      <c r="A71" s="20" t="s">
        <v>132</v>
      </c>
      <c r="B71" s="24" t="s">
        <v>133</v>
      </c>
      <c r="C71" s="22" t="s">
        <v>6</v>
      </c>
      <c r="D71" s="61">
        <v>20</v>
      </c>
      <c r="E71" s="62">
        <v>115000</v>
      </c>
      <c r="F71" s="77">
        <f>Tabla3[[#This Row],[VALOR UNITARIO ]]*Tabla3[[#This Row],[CANTIDAD ]]</f>
        <v>2300000</v>
      </c>
      <c r="G71" s="39">
        <f>62150*1.3</f>
        <v>80795</v>
      </c>
      <c r="H71" s="77">
        <f>Tabla3[[#This Row],[VALOR UNITARIO]]*Tabla3[[#This Row],[CANTIDAD ]]</f>
        <v>1615900</v>
      </c>
      <c r="I71" s="77"/>
      <c r="J71" s="77"/>
      <c r="K71" s="77"/>
      <c r="L71" s="77"/>
      <c r="M71" s="77"/>
      <c r="N71" s="77"/>
      <c r="O71" s="77"/>
      <c r="P71" s="39"/>
      <c r="R71" s="77">
        <f>MAX(Tabla3[[#This Row],[VALOR TOTAL]],Tabla3[[#This Row],[VALOR TOTAL ]])</f>
        <v>2300000</v>
      </c>
      <c r="S71" s="77">
        <f>MIN(Tabla3[[#This Row],[VALOR TOTAL ]],Tabla3[[#This Row],[VALOR TOTAL]])</f>
        <v>1615900</v>
      </c>
      <c r="T71" s="77">
        <f>AVERAGE(Tabla3[[#This Row],[VALOR TOTAL ]:[VALOR TOTAL]])</f>
        <v>1332231.6666666667</v>
      </c>
    </row>
    <row r="72" spans="1:20" ht="24" x14ac:dyDescent="0.2">
      <c r="A72" s="65" t="s">
        <v>134</v>
      </c>
      <c r="B72" s="24" t="s">
        <v>135</v>
      </c>
      <c r="C72" s="22" t="s">
        <v>14</v>
      </c>
      <c r="D72" s="61">
        <v>20</v>
      </c>
      <c r="E72" s="62">
        <v>17000</v>
      </c>
      <c r="F72" s="77">
        <f>Tabla3[[#This Row],[VALOR UNITARIO ]]*Tabla3[[#This Row],[CANTIDAD ]]</f>
        <v>340000</v>
      </c>
      <c r="G72" s="39">
        <v>8736</v>
      </c>
      <c r="H72" s="77">
        <f>Tabla3[[#This Row],[VALOR UNITARIO]]*Tabla3[[#This Row],[CANTIDAD ]]</f>
        <v>174720</v>
      </c>
      <c r="I72" s="77"/>
      <c r="J72" s="77"/>
      <c r="K72" s="77"/>
      <c r="L72" s="77"/>
      <c r="M72" s="77"/>
      <c r="N72" s="77"/>
      <c r="O72" s="77"/>
      <c r="P72" s="39"/>
      <c r="R72" s="77">
        <f>MAX(Tabla3[[#This Row],[VALOR TOTAL]],Tabla3[[#This Row],[VALOR TOTAL ]])</f>
        <v>340000</v>
      </c>
      <c r="S72" s="77">
        <f>MIN(Tabla3[[#This Row],[VALOR TOTAL ]],Tabla3[[#This Row],[VALOR TOTAL]])</f>
        <v>174720</v>
      </c>
      <c r="T72" s="77">
        <f>AVERAGE(Tabla3[[#This Row],[VALOR TOTAL ]:[VALOR TOTAL]])</f>
        <v>174485.33333333334</v>
      </c>
    </row>
    <row r="73" spans="1:20" x14ac:dyDescent="0.2">
      <c r="A73" s="20" t="s">
        <v>136</v>
      </c>
      <c r="B73" s="24" t="s">
        <v>137</v>
      </c>
      <c r="C73" s="22" t="s">
        <v>6</v>
      </c>
      <c r="D73" s="61">
        <v>35</v>
      </c>
      <c r="E73" s="62">
        <v>38000</v>
      </c>
      <c r="F73" s="77">
        <f>Tabla3[[#This Row],[VALOR UNITARIO ]]*Tabla3[[#This Row],[CANTIDAD ]]</f>
        <v>1330000</v>
      </c>
      <c r="G73" s="39">
        <v>12948</v>
      </c>
      <c r="H73" s="77">
        <f>Tabla3[[#This Row],[VALOR UNITARIO]]*Tabla3[[#This Row],[CANTIDAD ]]</f>
        <v>453180</v>
      </c>
      <c r="I73" s="77"/>
      <c r="J73" s="77"/>
      <c r="K73" s="77"/>
      <c r="L73" s="77"/>
      <c r="M73" s="77"/>
      <c r="N73" s="77"/>
      <c r="O73" s="77"/>
      <c r="P73" s="39"/>
      <c r="R73" s="77">
        <f>MAX(Tabla3[[#This Row],[VALOR TOTAL]],Tabla3[[#This Row],[VALOR TOTAL ]])</f>
        <v>1330000</v>
      </c>
      <c r="S73" s="77">
        <f>MIN(Tabla3[[#This Row],[VALOR TOTAL ]],Tabla3[[#This Row],[VALOR TOTAL]])</f>
        <v>453180</v>
      </c>
      <c r="T73" s="77">
        <f>AVERAGE(Tabla3[[#This Row],[VALOR TOTAL ]:[VALOR TOTAL]])</f>
        <v>598709.33333333337</v>
      </c>
    </row>
    <row r="74" spans="1:20" x14ac:dyDescent="0.2">
      <c r="A74" s="65" t="s">
        <v>138</v>
      </c>
      <c r="B74" s="24" t="s">
        <v>139</v>
      </c>
      <c r="C74" s="22" t="s">
        <v>6</v>
      </c>
      <c r="D74" s="61">
        <v>5</v>
      </c>
      <c r="E74" s="62">
        <v>48000</v>
      </c>
      <c r="F74" s="77">
        <f>Tabla3[[#This Row],[VALOR UNITARIO ]]*Tabla3[[#This Row],[CANTIDAD ]]</f>
        <v>240000</v>
      </c>
      <c r="G74" s="39">
        <v>16848</v>
      </c>
      <c r="H74" s="77">
        <f>Tabla3[[#This Row],[VALOR UNITARIO]]*Tabla3[[#This Row],[CANTIDAD ]]</f>
        <v>84240</v>
      </c>
      <c r="I74" s="77"/>
      <c r="J74" s="77"/>
      <c r="K74" s="77"/>
      <c r="L74" s="77"/>
      <c r="M74" s="77"/>
      <c r="N74" s="77"/>
      <c r="O74" s="77"/>
      <c r="P74" s="39"/>
      <c r="R74" s="77">
        <f>MAX(Tabla3[[#This Row],[VALOR TOTAL]],Tabla3[[#This Row],[VALOR TOTAL ]])</f>
        <v>240000</v>
      </c>
      <c r="S74" s="77">
        <f>MIN(Tabla3[[#This Row],[VALOR TOTAL ]],Tabla3[[#This Row],[VALOR TOTAL]])</f>
        <v>84240</v>
      </c>
      <c r="T74" s="77">
        <f>AVERAGE(Tabla3[[#This Row],[VALOR TOTAL ]:[VALOR TOTAL]])</f>
        <v>113696</v>
      </c>
    </row>
    <row r="75" spans="1:20" ht="24" x14ac:dyDescent="0.2">
      <c r="A75" s="20" t="s">
        <v>140</v>
      </c>
      <c r="B75" s="24" t="s">
        <v>141</v>
      </c>
      <c r="C75" s="22" t="s">
        <v>6</v>
      </c>
      <c r="D75" s="61">
        <v>1</v>
      </c>
      <c r="E75" s="62">
        <v>3500000</v>
      </c>
      <c r="F75" s="77">
        <f>Tabla3[[#This Row],[VALOR UNITARIO ]]*Tabla3[[#This Row],[CANTIDAD ]]</f>
        <v>3500000</v>
      </c>
      <c r="G75" s="39">
        <v>2570000</v>
      </c>
      <c r="H75" s="77">
        <f>Tabla3[[#This Row],[VALOR UNITARIO]]*Tabla3[[#This Row],[CANTIDAD ]]</f>
        <v>2570000</v>
      </c>
      <c r="I75" s="77"/>
      <c r="J75" s="77"/>
      <c r="K75" s="77"/>
      <c r="L75" s="77"/>
      <c r="M75" s="77"/>
      <c r="N75" s="77"/>
      <c r="O75" s="77"/>
      <c r="P75" s="39"/>
      <c r="R75" s="77">
        <f>MAX(Tabla3[[#This Row],[VALOR TOTAL]],Tabla3[[#This Row],[VALOR TOTAL ]])</f>
        <v>3500000</v>
      </c>
      <c r="S75" s="77">
        <f>MIN(Tabla3[[#This Row],[VALOR TOTAL ]],Tabla3[[#This Row],[VALOR TOTAL]])</f>
        <v>2570000</v>
      </c>
      <c r="T75" s="77">
        <f>AVERAGE(Tabla3[[#This Row],[VALOR TOTAL ]:[VALOR TOTAL]])</f>
        <v>2880000</v>
      </c>
    </row>
    <row r="76" spans="1:20" ht="24" x14ac:dyDescent="0.2">
      <c r="A76" s="65" t="s">
        <v>142</v>
      </c>
      <c r="B76" s="24" t="s">
        <v>143</v>
      </c>
      <c r="C76" s="22" t="s">
        <v>6</v>
      </c>
      <c r="D76" s="61">
        <v>1</v>
      </c>
      <c r="E76" s="62">
        <v>450000</v>
      </c>
      <c r="F76" s="77">
        <f>Tabla3[[#This Row],[VALOR UNITARIO ]]*Tabla3[[#This Row],[CANTIDAD ]]</f>
        <v>450000</v>
      </c>
      <c r="G76" s="39">
        <f>173460*1.3</f>
        <v>225498</v>
      </c>
      <c r="H76" s="77">
        <f>Tabla3[[#This Row],[VALOR UNITARIO]]*Tabla3[[#This Row],[CANTIDAD ]]</f>
        <v>225498</v>
      </c>
      <c r="I76" s="77"/>
      <c r="J76" s="77"/>
      <c r="K76" s="77"/>
      <c r="L76" s="77"/>
      <c r="M76" s="77"/>
      <c r="N76" s="77"/>
      <c r="O76" s="77"/>
      <c r="P76" s="39"/>
      <c r="R76" s="77">
        <f>MAX(Tabla3[[#This Row],[VALOR TOTAL]],Tabla3[[#This Row],[VALOR TOTAL ]])</f>
        <v>450000</v>
      </c>
      <c r="S76" s="77">
        <f>MIN(Tabla3[[#This Row],[VALOR TOTAL ]],Tabla3[[#This Row],[VALOR TOTAL]])</f>
        <v>225498</v>
      </c>
      <c r="T76" s="77">
        <f>AVERAGE(Tabla3[[#This Row],[VALOR TOTAL ]:[VALOR TOTAL]])</f>
        <v>300332</v>
      </c>
    </row>
    <row r="77" spans="1:20" x14ac:dyDescent="0.2">
      <c r="A77" s="20" t="s">
        <v>144</v>
      </c>
      <c r="B77" s="66" t="s">
        <v>145</v>
      </c>
      <c r="C77" s="67" t="s">
        <v>19</v>
      </c>
      <c r="D77" s="68">
        <v>5</v>
      </c>
      <c r="E77" s="69">
        <v>55000</v>
      </c>
      <c r="F77" s="247">
        <f>Tabla3[[#This Row],[VALOR UNITARIO ]]*Tabla3[[#This Row],[CANTIDAD ]]</f>
        <v>275000</v>
      </c>
      <c r="G77" s="39">
        <v>9000</v>
      </c>
      <c r="H77" s="247">
        <f>Tabla3[[#This Row],[VALOR UNITARIO]]*Tabla3[[#This Row],[CANTIDAD ]]</f>
        <v>45000</v>
      </c>
      <c r="I77" s="247"/>
      <c r="J77" s="247"/>
      <c r="K77" s="247"/>
      <c r="L77" s="247"/>
      <c r="M77" s="247"/>
      <c r="N77" s="247"/>
      <c r="O77" s="247"/>
      <c r="P77" s="243"/>
      <c r="R77" s="62">
        <f>MAX(Tabla3[[#This Row],[VALOR TOTAL]],Tabla3[[#This Row],[VALOR TOTAL ]])</f>
        <v>275000</v>
      </c>
      <c r="S77" s="62">
        <f>MIN(Tabla3[[#This Row],[VALOR TOTAL ]],Tabla3[[#This Row],[VALOR TOTAL]])</f>
        <v>45000</v>
      </c>
      <c r="T77" s="62">
        <f>AVERAGE(Tabla3[[#This Row],[VALOR TOTAL ]:[VALOR TOTAL]])</f>
        <v>109666.66666666667</v>
      </c>
    </row>
    <row r="78" spans="1:20" x14ac:dyDescent="0.2">
      <c r="A78" s="20" t="s">
        <v>757</v>
      </c>
      <c r="B78" s="66" t="s">
        <v>763</v>
      </c>
      <c r="C78" s="22" t="s">
        <v>14</v>
      </c>
      <c r="D78" s="72">
        <v>15</v>
      </c>
      <c r="E78" s="244">
        <v>15700</v>
      </c>
      <c r="F78" s="244">
        <f>Tabla3[[#This Row],[VALOR UNITARIO ]]*Tabla3[[#This Row],[CANTIDAD ]]</f>
        <v>235500</v>
      </c>
      <c r="G78" s="39">
        <v>25285</v>
      </c>
      <c r="H78" s="244">
        <f>Tabla3[[#This Row],[VALOR UNITARIO]]*Tabla3[[#This Row],[CANTIDAD ]]</f>
        <v>379275</v>
      </c>
      <c r="I78" s="244"/>
      <c r="J78" s="244"/>
      <c r="K78" s="244"/>
      <c r="L78" s="244"/>
      <c r="M78" s="244"/>
      <c r="N78" s="244"/>
      <c r="O78" s="244"/>
      <c r="P78" s="240"/>
      <c r="R78" s="275">
        <f>MAX(Tabla3[[#This Row],[VALOR TOTAL]],Tabla3[[#This Row],[VALOR TOTAL ]])</f>
        <v>379275</v>
      </c>
      <c r="S78" s="275">
        <f>MIN(Tabla3[[#This Row],[VALOR TOTAL ]],Tabla3[[#This Row],[VALOR TOTAL]])</f>
        <v>235500</v>
      </c>
      <c r="T78" s="275">
        <f>AVERAGE(Tabla3[[#This Row],[VALOR TOTAL ]:[VALOR TOTAL]])</f>
        <v>213353.33333333334</v>
      </c>
    </row>
    <row r="79" spans="1:20" x14ac:dyDescent="0.2">
      <c r="A79" s="20" t="s">
        <v>758</v>
      </c>
      <c r="B79" s="66" t="s">
        <v>762</v>
      </c>
      <c r="C79" s="22" t="s">
        <v>14</v>
      </c>
      <c r="D79" s="76">
        <v>15</v>
      </c>
      <c r="E79" s="244">
        <v>37500</v>
      </c>
      <c r="F79" s="244">
        <f>Tabla3[[#This Row],[VALOR UNITARIO ]]*Tabla3[[#This Row],[CANTIDAD ]]</f>
        <v>562500</v>
      </c>
      <c r="G79" s="39">
        <v>37362</v>
      </c>
      <c r="H79" s="244">
        <f>Tabla3[[#This Row],[VALOR UNITARIO]]*Tabla3[[#This Row],[CANTIDAD ]]</f>
        <v>560430</v>
      </c>
      <c r="I79" s="244"/>
      <c r="J79" s="244"/>
      <c r="K79" s="244"/>
      <c r="L79" s="244"/>
      <c r="M79" s="244"/>
      <c r="N79" s="244"/>
      <c r="O79" s="244"/>
      <c r="P79" s="240"/>
      <c r="R79" s="275">
        <f>MAX(Tabla3[[#This Row],[VALOR TOTAL]],Tabla3[[#This Row],[VALOR TOTAL ]])</f>
        <v>562500</v>
      </c>
      <c r="S79" s="275">
        <f>MIN(Tabla3[[#This Row],[VALOR TOTAL ]],Tabla3[[#This Row],[VALOR TOTAL]])</f>
        <v>560430</v>
      </c>
      <c r="T79" s="275">
        <f>AVERAGE(Tabla3[[#This Row],[VALOR TOTAL ]:[VALOR TOTAL]])</f>
        <v>386764</v>
      </c>
    </row>
    <row r="80" spans="1:20" ht="24" x14ac:dyDescent="0.2">
      <c r="A80" s="20" t="s">
        <v>760</v>
      </c>
      <c r="B80" s="24" t="s">
        <v>759</v>
      </c>
      <c r="C80" s="22" t="s">
        <v>6</v>
      </c>
      <c r="D80" s="61">
        <v>4</v>
      </c>
      <c r="E80" s="244">
        <v>1900000</v>
      </c>
      <c r="F80" s="244">
        <f>Tabla3[[#This Row],[VALOR UNITARIO ]]*Tabla3[[#This Row],[CANTIDAD ]]</f>
        <v>7600000</v>
      </c>
      <c r="G80" s="39">
        <v>138660</v>
      </c>
      <c r="H80" s="244">
        <f>Tabla3[[#This Row],[VALOR UNITARIO]]*Tabla3[[#This Row],[CANTIDAD ]]</f>
        <v>554640</v>
      </c>
      <c r="I80" s="244"/>
      <c r="J80" s="244"/>
      <c r="K80" s="244"/>
      <c r="L80" s="244"/>
      <c r="M80" s="244"/>
      <c r="N80" s="244"/>
      <c r="O80" s="244"/>
      <c r="P80" s="240"/>
      <c r="R80" s="275">
        <f>MAX(Tabla3[[#This Row],[VALOR TOTAL]],Tabla3[[#This Row],[VALOR TOTAL ]])</f>
        <v>7600000</v>
      </c>
      <c r="S80" s="275">
        <f>MIN(Tabla3[[#This Row],[VALOR TOTAL ]],Tabla3[[#This Row],[VALOR TOTAL]])</f>
        <v>554640</v>
      </c>
      <c r="T80" s="275">
        <f>AVERAGE(Tabla3[[#This Row],[VALOR TOTAL ]:[VALOR TOTAL]])</f>
        <v>2764433.3333333335</v>
      </c>
    </row>
    <row r="81" spans="1:20" ht="36" x14ac:dyDescent="0.2">
      <c r="A81" s="20" t="s">
        <v>761</v>
      </c>
      <c r="B81" s="24" t="s">
        <v>409</v>
      </c>
      <c r="C81" s="22" t="s">
        <v>14</v>
      </c>
      <c r="D81" s="61">
        <v>10</v>
      </c>
      <c r="E81" s="244">
        <v>290000</v>
      </c>
      <c r="F81" s="244">
        <f>Tabla3[[#This Row],[VALOR UNITARIO ]]*Tabla3[[#This Row],[CANTIDAD ]]</f>
        <v>2900000</v>
      </c>
      <c r="G81" s="39">
        <v>700000</v>
      </c>
      <c r="H81" s="244">
        <f>Tabla3[[#This Row],[VALOR UNITARIO]]*Tabla3[[#This Row],[CANTIDAD ]]</f>
        <v>7000000</v>
      </c>
      <c r="I81" s="244"/>
      <c r="J81" s="244"/>
      <c r="K81" s="244"/>
      <c r="L81" s="244"/>
      <c r="M81" s="244"/>
      <c r="N81" s="244"/>
      <c r="O81" s="244"/>
      <c r="P81" s="240"/>
      <c r="R81" s="275">
        <f>MAX(Tabla3[[#This Row],[VALOR TOTAL]],Tabla3[[#This Row],[VALOR TOTAL ]])</f>
        <v>7000000</v>
      </c>
      <c r="S81" s="275">
        <f>MIN(Tabla3[[#This Row],[VALOR TOTAL ]],Tabla3[[#This Row],[VALOR TOTAL]])</f>
        <v>2900000</v>
      </c>
      <c r="T81" s="275">
        <f>AVERAGE(Tabla3[[#This Row],[VALOR TOTAL ]:[VALOR TOTAL]])</f>
        <v>3533333.3333333335</v>
      </c>
    </row>
    <row r="82" spans="1:20" x14ac:dyDescent="0.2">
      <c r="A82" s="70" t="s">
        <v>146</v>
      </c>
      <c r="B82" s="53" t="s">
        <v>147</v>
      </c>
      <c r="C82" s="71"/>
      <c r="D82" s="61"/>
      <c r="F82" s="254"/>
      <c r="G82" s="73"/>
      <c r="H82" s="254"/>
      <c r="I82" s="270"/>
      <c r="P82" s="240"/>
      <c r="R82" s="254"/>
      <c r="S82" s="254"/>
      <c r="T82" s="254"/>
    </row>
    <row r="83" spans="1:20" x14ac:dyDescent="0.2">
      <c r="A83" s="65" t="s">
        <v>148</v>
      </c>
      <c r="B83" s="74" t="s">
        <v>149</v>
      </c>
      <c r="C83" s="75" t="s">
        <v>150</v>
      </c>
      <c r="D83" s="76">
        <v>3</v>
      </c>
      <c r="E83" s="77">
        <v>180000</v>
      </c>
      <c r="F83" s="77">
        <f>Tabla3[[#This Row],[VALOR UNITARIO ]]*Tabla3[[#This Row],[CANTIDAD ]]</f>
        <v>540000</v>
      </c>
      <c r="G83" s="39">
        <v>274603.33333333337</v>
      </c>
      <c r="H83" s="77">
        <f>Tabla3[[#This Row],[VALOR UNITARIO]]*Tabla3[[#This Row],[CANTIDAD ]]</f>
        <v>823810.00000000012</v>
      </c>
      <c r="I83" s="77"/>
      <c r="J83" s="77"/>
      <c r="K83" s="77"/>
      <c r="L83" s="77"/>
      <c r="M83" s="77"/>
      <c r="N83" s="77"/>
      <c r="O83" s="77"/>
      <c r="P83" s="39"/>
      <c r="R83" s="62">
        <f>MAX(Tabla3[[#This Row],[VALOR TOTAL]],Tabla3[[#This Row],[VALOR TOTAL ]])</f>
        <v>823810.00000000012</v>
      </c>
      <c r="S83" s="62">
        <f>MIN(Tabla3[[#This Row],[VALOR TOTAL ]],Tabla3[[#This Row],[VALOR TOTAL]])</f>
        <v>540000</v>
      </c>
      <c r="T83" s="62">
        <f>AVERAGE(Tabla3[[#This Row],[VALOR TOTAL ]:[VALOR TOTAL]])</f>
        <v>546137.77777777787</v>
      </c>
    </row>
    <row r="84" spans="1:20" ht="24" x14ac:dyDescent="0.2">
      <c r="A84" s="65" t="s">
        <v>151</v>
      </c>
      <c r="B84" s="63" t="s">
        <v>152</v>
      </c>
      <c r="C84" s="17" t="s">
        <v>19</v>
      </c>
      <c r="D84" s="61">
        <v>17</v>
      </c>
      <c r="E84" s="62">
        <v>320000</v>
      </c>
      <c r="F84" s="77">
        <f>Tabla3[[#This Row],[VALOR UNITARIO ]]*Tabla3[[#This Row],[CANTIDAD ]]</f>
        <v>5440000</v>
      </c>
      <c r="G84" s="39">
        <f>63360*1.3</f>
        <v>82368</v>
      </c>
      <c r="H84" s="77">
        <f>Tabla3[[#This Row],[VALOR UNITARIO]]*Tabla3[[#This Row],[CANTIDAD ]]</f>
        <v>1400256</v>
      </c>
      <c r="I84" s="77"/>
      <c r="J84" s="77"/>
      <c r="K84" s="77"/>
      <c r="L84" s="77"/>
      <c r="M84" s="77"/>
      <c r="N84" s="77"/>
      <c r="O84" s="77"/>
      <c r="P84" s="39"/>
      <c r="R84" s="62">
        <f>MAX(Tabla3[[#This Row],[VALOR TOTAL]],Tabla3[[#This Row],[VALOR TOTAL ]])</f>
        <v>5440000</v>
      </c>
      <c r="S84" s="62">
        <f>MIN(Tabla3[[#This Row],[VALOR TOTAL ]],Tabla3[[#This Row],[VALOR TOTAL]])</f>
        <v>1400256</v>
      </c>
      <c r="T84" s="62">
        <f>AVERAGE(Tabla3[[#This Row],[VALOR TOTAL ]:[VALOR TOTAL]])</f>
        <v>2307541.3333333335</v>
      </c>
    </row>
    <row r="85" spans="1:20" ht="24" x14ac:dyDescent="0.2">
      <c r="A85" s="65" t="s">
        <v>153</v>
      </c>
      <c r="B85" s="24" t="s">
        <v>154</v>
      </c>
      <c r="C85" s="22" t="s">
        <v>14</v>
      </c>
      <c r="D85" s="61">
        <v>33</v>
      </c>
      <c r="E85" s="62">
        <v>45000</v>
      </c>
      <c r="F85" s="77">
        <f>Tabla3[[#This Row],[VALOR UNITARIO ]]*Tabla3[[#This Row],[CANTIDAD ]]</f>
        <v>1485000</v>
      </c>
      <c r="G85" s="39">
        <v>29133</v>
      </c>
      <c r="H85" s="77">
        <f>Tabla3[[#This Row],[VALOR UNITARIO]]*Tabla3[[#This Row],[CANTIDAD ]]</f>
        <v>961389</v>
      </c>
      <c r="I85" s="77"/>
      <c r="J85" s="77"/>
      <c r="K85" s="77"/>
      <c r="L85" s="77"/>
      <c r="M85" s="77"/>
      <c r="N85" s="77"/>
      <c r="O85" s="77"/>
      <c r="P85" s="39"/>
      <c r="R85" s="62">
        <f>MAX(Tabla3[[#This Row],[VALOR TOTAL]],Tabla3[[#This Row],[VALOR TOTAL ]])</f>
        <v>1485000</v>
      </c>
      <c r="S85" s="62">
        <f>MIN(Tabla3[[#This Row],[VALOR TOTAL ]],Tabla3[[#This Row],[VALOR TOTAL]])</f>
        <v>961389</v>
      </c>
      <c r="T85" s="62">
        <f>AVERAGE(Tabla3[[#This Row],[VALOR TOTAL ]:[VALOR TOTAL]])</f>
        <v>825174</v>
      </c>
    </row>
    <row r="86" spans="1:20" x14ac:dyDescent="0.2">
      <c r="A86" s="20" t="s">
        <v>155</v>
      </c>
      <c r="B86" s="24" t="s">
        <v>156</v>
      </c>
      <c r="C86" s="22" t="s">
        <v>19</v>
      </c>
      <c r="D86" s="61">
        <v>24</v>
      </c>
      <c r="E86" s="62">
        <v>42000</v>
      </c>
      <c r="F86" s="77">
        <f>Tabla3[[#This Row],[VALOR UNITARIO ]]*Tabla3[[#This Row],[CANTIDAD ]]</f>
        <v>1008000</v>
      </c>
      <c r="G86" s="39">
        <v>32500</v>
      </c>
      <c r="H86" s="77">
        <f>Tabla3[[#This Row],[VALOR UNITARIO]]*Tabla3[[#This Row],[CANTIDAD ]]</f>
        <v>780000</v>
      </c>
      <c r="I86" s="77"/>
      <c r="J86" s="77"/>
      <c r="K86" s="77"/>
      <c r="L86" s="77"/>
      <c r="M86" s="77"/>
      <c r="N86" s="77"/>
      <c r="O86" s="77"/>
      <c r="P86" s="39"/>
      <c r="R86" s="62">
        <f>MAX(Tabla3[[#This Row],[VALOR TOTAL]],Tabla3[[#This Row],[VALOR TOTAL ]])</f>
        <v>1008000</v>
      </c>
      <c r="S86" s="62">
        <f>MIN(Tabla3[[#This Row],[VALOR TOTAL ]],Tabla3[[#This Row],[VALOR TOTAL]])</f>
        <v>780000</v>
      </c>
      <c r="T86" s="62">
        <f>AVERAGE(Tabla3[[#This Row],[VALOR TOTAL ]:[VALOR TOTAL]])</f>
        <v>606833.33333333337</v>
      </c>
    </row>
    <row r="87" spans="1:20" x14ac:dyDescent="0.2">
      <c r="A87" s="65" t="s">
        <v>157</v>
      </c>
      <c r="B87" s="24" t="s">
        <v>158</v>
      </c>
      <c r="C87" s="78" t="s">
        <v>14</v>
      </c>
      <c r="D87" s="61">
        <v>3</v>
      </c>
      <c r="E87" s="62">
        <v>30000</v>
      </c>
      <c r="F87" s="77">
        <f>Tabla3[[#This Row],[VALOR UNITARIO ]]*Tabla3[[#This Row],[CANTIDAD ]]</f>
        <v>90000</v>
      </c>
      <c r="G87" s="39">
        <v>16117.178000000002</v>
      </c>
      <c r="H87" s="77">
        <f>Tabla3[[#This Row],[VALOR UNITARIO]]*Tabla3[[#This Row],[CANTIDAD ]]</f>
        <v>48351.534000000007</v>
      </c>
      <c r="I87" s="77"/>
      <c r="J87" s="77"/>
      <c r="K87" s="77"/>
      <c r="L87" s="77"/>
      <c r="M87" s="77"/>
      <c r="N87" s="77"/>
      <c r="O87" s="77"/>
      <c r="P87" s="39"/>
      <c r="R87" s="62">
        <f>MAX(Tabla3[[#This Row],[VALOR TOTAL]],Tabla3[[#This Row],[VALOR TOTAL ]])</f>
        <v>90000</v>
      </c>
      <c r="S87" s="62">
        <f>MIN(Tabla3[[#This Row],[VALOR TOTAL ]],Tabla3[[#This Row],[VALOR TOTAL]])</f>
        <v>48351.534000000007</v>
      </c>
      <c r="T87" s="62">
        <f>AVERAGE(Tabla3[[#This Row],[VALOR TOTAL ]:[VALOR TOTAL]])</f>
        <v>51489.570666666667</v>
      </c>
    </row>
    <row r="88" spans="1:20" x14ac:dyDescent="0.2">
      <c r="A88" s="65" t="s">
        <v>159</v>
      </c>
      <c r="B88" s="24" t="s">
        <v>160</v>
      </c>
      <c r="C88" s="22" t="s">
        <v>150</v>
      </c>
      <c r="D88" s="68">
        <v>1</v>
      </c>
      <c r="E88" s="69">
        <v>120000</v>
      </c>
      <c r="F88" s="247">
        <f>Tabla3[[#This Row],[VALOR UNITARIO ]]*Tabla3[[#This Row],[CANTIDAD ]]</f>
        <v>120000</v>
      </c>
      <c r="G88" s="39">
        <v>50000</v>
      </c>
      <c r="H88" s="247">
        <f>Tabla3[[#This Row],[VALOR UNITARIO]]*Tabla3[[#This Row],[CANTIDAD ]]</f>
        <v>50000</v>
      </c>
      <c r="I88" s="247"/>
      <c r="J88" s="247"/>
      <c r="K88" s="247"/>
      <c r="L88" s="247"/>
      <c r="M88" s="247"/>
      <c r="N88" s="247"/>
      <c r="O88" s="247"/>
      <c r="P88" s="39"/>
      <c r="R88" s="62">
        <f>MAX(Tabla3[[#This Row],[VALOR TOTAL]],Tabla3[[#This Row],[VALOR TOTAL ]])</f>
        <v>120000</v>
      </c>
      <c r="S88" s="62">
        <f>MIN(Tabla3[[#This Row],[VALOR TOTAL ]],Tabla3[[#This Row],[VALOR TOTAL]])</f>
        <v>50000</v>
      </c>
      <c r="T88" s="62">
        <f>AVERAGE(Tabla3[[#This Row],[VALOR TOTAL ]:[VALOR TOTAL]])</f>
        <v>73333.333333333328</v>
      </c>
    </row>
    <row r="89" spans="1:20" ht="24" x14ac:dyDescent="0.2">
      <c r="A89" s="65" t="s">
        <v>161</v>
      </c>
      <c r="B89" s="24" t="s">
        <v>162</v>
      </c>
      <c r="C89" s="22" t="s">
        <v>14</v>
      </c>
      <c r="D89" s="61">
        <v>3</v>
      </c>
      <c r="E89" s="62">
        <v>45000</v>
      </c>
      <c r="F89" s="77">
        <f>Tabla3[[#This Row],[VALOR UNITARIO ]]*Tabla3[[#This Row],[CANTIDAD ]]</f>
        <v>135000</v>
      </c>
      <c r="G89" s="39">
        <v>75897.668000000005</v>
      </c>
      <c r="H89" s="77">
        <f>Tabla3[[#This Row],[VALOR UNITARIO]]*Tabla3[[#This Row],[CANTIDAD ]]</f>
        <v>227693.00400000002</v>
      </c>
      <c r="I89" s="77"/>
      <c r="J89" s="77"/>
      <c r="K89" s="77"/>
      <c r="L89" s="77"/>
      <c r="M89" s="77"/>
      <c r="N89" s="77"/>
      <c r="O89" s="77"/>
      <c r="P89" s="39"/>
      <c r="R89" s="62">
        <f>MAX(Tabla3[[#This Row],[VALOR TOTAL]],Tabla3[[#This Row],[VALOR TOTAL ]])</f>
        <v>227693.00400000002</v>
      </c>
      <c r="S89" s="62">
        <f>MIN(Tabla3[[#This Row],[VALOR TOTAL ]],Tabla3[[#This Row],[VALOR TOTAL]])</f>
        <v>135000</v>
      </c>
      <c r="T89" s="62">
        <f>AVERAGE(Tabla3[[#This Row],[VALOR TOTAL ]:[VALOR TOTAL]])</f>
        <v>146196.89066666667</v>
      </c>
    </row>
    <row r="90" spans="1:20" ht="24" x14ac:dyDescent="0.2">
      <c r="A90" s="65" t="s">
        <v>163</v>
      </c>
      <c r="B90" s="24" t="s">
        <v>164</v>
      </c>
      <c r="C90" s="59" t="s">
        <v>19</v>
      </c>
      <c r="D90" s="61">
        <v>20</v>
      </c>
      <c r="E90" s="62">
        <v>130000</v>
      </c>
      <c r="F90" s="77">
        <f>Tabla3[[#This Row],[VALOR UNITARIO ]]*Tabla3[[#This Row],[CANTIDAD ]]</f>
        <v>2600000</v>
      </c>
      <c r="G90" s="39">
        <v>180000</v>
      </c>
      <c r="H90" s="77">
        <f>Tabla3[[#This Row],[VALOR UNITARIO]]*Tabla3[[#This Row],[CANTIDAD ]]</f>
        <v>3600000</v>
      </c>
      <c r="I90" s="77"/>
      <c r="J90" s="77"/>
      <c r="K90" s="77"/>
      <c r="L90" s="77"/>
      <c r="M90" s="77"/>
      <c r="N90" s="77"/>
      <c r="O90" s="77"/>
      <c r="P90" s="39"/>
      <c r="R90" s="62">
        <f>MAX(Tabla3[[#This Row],[VALOR TOTAL]],Tabla3[[#This Row],[VALOR TOTAL ]])</f>
        <v>3600000</v>
      </c>
      <c r="S90" s="62">
        <f>MIN(Tabla3[[#This Row],[VALOR TOTAL ]],Tabla3[[#This Row],[VALOR TOTAL]])</f>
        <v>2600000</v>
      </c>
      <c r="T90" s="62">
        <f>AVERAGE(Tabla3[[#This Row],[VALOR TOTAL ]:[VALOR TOTAL]])</f>
        <v>2126666.6666666665</v>
      </c>
    </row>
    <row r="91" spans="1:20" x14ac:dyDescent="0.2">
      <c r="A91" s="65" t="s">
        <v>165</v>
      </c>
      <c r="B91" s="48" t="s">
        <v>166</v>
      </c>
      <c r="C91" s="49" t="s">
        <v>150</v>
      </c>
      <c r="D91" s="68">
        <v>2</v>
      </c>
      <c r="E91" s="69">
        <v>100000</v>
      </c>
      <c r="F91" s="247">
        <f>Tabla3[[#This Row],[VALOR UNITARIO ]]*Tabla3[[#This Row],[CANTIDAD ]]</f>
        <v>200000</v>
      </c>
      <c r="G91" s="39">
        <v>81356</v>
      </c>
      <c r="H91" s="247">
        <f>Tabla3[[#This Row],[VALOR UNITARIO]]*Tabla3[[#This Row],[CANTIDAD ]]</f>
        <v>162712</v>
      </c>
      <c r="I91" s="247"/>
      <c r="J91" s="247"/>
      <c r="K91" s="247"/>
      <c r="L91" s="247"/>
      <c r="M91" s="247"/>
      <c r="N91" s="247"/>
      <c r="O91" s="247"/>
      <c r="P91" s="39"/>
      <c r="R91" s="62">
        <f>MAX(Tabla3[[#This Row],[VALOR TOTAL]],Tabla3[[#This Row],[VALOR TOTAL ]])</f>
        <v>200000</v>
      </c>
      <c r="S91" s="62">
        <f>MIN(Tabla3[[#This Row],[VALOR TOTAL ]],Tabla3[[#This Row],[VALOR TOTAL]])</f>
        <v>162712</v>
      </c>
      <c r="T91" s="62">
        <f>AVERAGE(Tabla3[[#This Row],[VALOR TOTAL ]:[VALOR TOTAL]])</f>
        <v>148022.66666666666</v>
      </c>
    </row>
    <row r="92" spans="1:20" ht="15" x14ac:dyDescent="0.25">
      <c r="A92" s="70" t="s">
        <v>167</v>
      </c>
      <c r="B92" s="53" t="s">
        <v>168</v>
      </c>
      <c r="C92" s="79"/>
      <c r="D92" s="72"/>
      <c r="F92" s="254"/>
      <c r="G92" s="72"/>
      <c r="H92" s="254">
        <f>Tabla3[[#This Row],[VALOR UNITARIO]]*Tabla3[[#This Row],[CANTIDAD ]]</f>
        <v>0</v>
      </c>
      <c r="I92" s="270"/>
      <c r="P92" s="240"/>
      <c r="R92"/>
      <c r="S92"/>
      <c r="T92"/>
    </row>
    <row r="93" spans="1:20" x14ac:dyDescent="0.2">
      <c r="A93" s="80" t="s">
        <v>169</v>
      </c>
      <c r="B93" s="56" t="s">
        <v>158</v>
      </c>
      <c r="C93" s="13" t="s">
        <v>14</v>
      </c>
      <c r="D93" s="76">
        <v>220</v>
      </c>
      <c r="E93" s="77">
        <v>15000</v>
      </c>
      <c r="F93" s="77">
        <f>Tabla3[[#This Row],[VALOR UNITARIO ]]*Tabla3[[#This Row],[CANTIDAD ]]</f>
        <v>3300000</v>
      </c>
      <c r="G93" s="39">
        <v>16117.178000000002</v>
      </c>
      <c r="H93" s="77">
        <f>Tabla3[[#This Row],[VALOR UNITARIO]]*Tabla3[[#This Row],[CANTIDAD ]]</f>
        <v>3545779.16</v>
      </c>
      <c r="I93" s="77"/>
      <c r="J93" s="77"/>
      <c r="K93" s="77"/>
      <c r="L93" s="77"/>
      <c r="M93" s="77"/>
      <c r="N93" s="77"/>
      <c r="O93" s="77"/>
      <c r="P93" s="39"/>
      <c r="R93" s="62">
        <f>MAX(Tabla3[[#This Row],[VALOR TOTAL]],Tabla3[[#This Row],[VALOR TOTAL ]])</f>
        <v>3545779.16</v>
      </c>
      <c r="S93" s="62">
        <f>MIN(Tabla3[[#This Row],[VALOR TOTAL ]],Tabla3[[#This Row],[VALOR TOTAL]])</f>
        <v>3300000</v>
      </c>
      <c r="T93" s="62">
        <f>AVERAGE(Tabla3[[#This Row],[VALOR TOTAL ]:[VALOR TOTAL]])</f>
        <v>2287298.779333333</v>
      </c>
    </row>
    <row r="94" spans="1:20" ht="24" x14ac:dyDescent="0.2">
      <c r="A94" s="65" t="s">
        <v>170</v>
      </c>
      <c r="B94" s="81" t="s">
        <v>171</v>
      </c>
      <c r="C94" s="17" t="s">
        <v>14</v>
      </c>
      <c r="D94" s="61">
        <v>120</v>
      </c>
      <c r="E94" s="62">
        <v>40000</v>
      </c>
      <c r="F94" s="77">
        <f>Tabla3[[#This Row],[VALOR UNITARIO ]]*Tabla3[[#This Row],[CANTIDAD ]]</f>
        <v>4800000</v>
      </c>
      <c r="G94" s="39">
        <f>1.3*24010</f>
        <v>31213</v>
      </c>
      <c r="H94" s="77">
        <f>Tabla3[[#This Row],[VALOR UNITARIO]]*Tabla3[[#This Row],[CANTIDAD ]]</f>
        <v>3745560</v>
      </c>
      <c r="I94" s="77"/>
      <c r="J94" s="77"/>
      <c r="K94" s="77"/>
      <c r="L94" s="77"/>
      <c r="M94" s="77"/>
      <c r="N94" s="77"/>
      <c r="O94" s="77"/>
      <c r="P94" s="39"/>
      <c r="R94" s="62">
        <f>MAX(Tabla3[[#This Row],[VALOR TOTAL]],Tabla3[[#This Row],[VALOR TOTAL ]])</f>
        <v>4800000</v>
      </c>
      <c r="S94" s="62">
        <f>MIN(Tabla3[[#This Row],[VALOR TOTAL ]],Tabla3[[#This Row],[VALOR TOTAL]])</f>
        <v>3745560</v>
      </c>
      <c r="T94" s="62">
        <f>AVERAGE(Tabla3[[#This Row],[VALOR TOTAL ]:[VALOR TOTAL]])</f>
        <v>2858924.3333333335</v>
      </c>
    </row>
    <row r="95" spans="1:20" x14ac:dyDescent="0.2">
      <c r="A95" s="65" t="s">
        <v>172</v>
      </c>
      <c r="B95" s="82" t="s">
        <v>173</v>
      </c>
      <c r="C95" s="83" t="s">
        <v>14</v>
      </c>
      <c r="D95" s="68">
        <v>100</v>
      </c>
      <c r="E95" s="69">
        <v>25000</v>
      </c>
      <c r="F95" s="247">
        <f>Tabla3[[#This Row],[VALOR UNITARIO ]]*Tabla3[[#This Row],[CANTIDAD ]]</f>
        <v>2500000</v>
      </c>
      <c r="G95" s="263">
        <v>0</v>
      </c>
      <c r="H95" s="247">
        <f>Tabla3[[#This Row],[VALOR UNITARIO]]*Tabla3[[#This Row],[CANTIDAD ]]</f>
        <v>0</v>
      </c>
      <c r="I95" s="247"/>
      <c r="J95" s="247"/>
      <c r="K95" s="247"/>
      <c r="L95" s="247"/>
      <c r="M95" s="247"/>
      <c r="N95" s="247"/>
      <c r="O95" s="247"/>
      <c r="P95" s="39"/>
      <c r="R95" s="62">
        <f>MAX(Tabla3[[#This Row],[VALOR TOTAL]],Tabla3[[#This Row],[VALOR TOTAL ]])</f>
        <v>2500000</v>
      </c>
      <c r="S95" s="62">
        <f>MIN(Tabla3[[#This Row],[VALOR TOTAL ]],Tabla3[[#This Row],[VALOR TOTAL]])</f>
        <v>0</v>
      </c>
      <c r="T95" s="62">
        <f>AVERAGE(Tabla3[[#This Row],[VALOR TOTAL ]:[VALOR TOTAL]])</f>
        <v>833333.33333333337</v>
      </c>
    </row>
    <row r="96" spans="1:20" ht="24" x14ac:dyDescent="0.2">
      <c r="A96" s="65" t="s">
        <v>174</v>
      </c>
      <c r="B96" s="82" t="s">
        <v>175</v>
      </c>
      <c r="C96" s="84" t="s">
        <v>14</v>
      </c>
      <c r="D96" s="61">
        <v>100</v>
      </c>
      <c r="E96" s="85">
        <v>9000</v>
      </c>
      <c r="F96" s="248">
        <f>Tabla3[[#This Row],[VALOR UNITARIO ]]*Tabla3[[#This Row],[CANTIDAD ]]</f>
        <v>900000</v>
      </c>
      <c r="G96" s="39">
        <f>1.3*6130</f>
        <v>7969</v>
      </c>
      <c r="H96" s="248">
        <f>Tabla3[[#This Row],[VALOR UNITARIO]]*Tabla3[[#This Row],[CANTIDAD ]]</f>
        <v>796900</v>
      </c>
      <c r="I96" s="248"/>
      <c r="J96" s="248"/>
      <c r="K96" s="248"/>
      <c r="L96" s="248"/>
      <c r="M96" s="248"/>
      <c r="N96" s="248"/>
      <c r="O96" s="248"/>
      <c r="P96" s="39"/>
      <c r="R96" s="62">
        <f>MAX(Tabla3[[#This Row],[VALOR TOTAL]],Tabla3[[#This Row],[VALOR TOTAL ]])</f>
        <v>900000</v>
      </c>
      <c r="S96" s="62">
        <f>MIN(Tabla3[[#This Row],[VALOR TOTAL ]],Tabla3[[#This Row],[VALOR TOTAL]])</f>
        <v>796900</v>
      </c>
      <c r="T96" s="62">
        <f>AVERAGE(Tabla3[[#This Row],[VALOR TOTAL ]:[VALOR TOTAL]])</f>
        <v>568289.66666666663</v>
      </c>
    </row>
    <row r="97" spans="1:20" x14ac:dyDescent="0.2">
      <c r="A97" s="70" t="s">
        <v>176</v>
      </c>
      <c r="B97" s="53" t="s">
        <v>177</v>
      </c>
      <c r="C97" s="35"/>
      <c r="D97" s="72"/>
      <c r="F97" s="254"/>
      <c r="G97" s="73"/>
      <c r="H97" s="254"/>
      <c r="I97" s="270"/>
      <c r="P97" s="240"/>
      <c r="R97" s="254"/>
      <c r="S97" s="254"/>
      <c r="T97" s="254"/>
    </row>
    <row r="98" spans="1:20" x14ac:dyDescent="0.2">
      <c r="A98" s="80" t="s">
        <v>178</v>
      </c>
      <c r="B98" s="56" t="s">
        <v>179</v>
      </c>
      <c r="C98" s="86" t="s">
        <v>14</v>
      </c>
      <c r="D98" s="76">
        <v>170</v>
      </c>
      <c r="E98" s="77">
        <v>45000</v>
      </c>
      <c r="F98" s="248">
        <f>Tabla3[[#This Row],[VALOR UNITARIO ]]*Tabla3[[#This Row],[CANTIDAD ]]</f>
        <v>7650000</v>
      </c>
      <c r="G98" s="39">
        <f>1.3*0.5*8480</f>
        <v>5512</v>
      </c>
      <c r="H98" s="248">
        <f>Tabla3[[#This Row],[VALOR UNITARIO]]*Tabla3[[#This Row],[CANTIDAD ]]</f>
        <v>937040</v>
      </c>
      <c r="I98" s="248"/>
      <c r="J98" s="248"/>
      <c r="K98" s="248"/>
      <c r="L98" s="248"/>
      <c r="M98" s="248"/>
      <c r="N98" s="248"/>
      <c r="O98" s="248"/>
      <c r="P98" s="240"/>
      <c r="R98" s="62">
        <f>MAX(Tabla3[[#This Row],[VALOR TOTAL]],Tabla3[[#This Row],[VALOR TOTAL ]])</f>
        <v>7650000</v>
      </c>
      <c r="S98" s="62">
        <f>MIN(Tabla3[[#This Row],[VALOR TOTAL ]],Tabla3[[#This Row],[VALOR TOTAL]])</f>
        <v>937040</v>
      </c>
      <c r="T98" s="62">
        <f>AVERAGE(Tabla3[[#This Row],[VALOR TOTAL ]:[VALOR TOTAL]])</f>
        <v>2864184</v>
      </c>
    </row>
    <row r="99" spans="1:20" x14ac:dyDescent="0.2">
      <c r="A99" s="65" t="s">
        <v>180</v>
      </c>
      <c r="B99" s="24" t="s">
        <v>181</v>
      </c>
      <c r="C99" s="22" t="s">
        <v>14</v>
      </c>
      <c r="D99" s="61">
        <v>97</v>
      </c>
      <c r="E99" s="62">
        <v>20000</v>
      </c>
      <c r="F99" s="248">
        <f>Tabla3[[#This Row],[VALOR UNITARIO ]]*Tabla3[[#This Row],[CANTIDAD ]]</f>
        <v>1940000</v>
      </c>
      <c r="G99" s="39">
        <v>5500</v>
      </c>
      <c r="H99" s="248">
        <f>Tabla3[[#This Row],[VALOR UNITARIO]]*Tabla3[[#This Row],[CANTIDAD ]]</f>
        <v>533500</v>
      </c>
      <c r="I99" s="248"/>
      <c r="J99" s="248"/>
      <c r="K99" s="248"/>
      <c r="L99" s="248"/>
      <c r="M99" s="248"/>
      <c r="N99" s="248"/>
      <c r="O99" s="248"/>
      <c r="P99" s="240"/>
      <c r="R99" s="62">
        <f>MAX(Tabla3[[#This Row],[VALOR TOTAL]],Tabla3[[#This Row],[VALOR TOTAL ]])</f>
        <v>1940000</v>
      </c>
      <c r="S99" s="62">
        <f>MIN(Tabla3[[#This Row],[VALOR TOTAL ]],Tabla3[[#This Row],[VALOR TOTAL]])</f>
        <v>533500</v>
      </c>
      <c r="T99" s="62">
        <f>AVERAGE(Tabla3[[#This Row],[VALOR TOTAL ]:[VALOR TOTAL]])</f>
        <v>826333.33333333337</v>
      </c>
    </row>
    <row r="100" spans="1:20" ht="24" x14ac:dyDescent="0.2">
      <c r="A100" s="20" t="s">
        <v>182</v>
      </c>
      <c r="B100" s="24" t="s">
        <v>183</v>
      </c>
      <c r="C100" s="22" t="s">
        <v>19</v>
      </c>
      <c r="D100" s="61">
        <v>50</v>
      </c>
      <c r="E100" s="62">
        <v>280000</v>
      </c>
      <c r="F100" s="248">
        <f>Tabla3[[#This Row],[VALOR UNITARIO ]]*Tabla3[[#This Row],[CANTIDAD ]]</f>
        <v>14000000</v>
      </c>
      <c r="G100" s="39">
        <v>700000</v>
      </c>
      <c r="H100" s="248">
        <f>Tabla3[[#This Row],[VALOR UNITARIO]]*Tabla3[[#This Row],[CANTIDAD ]]</f>
        <v>35000000</v>
      </c>
      <c r="I100" s="248"/>
      <c r="J100" s="248"/>
      <c r="K100" s="248"/>
      <c r="L100" s="248"/>
      <c r="M100" s="248"/>
      <c r="N100" s="248"/>
      <c r="O100" s="248"/>
      <c r="P100" s="240"/>
      <c r="R100" s="62">
        <f>MAX(Tabla3[[#This Row],[VALOR TOTAL]],Tabla3[[#This Row],[VALOR TOTAL ]])</f>
        <v>35000000</v>
      </c>
      <c r="S100" s="62">
        <f>MIN(Tabla3[[#This Row],[VALOR TOTAL ]],Tabla3[[#This Row],[VALOR TOTAL]])</f>
        <v>14000000</v>
      </c>
      <c r="T100" s="62">
        <f>AVERAGE(Tabla3[[#This Row],[VALOR TOTAL ]:[VALOR TOTAL]])</f>
        <v>16566666.666666666</v>
      </c>
    </row>
    <row r="101" spans="1:20" ht="24" x14ac:dyDescent="0.2">
      <c r="A101" s="65" t="s">
        <v>184</v>
      </c>
      <c r="B101" s="48" t="s">
        <v>185</v>
      </c>
      <c r="C101" s="49" t="s">
        <v>14</v>
      </c>
      <c r="D101" s="68">
        <v>112</v>
      </c>
      <c r="E101" s="69">
        <v>112000</v>
      </c>
      <c r="F101" s="248">
        <f>Tabla3[[#This Row],[VALOR UNITARIO ]]*Tabla3[[#This Row],[CANTIDAD ]]</f>
        <v>12544000</v>
      </c>
      <c r="G101" s="39">
        <v>50000</v>
      </c>
      <c r="H101" s="248">
        <f>Tabla3[[#This Row],[VALOR UNITARIO]]*Tabla3[[#This Row],[CANTIDAD ]]</f>
        <v>5600000</v>
      </c>
      <c r="I101" s="248"/>
      <c r="J101" s="248"/>
      <c r="K101" s="248"/>
      <c r="L101" s="248"/>
      <c r="M101" s="248"/>
      <c r="N101" s="248"/>
      <c r="O101" s="248"/>
      <c r="P101" s="240"/>
      <c r="R101" s="62">
        <f>MAX(Tabla3[[#This Row],[VALOR TOTAL]],Tabla3[[#This Row],[VALOR TOTAL ]])</f>
        <v>12544000</v>
      </c>
      <c r="S101" s="62">
        <f>MIN(Tabla3[[#This Row],[VALOR TOTAL ]],Tabla3[[#This Row],[VALOR TOTAL]])</f>
        <v>5600000</v>
      </c>
      <c r="T101" s="62">
        <f>AVERAGE(Tabla3[[#This Row],[VALOR TOTAL ]:[VALOR TOTAL]])</f>
        <v>6064666.666666667</v>
      </c>
    </row>
    <row r="102" spans="1:20" x14ac:dyDescent="0.2">
      <c r="A102" s="70" t="s">
        <v>186</v>
      </c>
      <c r="B102" s="53" t="s">
        <v>187</v>
      </c>
      <c r="C102" s="35"/>
      <c r="D102" s="72"/>
      <c r="E102" s="73"/>
      <c r="F102" s="248"/>
      <c r="G102" s="73"/>
      <c r="H102" s="248">
        <f>Tabla3[[#This Row],[VALOR UNITARIO]]*Tabla3[[#This Row],[CANTIDAD ]]</f>
        <v>0</v>
      </c>
      <c r="I102" s="248"/>
      <c r="J102" s="248"/>
      <c r="K102" s="248"/>
      <c r="L102" s="248"/>
      <c r="M102" s="248"/>
      <c r="N102" s="248"/>
      <c r="O102" s="248"/>
      <c r="P102" s="240"/>
      <c r="R102" s="248"/>
      <c r="S102" s="248"/>
      <c r="T102" s="248"/>
    </row>
    <row r="103" spans="1:20" ht="24" x14ac:dyDescent="0.2">
      <c r="A103" s="20" t="s">
        <v>188</v>
      </c>
      <c r="B103" s="87" t="s">
        <v>189</v>
      </c>
      <c r="C103" s="37" t="s">
        <v>19</v>
      </c>
      <c r="D103" s="76">
        <v>41</v>
      </c>
      <c r="E103" s="77">
        <v>25000</v>
      </c>
      <c r="F103" s="248">
        <f>Tabla3[[#This Row],[VALOR UNITARIO ]]*Tabla3[[#This Row],[CANTIDAD ]]</f>
        <v>1025000</v>
      </c>
      <c r="G103" s="264">
        <v>0</v>
      </c>
      <c r="H103" s="265">
        <f>Tabla3[[#This Row],[VALOR UNITARIO]]*Tabla3[[#This Row],[CANTIDAD ]]</f>
        <v>0</v>
      </c>
      <c r="I103" s="248"/>
      <c r="J103" s="248"/>
      <c r="K103" s="248"/>
      <c r="L103" s="248"/>
      <c r="M103" s="248"/>
      <c r="N103" s="248"/>
      <c r="O103" s="248"/>
      <c r="P103" s="240"/>
      <c r="R103" s="277">
        <f>MAX(Tabla3[[#This Row],[VALOR TOTAL]],Tabla3[[#This Row],[VALOR TOTAL ]])</f>
        <v>1025000</v>
      </c>
      <c r="S103" s="277">
        <f>MIN(Tabla3[[#This Row],[VALOR TOTAL ]],Tabla3[[#This Row],[VALOR TOTAL]])</f>
        <v>0</v>
      </c>
      <c r="T103" s="277">
        <f>AVERAGE(Tabla3[[#This Row],[VALOR TOTAL ]:[VALOR TOTAL]])</f>
        <v>341666.66666666669</v>
      </c>
    </row>
    <row r="104" spans="1:20" ht="24" x14ac:dyDescent="0.2">
      <c r="A104" s="65" t="s">
        <v>190</v>
      </c>
      <c r="B104" s="24" t="s">
        <v>191</v>
      </c>
      <c r="C104" s="22" t="s">
        <v>19</v>
      </c>
      <c r="D104" s="61">
        <v>41</v>
      </c>
      <c r="E104" s="62">
        <v>35000</v>
      </c>
      <c r="F104" s="248">
        <f>Tabla3[[#This Row],[VALOR UNITARIO ]]*Tabla3[[#This Row],[CANTIDAD ]]</f>
        <v>1435000</v>
      </c>
      <c r="G104" s="39">
        <v>3731</v>
      </c>
      <c r="H104" s="248">
        <f>Tabla3[[#This Row],[VALOR UNITARIO]]*Tabla3[[#This Row],[CANTIDAD ]]</f>
        <v>152971</v>
      </c>
      <c r="I104" s="248"/>
      <c r="J104" s="248"/>
      <c r="K104" s="248"/>
      <c r="L104" s="248"/>
      <c r="M104" s="248"/>
      <c r="N104" s="248"/>
      <c r="O104" s="248"/>
      <c r="P104" s="240"/>
      <c r="R104" s="62">
        <f>MAX(Tabla3[[#This Row],[VALOR TOTAL]],Tabla3[[#This Row],[VALOR TOTAL ]])</f>
        <v>1435000</v>
      </c>
      <c r="S104" s="62">
        <f>MIN(Tabla3[[#This Row],[VALOR TOTAL ]],Tabla3[[#This Row],[VALOR TOTAL]])</f>
        <v>152971</v>
      </c>
      <c r="T104" s="62">
        <f>AVERAGE(Tabla3[[#This Row],[VALOR TOTAL ]:[VALOR TOTAL]])</f>
        <v>530567.33333333337</v>
      </c>
    </row>
    <row r="105" spans="1:20" ht="24" x14ac:dyDescent="0.2">
      <c r="A105" s="20" t="s">
        <v>192</v>
      </c>
      <c r="B105" s="40" t="s">
        <v>193</v>
      </c>
      <c r="C105" s="41" t="s">
        <v>19</v>
      </c>
      <c r="D105" s="61">
        <v>41</v>
      </c>
      <c r="E105" s="62">
        <v>65000</v>
      </c>
      <c r="F105" s="248">
        <f>Tabla3[[#This Row],[VALOR UNITARIO ]]*Tabla3[[#This Row],[CANTIDAD ]]</f>
        <v>2665000</v>
      </c>
      <c r="G105" s="39">
        <v>20000</v>
      </c>
      <c r="H105" s="248">
        <f>Tabla3[[#This Row],[VALOR UNITARIO]]*Tabla3[[#This Row],[CANTIDAD ]]</f>
        <v>820000</v>
      </c>
      <c r="I105" s="248"/>
      <c r="J105" s="248"/>
      <c r="K105" s="248"/>
      <c r="L105" s="248"/>
      <c r="M105" s="248"/>
      <c r="N105" s="248"/>
      <c r="O105" s="248"/>
      <c r="P105" s="240"/>
      <c r="R105" s="62">
        <f>MAX(Tabla3[[#This Row],[VALOR TOTAL]],Tabla3[[#This Row],[VALOR TOTAL ]])</f>
        <v>2665000</v>
      </c>
      <c r="S105" s="62">
        <f>MIN(Tabla3[[#This Row],[VALOR TOTAL ]],Tabla3[[#This Row],[VALOR TOTAL]])</f>
        <v>820000</v>
      </c>
      <c r="T105" s="62">
        <f>AVERAGE(Tabla3[[#This Row],[VALOR TOTAL ]:[VALOR TOTAL]])</f>
        <v>1168333.3333333333</v>
      </c>
    </row>
    <row r="106" spans="1:20" x14ac:dyDescent="0.2">
      <c r="A106" s="88" t="s">
        <v>194</v>
      </c>
      <c r="B106" s="82" t="s">
        <v>195</v>
      </c>
      <c r="C106" s="83" t="s">
        <v>19</v>
      </c>
      <c r="D106" s="68">
        <v>41</v>
      </c>
      <c r="E106" s="69">
        <v>7000</v>
      </c>
      <c r="F106" s="248">
        <f>Tabla3[[#This Row],[VALOR UNITARIO ]]*Tabla3[[#This Row],[CANTIDAD ]]</f>
        <v>287000</v>
      </c>
      <c r="G106" s="39">
        <v>4200</v>
      </c>
      <c r="H106" s="248">
        <f>Tabla3[[#This Row],[VALOR UNITARIO]]*Tabla3[[#This Row],[CANTIDAD ]]</f>
        <v>172200</v>
      </c>
      <c r="I106" s="248"/>
      <c r="J106" s="248"/>
      <c r="K106" s="248"/>
      <c r="L106" s="248"/>
      <c r="M106" s="248"/>
      <c r="N106" s="248"/>
      <c r="O106" s="248"/>
      <c r="P106" s="240"/>
      <c r="R106" s="62">
        <f>MAX(Tabla3[[#This Row],[VALOR TOTAL]],Tabla3[[#This Row],[VALOR TOTAL ]])</f>
        <v>287000</v>
      </c>
      <c r="S106" s="62">
        <f>MIN(Tabla3[[#This Row],[VALOR TOTAL ]],Tabla3[[#This Row],[VALOR TOTAL]])</f>
        <v>172200</v>
      </c>
      <c r="T106" s="62">
        <f>AVERAGE(Tabla3[[#This Row],[VALOR TOTAL ]:[VALOR TOTAL]])</f>
        <v>154466.66666666666</v>
      </c>
    </row>
    <row r="107" spans="1:20" x14ac:dyDescent="0.2">
      <c r="A107" s="89"/>
      <c r="B107" s="90"/>
      <c r="C107" s="91" t="s">
        <v>196</v>
      </c>
      <c r="D107" s="92"/>
      <c r="F107" s="258">
        <f>SUM(F10:F106)</f>
        <v>574228316</v>
      </c>
      <c r="G107" s="240"/>
      <c r="H107" s="254">
        <f>SUM(H10:H106)</f>
        <v>391055731.41400003</v>
      </c>
      <c r="I107" s="270"/>
      <c r="P107" s="240"/>
      <c r="R107" s="254"/>
      <c r="S107" s="254"/>
      <c r="T107" s="254"/>
    </row>
    <row r="108" spans="1:20" x14ac:dyDescent="0.2">
      <c r="A108" s="93"/>
      <c r="B108" s="94"/>
      <c r="C108" s="95" t="s">
        <v>197</v>
      </c>
      <c r="D108" s="96"/>
      <c r="E108" s="97">
        <v>0.3</v>
      </c>
      <c r="F108" s="255">
        <f>F107*Tabla3[[#This Row],[VALOR UNITARIO ]]</f>
        <v>172268494.79999998</v>
      </c>
      <c r="G108" s="249">
        <v>0.24</v>
      </c>
      <c r="H108" s="255">
        <f>H107*Tabla3[[#This Row],[VALOR UNITARIO]]</f>
        <v>93853375.539360002</v>
      </c>
      <c r="I108" s="271"/>
      <c r="J108" s="249"/>
      <c r="K108" s="249"/>
      <c r="L108" s="249"/>
      <c r="M108" s="249"/>
      <c r="N108" s="249"/>
      <c r="O108" s="249"/>
      <c r="P108" s="240"/>
      <c r="R108" s="255"/>
      <c r="S108" s="255"/>
      <c r="T108" s="255"/>
    </row>
    <row r="109" spans="1:20" x14ac:dyDescent="0.2">
      <c r="A109" s="93"/>
      <c r="B109" s="94"/>
      <c r="C109" s="95" t="s">
        <v>198</v>
      </c>
      <c r="D109" s="96"/>
      <c r="E109" s="97">
        <v>0.02</v>
      </c>
      <c r="F109" s="255">
        <f>F107*Tabla3[[#This Row],[VALOR UNITARIO ]]</f>
        <v>11484566.32</v>
      </c>
      <c r="G109" s="249">
        <v>0.01</v>
      </c>
      <c r="H109" s="255">
        <f>H107*Tabla3[[#This Row],[VALOR UNITARIO]]</f>
        <v>3910557.3141400004</v>
      </c>
      <c r="I109" s="271"/>
      <c r="J109" s="249"/>
      <c r="K109" s="249"/>
      <c r="L109" s="249"/>
      <c r="M109" s="249"/>
      <c r="N109" s="249"/>
      <c r="O109" s="249"/>
      <c r="P109" s="240"/>
      <c r="R109" s="255"/>
      <c r="S109" s="255"/>
      <c r="T109" s="255"/>
    </row>
    <row r="110" spans="1:20" x14ac:dyDescent="0.2">
      <c r="A110" s="93"/>
      <c r="B110" s="94"/>
      <c r="C110" s="95" t="s">
        <v>199</v>
      </c>
      <c r="D110" s="96"/>
      <c r="E110" s="97">
        <v>0.05</v>
      </c>
      <c r="F110" s="255">
        <f>F107*Tabla3[[#This Row],[VALOR UNITARIO ]]</f>
        <v>28711415.800000001</v>
      </c>
      <c r="G110" s="249">
        <v>0.05</v>
      </c>
      <c r="H110" s="255">
        <f>H107*Tabla3[[#This Row],[VALOR UNITARIO]]</f>
        <v>19552786.570700001</v>
      </c>
      <c r="I110" s="271"/>
      <c r="J110" s="249"/>
      <c r="K110" s="249"/>
      <c r="L110" s="249"/>
      <c r="M110" s="249"/>
      <c r="N110" s="249"/>
      <c r="O110" s="249"/>
      <c r="P110" s="240"/>
      <c r="R110" s="255"/>
      <c r="S110" s="255"/>
      <c r="T110" s="255"/>
    </row>
    <row r="111" spans="1:20" x14ac:dyDescent="0.2">
      <c r="A111" s="93"/>
      <c r="B111" s="94"/>
      <c r="C111" s="95" t="s">
        <v>200</v>
      </c>
      <c r="D111" s="96"/>
      <c r="E111" s="97">
        <v>0.19</v>
      </c>
      <c r="F111" s="255">
        <f>F110*Tabla3[[#This Row],[VALOR UNITARIO ]]</f>
        <v>5455169.0020000003</v>
      </c>
      <c r="G111" s="249">
        <v>0.19</v>
      </c>
      <c r="H111" s="255">
        <f>H110*Tabla3[[#This Row],[VALOR UNITARIO]]</f>
        <v>3715029.4484330001</v>
      </c>
      <c r="I111" s="271"/>
      <c r="J111" s="249"/>
      <c r="K111" s="249"/>
      <c r="L111" s="249"/>
      <c r="M111" s="249"/>
      <c r="N111" s="249"/>
      <c r="O111" s="249"/>
      <c r="P111" s="240"/>
      <c r="R111" s="255"/>
      <c r="S111" s="255"/>
      <c r="T111" s="255"/>
    </row>
    <row r="112" spans="1:20" x14ac:dyDescent="0.2">
      <c r="A112" s="98"/>
      <c r="B112" s="99"/>
      <c r="C112" s="91" t="s">
        <v>201</v>
      </c>
      <c r="D112" s="100"/>
      <c r="F112" s="258">
        <f>SUM(F107:F111)</f>
        <v>792147961.92199993</v>
      </c>
      <c r="H112" s="258">
        <f>SUM(H107:H111)</f>
        <v>512087480.28663301</v>
      </c>
      <c r="I112" s="270"/>
      <c r="P112" s="240"/>
      <c r="R112" s="258"/>
      <c r="S112" s="258"/>
      <c r="T112" s="258"/>
    </row>
    <row r="113" spans="1:20" x14ac:dyDescent="0.2">
      <c r="A113" s="101" t="s">
        <v>202</v>
      </c>
      <c r="B113" s="102" t="s">
        <v>203</v>
      </c>
      <c r="C113" s="103"/>
      <c r="D113" s="104"/>
      <c r="F113" s="254"/>
      <c r="H113" s="254">
        <f>Tabla3[[#This Row],[VALOR UNITARIO]]*Tabla3[[#This Row],[CANTIDAD ]]</f>
        <v>0</v>
      </c>
      <c r="I113" s="270"/>
      <c r="P113" s="240"/>
      <c r="R113" s="254"/>
      <c r="S113" s="254"/>
      <c r="T113" s="254"/>
    </row>
    <row r="114" spans="1:20" x14ac:dyDescent="0.2">
      <c r="A114" s="20" t="s">
        <v>204</v>
      </c>
      <c r="B114" s="12" t="s">
        <v>21</v>
      </c>
      <c r="C114" s="17" t="s">
        <v>19</v>
      </c>
      <c r="D114" s="14">
        <v>6</v>
      </c>
      <c r="E114" s="19">
        <v>60000</v>
      </c>
      <c r="F114" s="250">
        <f>Tabla3[[#This Row],[VALOR UNITARIO ]]*Tabla3[[#This Row],[CANTIDAD ]]</f>
        <v>360000</v>
      </c>
      <c r="G114" s="18">
        <v>19500</v>
      </c>
      <c r="H114" s="250">
        <f>Tabla3[[#This Row],[VALOR UNITARIO]]*Tabla3[[#This Row],[CANTIDAD ]]</f>
        <v>117000</v>
      </c>
      <c r="I114" s="250"/>
      <c r="J114" s="250"/>
      <c r="K114" s="250"/>
      <c r="L114" s="250"/>
      <c r="M114" s="250"/>
      <c r="N114" s="250"/>
      <c r="O114" s="250"/>
      <c r="P114" s="240"/>
      <c r="R114" s="19">
        <f>MAX(Tabla3[[#This Row],[VALOR TOTAL]],Tabla3[[#This Row],[VALOR TOTAL ]])</f>
        <v>360000</v>
      </c>
      <c r="S114" s="19">
        <f>MIN(Tabla3[[#This Row],[VALOR TOTAL ]],Tabla3[[#This Row],[VALOR TOTAL]])</f>
        <v>117000</v>
      </c>
      <c r="T114" s="19">
        <f>AVERAGE(Tabla3[[#This Row],[VALOR TOTAL ]:[VALOR TOTAL]])</f>
        <v>165500</v>
      </c>
    </row>
    <row r="115" spans="1:20" x14ac:dyDescent="0.2">
      <c r="A115" s="20" t="s">
        <v>205</v>
      </c>
      <c r="B115" s="12" t="s">
        <v>206</v>
      </c>
      <c r="C115" s="17" t="s">
        <v>19</v>
      </c>
      <c r="D115" s="14">
        <v>6</v>
      </c>
      <c r="E115" s="19">
        <v>90000</v>
      </c>
      <c r="F115" s="250">
        <f>Tabla3[[#This Row],[VALOR UNITARIO ]]*Tabla3[[#This Row],[CANTIDAD ]]</f>
        <v>540000</v>
      </c>
      <c r="G115" s="18">
        <v>3731</v>
      </c>
      <c r="H115" s="250">
        <f>Tabla3[[#This Row],[VALOR UNITARIO]]*Tabla3[[#This Row],[CANTIDAD ]]</f>
        <v>22386</v>
      </c>
      <c r="I115" s="250"/>
      <c r="J115" s="250"/>
      <c r="K115" s="250"/>
      <c r="L115" s="250"/>
      <c r="M115" s="250"/>
      <c r="N115" s="250"/>
      <c r="O115" s="250"/>
      <c r="P115" s="240"/>
      <c r="R115" s="19">
        <f>MAX(Tabla3[[#This Row],[VALOR TOTAL]],Tabla3[[#This Row],[VALOR TOTAL ]])</f>
        <v>540000</v>
      </c>
      <c r="S115" s="19">
        <f>MIN(Tabla3[[#This Row],[VALOR TOTAL ]],Tabla3[[#This Row],[VALOR TOTAL]])</f>
        <v>22386</v>
      </c>
      <c r="T115" s="19">
        <f>AVERAGE(Tabla3[[#This Row],[VALOR TOTAL ]:[VALOR TOTAL]])</f>
        <v>188705.66666666666</v>
      </c>
    </row>
    <row r="116" spans="1:20" ht="24" x14ac:dyDescent="0.2">
      <c r="A116" s="11" t="s">
        <v>207</v>
      </c>
      <c r="B116" s="12" t="s">
        <v>208</v>
      </c>
      <c r="C116" s="17" t="s">
        <v>19</v>
      </c>
      <c r="D116" s="14">
        <v>6</v>
      </c>
      <c r="E116" s="19">
        <v>75000</v>
      </c>
      <c r="F116" s="250">
        <f>Tabla3[[#This Row],[VALOR UNITARIO ]]*Tabla3[[#This Row],[CANTIDAD ]]</f>
        <v>450000</v>
      </c>
      <c r="G116" s="18">
        <v>32500</v>
      </c>
      <c r="H116" s="250">
        <f>Tabla3[[#This Row],[VALOR UNITARIO]]*Tabla3[[#This Row],[CANTIDAD ]]</f>
        <v>195000</v>
      </c>
      <c r="I116" s="250"/>
      <c r="J116" s="250"/>
      <c r="K116" s="250"/>
      <c r="L116" s="250"/>
      <c r="M116" s="250"/>
      <c r="N116" s="250"/>
      <c r="O116" s="250"/>
      <c r="P116" s="240"/>
      <c r="R116" s="19">
        <f>MAX(Tabla3[[#This Row],[VALOR TOTAL]],Tabla3[[#This Row],[VALOR TOTAL ]])</f>
        <v>450000</v>
      </c>
      <c r="S116" s="19">
        <f>MIN(Tabla3[[#This Row],[VALOR TOTAL ]],Tabla3[[#This Row],[VALOR TOTAL]])</f>
        <v>195000</v>
      </c>
      <c r="T116" s="19">
        <f>AVERAGE(Tabla3[[#This Row],[VALOR TOTAL ]:[VALOR TOTAL]])</f>
        <v>225833.33333333334</v>
      </c>
    </row>
    <row r="117" spans="1:20" ht="24" x14ac:dyDescent="0.2">
      <c r="A117" s="20" t="s">
        <v>209</v>
      </c>
      <c r="B117" s="105" t="s">
        <v>76</v>
      </c>
      <c r="C117" s="106" t="s">
        <v>19</v>
      </c>
      <c r="D117" s="14">
        <v>6</v>
      </c>
      <c r="E117" s="245">
        <v>280000</v>
      </c>
      <c r="F117" s="251">
        <f>Tabla3[[#This Row],[VALOR UNITARIO ]]*Tabla3[[#This Row],[CANTIDAD ]]</f>
        <v>1680000</v>
      </c>
      <c r="G117" s="18">
        <v>128700</v>
      </c>
      <c r="H117" s="251">
        <f>Tabla3[[#This Row],[VALOR UNITARIO]]*Tabla3[[#This Row],[CANTIDAD ]]</f>
        <v>772200</v>
      </c>
      <c r="I117" s="251"/>
      <c r="J117" s="251"/>
      <c r="K117" s="251"/>
      <c r="L117" s="251"/>
      <c r="M117" s="251"/>
      <c r="N117" s="251"/>
      <c r="O117" s="251"/>
      <c r="P117" s="240"/>
      <c r="R117" s="245">
        <f>MAX(Tabla3[[#This Row],[VALOR TOTAL]],Tabla3[[#This Row],[VALOR TOTAL ]])</f>
        <v>1680000</v>
      </c>
      <c r="S117" s="245">
        <f>MIN(Tabla3[[#This Row],[VALOR TOTAL ]],Tabla3[[#This Row],[VALOR TOTAL]])</f>
        <v>772200</v>
      </c>
      <c r="T117" s="245">
        <f>AVERAGE(Tabla3[[#This Row],[VALOR TOTAL ]:[VALOR TOTAL]])</f>
        <v>860300</v>
      </c>
    </row>
    <row r="118" spans="1:20" x14ac:dyDescent="0.2">
      <c r="A118" s="11" t="s">
        <v>210</v>
      </c>
      <c r="B118" s="12" t="s">
        <v>211</v>
      </c>
      <c r="C118" s="45" t="s">
        <v>19</v>
      </c>
      <c r="D118" s="14">
        <v>20</v>
      </c>
      <c r="E118" s="19">
        <v>15000</v>
      </c>
      <c r="F118" s="250">
        <f>Tabla3[[#This Row],[VALOR UNITARIO ]]*Tabla3[[#This Row],[CANTIDAD ]]</f>
        <v>300000</v>
      </c>
      <c r="G118" s="18">
        <v>4000</v>
      </c>
      <c r="H118" s="250">
        <f>Tabla3[[#This Row],[VALOR UNITARIO]]*Tabla3[[#This Row],[CANTIDAD ]]</f>
        <v>80000</v>
      </c>
      <c r="I118" s="250"/>
      <c r="J118" s="250"/>
      <c r="K118" s="250"/>
      <c r="L118" s="250"/>
      <c r="M118" s="250"/>
      <c r="N118" s="250"/>
      <c r="O118" s="250"/>
      <c r="P118" s="240"/>
      <c r="R118" s="19">
        <f>MAX(Tabla3[[#This Row],[VALOR TOTAL]],Tabla3[[#This Row],[VALOR TOTAL ]])</f>
        <v>300000</v>
      </c>
      <c r="S118" s="19">
        <f>MIN(Tabla3[[#This Row],[VALOR TOTAL ]],Tabla3[[#This Row],[VALOR TOTAL]])</f>
        <v>80000</v>
      </c>
      <c r="T118" s="19">
        <f>AVERAGE(Tabla3[[#This Row],[VALOR TOTAL ]:[VALOR TOTAL]])</f>
        <v>128000</v>
      </c>
    </row>
    <row r="119" spans="1:20" ht="36" x14ac:dyDescent="0.2">
      <c r="A119" s="20" t="s">
        <v>212</v>
      </c>
      <c r="B119" s="46" t="s">
        <v>86</v>
      </c>
      <c r="C119" s="17" t="s">
        <v>19</v>
      </c>
      <c r="D119" s="14">
        <v>3</v>
      </c>
      <c r="E119" s="19">
        <v>140000</v>
      </c>
      <c r="F119" s="250">
        <f>Tabla3[[#This Row],[VALOR UNITARIO ]]*Tabla3[[#This Row],[CANTIDAD ]]</f>
        <v>420000</v>
      </c>
      <c r="G119" s="18">
        <v>45500</v>
      </c>
      <c r="H119" s="250">
        <f>Tabla3[[#This Row],[VALOR UNITARIO]]*Tabla3[[#This Row],[CANTIDAD ]]</f>
        <v>136500</v>
      </c>
      <c r="I119" s="250"/>
      <c r="J119" s="250"/>
      <c r="K119" s="250"/>
      <c r="L119" s="250"/>
      <c r="M119" s="250"/>
      <c r="N119" s="250"/>
      <c r="O119" s="250"/>
      <c r="P119" s="240"/>
      <c r="R119" s="19">
        <f>MAX(Tabla3[[#This Row],[VALOR TOTAL]],Tabla3[[#This Row],[VALOR TOTAL ]])</f>
        <v>420000</v>
      </c>
      <c r="S119" s="19">
        <f>MIN(Tabla3[[#This Row],[VALOR TOTAL ]],Tabla3[[#This Row],[VALOR TOTAL]])</f>
        <v>136500</v>
      </c>
      <c r="T119" s="19">
        <f>AVERAGE(Tabla3[[#This Row],[VALOR TOTAL ]:[VALOR TOTAL]])</f>
        <v>200666.66666666666</v>
      </c>
    </row>
    <row r="120" spans="1:20" x14ac:dyDescent="0.2">
      <c r="A120" s="11" t="s">
        <v>213</v>
      </c>
      <c r="B120" s="12" t="s">
        <v>88</v>
      </c>
      <c r="C120" s="45" t="s">
        <v>19</v>
      </c>
      <c r="D120" s="14">
        <v>20</v>
      </c>
      <c r="E120" s="19">
        <v>35000</v>
      </c>
      <c r="F120" s="250">
        <f>Tabla3[[#This Row],[VALOR UNITARIO ]]*Tabla3[[#This Row],[CANTIDAD ]]</f>
        <v>700000</v>
      </c>
      <c r="G120" s="18">
        <v>11700</v>
      </c>
      <c r="H120" s="250">
        <f>Tabla3[[#This Row],[VALOR UNITARIO]]*Tabla3[[#This Row],[CANTIDAD ]]</f>
        <v>234000</v>
      </c>
      <c r="I120" s="250"/>
      <c r="J120" s="250"/>
      <c r="K120" s="250"/>
      <c r="L120" s="250"/>
      <c r="M120" s="250"/>
      <c r="N120" s="250"/>
      <c r="O120" s="250"/>
      <c r="P120" s="240"/>
      <c r="R120" s="19">
        <f>MAX(Tabla3[[#This Row],[VALOR TOTAL]],Tabla3[[#This Row],[VALOR TOTAL ]])</f>
        <v>700000</v>
      </c>
      <c r="S120" s="19">
        <f>MIN(Tabla3[[#This Row],[VALOR TOTAL ]],Tabla3[[#This Row],[VALOR TOTAL]])</f>
        <v>234000</v>
      </c>
      <c r="T120" s="19">
        <f>AVERAGE(Tabla3[[#This Row],[VALOR TOTAL ]:[VALOR TOTAL]])</f>
        <v>315233.33333333331</v>
      </c>
    </row>
    <row r="121" spans="1:20" x14ac:dyDescent="0.2">
      <c r="A121" s="20" t="s">
        <v>214</v>
      </c>
      <c r="B121" s="12" t="s">
        <v>98</v>
      </c>
      <c r="C121" s="45" t="s">
        <v>19</v>
      </c>
      <c r="D121" s="14">
        <v>20</v>
      </c>
      <c r="E121" s="19">
        <v>25000</v>
      </c>
      <c r="F121" s="250">
        <f>Tabla3[[#This Row],[VALOR UNITARIO ]]*Tabla3[[#This Row],[CANTIDAD ]]</f>
        <v>500000</v>
      </c>
      <c r="G121" s="18">
        <v>8710</v>
      </c>
      <c r="H121" s="250">
        <f>Tabla3[[#This Row],[VALOR UNITARIO]]*Tabla3[[#This Row],[CANTIDAD ]]</f>
        <v>174200</v>
      </c>
      <c r="I121" s="250"/>
      <c r="J121" s="250"/>
      <c r="K121" s="250"/>
      <c r="L121" s="250"/>
      <c r="M121" s="250"/>
      <c r="N121" s="250"/>
      <c r="O121" s="250"/>
      <c r="P121" s="240"/>
      <c r="R121" s="19">
        <f>MAX(Tabla3[[#This Row],[VALOR TOTAL]],Tabla3[[#This Row],[VALOR TOTAL ]])</f>
        <v>500000</v>
      </c>
      <c r="S121" s="19">
        <f>MIN(Tabla3[[#This Row],[VALOR TOTAL ]],Tabla3[[#This Row],[VALOR TOTAL]])</f>
        <v>174200</v>
      </c>
      <c r="T121" s="19">
        <f>AVERAGE(Tabla3[[#This Row],[VALOR TOTAL ]:[VALOR TOTAL]])</f>
        <v>227636.66666666666</v>
      </c>
    </row>
    <row r="122" spans="1:20" x14ac:dyDescent="0.2">
      <c r="A122" s="17" t="s">
        <v>215</v>
      </c>
      <c r="B122" s="12" t="s">
        <v>92</v>
      </c>
      <c r="C122" s="45" t="s">
        <v>19</v>
      </c>
      <c r="D122" s="14">
        <v>4</v>
      </c>
      <c r="E122" s="19">
        <v>25000</v>
      </c>
      <c r="F122" s="250">
        <f>Tabla3[[#This Row],[VALOR UNITARIO ]]*Tabla3[[#This Row],[CANTIDAD ]]</f>
        <v>100000</v>
      </c>
      <c r="G122" s="18">
        <v>8710</v>
      </c>
      <c r="H122" s="250">
        <f>Tabla3[[#This Row],[VALOR UNITARIO]]*Tabla3[[#This Row],[CANTIDAD ]]</f>
        <v>34840</v>
      </c>
      <c r="I122" s="250"/>
      <c r="J122" s="250"/>
      <c r="K122" s="250"/>
      <c r="L122" s="250"/>
      <c r="M122" s="250"/>
      <c r="N122" s="250"/>
      <c r="O122" s="250"/>
      <c r="P122" s="240"/>
      <c r="R122" s="19">
        <f>MAX(Tabla3[[#This Row],[VALOR TOTAL]],Tabla3[[#This Row],[VALOR TOTAL ]])</f>
        <v>100000</v>
      </c>
      <c r="S122" s="19">
        <f>MIN(Tabla3[[#This Row],[VALOR TOTAL ]],Tabla3[[#This Row],[VALOR TOTAL]])</f>
        <v>34840</v>
      </c>
      <c r="T122" s="19">
        <f>AVERAGE(Tabla3[[#This Row],[VALOR TOTAL ]:[VALOR TOTAL]])</f>
        <v>47850</v>
      </c>
    </row>
    <row r="123" spans="1:20" x14ac:dyDescent="0.2">
      <c r="A123" s="83" t="s">
        <v>216</v>
      </c>
      <c r="B123" s="82" t="s">
        <v>195</v>
      </c>
      <c r="C123" s="17" t="s">
        <v>19</v>
      </c>
      <c r="D123" s="14">
        <v>21</v>
      </c>
      <c r="E123" s="19">
        <v>10000</v>
      </c>
      <c r="F123" s="250">
        <f>Tabla3[[#This Row],[VALOR UNITARIO ]]*Tabla3[[#This Row],[CANTIDAD ]]</f>
        <v>210000</v>
      </c>
      <c r="G123" s="18">
        <v>4200</v>
      </c>
      <c r="H123" s="250">
        <f>Tabla3[[#This Row],[VALOR UNITARIO]]*Tabla3[[#This Row],[CANTIDAD ]]</f>
        <v>88200</v>
      </c>
      <c r="I123" s="250"/>
      <c r="J123" s="250"/>
      <c r="K123" s="250"/>
      <c r="L123" s="250"/>
      <c r="M123" s="250"/>
      <c r="N123" s="250"/>
      <c r="O123" s="250"/>
      <c r="P123" s="240"/>
      <c r="R123" s="19">
        <f>MAX(Tabla3[[#This Row],[VALOR TOTAL]],Tabla3[[#This Row],[VALOR TOTAL ]])</f>
        <v>210000</v>
      </c>
      <c r="S123" s="19">
        <f>MIN(Tabla3[[#This Row],[VALOR TOTAL ]],Tabla3[[#This Row],[VALOR TOTAL]])</f>
        <v>88200</v>
      </c>
      <c r="T123" s="19">
        <f>AVERAGE(Tabla3[[#This Row],[VALOR TOTAL ]:[VALOR TOTAL]])</f>
        <v>100800</v>
      </c>
    </row>
    <row r="124" spans="1:20" x14ac:dyDescent="0.2">
      <c r="A124" s="107"/>
      <c r="B124" s="90"/>
      <c r="C124" s="108" t="s">
        <v>196</v>
      </c>
      <c r="D124" s="109"/>
      <c r="F124" s="258">
        <f>SUM(F114:F123)</f>
        <v>5260000</v>
      </c>
      <c r="H124" s="254">
        <f>SUM(H114:H123)</f>
        <v>1854326</v>
      </c>
      <c r="I124" s="270"/>
      <c r="P124" s="240"/>
      <c r="R124" s="254"/>
      <c r="S124" s="254"/>
      <c r="T124" s="254"/>
    </row>
    <row r="125" spans="1:20" x14ac:dyDescent="0.2">
      <c r="A125" s="110"/>
      <c r="B125" s="94"/>
      <c r="C125" s="95" t="s">
        <v>197</v>
      </c>
      <c r="D125" s="96"/>
      <c r="E125" s="97">
        <v>0.3</v>
      </c>
      <c r="F125" s="255">
        <f>F124*Tabla3[[#This Row],[VALOR UNITARIO ]]</f>
        <v>1578000</v>
      </c>
      <c r="G125" s="249">
        <v>0.24</v>
      </c>
      <c r="H125" s="255">
        <f>H124*Tabla3[[#This Row],[VALOR UNITARIO]]</f>
        <v>445038.24</v>
      </c>
      <c r="I125" s="271"/>
      <c r="J125" s="249"/>
      <c r="K125" s="249"/>
      <c r="L125" s="249"/>
      <c r="M125" s="249"/>
      <c r="N125" s="249"/>
      <c r="O125" s="249"/>
      <c r="P125" s="240"/>
      <c r="R125" s="255"/>
      <c r="S125" s="255"/>
      <c r="T125" s="255"/>
    </row>
    <row r="126" spans="1:20" x14ac:dyDescent="0.2">
      <c r="A126" s="110"/>
      <c r="B126" s="94"/>
      <c r="C126" s="95" t="s">
        <v>198</v>
      </c>
      <c r="D126" s="96"/>
      <c r="E126" s="97">
        <v>0.02</v>
      </c>
      <c r="F126" s="255">
        <f>F124*Tabla3[[#This Row],[VALOR UNITARIO ]]</f>
        <v>105200</v>
      </c>
      <c r="G126" s="249">
        <v>0.01</v>
      </c>
      <c r="H126" s="255">
        <f>H124*Tabla3[[#This Row],[VALOR UNITARIO]]</f>
        <v>18543.260000000002</v>
      </c>
      <c r="I126" s="271"/>
      <c r="J126" s="249"/>
      <c r="K126" s="249"/>
      <c r="L126" s="249"/>
      <c r="M126" s="249"/>
      <c r="N126" s="249"/>
      <c r="O126" s="249"/>
      <c r="P126" s="240"/>
      <c r="R126" s="255"/>
      <c r="S126" s="255"/>
      <c r="T126" s="255"/>
    </row>
    <row r="127" spans="1:20" x14ac:dyDescent="0.2">
      <c r="A127" s="110"/>
      <c r="B127" s="94"/>
      <c r="C127" s="95" t="s">
        <v>199</v>
      </c>
      <c r="D127" s="96"/>
      <c r="E127" s="97">
        <v>0.05</v>
      </c>
      <c r="F127" s="255">
        <f>F124*Tabla3[[#This Row],[VALOR UNITARIO ]]</f>
        <v>263000</v>
      </c>
      <c r="G127" s="249">
        <v>0.05</v>
      </c>
      <c r="H127" s="255">
        <f>H124*Tabla3[[#This Row],[VALOR UNITARIO]]</f>
        <v>92716.3</v>
      </c>
      <c r="I127" s="271"/>
      <c r="J127" s="249"/>
      <c r="K127" s="249"/>
      <c r="L127" s="249"/>
      <c r="M127" s="249"/>
      <c r="N127" s="249"/>
      <c r="O127" s="249"/>
      <c r="P127" s="240"/>
      <c r="R127" s="255"/>
      <c r="S127" s="255"/>
      <c r="T127" s="255"/>
    </row>
    <row r="128" spans="1:20" x14ac:dyDescent="0.2">
      <c r="A128" s="110"/>
      <c r="B128" s="94"/>
      <c r="C128" s="95" t="s">
        <v>200</v>
      </c>
      <c r="D128" s="96"/>
      <c r="E128" s="97">
        <v>0.19</v>
      </c>
      <c r="F128" s="255">
        <f>F127*Tabla3[[#This Row],[VALOR UNITARIO ]]</f>
        <v>49970</v>
      </c>
      <c r="G128" s="249">
        <v>0.19</v>
      </c>
      <c r="H128" s="255">
        <f>H127*Tabla3[[#This Row],[VALOR UNITARIO]]</f>
        <v>17616.097000000002</v>
      </c>
      <c r="I128" s="271"/>
      <c r="J128" s="249"/>
      <c r="K128" s="249"/>
      <c r="L128" s="249"/>
      <c r="M128" s="249"/>
      <c r="N128" s="249"/>
      <c r="O128" s="249"/>
      <c r="P128" s="240"/>
      <c r="R128" s="255"/>
      <c r="S128" s="255"/>
      <c r="T128" s="255"/>
    </row>
    <row r="129" spans="1:20" x14ac:dyDescent="0.2">
      <c r="A129" s="111"/>
      <c r="B129" s="99"/>
      <c r="C129" s="91" t="s">
        <v>201</v>
      </c>
      <c r="D129" s="100"/>
      <c r="F129" s="258">
        <f>SUM(F124:F128)</f>
        <v>7256170</v>
      </c>
      <c r="H129" s="258">
        <f>SUM(H124:H128)</f>
        <v>2428239.8969999999</v>
      </c>
      <c r="I129" s="270"/>
      <c r="P129" s="240"/>
      <c r="R129" s="258"/>
      <c r="S129" s="258"/>
      <c r="T129" s="258"/>
    </row>
    <row r="130" spans="1:20" x14ac:dyDescent="0.2">
      <c r="A130" s="101" t="s">
        <v>217</v>
      </c>
      <c r="B130" s="112" t="s">
        <v>218</v>
      </c>
      <c r="C130" s="113"/>
      <c r="D130" s="113"/>
      <c r="F130" s="254"/>
      <c r="H130" s="254">
        <f>Tabla3[[#This Row],[VALOR UNITARIO]]*Tabla3[[#This Row],[CANTIDAD ]]</f>
        <v>0</v>
      </c>
      <c r="I130" s="270"/>
      <c r="P130" s="240"/>
      <c r="R130" s="254"/>
      <c r="S130" s="254"/>
      <c r="T130" s="254"/>
    </row>
    <row r="131" spans="1:20" x14ac:dyDescent="0.2">
      <c r="A131" s="114" t="s">
        <v>219</v>
      </c>
      <c r="B131" s="115" t="s">
        <v>220</v>
      </c>
      <c r="C131" s="116"/>
      <c r="D131" s="116"/>
      <c r="F131" s="254"/>
      <c r="H131" s="254"/>
      <c r="I131" s="270"/>
      <c r="P131" s="240"/>
      <c r="R131" s="254"/>
      <c r="S131" s="254"/>
      <c r="T131" s="254"/>
    </row>
    <row r="132" spans="1:20" ht="36" x14ac:dyDescent="0.2">
      <c r="A132" s="11" t="s">
        <v>221</v>
      </c>
      <c r="B132" s="12" t="s">
        <v>222</v>
      </c>
      <c r="C132" s="13" t="s">
        <v>14</v>
      </c>
      <c r="D132" s="38">
        <v>47</v>
      </c>
      <c r="E132" s="19">
        <v>135500</v>
      </c>
      <c r="F132" s="250">
        <f>Tabla3[[#This Row],[VALOR UNITARIO ]]*Tabla3[[#This Row],[CANTIDAD ]]</f>
        <v>6368500</v>
      </c>
      <c r="G132" s="266">
        <v>0</v>
      </c>
      <c r="H132" s="250">
        <f>Tabla3[[#This Row],[VALOR UNITARIO]]*Tabla3[[#This Row],[CANTIDAD ]]</f>
        <v>0</v>
      </c>
      <c r="I132" s="250"/>
      <c r="J132" s="250"/>
      <c r="K132" s="250"/>
      <c r="L132" s="250"/>
      <c r="M132" s="250"/>
      <c r="N132" s="250"/>
      <c r="O132" s="250"/>
      <c r="P132" s="240"/>
      <c r="R132" s="19">
        <f>MAX(Tabla3[[#This Row],[VALOR TOTAL]],Tabla3[[#This Row],[VALOR TOTAL ]])</f>
        <v>6368500</v>
      </c>
      <c r="S132" s="19">
        <f>MIN(Tabla3[[#This Row],[VALOR TOTAL ]],Tabla3[[#This Row],[VALOR TOTAL]])</f>
        <v>0</v>
      </c>
      <c r="T132" s="19">
        <f>AVERAGE(Tabla3[[#This Row],[VALOR TOTAL ]:[VALOR TOTAL]])</f>
        <v>2122833.3333333335</v>
      </c>
    </row>
    <row r="133" spans="1:20" ht="24" x14ac:dyDescent="0.2">
      <c r="A133" s="117" t="s">
        <v>223</v>
      </c>
      <c r="B133" s="63" t="s">
        <v>224</v>
      </c>
      <c r="C133" s="17" t="s">
        <v>19</v>
      </c>
      <c r="D133" s="14">
        <v>47</v>
      </c>
      <c r="E133" s="19">
        <v>12500</v>
      </c>
      <c r="F133" s="250">
        <f>Tabla3[[#This Row],[VALOR UNITARIO ]]*Tabla3[[#This Row],[CANTIDAD ]]</f>
        <v>587500</v>
      </c>
      <c r="G133" s="39">
        <v>5000</v>
      </c>
      <c r="H133" s="250">
        <f>Tabla3[[#This Row],[VALOR UNITARIO]]*Tabla3[[#This Row],[CANTIDAD ]]</f>
        <v>235000</v>
      </c>
      <c r="I133" s="250"/>
      <c r="J133" s="250"/>
      <c r="K133" s="250"/>
      <c r="L133" s="250"/>
      <c r="M133" s="250"/>
      <c r="N133" s="250"/>
      <c r="O133" s="250"/>
      <c r="P133" s="240"/>
      <c r="R133" s="19">
        <f>MAX(Tabla3[[#This Row],[VALOR TOTAL]],Tabla3[[#This Row],[VALOR TOTAL ]])</f>
        <v>587500</v>
      </c>
      <c r="S133" s="19">
        <f>MIN(Tabla3[[#This Row],[VALOR TOTAL ]],Tabla3[[#This Row],[VALOR TOTAL]])</f>
        <v>235000</v>
      </c>
      <c r="T133" s="19">
        <f>AVERAGE(Tabla3[[#This Row],[VALOR TOTAL ]:[VALOR TOTAL]])</f>
        <v>275833.33333333331</v>
      </c>
    </row>
    <row r="134" spans="1:20" x14ac:dyDescent="0.2">
      <c r="A134" s="11" t="s">
        <v>225</v>
      </c>
      <c r="B134" s="63" t="s">
        <v>226</v>
      </c>
      <c r="C134" s="17" t="s">
        <v>19</v>
      </c>
      <c r="D134" s="14">
        <v>1037</v>
      </c>
      <c r="E134" s="19">
        <v>17000</v>
      </c>
      <c r="F134" s="250">
        <f>Tabla3[[#This Row],[VALOR UNITARIO ]]*Tabla3[[#This Row],[CANTIDAD ]]</f>
        <v>17629000</v>
      </c>
      <c r="G134" s="39">
        <f>1840*1.3</f>
        <v>2392</v>
      </c>
      <c r="H134" s="250">
        <f>Tabla3[[#This Row],[VALOR UNITARIO]]*Tabla3[[#This Row],[CANTIDAD ]]</f>
        <v>2480504</v>
      </c>
      <c r="I134" s="250"/>
      <c r="J134" s="250"/>
      <c r="K134" s="250"/>
      <c r="L134" s="250"/>
      <c r="M134" s="250"/>
      <c r="N134" s="250"/>
      <c r="O134" s="250"/>
      <c r="P134" s="240"/>
      <c r="R134" s="19">
        <f>MAX(Tabla3[[#This Row],[VALOR TOTAL]],Tabla3[[#This Row],[VALOR TOTAL ]])</f>
        <v>17629000</v>
      </c>
      <c r="S134" s="19">
        <f>MIN(Tabla3[[#This Row],[VALOR TOTAL ]],Tabla3[[#This Row],[VALOR TOTAL]])</f>
        <v>2480504</v>
      </c>
      <c r="T134" s="19">
        <f>AVERAGE(Tabla3[[#This Row],[VALOR TOTAL ]:[VALOR TOTAL]])</f>
        <v>6703965.333333333</v>
      </c>
    </row>
    <row r="135" spans="1:20" ht="24" x14ac:dyDescent="0.2">
      <c r="A135" s="20" t="s">
        <v>227</v>
      </c>
      <c r="B135" s="63" t="s">
        <v>228</v>
      </c>
      <c r="C135" s="17" t="s">
        <v>19</v>
      </c>
      <c r="D135" s="14">
        <v>1234</v>
      </c>
      <c r="E135" s="19">
        <v>14000</v>
      </c>
      <c r="F135" s="250">
        <f>Tabla3[[#This Row],[VALOR UNITARIO ]]*Tabla3[[#This Row],[CANTIDAD ]]</f>
        <v>17276000</v>
      </c>
      <c r="G135" s="39">
        <f>3010*1.3</f>
        <v>3913</v>
      </c>
      <c r="H135" s="250">
        <f>Tabla3[[#This Row],[VALOR UNITARIO]]*Tabla3[[#This Row],[CANTIDAD ]]</f>
        <v>4828642</v>
      </c>
      <c r="I135" s="250"/>
      <c r="J135" s="250"/>
      <c r="K135" s="250"/>
      <c r="L135" s="250"/>
      <c r="M135" s="250"/>
      <c r="N135" s="250"/>
      <c r="O135" s="250"/>
      <c r="P135" s="240"/>
      <c r="R135" s="19">
        <f>MAX(Tabla3[[#This Row],[VALOR TOTAL]],Tabla3[[#This Row],[VALOR TOTAL ]])</f>
        <v>17276000</v>
      </c>
      <c r="S135" s="19">
        <f>MIN(Tabla3[[#This Row],[VALOR TOTAL ]],Tabla3[[#This Row],[VALOR TOTAL]])</f>
        <v>4828642</v>
      </c>
      <c r="T135" s="19">
        <f>AVERAGE(Tabla3[[#This Row],[VALOR TOTAL ]:[VALOR TOTAL]])</f>
        <v>7369518.333333333</v>
      </c>
    </row>
    <row r="136" spans="1:20" ht="24" x14ac:dyDescent="0.2">
      <c r="A136" s="20" t="s">
        <v>229</v>
      </c>
      <c r="B136" s="63" t="s">
        <v>230</v>
      </c>
      <c r="C136" s="17" t="s">
        <v>19</v>
      </c>
      <c r="D136" s="14">
        <v>1037</v>
      </c>
      <c r="E136" s="19">
        <v>45000</v>
      </c>
      <c r="F136" s="250">
        <f>Tabla3[[#This Row],[VALOR UNITARIO ]]*Tabla3[[#This Row],[CANTIDAD ]]</f>
        <v>46665000</v>
      </c>
      <c r="G136" s="266">
        <v>0</v>
      </c>
      <c r="H136" s="250">
        <f>Tabla3[[#This Row],[VALOR UNITARIO]]*Tabla3[[#This Row],[CANTIDAD ]]</f>
        <v>0</v>
      </c>
      <c r="I136" s="250"/>
      <c r="J136" s="250"/>
      <c r="K136" s="250"/>
      <c r="L136" s="250"/>
      <c r="M136" s="250"/>
      <c r="N136" s="250"/>
      <c r="O136" s="250"/>
      <c r="P136" s="240"/>
      <c r="R136" s="19">
        <f>MAX(Tabla3[[#This Row],[VALOR TOTAL]],Tabla3[[#This Row],[VALOR TOTAL ]])</f>
        <v>46665000</v>
      </c>
      <c r="S136" s="19">
        <f>MIN(Tabla3[[#This Row],[VALOR TOTAL ]],Tabla3[[#This Row],[VALOR TOTAL]])</f>
        <v>0</v>
      </c>
      <c r="T136" s="19">
        <f>AVERAGE(Tabla3[[#This Row],[VALOR TOTAL ]:[VALOR TOTAL]])</f>
        <v>15555000</v>
      </c>
    </row>
    <row r="137" spans="1:20" ht="24" x14ac:dyDescent="0.2">
      <c r="A137" s="20" t="s">
        <v>231</v>
      </c>
      <c r="B137" s="82" t="s">
        <v>232</v>
      </c>
      <c r="C137" s="49" t="s">
        <v>14</v>
      </c>
      <c r="D137" s="50">
        <v>117</v>
      </c>
      <c r="E137" s="19">
        <v>38000</v>
      </c>
      <c r="F137" s="250">
        <f>Tabla3[[#This Row],[VALOR UNITARIO ]]*Tabla3[[#This Row],[CANTIDAD ]]</f>
        <v>4446000</v>
      </c>
      <c r="G137" s="39">
        <f>1.3*7890</f>
        <v>10257</v>
      </c>
      <c r="H137" s="250">
        <f>Tabla3[[#This Row],[VALOR UNITARIO]]*Tabla3[[#This Row],[CANTIDAD ]]</f>
        <v>1200069</v>
      </c>
      <c r="I137" s="250"/>
      <c r="J137" s="250"/>
      <c r="K137" s="250"/>
      <c r="L137" s="250"/>
      <c r="M137" s="250"/>
      <c r="N137" s="250"/>
      <c r="O137" s="250"/>
      <c r="P137" s="240"/>
      <c r="R137" s="19">
        <f>MAX(Tabla3[[#This Row],[VALOR TOTAL]],Tabla3[[#This Row],[VALOR TOTAL ]])</f>
        <v>4446000</v>
      </c>
      <c r="S137" s="19">
        <f>MIN(Tabla3[[#This Row],[VALOR TOTAL ]],Tabla3[[#This Row],[VALOR TOTAL]])</f>
        <v>1200069</v>
      </c>
      <c r="T137" s="19">
        <f>AVERAGE(Tabla3[[#This Row],[VALOR TOTAL ]:[VALOR TOTAL]])</f>
        <v>1885442</v>
      </c>
    </row>
    <row r="138" spans="1:20" x14ac:dyDescent="0.2">
      <c r="A138" s="118" t="s">
        <v>233</v>
      </c>
      <c r="B138" s="115" t="s">
        <v>234</v>
      </c>
      <c r="C138" s="79"/>
      <c r="D138" s="36"/>
      <c r="E138" s="19"/>
      <c r="F138" s="250"/>
      <c r="G138" s="119"/>
      <c r="H138" s="250"/>
      <c r="I138" s="250"/>
      <c r="J138" s="250"/>
      <c r="K138" s="250"/>
      <c r="L138" s="250"/>
      <c r="M138" s="250"/>
      <c r="N138" s="250"/>
      <c r="O138" s="250"/>
      <c r="P138" s="240"/>
      <c r="R138" s="250"/>
      <c r="S138" s="250"/>
      <c r="T138" s="250"/>
    </row>
    <row r="139" spans="1:20" x14ac:dyDescent="0.2">
      <c r="A139" s="117" t="s">
        <v>235</v>
      </c>
      <c r="B139" s="87" t="s">
        <v>84</v>
      </c>
      <c r="C139" s="75" t="s">
        <v>19</v>
      </c>
      <c r="D139" s="120">
        <v>179</v>
      </c>
      <c r="E139" s="19">
        <v>9000</v>
      </c>
      <c r="F139" s="250">
        <f>Tabla3[[#This Row],[VALOR UNITARIO ]]*Tabla3[[#This Row],[CANTIDAD ]]</f>
        <v>1611000</v>
      </c>
      <c r="G139" s="39">
        <v>5200</v>
      </c>
      <c r="H139" s="250">
        <f>Tabla3[[#This Row],[VALOR UNITARIO]]*Tabla3[[#This Row],[CANTIDAD ]]</f>
        <v>930800</v>
      </c>
      <c r="I139" s="250"/>
      <c r="J139" s="250"/>
      <c r="K139" s="250"/>
      <c r="L139" s="250"/>
      <c r="M139" s="250"/>
      <c r="N139" s="250"/>
      <c r="O139" s="250"/>
      <c r="P139" s="240"/>
      <c r="R139" s="19">
        <f>MAX(Tabla3[[#This Row],[VALOR TOTAL]],Tabla3[[#This Row],[VALOR TOTAL ]])</f>
        <v>1611000</v>
      </c>
      <c r="S139" s="19">
        <f>MIN(Tabla3[[#This Row],[VALOR TOTAL ]],Tabla3[[#This Row],[VALOR TOTAL]])</f>
        <v>930800</v>
      </c>
      <c r="T139" s="19">
        <f>AVERAGE(Tabla3[[#This Row],[VALOR TOTAL ]:[VALOR TOTAL]])</f>
        <v>849000</v>
      </c>
    </row>
    <row r="140" spans="1:20" ht="36" x14ac:dyDescent="0.2">
      <c r="A140" s="11" t="s">
        <v>236</v>
      </c>
      <c r="B140" s="46" t="s">
        <v>86</v>
      </c>
      <c r="C140" s="45" t="s">
        <v>19</v>
      </c>
      <c r="D140" s="14">
        <v>90</v>
      </c>
      <c r="E140" s="19">
        <v>48000</v>
      </c>
      <c r="F140" s="250">
        <f>Tabla3[[#This Row],[VALOR UNITARIO ]]*Tabla3[[#This Row],[CANTIDAD ]]</f>
        <v>4320000</v>
      </c>
      <c r="G140" s="39">
        <v>45500</v>
      </c>
      <c r="H140" s="250">
        <f>Tabla3[[#This Row],[VALOR UNITARIO]]*Tabla3[[#This Row],[CANTIDAD ]]</f>
        <v>4095000</v>
      </c>
      <c r="I140" s="250"/>
      <c r="J140" s="250"/>
      <c r="K140" s="250"/>
      <c r="L140" s="250"/>
      <c r="M140" s="250"/>
      <c r="N140" s="250"/>
      <c r="O140" s="250"/>
      <c r="P140" s="240"/>
      <c r="R140" s="19">
        <f>MAX(Tabla3[[#This Row],[VALOR TOTAL]],Tabla3[[#This Row],[VALOR TOTAL ]])</f>
        <v>4320000</v>
      </c>
      <c r="S140" s="19">
        <f>MIN(Tabla3[[#This Row],[VALOR TOTAL ]],Tabla3[[#This Row],[VALOR TOTAL]])</f>
        <v>4095000</v>
      </c>
      <c r="T140" s="19">
        <f>AVERAGE(Tabla3[[#This Row],[VALOR TOTAL ]:[VALOR TOTAL]])</f>
        <v>2820166.6666666665</v>
      </c>
    </row>
    <row r="141" spans="1:20" x14ac:dyDescent="0.2">
      <c r="A141" s="45" t="s">
        <v>237</v>
      </c>
      <c r="B141" s="46" t="s">
        <v>88</v>
      </c>
      <c r="C141" s="45" t="s">
        <v>19</v>
      </c>
      <c r="D141" s="14">
        <v>149</v>
      </c>
      <c r="E141" s="19">
        <v>28000</v>
      </c>
      <c r="F141" s="250">
        <f>Tabla3[[#This Row],[VALOR UNITARIO ]]*Tabla3[[#This Row],[CANTIDAD ]]</f>
        <v>4172000</v>
      </c>
      <c r="G141" s="39">
        <v>11700</v>
      </c>
      <c r="H141" s="250">
        <f>Tabla3[[#This Row],[VALOR UNITARIO]]*Tabla3[[#This Row],[CANTIDAD ]]</f>
        <v>1743300</v>
      </c>
      <c r="I141" s="250"/>
      <c r="J141" s="250"/>
      <c r="K141" s="250"/>
      <c r="L141" s="250"/>
      <c r="M141" s="250"/>
      <c r="N141" s="250"/>
      <c r="O141" s="250"/>
      <c r="P141" s="240"/>
      <c r="R141" s="19">
        <f>MAX(Tabla3[[#This Row],[VALOR TOTAL]],Tabla3[[#This Row],[VALOR TOTAL ]])</f>
        <v>4172000</v>
      </c>
      <c r="S141" s="19">
        <f>MIN(Tabla3[[#This Row],[VALOR TOTAL ]],Tabla3[[#This Row],[VALOR TOTAL]])</f>
        <v>1743300</v>
      </c>
      <c r="T141" s="19">
        <f>AVERAGE(Tabla3[[#This Row],[VALOR TOTAL ]:[VALOR TOTAL]])</f>
        <v>1975666.6666666667</v>
      </c>
    </row>
    <row r="142" spans="1:20" x14ac:dyDescent="0.2">
      <c r="A142" s="11" t="s">
        <v>238</v>
      </c>
      <c r="B142" s="40" t="s">
        <v>90</v>
      </c>
      <c r="C142" s="45" t="s">
        <v>19</v>
      </c>
      <c r="D142" s="14">
        <v>298</v>
      </c>
      <c r="E142" s="19">
        <v>19000</v>
      </c>
      <c r="F142" s="250">
        <f>Tabla3[[#This Row],[VALOR UNITARIO ]]*Tabla3[[#This Row],[CANTIDAD ]]</f>
        <v>5662000</v>
      </c>
      <c r="G142" s="39">
        <v>8710</v>
      </c>
      <c r="H142" s="250">
        <f>Tabla3[[#This Row],[VALOR UNITARIO]]*Tabla3[[#This Row],[CANTIDAD ]]</f>
        <v>2595580</v>
      </c>
      <c r="I142" s="250"/>
      <c r="J142" s="250"/>
      <c r="K142" s="250"/>
      <c r="L142" s="250"/>
      <c r="M142" s="250"/>
      <c r="N142" s="250"/>
      <c r="O142" s="250"/>
      <c r="P142" s="240"/>
      <c r="R142" s="19">
        <f>MAX(Tabla3[[#This Row],[VALOR TOTAL]],Tabla3[[#This Row],[VALOR TOTAL ]])</f>
        <v>5662000</v>
      </c>
      <c r="S142" s="19">
        <f>MIN(Tabla3[[#This Row],[VALOR TOTAL ]],Tabla3[[#This Row],[VALOR TOTAL]])</f>
        <v>2595580</v>
      </c>
      <c r="T142" s="19">
        <f>AVERAGE(Tabla3[[#This Row],[VALOR TOTAL ]:[VALOR TOTAL]])</f>
        <v>2755430</v>
      </c>
    </row>
    <row r="143" spans="1:20" x14ac:dyDescent="0.2">
      <c r="A143" s="45" t="s">
        <v>239</v>
      </c>
      <c r="B143" s="46" t="s">
        <v>92</v>
      </c>
      <c r="C143" s="45" t="s">
        <v>19</v>
      </c>
      <c r="D143" s="14">
        <v>60</v>
      </c>
      <c r="E143" s="19">
        <v>18000</v>
      </c>
      <c r="F143" s="250">
        <f>Tabla3[[#This Row],[VALOR UNITARIO ]]*Tabla3[[#This Row],[CANTIDAD ]]</f>
        <v>1080000</v>
      </c>
      <c r="G143" s="39">
        <v>8710</v>
      </c>
      <c r="H143" s="250">
        <f>Tabla3[[#This Row],[VALOR UNITARIO]]*Tabla3[[#This Row],[CANTIDAD ]]</f>
        <v>522600</v>
      </c>
      <c r="I143" s="250"/>
      <c r="J143" s="250"/>
      <c r="K143" s="250"/>
      <c r="L143" s="250"/>
      <c r="M143" s="250"/>
      <c r="N143" s="250"/>
      <c r="O143" s="250"/>
      <c r="P143" s="240"/>
      <c r="R143" s="19">
        <f>MAX(Tabla3[[#This Row],[VALOR TOTAL]],Tabla3[[#This Row],[VALOR TOTAL ]])</f>
        <v>1080000</v>
      </c>
      <c r="S143" s="19">
        <f>MIN(Tabla3[[#This Row],[VALOR TOTAL ]],Tabla3[[#This Row],[VALOR TOTAL]])</f>
        <v>522600</v>
      </c>
      <c r="T143" s="19">
        <f>AVERAGE(Tabla3[[#This Row],[VALOR TOTAL ]:[VALOR TOTAL]])</f>
        <v>537103.33333333337</v>
      </c>
    </row>
    <row r="144" spans="1:20" x14ac:dyDescent="0.2">
      <c r="A144" s="45" t="s">
        <v>240</v>
      </c>
      <c r="B144" s="40" t="s">
        <v>94</v>
      </c>
      <c r="C144" s="45" t="s">
        <v>19</v>
      </c>
      <c r="D144" s="14">
        <v>56</v>
      </c>
      <c r="E144" s="19">
        <v>17000</v>
      </c>
      <c r="F144" s="250">
        <f>Tabla3[[#This Row],[VALOR UNITARIO ]]*Tabla3[[#This Row],[CANTIDAD ]]</f>
        <v>952000</v>
      </c>
      <c r="G144" s="39">
        <v>8710</v>
      </c>
      <c r="H144" s="250">
        <f>Tabla3[[#This Row],[VALOR UNITARIO]]*Tabla3[[#This Row],[CANTIDAD ]]</f>
        <v>487760</v>
      </c>
      <c r="I144" s="250"/>
      <c r="J144" s="250"/>
      <c r="K144" s="250"/>
      <c r="L144" s="250"/>
      <c r="M144" s="250"/>
      <c r="N144" s="250"/>
      <c r="O144" s="250"/>
      <c r="P144" s="240"/>
      <c r="R144" s="19">
        <f>MAX(Tabla3[[#This Row],[VALOR TOTAL]],Tabla3[[#This Row],[VALOR TOTAL ]])</f>
        <v>952000</v>
      </c>
      <c r="S144" s="19">
        <f>MIN(Tabla3[[#This Row],[VALOR TOTAL ]],Tabla3[[#This Row],[VALOR TOTAL]])</f>
        <v>487760</v>
      </c>
      <c r="T144" s="19">
        <f>AVERAGE(Tabla3[[#This Row],[VALOR TOTAL ]:[VALOR TOTAL]])</f>
        <v>482823.33333333331</v>
      </c>
    </row>
    <row r="145" spans="1:20" x14ac:dyDescent="0.2">
      <c r="A145" s="45" t="s">
        <v>241</v>
      </c>
      <c r="B145" s="40" t="s">
        <v>84</v>
      </c>
      <c r="C145" s="45" t="s">
        <v>14</v>
      </c>
      <c r="D145" s="14">
        <v>149</v>
      </c>
      <c r="E145" s="19">
        <v>5400</v>
      </c>
      <c r="F145" s="250">
        <f>Tabla3[[#This Row],[VALOR UNITARIO ]]*Tabla3[[#This Row],[CANTIDAD ]]</f>
        <v>804600</v>
      </c>
      <c r="G145" s="39">
        <v>5200</v>
      </c>
      <c r="H145" s="250">
        <f>Tabla3[[#This Row],[VALOR UNITARIO]]*Tabla3[[#This Row],[CANTIDAD ]]</f>
        <v>774800</v>
      </c>
      <c r="I145" s="250"/>
      <c r="J145" s="250"/>
      <c r="K145" s="250"/>
      <c r="L145" s="250"/>
      <c r="M145" s="250"/>
      <c r="N145" s="250"/>
      <c r="O145" s="250"/>
      <c r="P145" s="240"/>
      <c r="R145" s="19">
        <f>MAX(Tabla3[[#This Row],[VALOR TOTAL]],Tabla3[[#This Row],[VALOR TOTAL ]])</f>
        <v>804600</v>
      </c>
      <c r="S145" s="19">
        <f>MIN(Tabla3[[#This Row],[VALOR TOTAL ]],Tabla3[[#This Row],[VALOR TOTAL]])</f>
        <v>774800</v>
      </c>
      <c r="T145" s="19">
        <f>AVERAGE(Tabla3[[#This Row],[VALOR TOTAL ]:[VALOR TOTAL]])</f>
        <v>528200</v>
      </c>
    </row>
    <row r="146" spans="1:20" ht="36" x14ac:dyDescent="0.2">
      <c r="A146" s="45" t="s">
        <v>242</v>
      </c>
      <c r="B146" s="46" t="s">
        <v>86</v>
      </c>
      <c r="C146" s="45" t="s">
        <v>14</v>
      </c>
      <c r="D146" s="14">
        <v>74</v>
      </c>
      <c r="E146" s="19">
        <v>28800</v>
      </c>
      <c r="F146" s="250">
        <f>Tabla3[[#This Row],[VALOR UNITARIO ]]*Tabla3[[#This Row],[CANTIDAD ]]</f>
        <v>2131200</v>
      </c>
      <c r="G146" s="39">
        <v>6500</v>
      </c>
      <c r="H146" s="250">
        <f>Tabla3[[#This Row],[VALOR UNITARIO]]*Tabla3[[#This Row],[CANTIDAD ]]</f>
        <v>481000</v>
      </c>
      <c r="I146" s="250"/>
      <c r="J146" s="250"/>
      <c r="K146" s="250"/>
      <c r="L146" s="250"/>
      <c r="M146" s="250"/>
      <c r="N146" s="250"/>
      <c r="O146" s="250"/>
      <c r="P146" s="240"/>
      <c r="R146" s="19">
        <f>MAX(Tabla3[[#This Row],[VALOR TOTAL]],Tabla3[[#This Row],[VALOR TOTAL ]])</f>
        <v>2131200</v>
      </c>
      <c r="S146" s="19">
        <f>MIN(Tabla3[[#This Row],[VALOR TOTAL ]],Tabla3[[#This Row],[VALOR TOTAL]])</f>
        <v>481000</v>
      </c>
      <c r="T146" s="19">
        <f>AVERAGE(Tabla3[[#This Row],[VALOR TOTAL ]:[VALOR TOTAL]])</f>
        <v>872900</v>
      </c>
    </row>
    <row r="147" spans="1:20" x14ac:dyDescent="0.2">
      <c r="A147" s="45" t="s">
        <v>243</v>
      </c>
      <c r="B147" s="46" t="s">
        <v>88</v>
      </c>
      <c r="C147" s="45" t="s">
        <v>14</v>
      </c>
      <c r="D147" s="14">
        <v>124</v>
      </c>
      <c r="E147" s="19">
        <v>16800</v>
      </c>
      <c r="F147" s="250">
        <f>Tabla3[[#This Row],[VALOR UNITARIO ]]*Tabla3[[#This Row],[CANTIDAD ]]</f>
        <v>2083200</v>
      </c>
      <c r="G147" s="39">
        <v>11700</v>
      </c>
      <c r="H147" s="250">
        <f>Tabla3[[#This Row],[VALOR UNITARIO]]*Tabla3[[#This Row],[CANTIDAD ]]</f>
        <v>1450800</v>
      </c>
      <c r="I147" s="250"/>
      <c r="J147" s="250"/>
      <c r="K147" s="250"/>
      <c r="L147" s="250"/>
      <c r="M147" s="250"/>
      <c r="N147" s="250"/>
      <c r="O147" s="250"/>
      <c r="P147" s="240"/>
      <c r="R147" s="19">
        <f>MAX(Tabla3[[#This Row],[VALOR TOTAL]],Tabla3[[#This Row],[VALOR TOTAL ]])</f>
        <v>2083200</v>
      </c>
      <c r="S147" s="19">
        <f>MIN(Tabla3[[#This Row],[VALOR TOTAL ]],Tabla3[[#This Row],[VALOR TOTAL]])</f>
        <v>1450800</v>
      </c>
      <c r="T147" s="19">
        <f>AVERAGE(Tabla3[[#This Row],[VALOR TOTAL ]:[VALOR TOTAL]])</f>
        <v>1181900</v>
      </c>
    </row>
    <row r="148" spans="1:20" x14ac:dyDescent="0.2">
      <c r="A148" s="45" t="s">
        <v>244</v>
      </c>
      <c r="B148" s="46" t="s">
        <v>98</v>
      </c>
      <c r="C148" s="45" t="s">
        <v>14</v>
      </c>
      <c r="D148" s="14">
        <v>248</v>
      </c>
      <c r="E148" s="19">
        <v>6120</v>
      </c>
      <c r="F148" s="250">
        <f>Tabla3[[#This Row],[VALOR UNITARIO ]]*Tabla3[[#This Row],[CANTIDAD ]]</f>
        <v>1517760</v>
      </c>
      <c r="G148" s="39">
        <v>5200</v>
      </c>
      <c r="H148" s="250">
        <f>Tabla3[[#This Row],[VALOR UNITARIO]]*Tabla3[[#This Row],[CANTIDAD ]]</f>
        <v>1289600</v>
      </c>
      <c r="I148" s="250"/>
      <c r="J148" s="250"/>
      <c r="K148" s="250"/>
      <c r="L148" s="250"/>
      <c r="M148" s="250"/>
      <c r="N148" s="250"/>
      <c r="O148" s="250"/>
      <c r="P148" s="240"/>
      <c r="R148" s="19">
        <f>MAX(Tabla3[[#This Row],[VALOR TOTAL]],Tabla3[[#This Row],[VALOR TOTAL ]])</f>
        <v>1517760</v>
      </c>
      <c r="S148" s="19">
        <f>MIN(Tabla3[[#This Row],[VALOR TOTAL ]],Tabla3[[#This Row],[VALOR TOTAL]])</f>
        <v>1289600</v>
      </c>
      <c r="T148" s="19">
        <f>AVERAGE(Tabla3[[#This Row],[VALOR TOTAL ]:[VALOR TOTAL]])</f>
        <v>937520</v>
      </c>
    </row>
    <row r="149" spans="1:20" x14ac:dyDescent="0.2">
      <c r="A149" s="45" t="s">
        <v>245</v>
      </c>
      <c r="B149" s="46" t="s">
        <v>92</v>
      </c>
      <c r="C149" s="45" t="s">
        <v>14</v>
      </c>
      <c r="D149" s="14">
        <v>50</v>
      </c>
      <c r="E149" s="19">
        <v>10800</v>
      </c>
      <c r="F149" s="250">
        <f>Tabla3[[#This Row],[VALOR UNITARIO ]]*Tabla3[[#This Row],[CANTIDAD ]]</f>
        <v>540000</v>
      </c>
      <c r="G149" s="39">
        <v>5200</v>
      </c>
      <c r="H149" s="250">
        <f>Tabla3[[#This Row],[VALOR UNITARIO]]*Tabla3[[#This Row],[CANTIDAD ]]</f>
        <v>260000</v>
      </c>
      <c r="I149" s="250"/>
      <c r="J149" s="250"/>
      <c r="K149" s="250"/>
      <c r="L149" s="250"/>
      <c r="M149" s="250"/>
      <c r="N149" s="250"/>
      <c r="O149" s="250"/>
      <c r="P149" s="240"/>
      <c r="R149" s="19">
        <f>MAX(Tabla3[[#This Row],[VALOR TOTAL]],Tabla3[[#This Row],[VALOR TOTAL ]])</f>
        <v>540000</v>
      </c>
      <c r="S149" s="19">
        <f>MIN(Tabla3[[#This Row],[VALOR TOTAL ]],Tabla3[[#This Row],[VALOR TOTAL]])</f>
        <v>260000</v>
      </c>
      <c r="T149" s="19">
        <f>AVERAGE(Tabla3[[#This Row],[VALOR TOTAL ]:[VALOR TOTAL]])</f>
        <v>268400</v>
      </c>
    </row>
    <row r="150" spans="1:20" ht="24" x14ac:dyDescent="0.2">
      <c r="A150" s="45" t="s">
        <v>246</v>
      </c>
      <c r="B150" s="48" t="s">
        <v>247</v>
      </c>
      <c r="C150" s="49" t="s">
        <v>14</v>
      </c>
      <c r="D150" s="50">
        <v>384</v>
      </c>
      <c r="E150" s="19">
        <v>14400</v>
      </c>
      <c r="F150" s="250">
        <f>Tabla3[[#This Row],[VALOR UNITARIO ]]*Tabla3[[#This Row],[CANTIDAD ]]</f>
        <v>5529600</v>
      </c>
      <c r="G150" s="39">
        <v>13000</v>
      </c>
      <c r="H150" s="250">
        <f>Tabla3[[#This Row],[VALOR UNITARIO]]*Tabla3[[#This Row],[CANTIDAD ]]</f>
        <v>4992000</v>
      </c>
      <c r="I150" s="250"/>
      <c r="J150" s="250"/>
      <c r="K150" s="250"/>
      <c r="L150" s="250"/>
      <c r="M150" s="250"/>
      <c r="N150" s="250"/>
      <c r="O150" s="250"/>
      <c r="P150" s="240"/>
      <c r="R150" s="19">
        <f>MAX(Tabla3[[#This Row],[VALOR TOTAL]],Tabla3[[#This Row],[VALOR TOTAL ]])</f>
        <v>5529600</v>
      </c>
      <c r="S150" s="19">
        <f>MIN(Tabla3[[#This Row],[VALOR TOTAL ]],Tabla3[[#This Row],[VALOR TOTAL]])</f>
        <v>4992000</v>
      </c>
      <c r="T150" s="19">
        <f>AVERAGE(Tabla3[[#This Row],[VALOR TOTAL ]:[VALOR TOTAL]])</f>
        <v>3511533.3333333335</v>
      </c>
    </row>
    <row r="151" spans="1:20" ht="24" x14ac:dyDescent="0.2">
      <c r="A151" s="121" t="s">
        <v>248</v>
      </c>
      <c r="B151" s="34" t="s">
        <v>249</v>
      </c>
      <c r="C151" s="22" t="s">
        <v>19</v>
      </c>
      <c r="D151" s="14">
        <v>230</v>
      </c>
      <c r="E151" s="19">
        <v>24000</v>
      </c>
      <c r="F151" s="250">
        <f>Tabla3[[#This Row],[VALOR UNITARIO ]]*Tabla3[[#This Row],[CANTIDAD ]]</f>
        <v>5520000</v>
      </c>
      <c r="G151" s="39">
        <v>13000</v>
      </c>
      <c r="H151" s="250">
        <f>Tabla3[[#This Row],[VALOR UNITARIO]]*Tabla3[[#This Row],[CANTIDAD ]]</f>
        <v>2990000</v>
      </c>
      <c r="I151" s="250"/>
      <c r="J151" s="250"/>
      <c r="K151" s="250"/>
      <c r="L151" s="250"/>
      <c r="M151" s="250"/>
      <c r="N151" s="250"/>
      <c r="O151" s="250"/>
      <c r="P151" s="240"/>
      <c r="R151" s="19">
        <f>MAX(Tabla3[[#This Row],[VALOR TOTAL]],Tabla3[[#This Row],[VALOR TOTAL ]])</f>
        <v>5520000</v>
      </c>
      <c r="S151" s="19">
        <f>MIN(Tabla3[[#This Row],[VALOR TOTAL ]],Tabla3[[#This Row],[VALOR TOTAL]])</f>
        <v>2990000</v>
      </c>
      <c r="T151" s="19">
        <f>AVERAGE(Tabla3[[#This Row],[VALOR TOTAL ]:[VALOR TOTAL]])</f>
        <v>2841000</v>
      </c>
    </row>
    <row r="152" spans="1:20" x14ac:dyDescent="0.2">
      <c r="A152" s="118" t="s">
        <v>250</v>
      </c>
      <c r="B152" s="53" t="s">
        <v>251</v>
      </c>
      <c r="C152" s="54"/>
      <c r="D152" s="36"/>
      <c r="F152" s="254"/>
      <c r="G152" s="39"/>
      <c r="H152" s="254"/>
      <c r="I152" s="270"/>
      <c r="P152" s="240"/>
      <c r="R152" s="254"/>
      <c r="S152" s="254"/>
      <c r="T152" s="254"/>
    </row>
    <row r="153" spans="1:20" ht="24" x14ac:dyDescent="0.2">
      <c r="A153" s="11" t="s">
        <v>252</v>
      </c>
      <c r="B153" s="122" t="s">
        <v>253</v>
      </c>
      <c r="C153" s="86" t="s">
        <v>6</v>
      </c>
      <c r="D153" s="38">
        <v>1</v>
      </c>
      <c r="E153" s="245">
        <v>550000</v>
      </c>
      <c r="F153" s="251">
        <f>Tabla3[[#This Row],[VALOR UNITARIO ]]*Tabla3[[#This Row],[CANTIDAD ]]</f>
        <v>550000</v>
      </c>
      <c r="G153" s="39">
        <v>400000</v>
      </c>
      <c r="H153" s="251">
        <f>Tabla3[[#This Row],[VALOR UNITARIO]]*Tabla3[[#This Row],[CANTIDAD ]]</f>
        <v>400000</v>
      </c>
      <c r="I153" s="251"/>
      <c r="J153" s="251"/>
      <c r="K153" s="251"/>
      <c r="L153" s="251"/>
      <c r="M153" s="251"/>
      <c r="N153" s="251"/>
      <c r="O153" s="251"/>
      <c r="P153" s="240"/>
      <c r="R153" s="245">
        <f>MAX(Tabla3[[#This Row],[VALOR TOTAL]],Tabla3[[#This Row],[VALOR TOTAL ]])</f>
        <v>550000</v>
      </c>
      <c r="S153" s="245">
        <f>MIN(Tabla3[[#This Row],[VALOR TOTAL ]],Tabla3[[#This Row],[VALOR TOTAL]])</f>
        <v>400000</v>
      </c>
      <c r="T153" s="245">
        <f>AVERAGE(Tabla3[[#This Row],[VALOR TOTAL ]:[VALOR TOTAL]])</f>
        <v>450000</v>
      </c>
    </row>
    <row r="154" spans="1:20" ht="24" x14ac:dyDescent="0.2">
      <c r="A154" s="123" t="s">
        <v>254</v>
      </c>
      <c r="B154" s="124" t="s">
        <v>255</v>
      </c>
      <c r="C154" s="67" t="s">
        <v>6</v>
      </c>
      <c r="D154" s="67">
        <v>1</v>
      </c>
      <c r="E154" s="245">
        <v>7500000</v>
      </c>
      <c r="F154" s="251">
        <f>Tabla3[[#This Row],[VALOR UNITARIO ]]*Tabla3[[#This Row],[CANTIDAD ]]</f>
        <v>7500000</v>
      </c>
      <c r="G154" s="39">
        <v>4500000</v>
      </c>
      <c r="H154" s="251">
        <f>Tabla3[[#This Row],[VALOR UNITARIO]]*Tabla3[[#This Row],[CANTIDAD ]]</f>
        <v>4500000</v>
      </c>
      <c r="I154" s="251"/>
      <c r="J154" s="251"/>
      <c r="K154" s="251"/>
      <c r="L154" s="251"/>
      <c r="M154" s="251"/>
      <c r="N154" s="251"/>
      <c r="O154" s="251"/>
      <c r="P154" s="240"/>
      <c r="R154" s="245">
        <f>MAX(Tabla3[[#This Row],[VALOR TOTAL]],Tabla3[[#This Row],[VALOR TOTAL ]])</f>
        <v>7500000</v>
      </c>
      <c r="S154" s="245">
        <f>MIN(Tabla3[[#This Row],[VALOR TOTAL ]],Tabla3[[#This Row],[VALOR TOTAL]])</f>
        <v>4500000</v>
      </c>
      <c r="T154" s="245">
        <f>AVERAGE(Tabla3[[#This Row],[VALOR TOTAL ]:[VALOR TOTAL]])</f>
        <v>5500000</v>
      </c>
    </row>
    <row r="155" spans="1:20" x14ac:dyDescent="0.2">
      <c r="A155" s="118" t="s">
        <v>256</v>
      </c>
      <c r="B155" s="8" t="s">
        <v>257</v>
      </c>
      <c r="C155" s="35"/>
      <c r="D155" s="36"/>
      <c r="F155" s="254"/>
      <c r="G155" s="39"/>
      <c r="H155" s="254"/>
      <c r="I155" s="270"/>
      <c r="P155" s="240"/>
      <c r="R155" s="276"/>
      <c r="S155" s="276"/>
      <c r="T155" s="276"/>
    </row>
    <row r="156" spans="1:20" x14ac:dyDescent="0.2">
      <c r="A156" s="123" t="s">
        <v>258</v>
      </c>
      <c r="B156" s="12" t="s">
        <v>21</v>
      </c>
      <c r="C156" s="13" t="s">
        <v>19</v>
      </c>
      <c r="D156" s="38">
        <v>86</v>
      </c>
      <c r="E156" s="19">
        <v>20000</v>
      </c>
      <c r="F156" s="250">
        <f>Tabla3[[#This Row],[VALOR UNITARIO ]]*Tabla3[[#This Row],[CANTIDAD ]]</f>
        <v>1720000</v>
      </c>
      <c r="G156" s="39">
        <v>19500</v>
      </c>
      <c r="H156" s="250">
        <f>Tabla3[[#This Row],[VALOR UNITARIO]]*Tabla3[[#This Row],[CANTIDAD ]]</f>
        <v>1677000</v>
      </c>
      <c r="I156" s="250"/>
      <c r="J156" s="250"/>
      <c r="K156" s="250"/>
      <c r="L156" s="250"/>
      <c r="M156" s="250"/>
      <c r="N156" s="250"/>
      <c r="O156" s="250"/>
      <c r="P156" s="240"/>
      <c r="R156" s="19">
        <f>MAX(Tabla3[[#This Row],[VALOR TOTAL]],Tabla3[[#This Row],[VALOR TOTAL ]])</f>
        <v>1720000</v>
      </c>
      <c r="S156" s="19">
        <f>MIN(Tabla3[[#This Row],[VALOR TOTAL ]],Tabla3[[#This Row],[VALOR TOTAL]])</f>
        <v>1677000</v>
      </c>
      <c r="T156" s="19">
        <f>AVERAGE(Tabla3[[#This Row],[VALOR TOTAL ]:[VALOR TOTAL]])</f>
        <v>1138833.3333333333</v>
      </c>
    </row>
    <row r="157" spans="1:20" ht="24" x14ac:dyDescent="0.2">
      <c r="A157" s="123" t="s">
        <v>259</v>
      </c>
      <c r="B157" s="24" t="s">
        <v>23</v>
      </c>
      <c r="C157" s="22" t="s">
        <v>19</v>
      </c>
      <c r="D157" s="14">
        <v>86</v>
      </c>
      <c r="E157" s="19">
        <v>35000</v>
      </c>
      <c r="F157" s="250">
        <f>Tabla3[[#This Row],[VALOR UNITARIO ]]*Tabla3[[#This Row],[CANTIDAD ]]</f>
        <v>3010000</v>
      </c>
      <c r="G157" s="39">
        <v>3731</v>
      </c>
      <c r="H157" s="250">
        <f>Tabla3[[#This Row],[VALOR UNITARIO]]*Tabla3[[#This Row],[CANTIDAD ]]</f>
        <v>320866</v>
      </c>
      <c r="I157" s="250"/>
      <c r="J157" s="250"/>
      <c r="K157" s="250"/>
      <c r="L157" s="250"/>
      <c r="M157" s="250"/>
      <c r="N157" s="250"/>
      <c r="O157" s="250"/>
      <c r="P157" s="240"/>
      <c r="R157" s="19">
        <f>MAX(Tabla3[[#This Row],[VALOR TOTAL]],Tabla3[[#This Row],[VALOR TOTAL ]])</f>
        <v>3010000</v>
      </c>
      <c r="S157" s="19">
        <f>MIN(Tabla3[[#This Row],[VALOR TOTAL ]],Tabla3[[#This Row],[VALOR TOTAL]])</f>
        <v>320866</v>
      </c>
      <c r="T157" s="19">
        <f>AVERAGE(Tabla3[[#This Row],[VALOR TOTAL ]:[VALOR TOTAL]])</f>
        <v>1111532.3333333333</v>
      </c>
    </row>
    <row r="158" spans="1:20" ht="36" x14ac:dyDescent="0.2">
      <c r="A158" s="123" t="s">
        <v>260</v>
      </c>
      <c r="B158" s="24" t="s">
        <v>29</v>
      </c>
      <c r="C158" s="22" t="s">
        <v>19</v>
      </c>
      <c r="D158" s="14">
        <v>86</v>
      </c>
      <c r="E158" s="19">
        <v>38000</v>
      </c>
      <c r="F158" s="250">
        <f>Tabla3[[#This Row],[VALOR UNITARIO ]]*Tabla3[[#This Row],[CANTIDAD ]]</f>
        <v>3268000</v>
      </c>
      <c r="G158" s="39">
        <v>32500</v>
      </c>
      <c r="H158" s="250">
        <f>Tabla3[[#This Row],[VALOR UNITARIO]]*Tabla3[[#This Row],[CANTIDAD ]]</f>
        <v>2795000</v>
      </c>
      <c r="I158" s="250"/>
      <c r="J158" s="250"/>
      <c r="K158" s="250"/>
      <c r="L158" s="250"/>
      <c r="M158" s="250"/>
      <c r="N158" s="250"/>
      <c r="O158" s="250"/>
      <c r="P158" s="240"/>
      <c r="R158" s="19">
        <f>MAX(Tabla3[[#This Row],[VALOR TOTAL]],Tabla3[[#This Row],[VALOR TOTAL ]])</f>
        <v>3268000</v>
      </c>
      <c r="S158" s="19">
        <f>MIN(Tabla3[[#This Row],[VALOR TOTAL ]],Tabla3[[#This Row],[VALOR TOTAL]])</f>
        <v>2795000</v>
      </c>
      <c r="T158" s="19">
        <f>AVERAGE(Tabla3[[#This Row],[VALOR TOTAL ]:[VALOR TOTAL]])</f>
        <v>2031833.3333333333</v>
      </c>
    </row>
    <row r="159" spans="1:20" ht="36" x14ac:dyDescent="0.2">
      <c r="A159" s="123" t="s">
        <v>261</v>
      </c>
      <c r="B159" s="34" t="s">
        <v>262</v>
      </c>
      <c r="C159" s="22" t="s">
        <v>19</v>
      </c>
      <c r="D159" s="14">
        <v>86</v>
      </c>
      <c r="E159" s="19">
        <v>280000</v>
      </c>
      <c r="F159" s="250">
        <f>Tabla3[[#This Row],[VALOR UNITARIO ]]*Tabla3[[#This Row],[CANTIDAD ]]</f>
        <v>24080000</v>
      </c>
      <c r="G159" s="39">
        <v>128700</v>
      </c>
      <c r="H159" s="250">
        <f>Tabla3[[#This Row],[VALOR UNITARIO]]*Tabla3[[#This Row],[CANTIDAD ]]</f>
        <v>11068200</v>
      </c>
      <c r="I159" s="250"/>
      <c r="J159" s="250"/>
      <c r="K159" s="250"/>
      <c r="L159" s="250"/>
      <c r="M159" s="250"/>
      <c r="N159" s="250"/>
      <c r="O159" s="250"/>
      <c r="P159" s="240"/>
      <c r="R159" s="19">
        <f>MAX(Tabla3[[#This Row],[VALOR TOTAL]],Tabla3[[#This Row],[VALOR TOTAL ]])</f>
        <v>24080000</v>
      </c>
      <c r="S159" s="19">
        <f>MIN(Tabla3[[#This Row],[VALOR TOTAL ]],Tabla3[[#This Row],[VALOR TOTAL]])</f>
        <v>11068200</v>
      </c>
      <c r="T159" s="19">
        <f>AVERAGE(Tabla3[[#This Row],[VALOR TOTAL ]:[VALOR TOTAL]])</f>
        <v>11758966.666666666</v>
      </c>
    </row>
    <row r="160" spans="1:20" ht="24" x14ac:dyDescent="0.2">
      <c r="A160" s="123" t="s">
        <v>263</v>
      </c>
      <c r="B160" s="63" t="s">
        <v>264</v>
      </c>
      <c r="C160" s="17" t="s">
        <v>19</v>
      </c>
      <c r="D160" s="14">
        <v>1516</v>
      </c>
      <c r="E160" s="19">
        <v>135000</v>
      </c>
      <c r="F160" s="250">
        <f>Tabla3[[#This Row],[VALOR UNITARIO ]]*Tabla3[[#This Row],[CANTIDAD ]]</f>
        <v>204660000</v>
      </c>
      <c r="G160" s="39">
        <v>60000</v>
      </c>
      <c r="H160" s="250">
        <f>Tabla3[[#This Row],[VALOR UNITARIO]]*Tabla3[[#This Row],[CANTIDAD ]]</f>
        <v>90960000</v>
      </c>
      <c r="I160" s="250"/>
      <c r="J160" s="250"/>
      <c r="K160" s="250"/>
      <c r="L160" s="250"/>
      <c r="M160" s="250"/>
      <c r="N160" s="250"/>
      <c r="O160" s="250"/>
      <c r="P160" s="240"/>
      <c r="R160" s="19">
        <f>MAX(Tabla3[[#This Row],[VALOR TOTAL]],Tabla3[[#This Row],[VALOR TOTAL ]])</f>
        <v>204660000</v>
      </c>
      <c r="S160" s="19">
        <f>MIN(Tabla3[[#This Row],[VALOR TOTAL ]],Tabla3[[#This Row],[VALOR TOTAL]])</f>
        <v>90960000</v>
      </c>
      <c r="T160" s="19">
        <f>AVERAGE(Tabla3[[#This Row],[VALOR TOTAL ]:[VALOR TOTAL]])</f>
        <v>98560000</v>
      </c>
    </row>
    <row r="161" spans="1:20" x14ac:dyDescent="0.2">
      <c r="A161" s="118" t="s">
        <v>265</v>
      </c>
      <c r="B161" s="53" t="s">
        <v>101</v>
      </c>
      <c r="C161" s="54"/>
      <c r="D161" s="55"/>
      <c r="F161" s="254"/>
      <c r="G161" s="36"/>
      <c r="H161" s="254"/>
      <c r="I161" s="270"/>
      <c r="P161" s="240"/>
      <c r="R161" s="254"/>
      <c r="S161" s="254"/>
      <c r="T161" s="254"/>
    </row>
    <row r="162" spans="1:20" ht="24" x14ac:dyDescent="0.2">
      <c r="A162" s="123" t="s">
        <v>266</v>
      </c>
      <c r="B162" s="56" t="s">
        <v>103</v>
      </c>
      <c r="C162" s="57" t="s">
        <v>19</v>
      </c>
      <c r="D162" s="38">
        <v>24</v>
      </c>
      <c r="E162" s="19">
        <v>130000</v>
      </c>
      <c r="F162" s="250">
        <f>Tabla3[[#This Row],[VALOR UNITARIO ]]*Tabla3[[#This Row],[CANTIDAD ]]</f>
        <v>3120000</v>
      </c>
      <c r="G162" s="39">
        <v>122971.77200000001</v>
      </c>
      <c r="H162" s="250">
        <f>Tabla3[[#This Row],[VALOR UNITARIO]]*Tabla3[[#This Row],[CANTIDAD ]]</f>
        <v>2951322.5280000004</v>
      </c>
      <c r="I162" s="250"/>
      <c r="J162" s="250"/>
      <c r="K162" s="250"/>
      <c r="L162" s="250"/>
      <c r="M162" s="250"/>
      <c r="N162" s="250"/>
      <c r="O162" s="250"/>
      <c r="P162" s="240"/>
      <c r="R162" s="19">
        <f>MAX(Tabla3[[#This Row],[VALOR TOTAL]],Tabla3[[#This Row],[VALOR TOTAL ]])</f>
        <v>3120000</v>
      </c>
      <c r="S162" s="19">
        <f>MIN(Tabla3[[#This Row],[VALOR TOTAL ]],Tabla3[[#This Row],[VALOR TOTAL]])</f>
        <v>2951322.5280000004</v>
      </c>
      <c r="T162" s="19">
        <f>AVERAGE(Tabla3[[#This Row],[VALOR TOTAL ]:[VALOR TOTAL]])</f>
        <v>2064764.7666666668</v>
      </c>
    </row>
    <row r="163" spans="1:20" x14ac:dyDescent="0.2">
      <c r="A163" s="123" t="s">
        <v>267</v>
      </c>
      <c r="B163" s="58" t="s">
        <v>105</v>
      </c>
      <c r="C163" s="59" t="s">
        <v>14</v>
      </c>
      <c r="D163" s="14">
        <v>15</v>
      </c>
      <c r="E163" s="19">
        <v>50000</v>
      </c>
      <c r="F163" s="250">
        <f>Tabla3[[#This Row],[VALOR UNITARIO ]]*Tabla3[[#This Row],[CANTIDAD ]]</f>
        <v>750000</v>
      </c>
      <c r="G163" s="39">
        <v>111069.57400000001</v>
      </c>
      <c r="H163" s="250">
        <f>Tabla3[[#This Row],[VALOR UNITARIO]]*Tabla3[[#This Row],[CANTIDAD ]]</f>
        <v>1666043.61</v>
      </c>
      <c r="I163" s="250"/>
      <c r="J163" s="250"/>
      <c r="K163" s="250"/>
      <c r="L163" s="250"/>
      <c r="M163" s="250"/>
      <c r="N163" s="250"/>
      <c r="O163" s="250"/>
      <c r="P163" s="240"/>
      <c r="R163" s="19">
        <f>MAX(Tabla3[[#This Row],[VALOR TOTAL]],Tabla3[[#This Row],[VALOR TOTAL ]])</f>
        <v>1666043.61</v>
      </c>
      <c r="S163" s="19">
        <f>MIN(Tabla3[[#This Row],[VALOR TOTAL ]],Tabla3[[#This Row],[VALOR TOTAL]])</f>
        <v>750000</v>
      </c>
      <c r="T163" s="19">
        <f>AVERAGE(Tabla3[[#This Row],[VALOR TOTAL ]:[VALOR TOTAL]])</f>
        <v>842371.06133333349</v>
      </c>
    </row>
    <row r="164" spans="1:20" ht="36" x14ac:dyDescent="0.2">
      <c r="A164" s="123" t="s">
        <v>268</v>
      </c>
      <c r="B164" s="24" t="s">
        <v>107</v>
      </c>
      <c r="C164" s="59" t="s">
        <v>14</v>
      </c>
      <c r="D164" s="14">
        <v>15</v>
      </c>
      <c r="E164" s="19">
        <v>78000</v>
      </c>
      <c r="F164" s="250">
        <f>Tabla3[[#This Row],[VALOR UNITARIO ]]*Tabla3[[#This Row],[CANTIDAD ]]</f>
        <v>1170000</v>
      </c>
      <c r="G164" s="39">
        <v>76011.936000000002</v>
      </c>
      <c r="H164" s="250">
        <f>Tabla3[[#This Row],[VALOR UNITARIO]]*Tabla3[[#This Row],[CANTIDAD ]]</f>
        <v>1140179.04</v>
      </c>
      <c r="I164" s="250"/>
      <c r="J164" s="250"/>
      <c r="K164" s="250"/>
      <c r="L164" s="250"/>
      <c r="M164" s="250"/>
      <c r="N164" s="250"/>
      <c r="O164" s="250"/>
      <c r="P164" s="240"/>
      <c r="R164" s="19">
        <f>MAX(Tabla3[[#This Row],[VALOR TOTAL]],Tabla3[[#This Row],[VALOR TOTAL ]])</f>
        <v>1170000</v>
      </c>
      <c r="S164" s="19">
        <f>MIN(Tabla3[[#This Row],[VALOR TOTAL ]],Tabla3[[#This Row],[VALOR TOTAL]])</f>
        <v>1140179.04</v>
      </c>
      <c r="T164" s="19">
        <f>AVERAGE(Tabla3[[#This Row],[VALOR TOTAL ]:[VALOR TOTAL]])</f>
        <v>795396.99199999997</v>
      </c>
    </row>
    <row r="165" spans="1:20" x14ac:dyDescent="0.2">
      <c r="A165" s="123" t="s">
        <v>269</v>
      </c>
      <c r="B165" s="58" t="s">
        <v>109</v>
      </c>
      <c r="C165" s="59" t="s">
        <v>14</v>
      </c>
      <c r="D165" s="14">
        <v>9.39</v>
      </c>
      <c r="E165" s="19">
        <v>50000</v>
      </c>
      <c r="F165" s="250">
        <f>Tabla3[[#This Row],[VALOR UNITARIO ]]*Tabla3[[#This Row],[CANTIDAD ]]</f>
        <v>469500</v>
      </c>
      <c r="G165" s="39">
        <v>17277</v>
      </c>
      <c r="H165" s="250">
        <f>Tabla3[[#This Row],[VALOR UNITARIO]]*Tabla3[[#This Row],[CANTIDAD ]]</f>
        <v>162231.03</v>
      </c>
      <c r="I165" s="250"/>
      <c r="J165" s="250"/>
      <c r="K165" s="250"/>
      <c r="L165" s="250"/>
      <c r="M165" s="250"/>
      <c r="N165" s="250"/>
      <c r="O165" s="250"/>
      <c r="P165" s="240"/>
      <c r="R165" s="19">
        <f>MAX(Tabla3[[#This Row],[VALOR TOTAL]],Tabla3[[#This Row],[VALOR TOTAL ]])</f>
        <v>469500</v>
      </c>
      <c r="S165" s="19">
        <f>MIN(Tabla3[[#This Row],[VALOR TOTAL ]],Tabla3[[#This Row],[VALOR TOTAL]])</f>
        <v>162231.03</v>
      </c>
      <c r="T165" s="19">
        <f>AVERAGE(Tabla3[[#This Row],[VALOR TOTAL ]:[VALOR TOTAL]])</f>
        <v>216336.01</v>
      </c>
    </row>
    <row r="166" spans="1:20" ht="36" x14ac:dyDescent="0.2">
      <c r="A166" s="123" t="s">
        <v>270</v>
      </c>
      <c r="B166" s="125" t="s">
        <v>111</v>
      </c>
      <c r="C166" s="60" t="s">
        <v>6</v>
      </c>
      <c r="D166" s="61">
        <v>3</v>
      </c>
      <c r="E166" s="19">
        <v>650000</v>
      </c>
      <c r="F166" s="250">
        <f>Tabla3[[#This Row],[VALOR UNITARIO ]]*Tabla3[[#This Row],[CANTIDAD ]]</f>
        <v>1950000</v>
      </c>
      <c r="G166" s="39">
        <v>802118.24000000011</v>
      </c>
      <c r="H166" s="250">
        <f>Tabla3[[#This Row],[VALOR UNITARIO]]*Tabla3[[#This Row],[CANTIDAD ]]</f>
        <v>2406354.7200000002</v>
      </c>
      <c r="I166" s="250"/>
      <c r="J166" s="250"/>
      <c r="K166" s="250"/>
      <c r="L166" s="250"/>
      <c r="M166" s="250"/>
      <c r="N166" s="250"/>
      <c r="O166" s="250"/>
      <c r="P166" s="240"/>
      <c r="R166" s="19">
        <f>MAX(Tabla3[[#This Row],[VALOR TOTAL]],Tabla3[[#This Row],[VALOR TOTAL ]])</f>
        <v>2406354.7200000002</v>
      </c>
      <c r="S166" s="19">
        <f>MIN(Tabla3[[#This Row],[VALOR TOTAL ]],Tabla3[[#This Row],[VALOR TOTAL]])</f>
        <v>1950000</v>
      </c>
      <c r="T166" s="19">
        <f>AVERAGE(Tabla3[[#This Row],[VALOR TOTAL ]:[VALOR TOTAL]])</f>
        <v>1719490.986666667</v>
      </c>
    </row>
    <row r="167" spans="1:20" ht="48" x14ac:dyDescent="0.2">
      <c r="A167" s="123" t="s">
        <v>271</v>
      </c>
      <c r="B167" s="58" t="s">
        <v>117</v>
      </c>
      <c r="C167" s="60" t="s">
        <v>14</v>
      </c>
      <c r="D167" s="61">
        <v>54</v>
      </c>
      <c r="E167" s="19">
        <v>75000</v>
      </c>
      <c r="F167" s="250">
        <f>Tabla3[[#This Row],[VALOR UNITARIO ]]*Tabla3[[#This Row],[CANTIDAD ]]</f>
        <v>4050000</v>
      </c>
      <c r="G167" s="39">
        <v>31265</v>
      </c>
      <c r="H167" s="250">
        <f>Tabla3[[#This Row],[VALOR UNITARIO]]*Tabla3[[#This Row],[CANTIDAD ]]</f>
        <v>1688310</v>
      </c>
      <c r="I167" s="250"/>
      <c r="J167" s="250"/>
      <c r="K167" s="250"/>
      <c r="L167" s="250"/>
      <c r="M167" s="250"/>
      <c r="N167" s="250"/>
      <c r="O167" s="250"/>
      <c r="P167" s="240"/>
      <c r="R167" s="19">
        <f>MAX(Tabla3[[#This Row],[VALOR TOTAL]],Tabla3[[#This Row],[VALOR TOTAL ]])</f>
        <v>4050000</v>
      </c>
      <c r="S167" s="19">
        <f>MIN(Tabla3[[#This Row],[VALOR TOTAL ]],Tabla3[[#This Row],[VALOR TOTAL]])</f>
        <v>1688310</v>
      </c>
      <c r="T167" s="19">
        <f>AVERAGE(Tabla3[[#This Row],[VALOR TOTAL ]:[VALOR TOTAL]])</f>
        <v>1923191.6666666667</v>
      </c>
    </row>
    <row r="168" spans="1:20" ht="24" x14ac:dyDescent="0.2">
      <c r="A168" s="11" t="s">
        <v>272</v>
      </c>
      <c r="B168" s="24" t="s">
        <v>119</v>
      </c>
      <c r="C168" s="60" t="s">
        <v>6</v>
      </c>
      <c r="D168" s="61">
        <v>48</v>
      </c>
      <c r="E168" s="19">
        <v>38000</v>
      </c>
      <c r="F168" s="250">
        <f>Tabla3[[#This Row],[VALOR UNITARIO ]]*Tabla3[[#This Row],[CANTIDAD ]]</f>
        <v>1824000</v>
      </c>
      <c r="G168" s="39">
        <v>16263</v>
      </c>
      <c r="H168" s="250">
        <f>Tabla3[[#This Row],[VALOR UNITARIO]]*Tabla3[[#This Row],[CANTIDAD ]]</f>
        <v>780624</v>
      </c>
      <c r="I168" s="250"/>
      <c r="J168" s="250"/>
      <c r="K168" s="250"/>
      <c r="L168" s="250"/>
      <c r="M168" s="250"/>
      <c r="N168" s="250"/>
      <c r="O168" s="250"/>
      <c r="P168" s="240"/>
      <c r="R168" s="19">
        <f>MAX(Tabla3[[#This Row],[VALOR TOTAL]],Tabla3[[#This Row],[VALOR TOTAL ]])</f>
        <v>1824000</v>
      </c>
      <c r="S168" s="19">
        <f>MIN(Tabla3[[#This Row],[VALOR TOTAL ]],Tabla3[[#This Row],[VALOR TOTAL]])</f>
        <v>780624</v>
      </c>
      <c r="T168" s="19">
        <f>AVERAGE(Tabla3[[#This Row],[VALOR TOTAL ]:[VALOR TOTAL]])</f>
        <v>873629</v>
      </c>
    </row>
    <row r="169" spans="1:20" ht="24" x14ac:dyDescent="0.2">
      <c r="A169" s="11" t="s">
        <v>273</v>
      </c>
      <c r="B169" s="58" t="s">
        <v>121</v>
      </c>
      <c r="C169" s="60" t="s">
        <v>14</v>
      </c>
      <c r="D169" s="61">
        <v>375</v>
      </c>
      <c r="E169" s="19">
        <v>10550</v>
      </c>
      <c r="F169" s="250">
        <f>Tabla3[[#This Row],[VALOR UNITARIO ]]*Tabla3[[#This Row],[CANTIDAD ]]</f>
        <v>3956250</v>
      </c>
      <c r="G169" s="39">
        <v>4732</v>
      </c>
      <c r="H169" s="250">
        <f>Tabla3[[#This Row],[VALOR UNITARIO]]*Tabla3[[#This Row],[CANTIDAD ]]</f>
        <v>1774500</v>
      </c>
      <c r="I169" s="250"/>
      <c r="J169" s="250"/>
      <c r="K169" s="250"/>
      <c r="L169" s="250"/>
      <c r="M169" s="250"/>
      <c r="N169" s="250"/>
      <c r="O169" s="250"/>
      <c r="P169" s="240"/>
      <c r="R169" s="19">
        <f>MAX(Tabla3[[#This Row],[VALOR TOTAL]],Tabla3[[#This Row],[VALOR TOTAL ]])</f>
        <v>3956250</v>
      </c>
      <c r="S169" s="19">
        <f>MIN(Tabla3[[#This Row],[VALOR TOTAL ]],Tabla3[[#This Row],[VALOR TOTAL]])</f>
        <v>1774500</v>
      </c>
      <c r="T169" s="19">
        <f>AVERAGE(Tabla3[[#This Row],[VALOR TOTAL ]:[VALOR TOTAL]])</f>
        <v>1911827.3333333333</v>
      </c>
    </row>
    <row r="170" spans="1:20" ht="36" x14ac:dyDescent="0.2">
      <c r="A170" s="11" t="s">
        <v>274</v>
      </c>
      <c r="B170" s="125" t="s">
        <v>123</v>
      </c>
      <c r="C170" s="60" t="s">
        <v>6</v>
      </c>
      <c r="D170" s="61">
        <v>18</v>
      </c>
      <c r="E170" s="19">
        <v>72000</v>
      </c>
      <c r="F170" s="250">
        <f>Tabla3[[#This Row],[VALOR UNITARIO ]]*Tabla3[[#This Row],[CANTIDAD ]]</f>
        <v>1296000</v>
      </c>
      <c r="G170" s="39">
        <v>112086</v>
      </c>
      <c r="H170" s="250">
        <f>Tabla3[[#This Row],[VALOR UNITARIO]]*Tabla3[[#This Row],[CANTIDAD ]]</f>
        <v>2017548</v>
      </c>
      <c r="I170" s="250"/>
      <c r="J170" s="250"/>
      <c r="K170" s="250"/>
      <c r="L170" s="250"/>
      <c r="M170" s="250"/>
      <c r="N170" s="250"/>
      <c r="O170" s="250"/>
      <c r="P170" s="240"/>
      <c r="R170" s="19">
        <f>MAX(Tabla3[[#This Row],[VALOR TOTAL]],Tabla3[[#This Row],[VALOR TOTAL ]])</f>
        <v>2017548</v>
      </c>
      <c r="S170" s="19">
        <f>MIN(Tabla3[[#This Row],[VALOR TOTAL ]],Tabla3[[#This Row],[VALOR TOTAL]])</f>
        <v>1296000</v>
      </c>
      <c r="T170" s="19">
        <f>AVERAGE(Tabla3[[#This Row],[VALOR TOTAL ]:[VALOR TOTAL]])</f>
        <v>1141878</v>
      </c>
    </row>
    <row r="171" spans="1:20" x14ac:dyDescent="0.2">
      <c r="A171" s="11" t="s">
        <v>275</v>
      </c>
      <c r="B171" s="58" t="s">
        <v>125</v>
      </c>
      <c r="C171" s="60" t="s">
        <v>6</v>
      </c>
      <c r="D171" s="61">
        <v>18</v>
      </c>
      <c r="E171" s="19">
        <v>20000</v>
      </c>
      <c r="F171" s="250">
        <f>Tabla3[[#This Row],[VALOR UNITARIO ]]*Tabla3[[#This Row],[CANTIDAD ]]</f>
        <v>360000</v>
      </c>
      <c r="G171" s="39">
        <v>33267</v>
      </c>
      <c r="H171" s="250">
        <f>Tabla3[[#This Row],[VALOR UNITARIO]]*Tabla3[[#This Row],[CANTIDAD ]]</f>
        <v>598806</v>
      </c>
      <c r="I171" s="250"/>
      <c r="J171" s="250"/>
      <c r="K171" s="250"/>
      <c r="L171" s="250"/>
      <c r="M171" s="250"/>
      <c r="N171" s="250"/>
      <c r="O171" s="250"/>
      <c r="P171" s="240"/>
      <c r="R171" s="19">
        <f>MAX(Tabla3[[#This Row],[VALOR TOTAL]],Tabla3[[#This Row],[VALOR TOTAL ]])</f>
        <v>598806</v>
      </c>
      <c r="S171" s="19">
        <f>MIN(Tabla3[[#This Row],[VALOR TOTAL ]],Tabla3[[#This Row],[VALOR TOTAL]])</f>
        <v>360000</v>
      </c>
      <c r="T171" s="19">
        <f>AVERAGE(Tabla3[[#This Row],[VALOR TOTAL ]:[VALOR TOTAL]])</f>
        <v>330691</v>
      </c>
    </row>
    <row r="172" spans="1:20" ht="48" x14ac:dyDescent="0.2">
      <c r="A172" s="11" t="s">
        <v>276</v>
      </c>
      <c r="B172" s="126" t="s">
        <v>127</v>
      </c>
      <c r="C172" s="60" t="s">
        <v>6</v>
      </c>
      <c r="D172" s="61">
        <v>18</v>
      </c>
      <c r="E172" s="19">
        <v>120000</v>
      </c>
      <c r="F172" s="250">
        <f>Tabla3[[#This Row],[VALOR UNITARIO ]]*Tabla3[[#This Row],[CANTIDAD ]]</f>
        <v>2160000</v>
      </c>
      <c r="G172" s="262">
        <v>0</v>
      </c>
      <c r="H172" s="250">
        <f>Tabla3[[#This Row],[VALOR UNITARIO]]*Tabla3[[#This Row],[CANTIDAD ]]</f>
        <v>0</v>
      </c>
      <c r="I172" s="250"/>
      <c r="J172" s="250"/>
      <c r="K172" s="250"/>
      <c r="L172" s="250"/>
      <c r="M172" s="250"/>
      <c r="N172" s="250"/>
      <c r="O172" s="250"/>
      <c r="P172" s="240"/>
      <c r="R172" s="19">
        <f>MAX(Tabla3[[#This Row],[VALOR TOTAL]],Tabla3[[#This Row],[VALOR TOTAL ]])</f>
        <v>2160000</v>
      </c>
      <c r="S172" s="19">
        <f>MIN(Tabla3[[#This Row],[VALOR TOTAL ]],Tabla3[[#This Row],[VALOR TOTAL]])</f>
        <v>0</v>
      </c>
      <c r="T172" s="19">
        <f>AVERAGE(Tabla3[[#This Row],[VALOR TOTAL ]:[VALOR TOTAL]])</f>
        <v>720000</v>
      </c>
    </row>
    <row r="173" spans="1:20" ht="48" x14ac:dyDescent="0.2">
      <c r="A173" s="11" t="s">
        <v>277</v>
      </c>
      <c r="B173" s="127" t="s">
        <v>129</v>
      </c>
      <c r="C173" s="64" t="s">
        <v>6</v>
      </c>
      <c r="D173" s="61">
        <v>18</v>
      </c>
      <c r="E173" s="19">
        <v>115000</v>
      </c>
      <c r="F173" s="250">
        <f>Tabla3[[#This Row],[VALOR UNITARIO ]]*Tabla3[[#This Row],[CANTIDAD ]]</f>
        <v>2070000</v>
      </c>
      <c r="G173" s="262">
        <v>0</v>
      </c>
      <c r="H173" s="250">
        <f>Tabla3[[#This Row],[VALOR UNITARIO]]*Tabla3[[#This Row],[CANTIDAD ]]</f>
        <v>0</v>
      </c>
      <c r="I173" s="250"/>
      <c r="J173" s="250"/>
      <c r="K173" s="250"/>
      <c r="L173" s="250"/>
      <c r="M173" s="250"/>
      <c r="N173" s="250"/>
      <c r="O173" s="250"/>
      <c r="P173" s="240"/>
      <c r="R173" s="19">
        <f>MAX(Tabla3[[#This Row],[VALOR TOTAL]],Tabla3[[#This Row],[VALOR TOTAL ]])</f>
        <v>2070000</v>
      </c>
      <c r="S173" s="19">
        <f>MIN(Tabla3[[#This Row],[VALOR TOTAL ]],Tabla3[[#This Row],[VALOR TOTAL]])</f>
        <v>0</v>
      </c>
      <c r="T173" s="19">
        <f>AVERAGE(Tabla3[[#This Row],[VALOR TOTAL ]:[VALOR TOTAL]])</f>
        <v>690000</v>
      </c>
    </row>
    <row r="174" spans="1:20" ht="24" x14ac:dyDescent="0.2">
      <c r="A174" s="11" t="s">
        <v>278</v>
      </c>
      <c r="B174" s="63" t="s">
        <v>279</v>
      </c>
      <c r="C174" s="64" t="s">
        <v>6</v>
      </c>
      <c r="D174" s="61">
        <v>3</v>
      </c>
      <c r="E174" s="19">
        <v>95000</v>
      </c>
      <c r="F174" s="250">
        <f>Tabla3[[#This Row],[VALOR UNITARIO ]]*Tabla3[[#This Row],[CANTIDAD ]]</f>
        <v>285000</v>
      </c>
      <c r="G174" s="39">
        <v>22000</v>
      </c>
      <c r="H174" s="250">
        <f>Tabla3[[#This Row],[VALOR UNITARIO]]*Tabla3[[#This Row],[CANTIDAD ]]</f>
        <v>66000</v>
      </c>
      <c r="I174" s="250"/>
      <c r="J174" s="250"/>
      <c r="K174" s="250"/>
      <c r="L174" s="250"/>
      <c r="M174" s="250"/>
      <c r="N174" s="250"/>
      <c r="O174" s="250"/>
      <c r="P174" s="240"/>
      <c r="R174" s="19">
        <f>MAX(Tabla3[[#This Row],[VALOR TOTAL]],Tabla3[[#This Row],[VALOR TOTAL ]])</f>
        <v>285000</v>
      </c>
      <c r="S174" s="19">
        <f>MIN(Tabla3[[#This Row],[VALOR TOTAL ]],Tabla3[[#This Row],[VALOR TOTAL]])</f>
        <v>66000</v>
      </c>
      <c r="T174" s="19">
        <f>AVERAGE(Tabla3[[#This Row],[VALOR TOTAL ]:[VALOR TOTAL]])</f>
        <v>124333.33333333333</v>
      </c>
    </row>
    <row r="175" spans="1:20" ht="24" x14ac:dyDescent="0.2">
      <c r="A175" s="11" t="s">
        <v>280</v>
      </c>
      <c r="B175" s="63" t="s">
        <v>133</v>
      </c>
      <c r="C175" s="64" t="s">
        <v>6</v>
      </c>
      <c r="D175" s="61">
        <v>12</v>
      </c>
      <c r="E175" s="19">
        <v>115000</v>
      </c>
      <c r="F175" s="250">
        <f>Tabla3[[#This Row],[VALOR UNITARIO ]]*Tabla3[[#This Row],[CANTIDAD ]]</f>
        <v>1380000</v>
      </c>
      <c r="G175" s="39">
        <f>62150*1.3</f>
        <v>80795</v>
      </c>
      <c r="H175" s="250">
        <f>Tabla3[[#This Row],[VALOR UNITARIO]]*Tabla3[[#This Row],[CANTIDAD ]]</f>
        <v>969540</v>
      </c>
      <c r="I175" s="250"/>
      <c r="J175" s="250"/>
      <c r="K175" s="250"/>
      <c r="L175" s="250"/>
      <c r="M175" s="250"/>
      <c r="N175" s="250"/>
      <c r="O175" s="250"/>
      <c r="P175" s="240"/>
      <c r="R175" s="19">
        <f>MAX(Tabla3[[#This Row],[VALOR TOTAL]],Tabla3[[#This Row],[VALOR TOTAL ]])</f>
        <v>1380000</v>
      </c>
      <c r="S175" s="19">
        <f>MIN(Tabla3[[#This Row],[VALOR TOTAL ]],Tabla3[[#This Row],[VALOR TOTAL]])</f>
        <v>969540</v>
      </c>
      <c r="T175" s="19">
        <f>AVERAGE(Tabla3[[#This Row],[VALOR TOTAL ]:[VALOR TOTAL]])</f>
        <v>810111.66666666663</v>
      </c>
    </row>
    <row r="176" spans="1:20" ht="24" x14ac:dyDescent="0.2">
      <c r="A176" s="11" t="s">
        <v>281</v>
      </c>
      <c r="B176" s="58" t="s">
        <v>135</v>
      </c>
      <c r="C176" s="60" t="s">
        <v>14</v>
      </c>
      <c r="D176" s="61">
        <v>20</v>
      </c>
      <c r="E176" s="19">
        <v>17000</v>
      </c>
      <c r="F176" s="250">
        <f>Tabla3[[#This Row],[VALOR UNITARIO ]]*Tabla3[[#This Row],[CANTIDAD ]]</f>
        <v>340000</v>
      </c>
      <c r="G176" s="39">
        <v>8736</v>
      </c>
      <c r="H176" s="250">
        <f>Tabla3[[#This Row],[VALOR UNITARIO]]*Tabla3[[#This Row],[CANTIDAD ]]</f>
        <v>174720</v>
      </c>
      <c r="I176" s="250"/>
      <c r="J176" s="250"/>
      <c r="K176" s="250"/>
      <c r="L176" s="250"/>
      <c r="M176" s="250"/>
      <c r="N176" s="250"/>
      <c r="O176" s="250"/>
      <c r="P176" s="240"/>
      <c r="R176" s="19">
        <f>MAX(Tabla3[[#This Row],[VALOR TOTAL]],Tabla3[[#This Row],[VALOR TOTAL ]])</f>
        <v>340000</v>
      </c>
      <c r="S176" s="19">
        <f>MIN(Tabla3[[#This Row],[VALOR TOTAL ]],Tabla3[[#This Row],[VALOR TOTAL]])</f>
        <v>174720</v>
      </c>
      <c r="T176" s="19">
        <f>AVERAGE(Tabla3[[#This Row],[VALOR TOTAL ]:[VALOR TOTAL]])</f>
        <v>174485.33333333334</v>
      </c>
    </row>
    <row r="177" spans="1:20" x14ac:dyDescent="0.2">
      <c r="A177" s="11" t="s">
        <v>282</v>
      </c>
      <c r="B177" s="128" t="s">
        <v>137</v>
      </c>
      <c r="C177" s="60" t="s">
        <v>6</v>
      </c>
      <c r="D177" s="61">
        <v>18</v>
      </c>
      <c r="E177" s="19">
        <v>38000</v>
      </c>
      <c r="F177" s="250">
        <f>Tabla3[[#This Row],[VALOR UNITARIO ]]*Tabla3[[#This Row],[CANTIDAD ]]</f>
        <v>684000</v>
      </c>
      <c r="G177" s="39">
        <v>12948</v>
      </c>
      <c r="H177" s="250">
        <f>Tabla3[[#This Row],[VALOR UNITARIO]]*Tabla3[[#This Row],[CANTIDAD ]]</f>
        <v>233064</v>
      </c>
      <c r="I177" s="250"/>
      <c r="J177" s="250"/>
      <c r="K177" s="250"/>
      <c r="L177" s="250"/>
      <c r="M177" s="250"/>
      <c r="N177" s="250"/>
      <c r="O177" s="250"/>
      <c r="P177" s="240"/>
      <c r="R177" s="19">
        <f>MAX(Tabla3[[#This Row],[VALOR TOTAL]],Tabla3[[#This Row],[VALOR TOTAL ]])</f>
        <v>684000</v>
      </c>
      <c r="S177" s="19">
        <f>MIN(Tabla3[[#This Row],[VALOR TOTAL ]],Tabla3[[#This Row],[VALOR TOTAL]])</f>
        <v>233064</v>
      </c>
      <c r="T177" s="19">
        <f>AVERAGE(Tabla3[[#This Row],[VALOR TOTAL ]:[VALOR TOTAL]])</f>
        <v>310004</v>
      </c>
    </row>
    <row r="178" spans="1:20" x14ac:dyDescent="0.2">
      <c r="A178" s="11" t="s">
        <v>283</v>
      </c>
      <c r="B178" s="128" t="s">
        <v>139</v>
      </c>
      <c r="C178" s="60" t="s">
        <v>6</v>
      </c>
      <c r="D178" s="61">
        <v>3</v>
      </c>
      <c r="E178" s="19">
        <v>48000</v>
      </c>
      <c r="F178" s="250">
        <f>Tabla3[[#This Row],[VALOR UNITARIO ]]*Tabla3[[#This Row],[CANTIDAD ]]</f>
        <v>144000</v>
      </c>
      <c r="G178" s="39">
        <v>16848</v>
      </c>
      <c r="H178" s="250">
        <f>Tabla3[[#This Row],[VALOR UNITARIO]]*Tabla3[[#This Row],[CANTIDAD ]]</f>
        <v>50544</v>
      </c>
      <c r="I178" s="250"/>
      <c r="J178" s="250"/>
      <c r="K178" s="250"/>
      <c r="L178" s="250"/>
      <c r="M178" s="250"/>
      <c r="N178" s="250"/>
      <c r="O178" s="250"/>
      <c r="P178" s="240"/>
      <c r="R178" s="19">
        <f>MAX(Tabla3[[#This Row],[VALOR TOTAL]],Tabla3[[#This Row],[VALOR TOTAL ]])</f>
        <v>144000</v>
      </c>
      <c r="S178" s="19">
        <f>MIN(Tabla3[[#This Row],[VALOR TOTAL ]],Tabla3[[#This Row],[VALOR TOTAL]])</f>
        <v>50544</v>
      </c>
      <c r="T178" s="19">
        <f>AVERAGE(Tabla3[[#This Row],[VALOR TOTAL ]:[VALOR TOTAL]])</f>
        <v>70464</v>
      </c>
    </row>
    <row r="179" spans="1:20" ht="24" x14ac:dyDescent="0.2">
      <c r="A179" s="11" t="s">
        <v>284</v>
      </c>
      <c r="B179" s="129" t="s">
        <v>141</v>
      </c>
      <c r="C179" s="130" t="s">
        <v>6</v>
      </c>
      <c r="D179" s="61">
        <v>1</v>
      </c>
      <c r="E179" s="19">
        <v>3500000</v>
      </c>
      <c r="F179" s="250">
        <f>Tabla3[[#This Row],[VALOR UNITARIO ]]*Tabla3[[#This Row],[CANTIDAD ]]</f>
        <v>3500000</v>
      </c>
      <c r="G179" s="39">
        <v>2570460</v>
      </c>
      <c r="H179" s="250">
        <f>Tabla3[[#This Row],[VALOR UNITARIO]]*Tabla3[[#This Row],[CANTIDAD ]]</f>
        <v>2570460</v>
      </c>
      <c r="I179" s="250"/>
      <c r="J179" s="250"/>
      <c r="K179" s="250"/>
      <c r="L179" s="250"/>
      <c r="M179" s="250"/>
      <c r="N179" s="250"/>
      <c r="O179" s="250"/>
      <c r="P179" s="240"/>
      <c r="R179" s="19">
        <f>MAX(Tabla3[[#This Row],[VALOR TOTAL]],Tabla3[[#This Row],[VALOR TOTAL ]])</f>
        <v>3500000</v>
      </c>
      <c r="S179" s="19">
        <f>MIN(Tabla3[[#This Row],[VALOR TOTAL ]],Tabla3[[#This Row],[VALOR TOTAL]])</f>
        <v>2570460</v>
      </c>
      <c r="T179" s="19">
        <f>AVERAGE(Tabla3[[#This Row],[VALOR TOTAL ]:[VALOR TOTAL]])</f>
        <v>2880306.6666666665</v>
      </c>
    </row>
    <row r="180" spans="1:20" ht="24" x14ac:dyDescent="0.2">
      <c r="A180" s="11" t="s">
        <v>285</v>
      </c>
      <c r="B180" s="131" t="s">
        <v>286</v>
      </c>
      <c r="C180" s="130" t="s">
        <v>6</v>
      </c>
      <c r="D180" s="68">
        <v>1</v>
      </c>
      <c r="E180" s="19">
        <v>450000</v>
      </c>
      <c r="F180" s="250">
        <f>Tabla3[[#This Row],[VALOR UNITARIO ]]*Tabla3[[#This Row],[CANTIDAD ]]</f>
        <v>450000</v>
      </c>
      <c r="G180" s="39">
        <f>173460*1.3</f>
        <v>225498</v>
      </c>
      <c r="H180" s="250">
        <f>Tabla3[[#This Row],[VALOR UNITARIO]]*Tabla3[[#This Row],[CANTIDAD ]]</f>
        <v>225498</v>
      </c>
      <c r="I180" s="250"/>
      <c r="J180" s="250"/>
      <c r="K180" s="250"/>
      <c r="L180" s="250"/>
      <c r="M180" s="250"/>
      <c r="N180" s="250"/>
      <c r="O180" s="250"/>
      <c r="P180" s="240"/>
      <c r="R180" s="19">
        <f>MAX(Tabla3[[#This Row],[VALOR TOTAL]],Tabla3[[#This Row],[VALOR TOTAL ]])</f>
        <v>450000</v>
      </c>
      <c r="S180" s="19">
        <f>MIN(Tabla3[[#This Row],[VALOR TOTAL ]],Tabla3[[#This Row],[VALOR TOTAL]])</f>
        <v>225498</v>
      </c>
      <c r="T180" s="19">
        <f>AVERAGE(Tabla3[[#This Row],[VALOR TOTAL ]:[VALOR TOTAL]])</f>
        <v>300332</v>
      </c>
    </row>
    <row r="181" spans="1:20" ht="36" x14ac:dyDescent="0.2">
      <c r="A181" s="52" t="s">
        <v>287</v>
      </c>
      <c r="B181" s="132" t="s">
        <v>288</v>
      </c>
      <c r="C181" s="35"/>
      <c r="D181" s="36"/>
      <c r="F181" s="254"/>
      <c r="G181" s="36"/>
      <c r="H181" s="254"/>
      <c r="I181" s="270"/>
      <c r="P181" s="240"/>
      <c r="R181" s="254"/>
      <c r="S181" s="254"/>
      <c r="T181" s="254"/>
    </row>
    <row r="182" spans="1:20" ht="24" x14ac:dyDescent="0.2">
      <c r="A182" s="11" t="s">
        <v>289</v>
      </c>
      <c r="B182" s="12" t="s">
        <v>290</v>
      </c>
      <c r="C182" s="86" t="s">
        <v>19</v>
      </c>
      <c r="D182" s="38">
        <v>225</v>
      </c>
      <c r="E182" s="19">
        <v>45000</v>
      </c>
      <c r="F182" s="250">
        <f>Tabla3[[#This Row],[VALOR UNITARIO ]]*Tabla3[[#This Row],[CANTIDAD ]]</f>
        <v>10125000</v>
      </c>
      <c r="G182" s="39">
        <v>4000</v>
      </c>
      <c r="H182" s="250">
        <f>Tabla3[[#This Row],[VALOR UNITARIO]]*Tabla3[[#This Row],[CANTIDAD ]]</f>
        <v>900000</v>
      </c>
      <c r="I182" s="250"/>
      <c r="J182" s="250"/>
      <c r="K182" s="250"/>
      <c r="L182" s="250"/>
      <c r="M182" s="250"/>
      <c r="N182" s="250"/>
      <c r="O182" s="250"/>
      <c r="P182" s="240"/>
      <c r="R182" s="19">
        <f>MAX(Tabla3[[#This Row],[VALOR TOTAL]],Tabla3[[#This Row],[VALOR TOTAL ]])</f>
        <v>10125000</v>
      </c>
      <c r="S182" s="19">
        <f>MIN(Tabla3[[#This Row],[VALOR TOTAL ]],Tabla3[[#This Row],[VALOR TOTAL]])</f>
        <v>900000</v>
      </c>
      <c r="T182" s="19">
        <f>AVERAGE(Tabla3[[#This Row],[VALOR TOTAL ]:[VALOR TOTAL]])</f>
        <v>3676333.3333333335</v>
      </c>
    </row>
    <row r="183" spans="1:20" ht="24" x14ac:dyDescent="0.2">
      <c r="A183" s="11" t="s">
        <v>291</v>
      </c>
      <c r="B183" s="58" t="s">
        <v>292</v>
      </c>
      <c r="C183" s="49" t="s">
        <v>19</v>
      </c>
      <c r="D183" s="50">
        <v>225</v>
      </c>
      <c r="E183" s="19">
        <v>35000</v>
      </c>
      <c r="F183" s="250">
        <f>Tabla3[[#This Row],[VALOR UNITARIO ]]*Tabla3[[#This Row],[CANTIDAD ]]</f>
        <v>7875000</v>
      </c>
      <c r="G183" s="39">
        <v>8710</v>
      </c>
      <c r="H183" s="250">
        <f>Tabla3[[#This Row],[VALOR UNITARIO]]*Tabla3[[#This Row],[CANTIDAD ]]</f>
        <v>1959750</v>
      </c>
      <c r="I183" s="250"/>
      <c r="J183" s="250"/>
      <c r="K183" s="250"/>
      <c r="L183" s="250"/>
      <c r="M183" s="250"/>
      <c r="N183" s="250"/>
      <c r="O183" s="250"/>
      <c r="P183" s="240"/>
      <c r="R183" s="19">
        <f>MAX(Tabla3[[#This Row],[VALOR TOTAL]],Tabla3[[#This Row],[VALOR TOTAL ]])</f>
        <v>7875000</v>
      </c>
      <c r="S183" s="19">
        <f>MIN(Tabla3[[#This Row],[VALOR TOTAL ]],Tabla3[[#This Row],[VALOR TOTAL]])</f>
        <v>1959750</v>
      </c>
      <c r="T183" s="19">
        <f>AVERAGE(Tabla3[[#This Row],[VALOR TOTAL ]:[VALOR TOTAL]])</f>
        <v>3281153.3333333335</v>
      </c>
    </row>
    <row r="184" spans="1:20" x14ac:dyDescent="0.2">
      <c r="A184" s="118" t="s">
        <v>293</v>
      </c>
      <c r="B184" s="8" t="s">
        <v>294</v>
      </c>
      <c r="C184" s="35"/>
      <c r="D184" s="36"/>
      <c r="E184" s="19"/>
      <c r="F184" s="250"/>
      <c r="G184" s="36"/>
      <c r="H184" s="250"/>
      <c r="I184" s="250"/>
      <c r="J184" s="250"/>
      <c r="K184" s="250"/>
      <c r="L184" s="250"/>
      <c r="M184" s="250"/>
      <c r="N184" s="250"/>
      <c r="O184" s="250"/>
      <c r="P184" s="240"/>
      <c r="R184" s="250"/>
      <c r="S184" s="250"/>
      <c r="T184" s="250"/>
    </row>
    <row r="185" spans="1:20" ht="36" x14ac:dyDescent="0.2">
      <c r="A185" s="123" t="s">
        <v>295</v>
      </c>
      <c r="B185" s="56" t="s">
        <v>296</v>
      </c>
      <c r="C185" s="86" t="s">
        <v>6</v>
      </c>
      <c r="D185" s="38">
        <v>1</v>
      </c>
      <c r="E185" s="245">
        <v>850000</v>
      </c>
      <c r="F185" s="251">
        <f>Tabla3[[#This Row],[VALOR UNITARIO ]]*Tabla3[[#This Row],[CANTIDAD ]]</f>
        <v>850000</v>
      </c>
      <c r="G185" s="39">
        <v>1000000</v>
      </c>
      <c r="H185" s="251">
        <f>Tabla3[[#This Row],[VALOR UNITARIO]]*Tabla3[[#This Row],[CANTIDAD ]]</f>
        <v>1000000</v>
      </c>
      <c r="I185" s="251"/>
      <c r="J185" s="251"/>
      <c r="K185" s="251"/>
      <c r="L185" s="251"/>
      <c r="M185" s="251"/>
      <c r="N185" s="251"/>
      <c r="O185" s="251"/>
      <c r="P185" s="240"/>
      <c r="R185" s="245">
        <f>MAX(Tabla3[[#This Row],[VALOR TOTAL]],Tabla3[[#This Row],[VALOR TOTAL ]])</f>
        <v>1000000</v>
      </c>
      <c r="S185" s="245">
        <f>MIN(Tabla3[[#This Row],[VALOR TOTAL ]],Tabla3[[#This Row],[VALOR TOTAL]])</f>
        <v>850000</v>
      </c>
      <c r="T185" s="245">
        <f>AVERAGE(Tabla3[[#This Row],[VALOR TOTAL ]:[VALOR TOTAL]])</f>
        <v>950000</v>
      </c>
    </row>
    <row r="186" spans="1:20" ht="24" x14ac:dyDescent="0.2">
      <c r="A186" s="11" t="s">
        <v>297</v>
      </c>
      <c r="B186" s="24" t="s">
        <v>298</v>
      </c>
      <c r="C186" s="22" t="s">
        <v>14</v>
      </c>
      <c r="D186" s="14">
        <v>486.00000000000006</v>
      </c>
      <c r="E186" s="19">
        <v>25000</v>
      </c>
      <c r="F186" s="250">
        <f>Tabla3[[#This Row],[VALOR UNITARIO ]]*Tabla3[[#This Row],[CANTIDAD ]]</f>
        <v>12150000.000000002</v>
      </c>
      <c r="G186" s="39">
        <f>1.3*24010</f>
        <v>31213</v>
      </c>
      <c r="H186" s="250">
        <f>Tabla3[[#This Row],[VALOR UNITARIO]]*Tabla3[[#This Row],[CANTIDAD ]]</f>
        <v>15169518.000000002</v>
      </c>
      <c r="I186" s="250"/>
      <c r="J186" s="250"/>
      <c r="K186" s="250"/>
      <c r="L186" s="250"/>
      <c r="M186" s="250"/>
      <c r="N186" s="250"/>
      <c r="O186" s="250"/>
      <c r="P186" s="240"/>
      <c r="R186" s="19">
        <f>MAX(Tabla3[[#This Row],[VALOR TOTAL]],Tabla3[[#This Row],[VALOR TOTAL ]])</f>
        <v>15169518.000000002</v>
      </c>
      <c r="S186" s="19">
        <f>MIN(Tabla3[[#This Row],[VALOR TOTAL ]],Tabla3[[#This Row],[VALOR TOTAL]])</f>
        <v>12150000.000000002</v>
      </c>
      <c r="T186" s="19">
        <f>AVERAGE(Tabla3[[#This Row],[VALOR TOTAL ]:[VALOR TOTAL]])</f>
        <v>9116910.333333334</v>
      </c>
    </row>
    <row r="187" spans="1:20" x14ac:dyDescent="0.2">
      <c r="A187" s="123" t="s">
        <v>299</v>
      </c>
      <c r="B187" s="24" t="s">
        <v>300</v>
      </c>
      <c r="C187" s="22" t="s">
        <v>6</v>
      </c>
      <c r="D187" s="14">
        <v>6</v>
      </c>
      <c r="E187" s="19">
        <v>50000</v>
      </c>
      <c r="F187" s="250">
        <f>Tabla3[[#This Row],[VALOR UNITARIO ]]*Tabla3[[#This Row],[CANTIDAD ]]</f>
        <v>300000</v>
      </c>
      <c r="G187" s="39">
        <v>41800</v>
      </c>
      <c r="H187" s="250">
        <f>Tabla3[[#This Row],[VALOR UNITARIO]]*Tabla3[[#This Row],[CANTIDAD ]]</f>
        <v>250800</v>
      </c>
      <c r="I187" s="250"/>
      <c r="J187" s="250"/>
      <c r="K187" s="250"/>
      <c r="L187" s="250"/>
      <c r="M187" s="250"/>
      <c r="N187" s="250"/>
      <c r="O187" s="250"/>
      <c r="P187" s="240"/>
      <c r="R187" s="19">
        <f>MAX(Tabla3[[#This Row],[VALOR TOTAL]],Tabla3[[#This Row],[VALOR TOTAL ]])</f>
        <v>300000</v>
      </c>
      <c r="S187" s="19">
        <f>MIN(Tabla3[[#This Row],[VALOR TOTAL ]],Tabla3[[#This Row],[VALOR TOTAL]])</f>
        <v>250800</v>
      </c>
      <c r="T187" s="19">
        <f>AVERAGE(Tabla3[[#This Row],[VALOR TOTAL ]:[VALOR TOTAL]])</f>
        <v>197533.33333333334</v>
      </c>
    </row>
    <row r="188" spans="1:20" x14ac:dyDescent="0.2">
      <c r="A188" s="11" t="s">
        <v>301</v>
      </c>
      <c r="B188" s="24" t="s">
        <v>302</v>
      </c>
      <c r="C188" s="22" t="s">
        <v>6</v>
      </c>
      <c r="D188" s="14">
        <v>6</v>
      </c>
      <c r="E188" s="19">
        <v>500000</v>
      </c>
      <c r="F188" s="250">
        <f>Tabla3[[#This Row],[VALOR UNITARIO ]]*Tabla3[[#This Row],[CANTIDAD ]]</f>
        <v>3000000</v>
      </c>
      <c r="G188" s="39">
        <f>1.3*250000</f>
        <v>325000</v>
      </c>
      <c r="H188" s="250">
        <f>Tabla3[[#This Row],[VALOR UNITARIO]]*Tabla3[[#This Row],[CANTIDAD ]]</f>
        <v>1950000</v>
      </c>
      <c r="I188" s="250"/>
      <c r="J188" s="250"/>
      <c r="K188" s="250"/>
      <c r="L188" s="250"/>
      <c r="M188" s="250"/>
      <c r="N188" s="250"/>
      <c r="O188" s="250"/>
      <c r="P188" s="240"/>
      <c r="R188" s="19">
        <f>MAX(Tabla3[[#This Row],[VALOR TOTAL]],Tabla3[[#This Row],[VALOR TOTAL ]])</f>
        <v>3000000</v>
      </c>
      <c r="S188" s="19">
        <f>MIN(Tabla3[[#This Row],[VALOR TOTAL ]],Tabla3[[#This Row],[VALOR TOTAL]])</f>
        <v>1950000</v>
      </c>
      <c r="T188" s="19">
        <f>AVERAGE(Tabla3[[#This Row],[VALOR TOTAL ]:[VALOR TOTAL]])</f>
        <v>1758333.3333333333</v>
      </c>
    </row>
    <row r="189" spans="1:20" ht="24" x14ac:dyDescent="0.2">
      <c r="A189" s="123" t="s">
        <v>303</v>
      </c>
      <c r="B189" s="63" t="s">
        <v>304</v>
      </c>
      <c r="C189" s="17" t="s">
        <v>14</v>
      </c>
      <c r="D189" s="14">
        <v>3</v>
      </c>
      <c r="E189" s="19">
        <v>40000</v>
      </c>
      <c r="F189" s="250">
        <f>Tabla3[[#This Row],[VALOR UNITARIO ]]*Tabla3[[#This Row],[CANTIDAD ]]</f>
        <v>120000</v>
      </c>
      <c r="G189" s="39">
        <v>36283</v>
      </c>
      <c r="H189" s="250">
        <f>Tabla3[[#This Row],[VALOR UNITARIO]]*Tabla3[[#This Row],[CANTIDAD ]]</f>
        <v>108849</v>
      </c>
      <c r="I189" s="250"/>
      <c r="J189" s="250"/>
      <c r="K189" s="250"/>
      <c r="L189" s="250"/>
      <c r="M189" s="250"/>
      <c r="N189" s="250"/>
      <c r="O189" s="250"/>
      <c r="P189" s="240"/>
      <c r="R189" s="19">
        <f>MAX(Tabla3[[#This Row],[VALOR TOTAL]],Tabla3[[#This Row],[VALOR TOTAL ]])</f>
        <v>120000</v>
      </c>
      <c r="S189" s="19">
        <f>MIN(Tabla3[[#This Row],[VALOR TOTAL ]],Tabla3[[#This Row],[VALOR TOTAL]])</f>
        <v>108849</v>
      </c>
      <c r="T189" s="19">
        <f>AVERAGE(Tabla3[[#This Row],[VALOR TOTAL ]:[VALOR TOTAL]])</f>
        <v>88377.333333333328</v>
      </c>
    </row>
    <row r="190" spans="1:20" x14ac:dyDescent="0.2">
      <c r="A190" s="11" t="s">
        <v>305</v>
      </c>
      <c r="B190" s="48" t="s">
        <v>195</v>
      </c>
      <c r="C190" s="49" t="s">
        <v>19</v>
      </c>
      <c r="D190" s="50">
        <v>1148</v>
      </c>
      <c r="E190" s="19">
        <v>7000</v>
      </c>
      <c r="F190" s="250">
        <f>Tabla3[[#This Row],[VALOR UNITARIO ]]*Tabla3[[#This Row],[CANTIDAD ]]</f>
        <v>8036000</v>
      </c>
      <c r="G190" s="39">
        <v>4200</v>
      </c>
      <c r="H190" s="250">
        <f>Tabla3[[#This Row],[VALOR UNITARIO]]*Tabla3[[#This Row],[CANTIDAD ]]</f>
        <v>4821600</v>
      </c>
      <c r="I190" s="250"/>
      <c r="J190" s="250"/>
      <c r="K190" s="250"/>
      <c r="L190" s="250"/>
      <c r="M190" s="250"/>
      <c r="N190" s="250"/>
      <c r="O190" s="250"/>
      <c r="P190" s="240"/>
      <c r="R190" s="19">
        <f>MAX(Tabla3[[#This Row],[VALOR TOTAL]],Tabla3[[#This Row],[VALOR TOTAL ]])</f>
        <v>8036000</v>
      </c>
      <c r="S190" s="19">
        <f>MIN(Tabla3[[#This Row],[VALOR TOTAL ]],Tabla3[[#This Row],[VALOR TOTAL]])</f>
        <v>4821600</v>
      </c>
      <c r="T190" s="19">
        <f>AVERAGE(Tabla3[[#This Row],[VALOR TOTAL ]:[VALOR TOTAL]])</f>
        <v>4287266.666666667</v>
      </c>
    </row>
    <row r="191" spans="1:20" x14ac:dyDescent="0.2">
      <c r="A191" s="133" t="s">
        <v>306</v>
      </c>
      <c r="B191" s="8" t="s">
        <v>307</v>
      </c>
      <c r="C191" s="35"/>
      <c r="D191" s="36"/>
      <c r="E191" s="19"/>
      <c r="F191" s="250"/>
      <c r="G191" s="36"/>
      <c r="H191" s="250"/>
      <c r="I191" s="250"/>
      <c r="J191" s="250"/>
      <c r="K191" s="250"/>
      <c r="L191" s="250"/>
      <c r="M191" s="250"/>
      <c r="N191" s="250"/>
      <c r="O191" s="250"/>
      <c r="P191" s="240"/>
      <c r="R191" s="19">
        <f>MAX(Tabla3[[#This Row],[VALOR TOTAL]],Tabla3[[#This Row],[VALOR TOTAL ]])</f>
        <v>0</v>
      </c>
      <c r="S191" s="19">
        <f>MIN(Tabla3[[#This Row],[VALOR TOTAL ]],Tabla3[[#This Row],[VALOR TOTAL]])</f>
        <v>0</v>
      </c>
      <c r="T191" s="19" t="e">
        <f>AVERAGE(Tabla3[[#This Row],[VALOR TOTAL ]:[VALOR TOTAL]])</f>
        <v>#DIV/0!</v>
      </c>
    </row>
    <row r="192" spans="1:20" ht="24" x14ac:dyDescent="0.2">
      <c r="A192" s="123" t="s">
        <v>308</v>
      </c>
      <c r="B192" s="56" t="s">
        <v>309</v>
      </c>
      <c r="C192" s="86" t="s">
        <v>19</v>
      </c>
      <c r="D192" s="38">
        <v>175</v>
      </c>
      <c r="E192" s="19">
        <v>12000</v>
      </c>
      <c r="F192" s="250">
        <f>Tabla3[[#This Row],[VALOR UNITARIO ]]*Tabla3[[#This Row],[CANTIDAD ]]</f>
        <v>2100000</v>
      </c>
      <c r="G192" s="39">
        <f>1.3*5420</f>
        <v>7046</v>
      </c>
      <c r="H192" s="250">
        <f>Tabla3[[#This Row],[VALOR UNITARIO]]*Tabla3[[#This Row],[CANTIDAD ]]</f>
        <v>1233050</v>
      </c>
      <c r="I192" s="250"/>
      <c r="J192" s="250"/>
      <c r="K192" s="250"/>
      <c r="L192" s="250"/>
      <c r="M192" s="250"/>
      <c r="N192" s="250"/>
      <c r="O192" s="250"/>
      <c r="P192" s="240"/>
      <c r="R192" s="19">
        <f>MAX(Tabla3[[#This Row],[VALOR TOTAL]],Tabla3[[#This Row],[VALOR TOTAL ]])</f>
        <v>2100000</v>
      </c>
      <c r="S192" s="19">
        <f>MIN(Tabla3[[#This Row],[VALOR TOTAL ]],Tabla3[[#This Row],[VALOR TOTAL]])</f>
        <v>1233050</v>
      </c>
      <c r="T192" s="19">
        <f>AVERAGE(Tabla3[[#This Row],[VALOR TOTAL ]:[VALOR TOTAL]])</f>
        <v>1113365.3333333333</v>
      </c>
    </row>
    <row r="193" spans="1:20" ht="24" x14ac:dyDescent="0.2">
      <c r="A193" s="123" t="s">
        <v>310</v>
      </c>
      <c r="B193" s="63" t="s">
        <v>43</v>
      </c>
      <c r="C193" s="17" t="s">
        <v>6</v>
      </c>
      <c r="D193" s="14">
        <v>16</v>
      </c>
      <c r="E193" s="19">
        <v>66000</v>
      </c>
      <c r="F193" s="250">
        <f>Tabla3[[#This Row],[VALOR UNITARIO ]]*Tabla3[[#This Row],[CANTIDAD ]]</f>
        <v>1056000</v>
      </c>
      <c r="G193" s="261">
        <v>32500</v>
      </c>
      <c r="H193" s="250">
        <f>Tabla3[[#This Row],[VALOR UNITARIO]]*Tabla3[[#This Row],[CANTIDAD ]]</f>
        <v>520000</v>
      </c>
      <c r="I193" s="250"/>
      <c r="J193" s="250"/>
      <c r="K193" s="250"/>
      <c r="L193" s="250"/>
      <c r="M193" s="250"/>
      <c r="N193" s="250"/>
      <c r="O193" s="250"/>
      <c r="P193" s="240"/>
      <c r="R193" s="19">
        <f>MAX(Tabla3[[#This Row],[VALOR TOTAL]],Tabla3[[#This Row],[VALOR TOTAL ]])</f>
        <v>1056000</v>
      </c>
      <c r="S193" s="19">
        <f>MIN(Tabla3[[#This Row],[VALOR TOTAL ]],Tabla3[[#This Row],[VALOR TOTAL]])</f>
        <v>520000</v>
      </c>
      <c r="T193" s="19">
        <f>AVERAGE(Tabla3[[#This Row],[VALOR TOTAL ]:[VALOR TOTAL]])</f>
        <v>536166.66666666663</v>
      </c>
    </row>
    <row r="194" spans="1:20" ht="60" x14ac:dyDescent="0.2">
      <c r="A194" s="123" t="s">
        <v>311</v>
      </c>
      <c r="B194" s="24" t="s">
        <v>45</v>
      </c>
      <c r="C194" s="134" t="s">
        <v>6</v>
      </c>
      <c r="D194" s="14">
        <v>16</v>
      </c>
      <c r="E194" s="19">
        <v>66000</v>
      </c>
      <c r="F194" s="250">
        <f>Tabla3[[#This Row],[VALOR UNITARIO ]]*Tabla3[[#This Row],[CANTIDAD ]]</f>
        <v>1056000</v>
      </c>
      <c r="G194" s="239">
        <v>35581</v>
      </c>
      <c r="H194" s="250">
        <f>Tabla3[[#This Row],[VALOR UNITARIO]]*Tabla3[[#This Row],[CANTIDAD ]]</f>
        <v>569296</v>
      </c>
      <c r="I194" s="250"/>
      <c r="J194" s="250"/>
      <c r="K194" s="250"/>
      <c r="L194" s="250"/>
      <c r="M194" s="250"/>
      <c r="N194" s="250"/>
      <c r="O194" s="250"/>
      <c r="P194" s="240"/>
      <c r="R194" s="19">
        <f>MAX(Tabla3[[#This Row],[VALOR TOTAL]],Tabla3[[#This Row],[VALOR TOTAL ]])</f>
        <v>1056000</v>
      </c>
      <c r="S194" s="19">
        <f>MIN(Tabla3[[#This Row],[VALOR TOTAL ]],Tabla3[[#This Row],[VALOR TOTAL]])</f>
        <v>569296</v>
      </c>
      <c r="T194" s="19">
        <f>AVERAGE(Tabla3[[#This Row],[VALOR TOTAL ]:[VALOR TOTAL]])</f>
        <v>553625.66666666663</v>
      </c>
    </row>
    <row r="195" spans="1:20" ht="24" x14ac:dyDescent="0.2">
      <c r="A195" s="123" t="s">
        <v>312</v>
      </c>
      <c r="B195" s="63" t="s">
        <v>49</v>
      </c>
      <c r="C195" s="17" t="s">
        <v>14</v>
      </c>
      <c r="D195" s="14">
        <v>116</v>
      </c>
      <c r="E195" s="19">
        <v>110000</v>
      </c>
      <c r="F195" s="250">
        <f>Tabla3[[#This Row],[VALOR UNITARIO ]]*Tabla3[[#This Row],[CANTIDAD ]]</f>
        <v>12760000</v>
      </c>
      <c r="G195" s="39">
        <v>132301</v>
      </c>
      <c r="H195" s="250">
        <f>Tabla3[[#This Row],[VALOR UNITARIO]]*Tabla3[[#This Row],[CANTIDAD ]]</f>
        <v>15346916</v>
      </c>
      <c r="I195" s="250"/>
      <c r="J195" s="250"/>
      <c r="K195" s="250"/>
      <c r="L195" s="250"/>
      <c r="M195" s="250"/>
      <c r="N195" s="250"/>
      <c r="O195" s="250"/>
      <c r="P195" s="240"/>
      <c r="R195" s="19">
        <f>MAX(Tabla3[[#This Row],[VALOR TOTAL]],Tabla3[[#This Row],[VALOR TOTAL ]])</f>
        <v>15346916</v>
      </c>
      <c r="S195" s="19">
        <f>MIN(Tabla3[[#This Row],[VALOR TOTAL ]],Tabla3[[#This Row],[VALOR TOTAL]])</f>
        <v>12760000</v>
      </c>
      <c r="T195" s="19">
        <f>AVERAGE(Tabla3[[#This Row],[VALOR TOTAL ]:[VALOR TOTAL]])</f>
        <v>9413072.333333334</v>
      </c>
    </row>
    <row r="196" spans="1:20" ht="24" x14ac:dyDescent="0.2">
      <c r="A196" s="123" t="s">
        <v>313</v>
      </c>
      <c r="B196" s="63" t="s">
        <v>314</v>
      </c>
      <c r="C196" s="17" t="s">
        <v>14</v>
      </c>
      <c r="D196" s="14">
        <v>195</v>
      </c>
      <c r="E196" s="19">
        <v>100000</v>
      </c>
      <c r="F196" s="250">
        <f>Tabla3[[#This Row],[VALOR UNITARIO ]]*Tabla3[[#This Row],[CANTIDAD ]]</f>
        <v>19500000</v>
      </c>
      <c r="G196" s="39">
        <v>104000</v>
      </c>
      <c r="H196" s="250">
        <f>Tabla3[[#This Row],[VALOR UNITARIO]]*Tabla3[[#This Row],[CANTIDAD ]]</f>
        <v>20280000</v>
      </c>
      <c r="I196" s="250"/>
      <c r="J196" s="250"/>
      <c r="K196" s="250"/>
      <c r="L196" s="250"/>
      <c r="M196" s="250"/>
      <c r="N196" s="250"/>
      <c r="O196" s="250"/>
      <c r="P196" s="240"/>
      <c r="R196" s="19">
        <f>MAX(Tabla3[[#This Row],[VALOR TOTAL]],Tabla3[[#This Row],[VALOR TOTAL ]])</f>
        <v>20280000</v>
      </c>
      <c r="S196" s="19">
        <f>MIN(Tabla3[[#This Row],[VALOR TOTAL ]],Tabla3[[#This Row],[VALOR TOTAL]])</f>
        <v>19500000</v>
      </c>
      <c r="T196" s="19">
        <f>AVERAGE(Tabla3[[#This Row],[VALOR TOTAL ]:[VALOR TOTAL]])</f>
        <v>13294666.666666666</v>
      </c>
    </row>
    <row r="197" spans="1:20" ht="24" x14ac:dyDescent="0.2">
      <c r="A197" s="135" t="s">
        <v>315</v>
      </c>
      <c r="B197" s="82" t="s">
        <v>316</v>
      </c>
      <c r="C197" s="17" t="s">
        <v>19</v>
      </c>
      <c r="D197" s="14">
        <v>201</v>
      </c>
      <c r="E197" s="19">
        <v>80000</v>
      </c>
      <c r="F197" s="250">
        <f>Tabla3[[#This Row],[VALOR UNITARIO ]]*Tabla3[[#This Row],[CANTIDAD ]]</f>
        <v>16080000</v>
      </c>
      <c r="G197" s="39">
        <v>65949</v>
      </c>
      <c r="H197" s="250">
        <f>Tabla3[[#This Row],[VALOR UNITARIO]]*Tabla3[[#This Row],[CANTIDAD ]]</f>
        <v>13255749</v>
      </c>
      <c r="I197" s="250"/>
      <c r="J197" s="250"/>
      <c r="K197" s="250"/>
      <c r="L197" s="250"/>
      <c r="M197" s="250"/>
      <c r="N197" s="250"/>
      <c r="O197" s="250"/>
      <c r="P197" s="240"/>
      <c r="R197" s="19">
        <f>MAX(Tabla3[[#This Row],[VALOR TOTAL]],Tabla3[[#This Row],[VALOR TOTAL ]])</f>
        <v>16080000</v>
      </c>
      <c r="S197" s="19">
        <f>MIN(Tabla3[[#This Row],[VALOR TOTAL ]],Tabla3[[#This Row],[VALOR TOTAL]])</f>
        <v>13255749</v>
      </c>
      <c r="T197" s="19">
        <f>AVERAGE(Tabla3[[#This Row],[VALOR TOTAL ]:[VALOR TOTAL]])</f>
        <v>9800566</v>
      </c>
    </row>
    <row r="198" spans="1:20" x14ac:dyDescent="0.2">
      <c r="A198" s="136"/>
      <c r="B198" s="90"/>
      <c r="C198" s="108" t="s">
        <v>196</v>
      </c>
      <c r="D198" s="109"/>
      <c r="F198" s="258">
        <f>SUM(F132:F197)</f>
        <v>498650110</v>
      </c>
      <c r="H198" s="254">
        <f>SUM(H132:H197)</f>
        <v>239919793.928</v>
      </c>
      <c r="I198" s="270"/>
      <c r="P198" s="240"/>
      <c r="R198" s="254"/>
      <c r="S198" s="254"/>
      <c r="T198" s="254"/>
    </row>
    <row r="199" spans="1:20" x14ac:dyDescent="0.2">
      <c r="A199" s="137"/>
      <c r="B199" s="94"/>
      <c r="C199" s="95" t="s">
        <v>197</v>
      </c>
      <c r="D199" s="96"/>
      <c r="E199" s="97">
        <v>0.25</v>
      </c>
      <c r="F199" s="255">
        <f>F198*Tabla3[[#This Row],[VALOR UNITARIO ]]</f>
        <v>124662527.5</v>
      </c>
      <c r="G199" s="249">
        <v>0.24</v>
      </c>
      <c r="H199" s="255">
        <f>H198*Tabla3[[#This Row],[VALOR UNITARIO]]</f>
        <v>57580750.542719997</v>
      </c>
      <c r="I199" s="271"/>
      <c r="J199" s="249"/>
      <c r="K199" s="249"/>
      <c r="L199" s="249"/>
      <c r="M199" s="249"/>
      <c r="N199" s="249"/>
      <c r="O199" s="249"/>
      <c r="P199" s="240"/>
      <c r="R199" s="255"/>
      <c r="S199" s="255"/>
      <c r="T199" s="255"/>
    </row>
    <row r="200" spans="1:20" x14ac:dyDescent="0.2">
      <c r="A200" s="138"/>
      <c r="B200" s="94"/>
      <c r="C200" s="95" t="s">
        <v>198</v>
      </c>
      <c r="D200" s="96"/>
      <c r="E200" s="97">
        <v>0.02</v>
      </c>
      <c r="F200" s="255">
        <f>F198*Tabla3[[#This Row],[VALOR UNITARIO ]]</f>
        <v>9973002.2000000011</v>
      </c>
      <c r="G200" s="249">
        <v>0.01</v>
      </c>
      <c r="H200" s="255">
        <f>H198*Tabla3[[#This Row],[VALOR UNITARIO]]</f>
        <v>2399197.93928</v>
      </c>
      <c r="I200" s="271"/>
      <c r="J200" s="249"/>
      <c r="K200" s="249"/>
      <c r="L200" s="249"/>
      <c r="M200" s="249"/>
      <c r="N200" s="249"/>
      <c r="O200" s="249"/>
      <c r="P200" s="240"/>
      <c r="R200" s="255"/>
      <c r="S200" s="255"/>
      <c r="T200" s="255"/>
    </row>
    <row r="201" spans="1:20" x14ac:dyDescent="0.2">
      <c r="A201" s="137"/>
      <c r="B201" s="94"/>
      <c r="C201" s="95" t="s">
        <v>199</v>
      </c>
      <c r="D201" s="96"/>
      <c r="E201" s="97">
        <v>0.05</v>
      </c>
      <c r="F201" s="255">
        <f>F198*Tabla3[[#This Row],[VALOR UNITARIO ]]</f>
        <v>24932505.5</v>
      </c>
      <c r="G201" s="249">
        <v>0.05</v>
      </c>
      <c r="H201" s="255">
        <f>H198*Tabla3[[#This Row],[VALOR UNITARIO]]</f>
        <v>11995989.696400002</v>
      </c>
      <c r="I201" s="271"/>
      <c r="J201" s="249"/>
      <c r="K201" s="249"/>
      <c r="L201" s="249"/>
      <c r="M201" s="249"/>
      <c r="N201" s="249"/>
      <c r="O201" s="249"/>
      <c r="P201" s="240"/>
      <c r="R201" s="255"/>
      <c r="S201" s="255"/>
      <c r="T201" s="255"/>
    </row>
    <row r="202" spans="1:20" x14ac:dyDescent="0.2">
      <c r="A202" s="137"/>
      <c r="B202" s="94"/>
      <c r="C202" s="95" t="s">
        <v>200</v>
      </c>
      <c r="D202" s="96"/>
      <c r="E202" s="97">
        <v>0.19</v>
      </c>
      <c r="F202" s="255">
        <f>F201*Tabla3[[#This Row],[VALOR UNITARIO ]]</f>
        <v>4737176.0449999999</v>
      </c>
      <c r="G202" s="249">
        <v>0.19</v>
      </c>
      <c r="H202" s="255">
        <f>H201*Tabla3[[#This Row],[VALOR UNITARIO]]</f>
        <v>2279238.0423160004</v>
      </c>
      <c r="I202" s="271"/>
      <c r="J202" s="249"/>
      <c r="K202" s="249"/>
      <c r="L202" s="249"/>
      <c r="M202" s="249"/>
      <c r="N202" s="249"/>
      <c r="O202" s="249"/>
      <c r="P202" s="240"/>
      <c r="R202" s="255"/>
      <c r="S202" s="255"/>
      <c r="T202" s="255"/>
    </row>
    <row r="203" spans="1:20" x14ac:dyDescent="0.2">
      <c r="A203" s="139"/>
      <c r="B203" s="99"/>
      <c r="C203" s="91" t="s">
        <v>201</v>
      </c>
      <c r="D203" s="100"/>
      <c r="F203" s="258">
        <f>SUM(F198:F202)</f>
        <v>662955321.245</v>
      </c>
      <c r="H203" s="258">
        <f>SUM(H198:H202)</f>
        <v>314174970.14871597</v>
      </c>
      <c r="I203" s="270"/>
      <c r="P203" s="240"/>
      <c r="R203" s="258"/>
      <c r="S203" s="258"/>
      <c r="T203" s="258"/>
    </row>
    <row r="204" spans="1:20" x14ac:dyDescent="0.2">
      <c r="A204" s="140" t="s">
        <v>317</v>
      </c>
      <c r="B204" s="141" t="s">
        <v>318</v>
      </c>
      <c r="C204" s="142"/>
      <c r="D204" s="142"/>
      <c r="F204" s="254"/>
      <c r="H204" s="254"/>
      <c r="I204" s="270"/>
      <c r="P204" s="240"/>
      <c r="R204" s="254"/>
      <c r="S204" s="254"/>
      <c r="T204" s="254"/>
    </row>
    <row r="205" spans="1:20" x14ac:dyDescent="0.2">
      <c r="A205" s="143" t="s">
        <v>319</v>
      </c>
      <c r="B205" s="8" t="s">
        <v>320</v>
      </c>
      <c r="C205" s="9"/>
      <c r="D205" s="9"/>
      <c r="F205" s="254"/>
      <c r="H205" s="254"/>
      <c r="I205" s="270"/>
      <c r="P205" s="240"/>
      <c r="R205" s="254"/>
      <c r="S205" s="254"/>
      <c r="T205" s="254"/>
    </row>
    <row r="206" spans="1:20" ht="36" x14ac:dyDescent="0.2">
      <c r="A206" s="11" t="s">
        <v>321</v>
      </c>
      <c r="B206" s="12" t="s">
        <v>222</v>
      </c>
      <c r="C206" s="13" t="s">
        <v>14</v>
      </c>
      <c r="D206" s="38">
        <v>29</v>
      </c>
      <c r="E206" s="19">
        <v>135000</v>
      </c>
      <c r="F206" s="250">
        <f>Tabla3[[#This Row],[VALOR UNITARIO ]]*Tabla3[[#This Row],[CANTIDAD ]]</f>
        <v>3915000</v>
      </c>
      <c r="G206" s="267">
        <v>0</v>
      </c>
      <c r="H206" s="250">
        <f>Tabla3[[#This Row],[VALOR UNITARIO]]*Tabla3[[#This Row],[CANTIDAD ]]</f>
        <v>0</v>
      </c>
      <c r="I206" s="250"/>
      <c r="J206" s="250"/>
      <c r="K206" s="250"/>
      <c r="L206" s="250"/>
      <c r="M206" s="250"/>
      <c r="N206" s="250"/>
      <c r="O206" s="250"/>
      <c r="P206" s="240"/>
      <c r="R206" s="250">
        <f>MAX(Tabla3[[#This Row],[VALOR TOTAL]],Tabla3[[#This Row],[VALOR TOTAL ]])</f>
        <v>3915000</v>
      </c>
      <c r="S206" s="250">
        <f>MIN(Tabla3[[#This Row],[VALOR TOTAL ]],Tabla3[[#This Row],[VALOR TOTAL]])</f>
        <v>0</v>
      </c>
      <c r="T206" s="250">
        <f>AVERAGE(Tabla3[[#This Row],[VALOR TOTAL ]:[VALOR TOTAL]])</f>
        <v>1305000</v>
      </c>
    </row>
    <row r="207" spans="1:20" ht="24" x14ac:dyDescent="0.2">
      <c r="A207" s="117" t="s">
        <v>322</v>
      </c>
      <c r="B207" s="63" t="s">
        <v>224</v>
      </c>
      <c r="C207" s="17" t="s">
        <v>19</v>
      </c>
      <c r="D207" s="14">
        <v>73</v>
      </c>
      <c r="E207" s="19">
        <v>12500</v>
      </c>
      <c r="F207" s="250">
        <f>Tabla3[[#This Row],[VALOR UNITARIO ]]*Tabla3[[#This Row],[CANTIDAD ]]</f>
        <v>912500</v>
      </c>
      <c r="G207" s="39">
        <v>5000</v>
      </c>
      <c r="H207" s="250">
        <f>Tabla3[[#This Row],[VALOR UNITARIO]]*Tabla3[[#This Row],[CANTIDAD ]]</f>
        <v>365000</v>
      </c>
      <c r="I207" s="250"/>
      <c r="J207" s="250"/>
      <c r="K207" s="250"/>
      <c r="L207" s="250"/>
      <c r="M207" s="250"/>
      <c r="N207" s="250"/>
      <c r="O207" s="250"/>
      <c r="P207" s="240"/>
      <c r="R207" s="250">
        <f>MAX(Tabla3[[#This Row],[VALOR TOTAL]],Tabla3[[#This Row],[VALOR TOTAL ]])</f>
        <v>912500</v>
      </c>
      <c r="S207" s="250">
        <f>MIN(Tabla3[[#This Row],[VALOR TOTAL ]],Tabla3[[#This Row],[VALOR TOTAL]])</f>
        <v>365000</v>
      </c>
      <c r="T207" s="250">
        <f>AVERAGE(Tabla3[[#This Row],[VALOR TOTAL ]:[VALOR TOTAL]])</f>
        <v>427500</v>
      </c>
    </row>
    <row r="208" spans="1:20" x14ac:dyDescent="0.2">
      <c r="A208" s="123" t="s">
        <v>323</v>
      </c>
      <c r="B208" s="24" t="s">
        <v>324</v>
      </c>
      <c r="C208" s="59" t="s">
        <v>19</v>
      </c>
      <c r="D208" s="59">
        <v>7</v>
      </c>
      <c r="E208" s="19">
        <v>20000</v>
      </c>
      <c r="F208" s="250">
        <f>Tabla3[[#This Row],[VALOR UNITARIO ]]*Tabla3[[#This Row],[CANTIDAD ]]</f>
        <v>140000</v>
      </c>
      <c r="G208" s="239">
        <f>1.3*5120</f>
        <v>6656</v>
      </c>
      <c r="H208" s="250">
        <f>Tabla3[[#This Row],[VALOR UNITARIO]]*Tabla3[[#This Row],[CANTIDAD ]]</f>
        <v>46592</v>
      </c>
      <c r="I208" s="250"/>
      <c r="J208" s="250"/>
      <c r="K208" s="250"/>
      <c r="L208" s="250"/>
      <c r="M208" s="250"/>
      <c r="N208" s="250"/>
      <c r="O208" s="250"/>
      <c r="P208" s="240"/>
      <c r="R208" s="250">
        <f>MAX(Tabla3[[#This Row],[VALOR TOTAL]],Tabla3[[#This Row],[VALOR TOTAL ]])</f>
        <v>140000</v>
      </c>
      <c r="S208" s="250">
        <f>MIN(Tabla3[[#This Row],[VALOR TOTAL ]],Tabla3[[#This Row],[VALOR TOTAL]])</f>
        <v>46592</v>
      </c>
      <c r="T208" s="250">
        <f>AVERAGE(Tabla3[[#This Row],[VALOR TOTAL ]:[VALOR TOTAL]])</f>
        <v>64416</v>
      </c>
    </row>
    <row r="209" spans="1:20" x14ac:dyDescent="0.2">
      <c r="A209" s="117" t="s">
        <v>325</v>
      </c>
      <c r="B209" s="24" t="s">
        <v>324</v>
      </c>
      <c r="C209" s="59" t="s">
        <v>14</v>
      </c>
      <c r="D209" s="59">
        <v>91</v>
      </c>
      <c r="E209" s="19">
        <v>12000</v>
      </c>
      <c r="F209" s="250">
        <f>Tabla3[[#This Row],[VALOR UNITARIO ]]*Tabla3[[#This Row],[CANTIDAD ]]</f>
        <v>1092000</v>
      </c>
      <c r="G209" s="239">
        <v>4500</v>
      </c>
      <c r="H209" s="250">
        <f>Tabla3[[#This Row],[VALOR UNITARIO]]*Tabla3[[#This Row],[CANTIDAD ]]</f>
        <v>409500</v>
      </c>
      <c r="I209" s="250"/>
      <c r="J209" s="250"/>
      <c r="K209" s="250"/>
      <c r="L209" s="250"/>
      <c r="M209" s="250"/>
      <c r="N209" s="250"/>
      <c r="O209" s="250"/>
      <c r="P209" s="240"/>
      <c r="R209" s="250">
        <f>MAX(Tabla3[[#This Row],[VALOR TOTAL]],Tabla3[[#This Row],[VALOR TOTAL ]])</f>
        <v>1092000</v>
      </c>
      <c r="S209" s="250">
        <f>MIN(Tabla3[[#This Row],[VALOR TOTAL ]],Tabla3[[#This Row],[VALOR TOTAL]])</f>
        <v>409500</v>
      </c>
      <c r="T209" s="250">
        <f>AVERAGE(Tabla3[[#This Row],[VALOR TOTAL ]:[VALOR TOTAL]])</f>
        <v>502000</v>
      </c>
    </row>
    <row r="210" spans="1:20" ht="24" x14ac:dyDescent="0.2">
      <c r="A210" s="117" t="s">
        <v>326</v>
      </c>
      <c r="B210" s="58" t="s">
        <v>327</v>
      </c>
      <c r="C210" s="22" t="s">
        <v>19</v>
      </c>
      <c r="D210" s="59">
        <v>7</v>
      </c>
      <c r="E210" s="19">
        <v>110000</v>
      </c>
      <c r="F210" s="250">
        <f>Tabla3[[#This Row],[VALOR UNITARIO ]]*Tabla3[[#This Row],[CANTIDAD ]]</f>
        <v>770000</v>
      </c>
      <c r="G210" s="239">
        <f>1.3*53040</f>
        <v>68952</v>
      </c>
      <c r="H210" s="250">
        <f>Tabla3[[#This Row],[VALOR UNITARIO]]*Tabla3[[#This Row],[CANTIDAD ]]</f>
        <v>482664</v>
      </c>
      <c r="I210" s="250"/>
      <c r="J210" s="250"/>
      <c r="K210" s="250"/>
      <c r="L210" s="250"/>
      <c r="M210" s="250"/>
      <c r="N210" s="250"/>
      <c r="O210" s="250"/>
      <c r="P210" s="240"/>
      <c r="R210" s="250">
        <f>MAX(Tabla3[[#This Row],[VALOR TOTAL]],Tabla3[[#This Row],[VALOR TOTAL ]])</f>
        <v>770000</v>
      </c>
      <c r="S210" s="250">
        <f>MIN(Tabla3[[#This Row],[VALOR TOTAL ]],Tabla3[[#This Row],[VALOR TOTAL]])</f>
        <v>482664</v>
      </c>
      <c r="T210" s="250">
        <f>AVERAGE(Tabla3[[#This Row],[VALOR TOTAL ]:[VALOR TOTAL]])</f>
        <v>440538.66666666669</v>
      </c>
    </row>
    <row r="211" spans="1:20" x14ac:dyDescent="0.2">
      <c r="A211" s="117" t="s">
        <v>328</v>
      </c>
      <c r="B211" s="46" t="s">
        <v>88</v>
      </c>
      <c r="C211" s="45" t="s">
        <v>19</v>
      </c>
      <c r="D211" s="59">
        <v>189</v>
      </c>
      <c r="E211" s="19">
        <v>28000</v>
      </c>
      <c r="F211" s="250">
        <f>Tabla3[[#This Row],[VALOR UNITARIO ]]*Tabla3[[#This Row],[CANTIDAD ]]</f>
        <v>5292000</v>
      </c>
      <c r="G211" s="239">
        <v>11700</v>
      </c>
      <c r="H211" s="250">
        <f>Tabla3[[#This Row],[VALOR UNITARIO]]*Tabla3[[#This Row],[CANTIDAD ]]</f>
        <v>2211300</v>
      </c>
      <c r="I211" s="250"/>
      <c r="J211" s="250"/>
      <c r="K211" s="250"/>
      <c r="L211" s="250"/>
      <c r="M211" s="250"/>
      <c r="N211" s="250"/>
      <c r="O211" s="250"/>
      <c r="P211" s="240"/>
      <c r="R211" s="250">
        <f>MAX(Tabla3[[#This Row],[VALOR TOTAL]],Tabla3[[#This Row],[VALOR TOTAL ]])</f>
        <v>5292000</v>
      </c>
      <c r="S211" s="250">
        <f>MIN(Tabla3[[#This Row],[VALOR TOTAL ]],Tabla3[[#This Row],[VALOR TOTAL]])</f>
        <v>2211300</v>
      </c>
      <c r="T211" s="250">
        <f>AVERAGE(Tabla3[[#This Row],[VALOR TOTAL ]:[VALOR TOTAL]])</f>
        <v>2505000</v>
      </c>
    </row>
    <row r="212" spans="1:20" ht="24" x14ac:dyDescent="0.2">
      <c r="A212" s="123" t="s">
        <v>329</v>
      </c>
      <c r="B212" s="24" t="s">
        <v>330</v>
      </c>
      <c r="C212" s="22" t="s">
        <v>19</v>
      </c>
      <c r="D212" s="59">
        <v>377</v>
      </c>
      <c r="E212" s="19">
        <v>21000</v>
      </c>
      <c r="F212" s="250">
        <f>Tabla3[[#This Row],[VALOR UNITARIO ]]*Tabla3[[#This Row],[CANTIDAD ]]</f>
        <v>7917000</v>
      </c>
      <c r="G212" s="239">
        <f>1.3*6140</f>
        <v>7982</v>
      </c>
      <c r="H212" s="250">
        <f>Tabla3[[#This Row],[VALOR UNITARIO]]*Tabla3[[#This Row],[CANTIDAD ]]</f>
        <v>3009214</v>
      </c>
      <c r="I212" s="250"/>
      <c r="J212" s="250"/>
      <c r="K212" s="250"/>
      <c r="L212" s="250"/>
      <c r="M212" s="250"/>
      <c r="N212" s="250"/>
      <c r="O212" s="250"/>
      <c r="P212" s="240"/>
      <c r="R212" s="250">
        <f>MAX(Tabla3[[#This Row],[VALOR TOTAL]],Tabla3[[#This Row],[VALOR TOTAL ]])</f>
        <v>7917000</v>
      </c>
      <c r="S212" s="250">
        <f>MIN(Tabla3[[#This Row],[VALOR TOTAL ]],Tabla3[[#This Row],[VALOR TOTAL]])</f>
        <v>3009214</v>
      </c>
      <c r="T212" s="250">
        <f>AVERAGE(Tabla3[[#This Row],[VALOR TOTAL ]:[VALOR TOTAL]])</f>
        <v>3644732</v>
      </c>
    </row>
    <row r="213" spans="1:20" ht="24" x14ac:dyDescent="0.2">
      <c r="A213" s="117" t="s">
        <v>331</v>
      </c>
      <c r="B213" s="24" t="s">
        <v>332</v>
      </c>
      <c r="C213" s="22" t="s">
        <v>14</v>
      </c>
      <c r="D213" s="59">
        <v>28</v>
      </c>
      <c r="E213" s="245">
        <v>20000</v>
      </c>
      <c r="F213" s="251">
        <f>Tabla3[[#This Row],[VALOR UNITARIO ]]*Tabla3[[#This Row],[CANTIDAD ]]</f>
        <v>560000</v>
      </c>
      <c r="G213" s="239">
        <f>1.3*2350</f>
        <v>3055</v>
      </c>
      <c r="H213" s="251">
        <f>Tabla3[[#This Row],[VALOR UNITARIO]]*Tabla3[[#This Row],[CANTIDAD ]]</f>
        <v>85540</v>
      </c>
      <c r="I213" s="251"/>
      <c r="J213" s="251"/>
      <c r="K213" s="251"/>
      <c r="L213" s="251"/>
      <c r="M213" s="251"/>
      <c r="N213" s="251"/>
      <c r="O213" s="251"/>
      <c r="P213" s="240"/>
      <c r="R213" s="251">
        <f>MAX(Tabla3[[#This Row],[VALOR TOTAL]],Tabla3[[#This Row],[VALOR TOTAL ]])</f>
        <v>560000</v>
      </c>
      <c r="S213" s="251">
        <f>MIN(Tabla3[[#This Row],[VALOR TOTAL ]],Tabla3[[#This Row],[VALOR TOTAL]])</f>
        <v>85540</v>
      </c>
      <c r="T213" s="251">
        <f>AVERAGE(Tabla3[[#This Row],[VALOR TOTAL ]:[VALOR TOTAL]])</f>
        <v>216198.33333333334</v>
      </c>
    </row>
    <row r="214" spans="1:20" ht="24" x14ac:dyDescent="0.2">
      <c r="A214" s="123" t="s">
        <v>333</v>
      </c>
      <c r="B214" s="24" t="s">
        <v>334</v>
      </c>
      <c r="C214" s="22" t="s">
        <v>14</v>
      </c>
      <c r="D214" s="59">
        <v>16</v>
      </c>
      <c r="E214" s="245">
        <v>65000</v>
      </c>
      <c r="F214" s="251">
        <f>Tabla3[[#This Row],[VALOR UNITARIO ]]*Tabla3[[#This Row],[CANTIDAD ]]</f>
        <v>1040000</v>
      </c>
      <c r="G214" s="239">
        <f>1.3*40690</f>
        <v>52897</v>
      </c>
      <c r="H214" s="251">
        <f>Tabla3[[#This Row],[VALOR UNITARIO]]*Tabla3[[#This Row],[CANTIDAD ]]</f>
        <v>846352</v>
      </c>
      <c r="I214" s="251"/>
      <c r="J214" s="251"/>
      <c r="K214" s="251"/>
      <c r="L214" s="251"/>
      <c r="M214" s="251"/>
      <c r="N214" s="251"/>
      <c r="O214" s="251"/>
      <c r="P214" s="240"/>
      <c r="R214" s="251">
        <f>MAX(Tabla3[[#This Row],[VALOR TOTAL]],Tabla3[[#This Row],[VALOR TOTAL ]])</f>
        <v>1040000</v>
      </c>
      <c r="S214" s="251">
        <f>MIN(Tabla3[[#This Row],[VALOR TOTAL ]],Tabla3[[#This Row],[VALOR TOTAL]])</f>
        <v>846352</v>
      </c>
      <c r="T214" s="251">
        <f>AVERAGE(Tabla3[[#This Row],[VALOR TOTAL ]:[VALOR TOTAL]])</f>
        <v>646416.33333333337</v>
      </c>
    </row>
    <row r="215" spans="1:20" ht="24" x14ac:dyDescent="0.2">
      <c r="A215" s="117" t="s">
        <v>335</v>
      </c>
      <c r="B215" s="24" t="s">
        <v>336</v>
      </c>
      <c r="C215" s="22" t="s">
        <v>14</v>
      </c>
      <c r="D215" s="59">
        <v>90</v>
      </c>
      <c r="E215" s="19">
        <v>25000</v>
      </c>
      <c r="F215" s="250">
        <f>Tabla3[[#This Row],[VALOR UNITARIO ]]*Tabla3[[#This Row],[CANTIDAD ]]</f>
        <v>2250000</v>
      </c>
      <c r="G215" s="39">
        <f>1.3*24010</f>
        <v>31213</v>
      </c>
      <c r="H215" s="250">
        <f>Tabla3[[#This Row],[VALOR UNITARIO]]*Tabla3[[#This Row],[CANTIDAD ]]</f>
        <v>2809170</v>
      </c>
      <c r="I215" s="250"/>
      <c r="J215" s="250"/>
      <c r="K215" s="250"/>
      <c r="L215" s="250"/>
      <c r="M215" s="250"/>
      <c r="N215" s="250"/>
      <c r="O215" s="250"/>
      <c r="P215" s="240"/>
      <c r="R215" s="250">
        <f>MAX(Tabla3[[#This Row],[VALOR TOTAL]],Tabla3[[#This Row],[VALOR TOTAL ]])</f>
        <v>2809170</v>
      </c>
      <c r="S215" s="250">
        <f>MIN(Tabla3[[#This Row],[VALOR TOTAL ]],Tabla3[[#This Row],[VALOR TOTAL]])</f>
        <v>2250000</v>
      </c>
      <c r="T215" s="250">
        <f>AVERAGE(Tabla3[[#This Row],[VALOR TOTAL ]:[VALOR TOTAL]])</f>
        <v>1696794.3333333333</v>
      </c>
    </row>
    <row r="216" spans="1:20" x14ac:dyDescent="0.2">
      <c r="A216" s="117" t="s">
        <v>337</v>
      </c>
      <c r="B216" s="58" t="s">
        <v>338</v>
      </c>
      <c r="C216" s="49" t="s">
        <v>14</v>
      </c>
      <c r="D216" s="100">
        <v>29</v>
      </c>
      <c r="E216" s="19">
        <v>12000</v>
      </c>
      <c r="F216" s="250">
        <f>Tabla3[[#This Row],[VALOR UNITARIO ]]*Tabla3[[#This Row],[CANTIDAD ]]</f>
        <v>348000</v>
      </c>
      <c r="G216" s="239">
        <v>14000</v>
      </c>
      <c r="H216" s="250">
        <f>Tabla3[[#This Row],[VALOR UNITARIO]]*Tabla3[[#This Row],[CANTIDAD ]]</f>
        <v>406000</v>
      </c>
      <c r="I216" s="250"/>
      <c r="J216" s="250"/>
      <c r="K216" s="250"/>
      <c r="L216" s="250"/>
      <c r="M216" s="250"/>
      <c r="N216" s="250"/>
      <c r="O216" s="250"/>
      <c r="P216" s="240"/>
      <c r="R216" s="250">
        <f>MAX(Tabla3[[#This Row],[VALOR TOTAL]],Tabla3[[#This Row],[VALOR TOTAL ]])</f>
        <v>406000</v>
      </c>
      <c r="S216" s="250">
        <f>MIN(Tabla3[[#This Row],[VALOR TOTAL ]],Tabla3[[#This Row],[VALOR TOTAL]])</f>
        <v>348000</v>
      </c>
      <c r="T216" s="250">
        <f>AVERAGE(Tabla3[[#This Row],[VALOR TOTAL ]:[VALOR TOTAL]])</f>
        <v>256000</v>
      </c>
    </row>
    <row r="217" spans="1:20" ht="24" x14ac:dyDescent="0.2">
      <c r="A217" s="117" t="s">
        <v>339</v>
      </c>
      <c r="B217" s="34" t="s">
        <v>340</v>
      </c>
      <c r="C217" s="22" t="s">
        <v>19</v>
      </c>
      <c r="D217" s="21">
        <v>9</v>
      </c>
      <c r="E217" s="19">
        <v>110000</v>
      </c>
      <c r="F217" s="250">
        <f>Tabla3[[#This Row],[VALOR UNITARIO ]]*Tabla3[[#This Row],[CANTIDAD ]]</f>
        <v>990000</v>
      </c>
      <c r="G217" s="239">
        <v>74300</v>
      </c>
      <c r="H217" s="250">
        <f>Tabla3[[#This Row],[VALOR UNITARIO]]*Tabla3[[#This Row],[CANTIDAD ]]</f>
        <v>668700</v>
      </c>
      <c r="I217" s="250"/>
      <c r="J217" s="250"/>
      <c r="K217" s="250"/>
      <c r="L217" s="250"/>
      <c r="M217" s="250"/>
      <c r="N217" s="250"/>
      <c r="O217" s="250"/>
      <c r="P217" s="240"/>
      <c r="R217" s="250">
        <f>MAX(Tabla3[[#This Row],[VALOR TOTAL]],Tabla3[[#This Row],[VALOR TOTAL ]])</f>
        <v>990000</v>
      </c>
      <c r="S217" s="250">
        <f>MIN(Tabla3[[#This Row],[VALOR TOTAL ]],Tabla3[[#This Row],[VALOR TOTAL]])</f>
        <v>668700</v>
      </c>
      <c r="T217" s="250">
        <f>AVERAGE(Tabla3[[#This Row],[VALOR TOTAL ]:[VALOR TOTAL]])</f>
        <v>577666.66666666663</v>
      </c>
    </row>
    <row r="218" spans="1:20" x14ac:dyDescent="0.2">
      <c r="A218" s="118" t="s">
        <v>341</v>
      </c>
      <c r="B218" s="8" t="s">
        <v>342</v>
      </c>
      <c r="C218" s="35"/>
      <c r="D218" s="144"/>
      <c r="F218" s="254"/>
      <c r="G218" s="144"/>
      <c r="H218" s="254"/>
      <c r="I218" s="270"/>
      <c r="P218" s="240"/>
      <c r="R218" s="254"/>
      <c r="S218" s="254"/>
      <c r="T218" s="254"/>
    </row>
    <row r="219" spans="1:20" x14ac:dyDescent="0.2">
      <c r="A219" s="117" t="s">
        <v>343</v>
      </c>
      <c r="B219" s="12" t="s">
        <v>21</v>
      </c>
      <c r="C219" s="75" t="s">
        <v>19</v>
      </c>
      <c r="D219" s="57">
        <v>14</v>
      </c>
      <c r="E219" s="19">
        <v>20000</v>
      </c>
      <c r="F219" s="250">
        <f>Tabla3[[#This Row],[VALOR UNITARIO ]]*Tabla3[[#This Row],[CANTIDAD ]]</f>
        <v>280000</v>
      </c>
      <c r="G219" s="239">
        <v>19500</v>
      </c>
      <c r="H219" s="250">
        <f>Tabla3[[#This Row],[VALOR UNITARIO]]*Tabla3[[#This Row],[CANTIDAD ]]</f>
        <v>273000</v>
      </c>
      <c r="I219" s="250"/>
      <c r="J219" s="250"/>
      <c r="K219" s="250"/>
      <c r="L219" s="250"/>
      <c r="M219" s="250"/>
      <c r="N219" s="250"/>
      <c r="O219" s="250"/>
      <c r="P219" s="240"/>
      <c r="R219" s="250">
        <f>MAX(Tabla3[[#This Row],[VALOR TOTAL]],Tabla3[[#This Row],[VALOR TOTAL ]])</f>
        <v>280000</v>
      </c>
      <c r="S219" s="250">
        <f>MIN(Tabla3[[#This Row],[VALOR TOTAL ]],Tabla3[[#This Row],[VALOR TOTAL]])</f>
        <v>273000</v>
      </c>
      <c r="T219" s="250">
        <f>AVERAGE(Tabla3[[#This Row],[VALOR TOTAL ]:[VALOR TOTAL]])</f>
        <v>190833.33333333334</v>
      </c>
    </row>
    <row r="220" spans="1:20" x14ac:dyDescent="0.2">
      <c r="A220" s="11" t="s">
        <v>344</v>
      </c>
      <c r="B220" s="24" t="s">
        <v>345</v>
      </c>
      <c r="C220" s="22" t="s">
        <v>19</v>
      </c>
      <c r="D220" s="57">
        <v>14</v>
      </c>
      <c r="E220" s="19">
        <v>27000</v>
      </c>
      <c r="F220" s="250">
        <f>Tabla3[[#This Row],[VALOR UNITARIO ]]*Tabla3[[#This Row],[CANTIDAD ]]</f>
        <v>378000</v>
      </c>
      <c r="G220" s="239">
        <v>5200</v>
      </c>
      <c r="H220" s="250">
        <f>Tabla3[[#This Row],[VALOR UNITARIO]]*Tabla3[[#This Row],[CANTIDAD ]]</f>
        <v>72800</v>
      </c>
      <c r="I220" s="250"/>
      <c r="J220" s="250"/>
      <c r="K220" s="250"/>
      <c r="L220" s="250"/>
      <c r="M220" s="250"/>
      <c r="N220" s="250"/>
      <c r="O220" s="250"/>
      <c r="P220" s="240"/>
      <c r="R220" s="250">
        <f>MAX(Tabla3[[#This Row],[VALOR TOTAL]],Tabla3[[#This Row],[VALOR TOTAL ]])</f>
        <v>378000</v>
      </c>
      <c r="S220" s="250">
        <f>MIN(Tabla3[[#This Row],[VALOR TOTAL ]],Tabla3[[#This Row],[VALOR TOTAL]])</f>
        <v>72800</v>
      </c>
      <c r="T220" s="250">
        <f>AVERAGE(Tabla3[[#This Row],[VALOR TOTAL ]:[VALOR TOTAL]])</f>
        <v>152000</v>
      </c>
    </row>
    <row r="221" spans="1:20" x14ac:dyDescent="0.2">
      <c r="A221" s="145" t="s">
        <v>346</v>
      </c>
      <c r="B221" s="146" t="s">
        <v>206</v>
      </c>
      <c r="C221" s="17" t="s">
        <v>19</v>
      </c>
      <c r="D221" s="59">
        <v>14</v>
      </c>
      <c r="E221" s="19">
        <v>35000</v>
      </c>
      <c r="F221" s="250">
        <f>Tabla3[[#This Row],[VALOR UNITARIO ]]*Tabla3[[#This Row],[CANTIDAD ]]</f>
        <v>490000</v>
      </c>
      <c r="G221" s="239">
        <v>3731</v>
      </c>
      <c r="H221" s="250">
        <f>Tabla3[[#This Row],[VALOR UNITARIO]]*Tabla3[[#This Row],[CANTIDAD ]]</f>
        <v>52234</v>
      </c>
      <c r="I221" s="250"/>
      <c r="J221" s="250"/>
      <c r="K221" s="250"/>
      <c r="L221" s="250"/>
      <c r="M221" s="250"/>
      <c r="N221" s="250"/>
      <c r="O221" s="250"/>
      <c r="P221" s="240"/>
      <c r="R221" s="250">
        <f>MAX(Tabla3[[#This Row],[VALOR TOTAL]],Tabla3[[#This Row],[VALOR TOTAL ]])</f>
        <v>490000</v>
      </c>
      <c r="S221" s="250">
        <f>MIN(Tabla3[[#This Row],[VALOR TOTAL ]],Tabla3[[#This Row],[VALOR TOTAL]])</f>
        <v>52234</v>
      </c>
      <c r="T221" s="250">
        <f>AVERAGE(Tabla3[[#This Row],[VALOR TOTAL ]:[VALOR TOTAL]])</f>
        <v>181988.33333333334</v>
      </c>
    </row>
    <row r="222" spans="1:20" ht="24" x14ac:dyDescent="0.2">
      <c r="A222" s="20" t="s">
        <v>347</v>
      </c>
      <c r="B222" s="24" t="s">
        <v>208</v>
      </c>
      <c r="C222" s="22" t="s">
        <v>19</v>
      </c>
      <c r="D222" s="59">
        <v>15</v>
      </c>
      <c r="E222" s="19">
        <v>38000</v>
      </c>
      <c r="F222" s="250">
        <f>Tabla3[[#This Row],[VALOR UNITARIO ]]*Tabla3[[#This Row],[CANTIDAD ]]</f>
        <v>570000</v>
      </c>
      <c r="G222" s="239">
        <v>32500</v>
      </c>
      <c r="H222" s="250">
        <f>Tabla3[[#This Row],[VALOR UNITARIO]]*Tabla3[[#This Row],[CANTIDAD ]]</f>
        <v>487500</v>
      </c>
      <c r="I222" s="250"/>
      <c r="J222" s="250"/>
      <c r="K222" s="250"/>
      <c r="L222" s="250"/>
      <c r="M222" s="250"/>
      <c r="N222" s="250"/>
      <c r="O222" s="250"/>
      <c r="P222" s="240"/>
      <c r="R222" s="250">
        <f>MAX(Tabla3[[#This Row],[VALOR TOTAL]],Tabla3[[#This Row],[VALOR TOTAL ]])</f>
        <v>570000</v>
      </c>
      <c r="S222" s="250">
        <f>MIN(Tabla3[[#This Row],[VALOR TOTAL ]],Tabla3[[#This Row],[VALOR TOTAL]])</f>
        <v>487500</v>
      </c>
      <c r="T222" s="250">
        <f>AVERAGE(Tabla3[[#This Row],[VALOR TOTAL ]:[VALOR TOTAL]])</f>
        <v>363333.33333333331</v>
      </c>
    </row>
    <row r="223" spans="1:20" ht="24" x14ac:dyDescent="0.2">
      <c r="A223" s="145" t="s">
        <v>348</v>
      </c>
      <c r="B223" s="42" t="s">
        <v>76</v>
      </c>
      <c r="C223" s="43" t="s">
        <v>19</v>
      </c>
      <c r="D223" s="59">
        <v>16</v>
      </c>
      <c r="E223" s="245">
        <v>280000</v>
      </c>
      <c r="F223" s="251">
        <f>Tabla3[[#This Row],[VALOR UNITARIO ]]*Tabla3[[#This Row],[CANTIDAD ]]</f>
        <v>4480000</v>
      </c>
      <c r="G223" s="239">
        <v>128700</v>
      </c>
      <c r="H223" s="251">
        <f>Tabla3[[#This Row],[VALOR UNITARIO]]*Tabla3[[#This Row],[CANTIDAD ]]</f>
        <v>2059200</v>
      </c>
      <c r="I223" s="251"/>
      <c r="J223" s="251"/>
      <c r="K223" s="251"/>
      <c r="L223" s="251"/>
      <c r="M223" s="251"/>
      <c r="N223" s="251"/>
      <c r="O223" s="251"/>
      <c r="P223" s="240"/>
      <c r="R223" s="251">
        <f>MAX(Tabla3[[#This Row],[VALOR TOTAL]],Tabla3[[#This Row],[VALOR TOTAL ]])</f>
        <v>4480000</v>
      </c>
      <c r="S223" s="251">
        <f>MIN(Tabla3[[#This Row],[VALOR TOTAL ]],Tabla3[[#This Row],[VALOR TOTAL]])</f>
        <v>2059200</v>
      </c>
      <c r="T223" s="251">
        <f>AVERAGE(Tabla3[[#This Row],[VALOR TOTAL ]:[VALOR TOTAL]])</f>
        <v>2222633.3333333335</v>
      </c>
    </row>
    <row r="224" spans="1:20" x14ac:dyDescent="0.2">
      <c r="A224" s="20" t="s">
        <v>349</v>
      </c>
      <c r="B224" s="58" t="s">
        <v>350</v>
      </c>
      <c r="C224" s="22" t="s">
        <v>6</v>
      </c>
      <c r="D224" s="59">
        <v>4</v>
      </c>
      <c r="E224" s="19">
        <v>60000</v>
      </c>
      <c r="F224" s="250">
        <f>Tabla3[[#This Row],[VALOR UNITARIO ]]*Tabla3[[#This Row],[CANTIDAD ]]</f>
        <v>240000</v>
      </c>
      <c r="G224" s="239">
        <v>88000</v>
      </c>
      <c r="H224" s="250">
        <f>Tabla3[[#This Row],[VALOR UNITARIO]]*Tabla3[[#This Row],[CANTIDAD ]]</f>
        <v>352000</v>
      </c>
      <c r="I224" s="250"/>
      <c r="J224" s="250"/>
      <c r="K224" s="250"/>
      <c r="L224" s="250"/>
      <c r="M224" s="250"/>
      <c r="N224" s="250"/>
      <c r="O224" s="250"/>
      <c r="P224" s="240"/>
      <c r="R224" s="250">
        <f>MAX(Tabla3[[#This Row],[VALOR TOTAL]],Tabla3[[#This Row],[VALOR TOTAL ]])</f>
        <v>352000</v>
      </c>
      <c r="S224" s="250">
        <f>MIN(Tabla3[[#This Row],[VALOR TOTAL ]],Tabla3[[#This Row],[VALOR TOTAL]])</f>
        <v>240000</v>
      </c>
      <c r="T224" s="250">
        <f>AVERAGE(Tabla3[[#This Row],[VALOR TOTAL ]:[VALOR TOTAL]])</f>
        <v>226666.66666666666</v>
      </c>
    </row>
    <row r="225" spans="1:20" ht="24" x14ac:dyDescent="0.2">
      <c r="A225" s="145" t="s">
        <v>351</v>
      </c>
      <c r="B225" s="147" t="s">
        <v>352</v>
      </c>
      <c r="C225" s="22" t="s">
        <v>14</v>
      </c>
      <c r="D225" s="59">
        <v>27</v>
      </c>
      <c r="E225" s="19">
        <v>145000</v>
      </c>
      <c r="F225" s="250">
        <f>Tabla3[[#This Row],[VALOR UNITARIO ]]*Tabla3[[#This Row],[CANTIDAD ]]</f>
        <v>3915000</v>
      </c>
      <c r="G225" s="239">
        <f>1.3*86690</f>
        <v>112697</v>
      </c>
      <c r="H225" s="250">
        <f>Tabla3[[#This Row],[VALOR UNITARIO]]*Tabla3[[#This Row],[CANTIDAD ]]</f>
        <v>3042819</v>
      </c>
      <c r="I225" s="250"/>
      <c r="J225" s="250"/>
      <c r="K225" s="250"/>
      <c r="L225" s="250"/>
      <c r="M225" s="250"/>
      <c r="N225" s="250"/>
      <c r="O225" s="250"/>
      <c r="P225" s="240"/>
      <c r="R225" s="250">
        <f>MAX(Tabla3[[#This Row],[VALOR TOTAL]],Tabla3[[#This Row],[VALOR TOTAL ]])</f>
        <v>3915000</v>
      </c>
      <c r="S225" s="250">
        <f>MIN(Tabla3[[#This Row],[VALOR TOTAL ]],Tabla3[[#This Row],[VALOR TOTAL]])</f>
        <v>3042819</v>
      </c>
      <c r="T225" s="250">
        <f>AVERAGE(Tabla3[[#This Row],[VALOR TOTAL ]:[VALOR TOTAL]])</f>
        <v>2356838.6666666665</v>
      </c>
    </row>
    <row r="226" spans="1:20" ht="24" x14ac:dyDescent="0.2">
      <c r="A226" s="20" t="s">
        <v>353</v>
      </c>
      <c r="B226" s="147" t="s">
        <v>354</v>
      </c>
      <c r="C226" s="22" t="s">
        <v>14</v>
      </c>
      <c r="D226" s="59">
        <v>34</v>
      </c>
      <c r="E226" s="19">
        <v>112000</v>
      </c>
      <c r="F226" s="250">
        <f>Tabla3[[#This Row],[VALOR UNITARIO ]]*Tabla3[[#This Row],[CANTIDAD ]]</f>
        <v>3808000</v>
      </c>
      <c r="G226" s="239">
        <f>1.3*27250</f>
        <v>35425</v>
      </c>
      <c r="H226" s="250">
        <f>Tabla3[[#This Row],[VALOR UNITARIO]]*Tabla3[[#This Row],[CANTIDAD ]]</f>
        <v>1204450</v>
      </c>
      <c r="I226" s="250"/>
      <c r="J226" s="250"/>
      <c r="K226" s="250"/>
      <c r="L226" s="250"/>
      <c r="M226" s="250"/>
      <c r="N226" s="250"/>
      <c r="O226" s="250"/>
      <c r="P226" s="240"/>
      <c r="R226" s="250">
        <f>MAX(Tabla3[[#This Row],[VALOR TOTAL]],Tabla3[[#This Row],[VALOR TOTAL ]])</f>
        <v>3808000</v>
      </c>
      <c r="S226" s="250">
        <f>MIN(Tabla3[[#This Row],[VALOR TOTAL ]],Tabla3[[#This Row],[VALOR TOTAL]])</f>
        <v>1204450</v>
      </c>
      <c r="T226" s="250">
        <f>AVERAGE(Tabla3[[#This Row],[VALOR TOTAL ]:[VALOR TOTAL]])</f>
        <v>1682625</v>
      </c>
    </row>
    <row r="227" spans="1:20" x14ac:dyDescent="0.2">
      <c r="A227" s="145" t="s">
        <v>355</v>
      </c>
      <c r="B227" s="148" t="s">
        <v>63</v>
      </c>
      <c r="C227" s="134" t="s">
        <v>6</v>
      </c>
      <c r="D227" s="21">
        <v>4</v>
      </c>
      <c r="E227" s="19">
        <v>27000</v>
      </c>
      <c r="F227" s="250">
        <f>Tabla3[[#This Row],[VALOR UNITARIO ]]*Tabla3[[#This Row],[CANTIDAD ]]</f>
        <v>108000</v>
      </c>
      <c r="G227" s="239">
        <f>1.3*21550</f>
        <v>28015</v>
      </c>
      <c r="H227" s="250">
        <f>Tabla3[[#This Row],[VALOR UNITARIO]]*Tabla3[[#This Row],[CANTIDAD ]]</f>
        <v>112060</v>
      </c>
      <c r="I227" s="250"/>
      <c r="J227" s="250"/>
      <c r="K227" s="250"/>
      <c r="L227" s="250"/>
      <c r="M227" s="250"/>
      <c r="N227" s="250"/>
      <c r="O227" s="250"/>
      <c r="P227" s="240"/>
      <c r="R227" s="250">
        <f>MAX(Tabla3[[#This Row],[VALOR TOTAL]],Tabla3[[#This Row],[VALOR TOTAL ]])</f>
        <v>112060</v>
      </c>
      <c r="S227" s="250">
        <f>MIN(Tabla3[[#This Row],[VALOR TOTAL ]],Tabla3[[#This Row],[VALOR TOTAL]])</f>
        <v>108000</v>
      </c>
      <c r="T227" s="250">
        <f>AVERAGE(Tabla3[[#This Row],[VALOR TOTAL ]:[VALOR TOTAL]])</f>
        <v>82691.666666666672</v>
      </c>
    </row>
    <row r="228" spans="1:20" ht="24" x14ac:dyDescent="0.2">
      <c r="A228" s="20" t="s">
        <v>356</v>
      </c>
      <c r="B228" s="149" t="s">
        <v>357</v>
      </c>
      <c r="C228" s="22" t="s">
        <v>14</v>
      </c>
      <c r="D228" s="100">
        <v>24</v>
      </c>
      <c r="E228" s="19">
        <v>52000</v>
      </c>
      <c r="F228" s="250">
        <f>Tabla3[[#This Row],[VALOR UNITARIO ]]*Tabla3[[#This Row],[CANTIDAD ]]</f>
        <v>1248000</v>
      </c>
      <c r="G228" s="239">
        <v>45383</v>
      </c>
      <c r="H228" s="250">
        <f>Tabla3[[#This Row],[VALOR UNITARIO]]*Tabla3[[#This Row],[CANTIDAD ]]</f>
        <v>1089192</v>
      </c>
      <c r="I228" s="250"/>
      <c r="J228" s="250"/>
      <c r="K228" s="250"/>
      <c r="L228" s="250"/>
      <c r="M228" s="250"/>
      <c r="N228" s="250"/>
      <c r="O228" s="250"/>
      <c r="P228" s="240"/>
      <c r="R228" s="250">
        <f>MAX(Tabla3[[#This Row],[VALOR TOTAL]],Tabla3[[#This Row],[VALOR TOTAL ]])</f>
        <v>1248000</v>
      </c>
      <c r="S228" s="250">
        <f>MIN(Tabla3[[#This Row],[VALOR TOTAL ]],Tabla3[[#This Row],[VALOR TOTAL]])</f>
        <v>1089192</v>
      </c>
      <c r="T228" s="250">
        <f>AVERAGE(Tabla3[[#This Row],[VALOR TOTAL ]:[VALOR TOTAL]])</f>
        <v>794191.66666666663</v>
      </c>
    </row>
    <row r="229" spans="1:20" x14ac:dyDescent="0.2">
      <c r="A229" s="118" t="s">
        <v>358</v>
      </c>
      <c r="B229" s="115" t="s">
        <v>234</v>
      </c>
      <c r="C229" s="79"/>
      <c r="D229" s="144"/>
      <c r="F229" s="254"/>
      <c r="G229" s="144"/>
      <c r="H229" s="254"/>
      <c r="I229" s="270"/>
      <c r="P229" s="240"/>
      <c r="R229" s="254"/>
      <c r="S229" s="254"/>
      <c r="T229" s="254"/>
    </row>
    <row r="230" spans="1:20" x14ac:dyDescent="0.2">
      <c r="A230" s="145" t="s">
        <v>359</v>
      </c>
      <c r="B230" s="87" t="s">
        <v>84</v>
      </c>
      <c r="C230" s="75" t="s">
        <v>19</v>
      </c>
      <c r="D230" s="57">
        <v>7</v>
      </c>
      <c r="E230" s="19">
        <v>9000</v>
      </c>
      <c r="F230" s="250">
        <f>Tabla3[[#This Row],[VALOR UNITARIO ]]*Tabla3[[#This Row],[CANTIDAD ]]</f>
        <v>63000</v>
      </c>
      <c r="G230" s="239">
        <v>5200</v>
      </c>
      <c r="H230" s="250">
        <f>Tabla3[[#This Row],[VALOR UNITARIO]]*Tabla3[[#This Row],[CANTIDAD ]]</f>
        <v>36400</v>
      </c>
      <c r="I230" s="250"/>
      <c r="J230" s="250"/>
      <c r="K230" s="250"/>
      <c r="L230" s="250"/>
      <c r="M230" s="250"/>
      <c r="N230" s="250"/>
      <c r="O230" s="250"/>
      <c r="P230" s="240"/>
      <c r="R230" s="250">
        <f>MAX(Tabla3[[#This Row],[VALOR TOTAL]],Tabla3[[#This Row],[VALOR TOTAL ]])</f>
        <v>63000</v>
      </c>
      <c r="S230" s="250">
        <f>MIN(Tabla3[[#This Row],[VALOR TOTAL ]],Tabla3[[#This Row],[VALOR TOTAL]])</f>
        <v>36400</v>
      </c>
      <c r="T230" s="250">
        <f>AVERAGE(Tabla3[[#This Row],[VALOR TOTAL ]:[VALOR TOTAL]])</f>
        <v>34866.666666666664</v>
      </c>
    </row>
    <row r="231" spans="1:20" ht="36" x14ac:dyDescent="0.2">
      <c r="A231" s="145" t="s">
        <v>360</v>
      </c>
      <c r="B231" s="46" t="s">
        <v>86</v>
      </c>
      <c r="C231" s="45" t="s">
        <v>19</v>
      </c>
      <c r="D231" s="59">
        <v>7</v>
      </c>
      <c r="E231" s="19">
        <v>48000</v>
      </c>
      <c r="F231" s="250">
        <f>Tabla3[[#This Row],[VALOR UNITARIO ]]*Tabla3[[#This Row],[CANTIDAD ]]</f>
        <v>336000</v>
      </c>
      <c r="G231" s="239">
        <v>45500</v>
      </c>
      <c r="H231" s="250">
        <f>Tabla3[[#This Row],[VALOR UNITARIO]]*Tabla3[[#This Row],[CANTIDAD ]]</f>
        <v>318500</v>
      </c>
      <c r="I231" s="250"/>
      <c r="J231" s="250"/>
      <c r="K231" s="250"/>
      <c r="L231" s="250"/>
      <c r="M231" s="250"/>
      <c r="N231" s="250"/>
      <c r="O231" s="250"/>
      <c r="P231" s="240"/>
      <c r="R231" s="250">
        <f>MAX(Tabla3[[#This Row],[VALOR TOTAL]],Tabla3[[#This Row],[VALOR TOTAL ]])</f>
        <v>336000</v>
      </c>
      <c r="S231" s="250">
        <f>MIN(Tabla3[[#This Row],[VALOR TOTAL ]],Tabla3[[#This Row],[VALOR TOTAL]])</f>
        <v>318500</v>
      </c>
      <c r="T231" s="250">
        <f>AVERAGE(Tabla3[[#This Row],[VALOR TOTAL ]:[VALOR TOTAL]])</f>
        <v>233333.33333333334</v>
      </c>
    </row>
    <row r="232" spans="1:20" x14ac:dyDescent="0.2">
      <c r="A232" s="145" t="s">
        <v>361</v>
      </c>
      <c r="B232" s="46" t="s">
        <v>88</v>
      </c>
      <c r="C232" s="45" t="s">
        <v>19</v>
      </c>
      <c r="D232" s="59">
        <v>8</v>
      </c>
      <c r="E232" s="19">
        <v>28000</v>
      </c>
      <c r="F232" s="250">
        <f>Tabla3[[#This Row],[VALOR UNITARIO ]]*Tabla3[[#This Row],[CANTIDAD ]]</f>
        <v>224000</v>
      </c>
      <c r="G232" s="239">
        <v>11700</v>
      </c>
      <c r="H232" s="250">
        <f>Tabla3[[#This Row],[VALOR UNITARIO]]*Tabla3[[#This Row],[CANTIDAD ]]</f>
        <v>93600</v>
      </c>
      <c r="I232" s="250"/>
      <c r="J232" s="250"/>
      <c r="K232" s="250"/>
      <c r="L232" s="250"/>
      <c r="M232" s="250"/>
      <c r="N232" s="250"/>
      <c r="O232" s="250"/>
      <c r="P232" s="240"/>
      <c r="R232" s="250">
        <f>MAX(Tabla3[[#This Row],[VALOR TOTAL]],Tabla3[[#This Row],[VALOR TOTAL ]])</f>
        <v>224000</v>
      </c>
      <c r="S232" s="250">
        <f>MIN(Tabla3[[#This Row],[VALOR TOTAL ]],Tabla3[[#This Row],[VALOR TOTAL]])</f>
        <v>93600</v>
      </c>
      <c r="T232" s="250">
        <f>AVERAGE(Tabla3[[#This Row],[VALOR TOTAL ]:[VALOR TOTAL]])</f>
        <v>109766.66666666667</v>
      </c>
    </row>
    <row r="233" spans="1:20" x14ac:dyDescent="0.2">
      <c r="A233" s="145" t="s">
        <v>362</v>
      </c>
      <c r="B233" s="40" t="s">
        <v>90</v>
      </c>
      <c r="C233" s="45" t="s">
        <v>19</v>
      </c>
      <c r="D233" s="59">
        <v>9</v>
      </c>
      <c r="E233" s="19">
        <v>19000</v>
      </c>
      <c r="F233" s="250">
        <f>Tabla3[[#This Row],[VALOR UNITARIO ]]*Tabla3[[#This Row],[CANTIDAD ]]</f>
        <v>171000</v>
      </c>
      <c r="G233" s="239">
        <v>8710</v>
      </c>
      <c r="H233" s="250">
        <f>Tabla3[[#This Row],[VALOR UNITARIO]]*Tabla3[[#This Row],[CANTIDAD ]]</f>
        <v>78390</v>
      </c>
      <c r="I233" s="250"/>
      <c r="J233" s="250"/>
      <c r="K233" s="250"/>
      <c r="L233" s="250"/>
      <c r="M233" s="250"/>
      <c r="N233" s="250"/>
      <c r="O233" s="250"/>
      <c r="P233" s="240"/>
      <c r="R233" s="250">
        <f>MAX(Tabla3[[#This Row],[VALOR TOTAL]],Tabla3[[#This Row],[VALOR TOTAL ]])</f>
        <v>171000</v>
      </c>
      <c r="S233" s="250">
        <f>MIN(Tabla3[[#This Row],[VALOR TOTAL ]],Tabla3[[#This Row],[VALOR TOTAL]])</f>
        <v>78390</v>
      </c>
      <c r="T233" s="250">
        <f>AVERAGE(Tabla3[[#This Row],[VALOR TOTAL ]:[VALOR TOTAL]])</f>
        <v>86033.333333333328</v>
      </c>
    </row>
    <row r="234" spans="1:20" x14ac:dyDescent="0.2">
      <c r="A234" s="145" t="s">
        <v>363</v>
      </c>
      <c r="B234" s="46" t="s">
        <v>92</v>
      </c>
      <c r="C234" s="45" t="s">
        <v>19</v>
      </c>
      <c r="D234" s="59">
        <v>2</v>
      </c>
      <c r="E234" s="19">
        <v>18000</v>
      </c>
      <c r="F234" s="250">
        <f>Tabla3[[#This Row],[VALOR UNITARIO ]]*Tabla3[[#This Row],[CANTIDAD ]]</f>
        <v>36000</v>
      </c>
      <c r="G234" s="239">
        <v>8710</v>
      </c>
      <c r="H234" s="250">
        <f>Tabla3[[#This Row],[VALOR UNITARIO]]*Tabla3[[#This Row],[CANTIDAD ]]</f>
        <v>17420</v>
      </c>
      <c r="I234" s="250"/>
      <c r="J234" s="250"/>
      <c r="K234" s="250"/>
      <c r="L234" s="250"/>
      <c r="M234" s="250"/>
      <c r="N234" s="250"/>
      <c r="O234" s="250"/>
      <c r="P234" s="240"/>
      <c r="R234" s="250">
        <f>MAX(Tabla3[[#This Row],[VALOR TOTAL]],Tabla3[[#This Row],[VALOR TOTAL ]])</f>
        <v>36000</v>
      </c>
      <c r="S234" s="250">
        <f>MIN(Tabla3[[#This Row],[VALOR TOTAL ]],Tabla3[[#This Row],[VALOR TOTAL]])</f>
        <v>17420</v>
      </c>
      <c r="T234" s="250">
        <f>AVERAGE(Tabla3[[#This Row],[VALOR TOTAL ]:[VALOR TOTAL]])</f>
        <v>20710</v>
      </c>
    </row>
    <row r="235" spans="1:20" x14ac:dyDescent="0.2">
      <c r="A235" s="11" t="s">
        <v>364</v>
      </c>
      <c r="B235" s="40" t="s">
        <v>94</v>
      </c>
      <c r="C235" s="45" t="s">
        <v>19</v>
      </c>
      <c r="D235" s="59">
        <v>11</v>
      </c>
      <c r="E235" s="19">
        <v>17000</v>
      </c>
      <c r="F235" s="250">
        <f>Tabla3[[#This Row],[VALOR UNITARIO ]]*Tabla3[[#This Row],[CANTIDAD ]]</f>
        <v>187000</v>
      </c>
      <c r="G235" s="239">
        <v>8710</v>
      </c>
      <c r="H235" s="250">
        <f>Tabla3[[#This Row],[VALOR UNITARIO]]*Tabla3[[#This Row],[CANTIDAD ]]</f>
        <v>95810</v>
      </c>
      <c r="I235" s="250"/>
      <c r="J235" s="250"/>
      <c r="K235" s="250"/>
      <c r="L235" s="250"/>
      <c r="M235" s="250"/>
      <c r="N235" s="250"/>
      <c r="O235" s="250"/>
      <c r="P235" s="240"/>
      <c r="R235" s="250">
        <f>MAX(Tabla3[[#This Row],[VALOR TOTAL]],Tabla3[[#This Row],[VALOR TOTAL ]])</f>
        <v>187000</v>
      </c>
      <c r="S235" s="250">
        <f>MIN(Tabla3[[#This Row],[VALOR TOTAL ]],Tabla3[[#This Row],[VALOR TOTAL]])</f>
        <v>95810</v>
      </c>
      <c r="T235" s="250">
        <f>AVERAGE(Tabla3[[#This Row],[VALOR TOTAL ]:[VALOR TOTAL]])</f>
        <v>97173.333333333328</v>
      </c>
    </row>
    <row r="236" spans="1:20" x14ac:dyDescent="0.2">
      <c r="A236" s="145" t="s">
        <v>365</v>
      </c>
      <c r="B236" s="40" t="s">
        <v>84</v>
      </c>
      <c r="C236" s="45" t="s">
        <v>14</v>
      </c>
      <c r="D236" s="59">
        <v>4</v>
      </c>
      <c r="E236" s="19">
        <v>5400</v>
      </c>
      <c r="F236" s="250">
        <f>Tabla3[[#This Row],[VALOR UNITARIO ]]*Tabla3[[#This Row],[CANTIDAD ]]</f>
        <v>21600</v>
      </c>
      <c r="G236" s="239">
        <v>4000</v>
      </c>
      <c r="H236" s="250">
        <f>Tabla3[[#This Row],[VALOR UNITARIO]]*Tabla3[[#This Row],[CANTIDAD ]]</f>
        <v>16000</v>
      </c>
      <c r="I236" s="250"/>
      <c r="J236" s="250"/>
      <c r="K236" s="250"/>
      <c r="L236" s="250"/>
      <c r="M236" s="250"/>
      <c r="N236" s="250"/>
      <c r="O236" s="250"/>
      <c r="P236" s="240"/>
      <c r="R236" s="250">
        <f>MAX(Tabla3[[#This Row],[VALOR TOTAL]],Tabla3[[#This Row],[VALOR TOTAL ]])</f>
        <v>21600</v>
      </c>
      <c r="S236" s="250">
        <f>MIN(Tabla3[[#This Row],[VALOR TOTAL ]],Tabla3[[#This Row],[VALOR TOTAL]])</f>
        <v>16000</v>
      </c>
      <c r="T236" s="250">
        <f>AVERAGE(Tabla3[[#This Row],[VALOR TOTAL ]:[VALOR TOTAL]])</f>
        <v>13866.666666666666</v>
      </c>
    </row>
    <row r="237" spans="1:20" ht="36" x14ac:dyDescent="0.2">
      <c r="A237" s="11" t="s">
        <v>366</v>
      </c>
      <c r="B237" s="46" t="s">
        <v>86</v>
      </c>
      <c r="C237" s="45" t="s">
        <v>14</v>
      </c>
      <c r="D237" s="59">
        <v>3</v>
      </c>
      <c r="E237" s="19">
        <v>28800</v>
      </c>
      <c r="F237" s="250">
        <f>Tabla3[[#This Row],[VALOR UNITARIO ]]*Tabla3[[#This Row],[CANTIDAD ]]</f>
        <v>86400</v>
      </c>
      <c r="G237" s="239">
        <v>45500</v>
      </c>
      <c r="H237" s="250">
        <f>Tabla3[[#This Row],[VALOR UNITARIO]]*Tabla3[[#This Row],[CANTIDAD ]]</f>
        <v>136500</v>
      </c>
      <c r="I237" s="250"/>
      <c r="J237" s="250"/>
      <c r="K237" s="250"/>
      <c r="L237" s="250"/>
      <c r="M237" s="250"/>
      <c r="N237" s="250"/>
      <c r="O237" s="250"/>
      <c r="P237" s="240"/>
      <c r="R237" s="250">
        <f>MAX(Tabla3[[#This Row],[VALOR TOTAL]],Tabla3[[#This Row],[VALOR TOTAL ]])</f>
        <v>136500</v>
      </c>
      <c r="S237" s="250">
        <f>MIN(Tabla3[[#This Row],[VALOR TOTAL ]],Tabla3[[#This Row],[VALOR TOTAL]])</f>
        <v>86400</v>
      </c>
      <c r="T237" s="250">
        <f>AVERAGE(Tabla3[[#This Row],[VALOR TOTAL ]:[VALOR TOTAL]])</f>
        <v>89466.666666666672</v>
      </c>
    </row>
    <row r="238" spans="1:20" x14ac:dyDescent="0.2">
      <c r="A238" s="145" t="s">
        <v>367</v>
      </c>
      <c r="B238" s="46" t="s">
        <v>88</v>
      </c>
      <c r="C238" s="45" t="s">
        <v>14</v>
      </c>
      <c r="D238" s="59">
        <v>4</v>
      </c>
      <c r="E238" s="19">
        <v>16800</v>
      </c>
      <c r="F238" s="250">
        <f>Tabla3[[#This Row],[VALOR UNITARIO ]]*Tabla3[[#This Row],[CANTIDAD ]]</f>
        <v>67200</v>
      </c>
      <c r="G238" s="239">
        <v>11700</v>
      </c>
      <c r="H238" s="250">
        <f>Tabla3[[#This Row],[VALOR UNITARIO]]*Tabla3[[#This Row],[CANTIDAD ]]</f>
        <v>46800</v>
      </c>
      <c r="I238" s="250"/>
      <c r="J238" s="250"/>
      <c r="K238" s="250"/>
      <c r="L238" s="250"/>
      <c r="M238" s="250"/>
      <c r="N238" s="250"/>
      <c r="O238" s="250"/>
      <c r="P238" s="240"/>
      <c r="R238" s="250">
        <f>MAX(Tabla3[[#This Row],[VALOR TOTAL]],Tabla3[[#This Row],[VALOR TOTAL ]])</f>
        <v>67200</v>
      </c>
      <c r="S238" s="250">
        <f>MIN(Tabla3[[#This Row],[VALOR TOTAL ]],Tabla3[[#This Row],[VALOR TOTAL]])</f>
        <v>46800</v>
      </c>
      <c r="T238" s="250">
        <f>AVERAGE(Tabla3[[#This Row],[VALOR TOTAL ]:[VALOR TOTAL]])</f>
        <v>41900</v>
      </c>
    </row>
    <row r="239" spans="1:20" x14ac:dyDescent="0.2">
      <c r="A239" s="11" t="s">
        <v>368</v>
      </c>
      <c r="B239" s="46" t="s">
        <v>98</v>
      </c>
      <c r="C239" s="45" t="s">
        <v>14</v>
      </c>
      <c r="D239" s="59">
        <v>6</v>
      </c>
      <c r="E239" s="19">
        <v>6120</v>
      </c>
      <c r="F239" s="250">
        <f>Tabla3[[#This Row],[VALOR UNITARIO ]]*Tabla3[[#This Row],[CANTIDAD ]]</f>
        <v>36720</v>
      </c>
      <c r="G239" s="239">
        <v>8710</v>
      </c>
      <c r="H239" s="250">
        <f>Tabla3[[#This Row],[VALOR UNITARIO]]*Tabla3[[#This Row],[CANTIDAD ]]</f>
        <v>52260</v>
      </c>
      <c r="I239" s="250"/>
      <c r="J239" s="250"/>
      <c r="K239" s="250"/>
      <c r="L239" s="250"/>
      <c r="M239" s="250"/>
      <c r="N239" s="250"/>
      <c r="O239" s="250"/>
      <c r="P239" s="240"/>
      <c r="R239" s="250">
        <f>MAX(Tabla3[[#This Row],[VALOR TOTAL]],Tabla3[[#This Row],[VALOR TOTAL ]])</f>
        <v>52260</v>
      </c>
      <c r="S239" s="250">
        <f>MIN(Tabla3[[#This Row],[VALOR TOTAL ]],Tabla3[[#This Row],[VALOR TOTAL]])</f>
        <v>36720</v>
      </c>
      <c r="T239" s="250">
        <f>AVERAGE(Tabla3[[#This Row],[VALOR TOTAL ]:[VALOR TOTAL]])</f>
        <v>32563.333333333332</v>
      </c>
    </row>
    <row r="240" spans="1:20" x14ac:dyDescent="0.2">
      <c r="A240" s="145" t="s">
        <v>369</v>
      </c>
      <c r="B240" s="46" t="s">
        <v>92</v>
      </c>
      <c r="C240" s="45" t="s">
        <v>14</v>
      </c>
      <c r="D240" s="123">
        <v>1</v>
      </c>
      <c r="E240" s="19">
        <v>10800</v>
      </c>
      <c r="F240" s="250">
        <f>Tabla3[[#This Row],[VALOR UNITARIO ]]*Tabla3[[#This Row],[CANTIDAD ]]</f>
        <v>10800</v>
      </c>
      <c r="G240" s="239">
        <v>5200</v>
      </c>
      <c r="H240" s="250">
        <f>Tabla3[[#This Row],[VALOR UNITARIO]]*Tabla3[[#This Row],[CANTIDAD ]]</f>
        <v>5200</v>
      </c>
      <c r="I240" s="250"/>
      <c r="J240" s="250"/>
      <c r="K240" s="250"/>
      <c r="L240" s="250"/>
      <c r="M240" s="250"/>
      <c r="N240" s="250"/>
      <c r="O240" s="250"/>
      <c r="P240" s="240"/>
      <c r="R240" s="250">
        <f>MAX(Tabla3[[#This Row],[VALOR TOTAL]],Tabla3[[#This Row],[VALOR TOTAL ]])</f>
        <v>10800</v>
      </c>
      <c r="S240" s="250">
        <f>MIN(Tabla3[[#This Row],[VALOR TOTAL ]],Tabla3[[#This Row],[VALOR TOTAL]])</f>
        <v>5200</v>
      </c>
      <c r="T240" s="250">
        <f>AVERAGE(Tabla3[[#This Row],[VALOR TOTAL ]:[VALOR TOTAL]])</f>
        <v>7066.666666666667</v>
      </c>
    </row>
    <row r="241" spans="1:20" x14ac:dyDescent="0.2">
      <c r="A241" s="11" t="s">
        <v>370</v>
      </c>
      <c r="B241" s="46" t="s">
        <v>371</v>
      </c>
      <c r="C241" s="45" t="s">
        <v>19</v>
      </c>
      <c r="D241" s="123">
        <v>18</v>
      </c>
      <c r="E241" s="19">
        <v>15000</v>
      </c>
      <c r="F241" s="250">
        <f>Tabla3[[#This Row],[VALOR UNITARIO ]]*Tabla3[[#This Row],[CANTIDAD ]]</f>
        <v>270000</v>
      </c>
      <c r="G241" s="239">
        <v>17000</v>
      </c>
      <c r="H241" s="250">
        <f>Tabla3[[#This Row],[VALOR UNITARIO]]*Tabla3[[#This Row],[CANTIDAD ]]</f>
        <v>306000</v>
      </c>
      <c r="I241" s="250"/>
      <c r="J241" s="250"/>
      <c r="K241" s="250"/>
      <c r="L241" s="250"/>
      <c r="M241" s="250"/>
      <c r="N241" s="250"/>
      <c r="O241" s="250"/>
      <c r="P241" s="240"/>
      <c r="R241" s="250">
        <f>MAX(Tabla3[[#This Row],[VALOR TOTAL]],Tabla3[[#This Row],[VALOR TOTAL ]])</f>
        <v>306000</v>
      </c>
      <c r="S241" s="250">
        <f>MIN(Tabla3[[#This Row],[VALOR TOTAL ]],Tabla3[[#This Row],[VALOR TOTAL]])</f>
        <v>270000</v>
      </c>
      <c r="T241" s="250">
        <f>AVERAGE(Tabla3[[#This Row],[VALOR TOTAL ]:[VALOR TOTAL]])</f>
        <v>197666.66666666666</v>
      </c>
    </row>
    <row r="242" spans="1:20" x14ac:dyDescent="0.2">
      <c r="A242" s="11" t="s">
        <v>372</v>
      </c>
      <c r="B242" s="46" t="s">
        <v>145</v>
      </c>
      <c r="C242" s="45" t="s">
        <v>19</v>
      </c>
      <c r="D242" s="123">
        <v>4</v>
      </c>
      <c r="E242" s="19">
        <v>55000</v>
      </c>
      <c r="F242" s="250">
        <f>Tabla3[[#This Row],[VALOR UNITARIO ]]*Tabla3[[#This Row],[CANTIDAD ]]</f>
        <v>220000</v>
      </c>
      <c r="G242" s="239">
        <v>8000</v>
      </c>
      <c r="H242" s="250">
        <f>Tabla3[[#This Row],[VALOR UNITARIO]]*Tabla3[[#This Row],[CANTIDAD ]]</f>
        <v>32000</v>
      </c>
      <c r="I242" s="250"/>
      <c r="J242" s="250"/>
      <c r="K242" s="250"/>
      <c r="L242" s="250"/>
      <c r="M242" s="250"/>
      <c r="N242" s="250"/>
      <c r="O242" s="250"/>
      <c r="P242" s="240"/>
      <c r="R242" s="250">
        <f>MAX(Tabla3[[#This Row],[VALOR TOTAL]],Tabla3[[#This Row],[VALOR TOTAL ]])</f>
        <v>220000</v>
      </c>
      <c r="S242" s="250">
        <f>MIN(Tabla3[[#This Row],[VALOR TOTAL ]],Tabla3[[#This Row],[VALOR TOTAL]])</f>
        <v>32000</v>
      </c>
      <c r="T242" s="250">
        <f>AVERAGE(Tabla3[[#This Row],[VALOR TOTAL ]:[VALOR TOTAL]])</f>
        <v>86666.666666666672</v>
      </c>
    </row>
    <row r="243" spans="1:20" x14ac:dyDescent="0.2">
      <c r="A243" s="11" t="s">
        <v>373</v>
      </c>
      <c r="B243" s="66" t="s">
        <v>374</v>
      </c>
      <c r="C243" s="67" t="s">
        <v>19</v>
      </c>
      <c r="D243" s="150">
        <v>18</v>
      </c>
      <c r="E243" s="19">
        <v>70000</v>
      </c>
      <c r="F243" s="250">
        <f>Tabla3[[#This Row],[VALOR UNITARIO ]]*Tabla3[[#This Row],[CANTIDAD ]]</f>
        <v>1260000</v>
      </c>
      <c r="G243" s="239">
        <f>1.3*37110</f>
        <v>48243</v>
      </c>
      <c r="H243" s="250">
        <f>Tabla3[[#This Row],[VALOR UNITARIO]]*Tabla3[[#This Row],[CANTIDAD ]]</f>
        <v>868374</v>
      </c>
      <c r="I243" s="250"/>
      <c r="J243" s="250"/>
      <c r="K243" s="250"/>
      <c r="L243" s="250"/>
      <c r="M243" s="250"/>
      <c r="N243" s="250"/>
      <c r="O243" s="250"/>
      <c r="P243" s="240"/>
      <c r="R243" s="250">
        <f>MAX(Tabla3[[#This Row],[VALOR TOTAL]],Tabla3[[#This Row],[VALOR TOTAL ]])</f>
        <v>1260000</v>
      </c>
      <c r="S243" s="250">
        <f>MIN(Tabla3[[#This Row],[VALOR TOTAL ]],Tabla3[[#This Row],[VALOR TOTAL]])</f>
        <v>868374</v>
      </c>
      <c r="T243" s="250">
        <f>AVERAGE(Tabla3[[#This Row],[VALOR TOTAL ]:[VALOR TOTAL]])</f>
        <v>725539</v>
      </c>
    </row>
    <row r="244" spans="1:20" x14ac:dyDescent="0.2">
      <c r="A244" s="52" t="s">
        <v>375</v>
      </c>
      <c r="B244" s="53" t="s">
        <v>376</v>
      </c>
      <c r="C244" s="54"/>
      <c r="D244" s="151"/>
      <c r="F244" s="254"/>
      <c r="G244" s="268"/>
      <c r="H244" s="254"/>
      <c r="I244" s="270"/>
      <c r="P244" s="240"/>
      <c r="R244" s="254"/>
      <c r="S244" s="254"/>
      <c r="T244" s="254"/>
    </row>
    <row r="245" spans="1:20" ht="36" x14ac:dyDescent="0.2">
      <c r="A245" s="11" t="s">
        <v>377</v>
      </c>
      <c r="B245" s="152" t="s">
        <v>378</v>
      </c>
      <c r="C245" s="153" t="s">
        <v>14</v>
      </c>
      <c r="D245" s="15">
        <v>20</v>
      </c>
      <c r="E245" s="19">
        <v>112000</v>
      </c>
      <c r="F245" s="250">
        <f>Tabla3[[#This Row],[VALOR UNITARIO ]]*Tabla3[[#This Row],[CANTIDAD ]]</f>
        <v>2240000</v>
      </c>
      <c r="G245" s="39">
        <v>12000</v>
      </c>
      <c r="H245" s="250">
        <f>Tabla3[[#This Row],[VALOR UNITARIO]]*Tabla3[[#This Row],[CANTIDAD ]]</f>
        <v>240000</v>
      </c>
      <c r="I245" s="250"/>
      <c r="J245" s="250"/>
      <c r="K245" s="250"/>
      <c r="L245" s="250"/>
      <c r="M245" s="250"/>
      <c r="N245" s="250"/>
      <c r="O245" s="250"/>
      <c r="P245" s="240"/>
      <c r="R245" s="250">
        <f>MAX(Tabla3[[#This Row],[VALOR TOTAL]],Tabla3[[#This Row],[VALOR TOTAL ]])</f>
        <v>2240000</v>
      </c>
      <c r="S245" s="250">
        <f>MIN(Tabla3[[#This Row],[VALOR TOTAL ]],Tabla3[[#This Row],[VALOR TOTAL]])</f>
        <v>240000</v>
      </c>
      <c r="T245" s="250">
        <f>AVERAGE(Tabla3[[#This Row],[VALOR TOTAL ]:[VALOR TOTAL]])</f>
        <v>830666.66666666663</v>
      </c>
    </row>
    <row r="246" spans="1:20" ht="24" x14ac:dyDescent="0.2">
      <c r="A246" s="11" t="s">
        <v>379</v>
      </c>
      <c r="B246" s="46" t="s">
        <v>380</v>
      </c>
      <c r="C246" s="45" t="s">
        <v>19</v>
      </c>
      <c r="D246" s="15">
        <v>12</v>
      </c>
      <c r="E246" s="19">
        <v>80000</v>
      </c>
      <c r="F246" s="250">
        <f>Tabla3[[#This Row],[VALOR UNITARIO ]]*Tabla3[[#This Row],[CANTIDAD ]]</f>
        <v>960000</v>
      </c>
      <c r="G246" s="39">
        <v>45000</v>
      </c>
      <c r="H246" s="250">
        <f>Tabla3[[#This Row],[VALOR UNITARIO]]*Tabla3[[#This Row],[CANTIDAD ]]</f>
        <v>540000</v>
      </c>
      <c r="I246" s="250"/>
      <c r="J246" s="250"/>
      <c r="K246" s="250"/>
      <c r="L246" s="250"/>
      <c r="M246" s="250"/>
      <c r="N246" s="250"/>
      <c r="O246" s="250"/>
      <c r="P246" s="240"/>
      <c r="R246" s="250">
        <f>MAX(Tabla3[[#This Row],[VALOR TOTAL]],Tabla3[[#This Row],[VALOR TOTAL ]])</f>
        <v>960000</v>
      </c>
      <c r="S246" s="250">
        <f>MIN(Tabla3[[#This Row],[VALOR TOTAL ]],Tabla3[[#This Row],[VALOR TOTAL]])</f>
        <v>540000</v>
      </c>
      <c r="T246" s="250">
        <f>AVERAGE(Tabla3[[#This Row],[VALOR TOTAL ]:[VALOR TOTAL]])</f>
        <v>515000</v>
      </c>
    </row>
    <row r="247" spans="1:20" ht="24" x14ac:dyDescent="0.2">
      <c r="A247" s="11" t="s">
        <v>381</v>
      </c>
      <c r="B247" s="27" t="s">
        <v>61</v>
      </c>
      <c r="C247" s="30" t="s">
        <v>14</v>
      </c>
      <c r="D247" s="15">
        <v>16</v>
      </c>
      <c r="E247" s="19">
        <v>46000</v>
      </c>
      <c r="F247" s="250">
        <f>Tabla3[[#This Row],[VALOR UNITARIO ]]*Tabla3[[#This Row],[CANTIDAD ]]</f>
        <v>736000</v>
      </c>
      <c r="G247" s="39">
        <v>57837</v>
      </c>
      <c r="H247" s="250">
        <f>Tabla3[[#This Row],[VALOR UNITARIO]]*Tabla3[[#This Row],[CANTIDAD ]]</f>
        <v>925392</v>
      </c>
      <c r="I247" s="250"/>
      <c r="J247" s="250"/>
      <c r="K247" s="250"/>
      <c r="L247" s="250"/>
      <c r="M247" s="250"/>
      <c r="N247" s="250"/>
      <c r="O247" s="250"/>
      <c r="P247" s="240"/>
      <c r="R247" s="250">
        <f>MAX(Tabla3[[#This Row],[VALOR TOTAL]],Tabla3[[#This Row],[VALOR TOTAL ]])</f>
        <v>925392</v>
      </c>
      <c r="S247" s="250">
        <f>MIN(Tabla3[[#This Row],[VALOR TOTAL ]],Tabla3[[#This Row],[VALOR TOTAL]])</f>
        <v>736000</v>
      </c>
      <c r="T247" s="250">
        <f>AVERAGE(Tabla3[[#This Row],[VALOR TOTAL ]:[VALOR TOTAL]])</f>
        <v>573076.33333333337</v>
      </c>
    </row>
    <row r="248" spans="1:20" x14ac:dyDescent="0.2">
      <c r="A248" s="11" t="s">
        <v>382</v>
      </c>
      <c r="B248" s="154" t="s">
        <v>59</v>
      </c>
      <c r="C248" s="30" t="s">
        <v>14</v>
      </c>
      <c r="D248" s="15">
        <v>10</v>
      </c>
      <c r="E248" s="19">
        <v>16000</v>
      </c>
      <c r="F248" s="250">
        <f>Tabla3[[#This Row],[VALOR UNITARIO ]]*Tabla3[[#This Row],[CANTIDAD ]]</f>
        <v>160000</v>
      </c>
      <c r="G248" s="39">
        <v>16848</v>
      </c>
      <c r="H248" s="250">
        <f>Tabla3[[#This Row],[VALOR UNITARIO]]*Tabla3[[#This Row],[CANTIDAD ]]</f>
        <v>168480</v>
      </c>
      <c r="I248" s="250"/>
      <c r="J248" s="250"/>
      <c r="K248" s="250"/>
      <c r="L248" s="250"/>
      <c r="M248" s="250"/>
      <c r="N248" s="250"/>
      <c r="O248" s="250"/>
      <c r="P248" s="240"/>
      <c r="R248" s="250">
        <f>MAX(Tabla3[[#This Row],[VALOR TOTAL]],Tabla3[[#This Row],[VALOR TOTAL ]])</f>
        <v>168480</v>
      </c>
      <c r="S248" s="250">
        <f>MIN(Tabla3[[#This Row],[VALOR TOTAL ]],Tabla3[[#This Row],[VALOR TOTAL]])</f>
        <v>160000</v>
      </c>
      <c r="T248" s="250">
        <f>AVERAGE(Tabla3[[#This Row],[VALOR TOTAL ]:[VALOR TOTAL]])</f>
        <v>115109.33333333333</v>
      </c>
    </row>
    <row r="249" spans="1:20" x14ac:dyDescent="0.2">
      <c r="A249" s="11" t="s">
        <v>383</v>
      </c>
      <c r="B249" s="154" t="s">
        <v>63</v>
      </c>
      <c r="C249" s="30" t="s">
        <v>6</v>
      </c>
      <c r="D249" s="15">
        <v>2</v>
      </c>
      <c r="E249" s="19">
        <v>27000</v>
      </c>
      <c r="F249" s="250">
        <f>Tabla3[[#This Row],[VALOR UNITARIO ]]*Tabla3[[#This Row],[CANTIDAD ]]</f>
        <v>54000</v>
      </c>
      <c r="G249" s="266">
        <v>0</v>
      </c>
      <c r="H249" s="250">
        <f>Tabla3[[#This Row],[VALOR UNITARIO]]*Tabla3[[#This Row],[CANTIDAD ]]</f>
        <v>0</v>
      </c>
      <c r="I249" s="250"/>
      <c r="J249" s="250"/>
      <c r="K249" s="250"/>
      <c r="L249" s="250"/>
      <c r="M249" s="250"/>
      <c r="N249" s="250"/>
      <c r="O249" s="250"/>
      <c r="P249" s="240"/>
      <c r="R249" s="250">
        <f>MAX(Tabla3[[#This Row],[VALOR TOTAL]],Tabla3[[#This Row],[VALOR TOTAL ]])</f>
        <v>54000</v>
      </c>
      <c r="S249" s="250">
        <f>MIN(Tabla3[[#This Row],[VALOR TOTAL ]],Tabla3[[#This Row],[VALOR TOTAL]])</f>
        <v>0</v>
      </c>
      <c r="T249" s="250">
        <f>AVERAGE(Tabla3[[#This Row],[VALOR TOTAL ]:[VALOR TOTAL]])</f>
        <v>18000</v>
      </c>
    </row>
    <row r="250" spans="1:20" x14ac:dyDescent="0.2">
      <c r="A250" s="11" t="s">
        <v>384</v>
      </c>
      <c r="B250" s="154" t="s">
        <v>65</v>
      </c>
      <c r="C250" s="30" t="s">
        <v>14</v>
      </c>
      <c r="D250" s="15">
        <v>6</v>
      </c>
      <c r="E250" s="19">
        <v>48000</v>
      </c>
      <c r="F250" s="250">
        <f>Tabla3[[#This Row],[VALOR UNITARIO ]]*Tabla3[[#This Row],[CANTIDAD ]]</f>
        <v>288000</v>
      </c>
      <c r="G250" s="39">
        <v>36283</v>
      </c>
      <c r="H250" s="250">
        <f>Tabla3[[#This Row],[VALOR UNITARIO]]*Tabla3[[#This Row],[CANTIDAD ]]</f>
        <v>217698</v>
      </c>
      <c r="I250" s="250"/>
      <c r="J250" s="250"/>
      <c r="K250" s="250"/>
      <c r="L250" s="250"/>
      <c r="M250" s="250"/>
      <c r="N250" s="250"/>
      <c r="O250" s="250"/>
      <c r="P250" s="240"/>
      <c r="R250" s="250">
        <f>MAX(Tabla3[[#This Row],[VALOR TOTAL]],Tabla3[[#This Row],[VALOR TOTAL ]])</f>
        <v>288000</v>
      </c>
      <c r="S250" s="250">
        <f>MIN(Tabla3[[#This Row],[VALOR TOTAL ]],Tabla3[[#This Row],[VALOR TOTAL]])</f>
        <v>217698</v>
      </c>
      <c r="T250" s="250">
        <f>AVERAGE(Tabla3[[#This Row],[VALOR TOTAL ]:[VALOR TOTAL]])</f>
        <v>180660.33333333334</v>
      </c>
    </row>
    <row r="251" spans="1:20" ht="24" x14ac:dyDescent="0.2">
      <c r="A251" s="11" t="s">
        <v>385</v>
      </c>
      <c r="B251" s="149" t="s">
        <v>57</v>
      </c>
      <c r="C251" s="155" t="s">
        <v>14</v>
      </c>
      <c r="D251" s="156">
        <v>4</v>
      </c>
      <c r="E251" s="19">
        <v>94000</v>
      </c>
      <c r="F251" s="250">
        <f>Tabla3[[#This Row],[VALOR UNITARIO ]]*Tabla3[[#This Row],[CANTIDAD ]]</f>
        <v>376000</v>
      </c>
      <c r="G251" s="39">
        <v>113048</v>
      </c>
      <c r="H251" s="250">
        <f>Tabla3[[#This Row],[VALOR UNITARIO]]*Tabla3[[#This Row],[CANTIDAD ]]</f>
        <v>452192</v>
      </c>
      <c r="I251" s="250"/>
      <c r="J251" s="250"/>
      <c r="K251" s="250"/>
      <c r="L251" s="250"/>
      <c r="M251" s="250"/>
      <c r="N251" s="250"/>
      <c r="O251" s="250"/>
      <c r="P251" s="240"/>
      <c r="R251" s="250">
        <f>MAX(Tabla3[[#This Row],[VALOR TOTAL]],Tabla3[[#This Row],[VALOR TOTAL ]])</f>
        <v>452192</v>
      </c>
      <c r="S251" s="250">
        <f>MIN(Tabla3[[#This Row],[VALOR TOTAL ]],Tabla3[[#This Row],[VALOR TOTAL]])</f>
        <v>376000</v>
      </c>
      <c r="T251" s="250">
        <f>AVERAGE(Tabla3[[#This Row],[VALOR TOTAL ]:[VALOR TOTAL]])</f>
        <v>313746.66666666669</v>
      </c>
    </row>
    <row r="252" spans="1:20" x14ac:dyDescent="0.2">
      <c r="A252" s="9" t="s">
        <v>386</v>
      </c>
      <c r="B252" s="53" t="s">
        <v>101</v>
      </c>
      <c r="C252" s="54"/>
      <c r="D252" s="151"/>
      <c r="E252" s="19"/>
      <c r="F252" s="250"/>
      <c r="G252" s="268"/>
      <c r="H252" s="250"/>
      <c r="I252" s="250"/>
      <c r="J252" s="250"/>
      <c r="K252" s="250"/>
      <c r="L252" s="250"/>
      <c r="M252" s="250"/>
      <c r="N252" s="250"/>
      <c r="O252" s="250"/>
      <c r="P252" s="240"/>
      <c r="R252" s="250"/>
      <c r="S252" s="250"/>
      <c r="T252" s="250"/>
    </row>
    <row r="253" spans="1:20" ht="24" x14ac:dyDescent="0.2">
      <c r="A253" s="11" t="s">
        <v>387</v>
      </c>
      <c r="B253" s="56" t="s">
        <v>103</v>
      </c>
      <c r="C253" s="57" t="s">
        <v>19</v>
      </c>
      <c r="D253" s="15">
        <v>10</v>
      </c>
      <c r="E253" s="19">
        <v>130000</v>
      </c>
      <c r="F253" s="250">
        <f>Tabla3[[#This Row],[VALOR UNITARIO ]]*Tabla3[[#This Row],[CANTIDAD ]]</f>
        <v>1300000</v>
      </c>
      <c r="G253" s="39">
        <v>122971.77200000001</v>
      </c>
      <c r="H253" s="250">
        <f>Tabla3[[#This Row],[VALOR UNITARIO]]*Tabla3[[#This Row],[CANTIDAD ]]</f>
        <v>1229717.7200000002</v>
      </c>
      <c r="I253" s="250"/>
      <c r="J253" s="250"/>
      <c r="K253" s="250"/>
      <c r="L253" s="250"/>
      <c r="M253" s="250"/>
      <c r="N253" s="250"/>
      <c r="O253" s="250"/>
      <c r="P253" s="240"/>
      <c r="R253" s="250">
        <f>MAX(Tabla3[[#This Row],[VALOR TOTAL]],Tabla3[[#This Row],[VALOR TOTAL ]])</f>
        <v>1300000</v>
      </c>
      <c r="S253" s="250">
        <f>MIN(Tabla3[[#This Row],[VALOR TOTAL ]],Tabla3[[#This Row],[VALOR TOTAL]])</f>
        <v>1229717.7200000002</v>
      </c>
      <c r="T253" s="250">
        <f>AVERAGE(Tabla3[[#This Row],[VALOR TOTAL ]:[VALOR TOTAL]])</f>
        <v>884229.83066666685</v>
      </c>
    </row>
    <row r="254" spans="1:20" x14ac:dyDescent="0.2">
      <c r="A254" s="11" t="s">
        <v>388</v>
      </c>
      <c r="B254" s="58" t="s">
        <v>105</v>
      </c>
      <c r="C254" s="59" t="s">
        <v>14</v>
      </c>
      <c r="D254" s="15">
        <v>5</v>
      </c>
      <c r="E254" s="19">
        <v>50000</v>
      </c>
      <c r="F254" s="250">
        <f>Tabla3[[#This Row],[VALOR UNITARIO ]]*Tabla3[[#This Row],[CANTIDAD ]]</f>
        <v>250000</v>
      </c>
      <c r="G254" s="39">
        <v>111069.57400000001</v>
      </c>
      <c r="H254" s="250">
        <f>Tabla3[[#This Row],[VALOR UNITARIO]]*Tabla3[[#This Row],[CANTIDAD ]]</f>
        <v>555347.87</v>
      </c>
      <c r="I254" s="250"/>
      <c r="J254" s="250"/>
      <c r="K254" s="250"/>
      <c r="L254" s="250"/>
      <c r="M254" s="250"/>
      <c r="N254" s="250"/>
      <c r="O254" s="250"/>
      <c r="P254" s="240"/>
      <c r="R254" s="250">
        <f>MAX(Tabla3[[#This Row],[VALOR TOTAL]],Tabla3[[#This Row],[VALOR TOTAL ]])</f>
        <v>555347.87</v>
      </c>
      <c r="S254" s="250">
        <f>MIN(Tabla3[[#This Row],[VALOR TOTAL ]],Tabla3[[#This Row],[VALOR TOTAL]])</f>
        <v>250000</v>
      </c>
      <c r="T254" s="250">
        <f>AVERAGE(Tabla3[[#This Row],[VALOR TOTAL ]:[VALOR TOTAL]])</f>
        <v>305472.48133333336</v>
      </c>
    </row>
    <row r="255" spans="1:20" ht="36" x14ac:dyDescent="0.2">
      <c r="A255" s="11" t="s">
        <v>389</v>
      </c>
      <c r="B255" s="24" t="s">
        <v>107</v>
      </c>
      <c r="C255" s="59" t="s">
        <v>14</v>
      </c>
      <c r="D255" s="15">
        <v>5</v>
      </c>
      <c r="E255" s="19">
        <v>78000</v>
      </c>
      <c r="F255" s="250">
        <f>Tabla3[[#This Row],[VALOR UNITARIO ]]*Tabla3[[#This Row],[CANTIDAD ]]</f>
        <v>390000</v>
      </c>
      <c r="G255" s="39">
        <v>76011.936000000002</v>
      </c>
      <c r="H255" s="250">
        <f>Tabla3[[#This Row],[VALOR UNITARIO]]*Tabla3[[#This Row],[CANTIDAD ]]</f>
        <v>380059.68</v>
      </c>
      <c r="I255" s="250"/>
      <c r="J255" s="250"/>
      <c r="K255" s="250"/>
      <c r="L255" s="250"/>
      <c r="M255" s="250"/>
      <c r="N255" s="250"/>
      <c r="O255" s="250"/>
      <c r="P255" s="240"/>
      <c r="R255" s="250">
        <f>MAX(Tabla3[[#This Row],[VALOR TOTAL]],Tabla3[[#This Row],[VALOR TOTAL ]])</f>
        <v>390000</v>
      </c>
      <c r="S255" s="250">
        <f>MIN(Tabla3[[#This Row],[VALOR TOTAL ]],Tabla3[[#This Row],[VALOR TOTAL]])</f>
        <v>380059.68</v>
      </c>
      <c r="T255" s="250">
        <f>AVERAGE(Tabla3[[#This Row],[VALOR TOTAL ]:[VALOR TOTAL]])</f>
        <v>282023.87199999997</v>
      </c>
    </row>
    <row r="256" spans="1:20" x14ac:dyDescent="0.2">
      <c r="A256" s="11" t="s">
        <v>390</v>
      </c>
      <c r="B256" s="58" t="s">
        <v>109</v>
      </c>
      <c r="C256" s="59" t="s">
        <v>14</v>
      </c>
      <c r="D256" s="15">
        <v>8</v>
      </c>
      <c r="E256" s="19">
        <v>50000</v>
      </c>
      <c r="F256" s="250">
        <f>Tabla3[[#This Row],[VALOR UNITARIO ]]*Tabla3[[#This Row],[CANTIDAD ]]</f>
        <v>400000</v>
      </c>
      <c r="G256" s="39">
        <v>17277</v>
      </c>
      <c r="H256" s="250">
        <f>Tabla3[[#This Row],[VALOR UNITARIO]]*Tabla3[[#This Row],[CANTIDAD ]]</f>
        <v>138216</v>
      </c>
      <c r="I256" s="250"/>
      <c r="J256" s="250"/>
      <c r="K256" s="250"/>
      <c r="L256" s="250"/>
      <c r="M256" s="250"/>
      <c r="N256" s="250"/>
      <c r="O256" s="250"/>
      <c r="P256" s="240"/>
      <c r="R256" s="250">
        <f>MAX(Tabla3[[#This Row],[VALOR TOTAL]],Tabla3[[#This Row],[VALOR TOTAL ]])</f>
        <v>400000</v>
      </c>
      <c r="S256" s="250">
        <f>MIN(Tabla3[[#This Row],[VALOR TOTAL ]],Tabla3[[#This Row],[VALOR TOTAL]])</f>
        <v>138216</v>
      </c>
      <c r="T256" s="250">
        <f>AVERAGE(Tabla3[[#This Row],[VALOR TOTAL ]:[VALOR TOTAL]])</f>
        <v>185164.33333333334</v>
      </c>
    </row>
    <row r="257" spans="1:20" ht="36" x14ac:dyDescent="0.2">
      <c r="A257" s="11" t="s">
        <v>391</v>
      </c>
      <c r="B257" s="24" t="s">
        <v>111</v>
      </c>
      <c r="C257" s="60" t="s">
        <v>6</v>
      </c>
      <c r="D257" s="15">
        <v>1</v>
      </c>
      <c r="E257" s="19">
        <v>650000</v>
      </c>
      <c r="F257" s="250">
        <f>Tabla3[[#This Row],[VALOR UNITARIO ]]*Tabla3[[#This Row],[CANTIDAD ]]</f>
        <v>650000</v>
      </c>
      <c r="G257" s="39">
        <v>802118.24000000011</v>
      </c>
      <c r="H257" s="250">
        <f>Tabla3[[#This Row],[VALOR UNITARIO]]*Tabla3[[#This Row],[CANTIDAD ]]</f>
        <v>802118.24000000011</v>
      </c>
      <c r="I257" s="250"/>
      <c r="J257" s="250"/>
      <c r="K257" s="250"/>
      <c r="L257" s="250"/>
      <c r="M257" s="250"/>
      <c r="N257" s="250"/>
      <c r="O257" s="250"/>
      <c r="P257" s="240"/>
      <c r="R257" s="250">
        <f>MAX(Tabla3[[#This Row],[VALOR TOTAL]],Tabla3[[#This Row],[VALOR TOTAL ]])</f>
        <v>802118.24000000011</v>
      </c>
      <c r="S257" s="250">
        <f>MIN(Tabla3[[#This Row],[VALOR TOTAL ]],Tabla3[[#This Row],[VALOR TOTAL]])</f>
        <v>650000</v>
      </c>
      <c r="T257" s="250">
        <f>AVERAGE(Tabla3[[#This Row],[VALOR TOTAL ]:[VALOR TOTAL]])</f>
        <v>751412.16000000015</v>
      </c>
    </row>
    <row r="258" spans="1:20" ht="48" x14ac:dyDescent="0.2">
      <c r="A258" s="145" t="s">
        <v>392</v>
      </c>
      <c r="B258" s="58" t="s">
        <v>117</v>
      </c>
      <c r="C258" s="60" t="s">
        <v>14</v>
      </c>
      <c r="D258" s="15">
        <v>12</v>
      </c>
      <c r="E258" s="19">
        <v>75000</v>
      </c>
      <c r="F258" s="250">
        <f>Tabla3[[#This Row],[VALOR UNITARIO ]]*Tabla3[[#This Row],[CANTIDAD ]]</f>
        <v>900000</v>
      </c>
      <c r="G258" s="39">
        <v>31265</v>
      </c>
      <c r="H258" s="250">
        <f>Tabla3[[#This Row],[VALOR UNITARIO]]*Tabla3[[#This Row],[CANTIDAD ]]</f>
        <v>375180</v>
      </c>
      <c r="I258" s="250"/>
      <c r="J258" s="250"/>
      <c r="K258" s="250"/>
      <c r="L258" s="250"/>
      <c r="M258" s="250"/>
      <c r="N258" s="250"/>
      <c r="O258" s="250"/>
      <c r="P258" s="240"/>
      <c r="R258" s="250">
        <f>MAX(Tabla3[[#This Row],[VALOR TOTAL]],Tabla3[[#This Row],[VALOR TOTAL ]])</f>
        <v>900000</v>
      </c>
      <c r="S258" s="250">
        <f>MIN(Tabla3[[#This Row],[VALOR TOTAL ]],Tabla3[[#This Row],[VALOR TOTAL]])</f>
        <v>375180</v>
      </c>
      <c r="T258" s="250">
        <f>AVERAGE(Tabla3[[#This Row],[VALOR TOTAL ]:[VALOR TOTAL]])</f>
        <v>435481.66666666669</v>
      </c>
    </row>
    <row r="259" spans="1:20" ht="24" x14ac:dyDescent="0.2">
      <c r="A259" s="145" t="s">
        <v>393</v>
      </c>
      <c r="B259" s="24" t="s">
        <v>119</v>
      </c>
      <c r="C259" s="60" t="s">
        <v>6</v>
      </c>
      <c r="D259" s="15">
        <v>7</v>
      </c>
      <c r="E259" s="19">
        <v>38000</v>
      </c>
      <c r="F259" s="250">
        <f>Tabla3[[#This Row],[VALOR UNITARIO ]]*Tabla3[[#This Row],[CANTIDAD ]]</f>
        <v>266000</v>
      </c>
      <c r="G259" s="39">
        <v>16263</v>
      </c>
      <c r="H259" s="250">
        <f>Tabla3[[#This Row],[VALOR UNITARIO]]*Tabla3[[#This Row],[CANTIDAD ]]</f>
        <v>113841</v>
      </c>
      <c r="I259" s="250"/>
      <c r="J259" s="250"/>
      <c r="K259" s="250"/>
      <c r="L259" s="250"/>
      <c r="M259" s="250"/>
      <c r="N259" s="250"/>
      <c r="O259" s="250"/>
      <c r="P259" s="240"/>
      <c r="R259" s="250">
        <f>MAX(Tabla3[[#This Row],[VALOR TOTAL]],Tabla3[[#This Row],[VALOR TOTAL ]])</f>
        <v>266000</v>
      </c>
      <c r="S259" s="250">
        <f>MIN(Tabla3[[#This Row],[VALOR TOTAL ]],Tabla3[[#This Row],[VALOR TOTAL]])</f>
        <v>113841</v>
      </c>
      <c r="T259" s="250">
        <f>AVERAGE(Tabla3[[#This Row],[VALOR TOTAL ]:[VALOR TOTAL]])</f>
        <v>132034.66666666666</v>
      </c>
    </row>
    <row r="260" spans="1:20" ht="24" x14ac:dyDescent="0.2">
      <c r="A260" s="145" t="s">
        <v>394</v>
      </c>
      <c r="B260" s="58" t="s">
        <v>121</v>
      </c>
      <c r="C260" s="60" t="s">
        <v>14</v>
      </c>
      <c r="D260" s="15">
        <v>110</v>
      </c>
      <c r="E260" s="19">
        <v>10550</v>
      </c>
      <c r="F260" s="250">
        <f>Tabla3[[#This Row],[VALOR UNITARIO ]]*Tabla3[[#This Row],[CANTIDAD ]]</f>
        <v>1160500</v>
      </c>
      <c r="G260" s="39">
        <v>4732</v>
      </c>
      <c r="H260" s="250">
        <f>Tabla3[[#This Row],[VALOR UNITARIO]]*Tabla3[[#This Row],[CANTIDAD ]]</f>
        <v>520520</v>
      </c>
      <c r="I260" s="250"/>
      <c r="J260" s="250"/>
      <c r="K260" s="250"/>
      <c r="L260" s="250"/>
      <c r="M260" s="250"/>
      <c r="N260" s="250"/>
      <c r="O260" s="250"/>
      <c r="P260" s="240"/>
      <c r="R260" s="250">
        <f>MAX(Tabla3[[#This Row],[VALOR TOTAL]],Tabla3[[#This Row],[VALOR TOTAL ]])</f>
        <v>1160500</v>
      </c>
      <c r="S260" s="250">
        <f>MIN(Tabla3[[#This Row],[VALOR TOTAL ]],Tabla3[[#This Row],[VALOR TOTAL]])</f>
        <v>520520</v>
      </c>
      <c r="T260" s="250">
        <f>AVERAGE(Tabla3[[#This Row],[VALOR TOTAL ]:[VALOR TOTAL]])</f>
        <v>561917.33333333337</v>
      </c>
    </row>
    <row r="261" spans="1:20" ht="36" x14ac:dyDescent="0.2">
      <c r="A261" s="145" t="s">
        <v>395</v>
      </c>
      <c r="B261" s="24" t="s">
        <v>123</v>
      </c>
      <c r="C261" s="60" t="s">
        <v>6</v>
      </c>
      <c r="D261" s="15">
        <v>7</v>
      </c>
      <c r="E261" s="19">
        <v>72000</v>
      </c>
      <c r="F261" s="250">
        <f>Tabla3[[#This Row],[VALOR UNITARIO ]]*Tabla3[[#This Row],[CANTIDAD ]]</f>
        <v>504000</v>
      </c>
      <c r="G261" s="39">
        <v>112086</v>
      </c>
      <c r="H261" s="250">
        <f>Tabla3[[#This Row],[VALOR UNITARIO]]*Tabla3[[#This Row],[CANTIDAD ]]</f>
        <v>784602</v>
      </c>
      <c r="I261" s="250"/>
      <c r="J261" s="250"/>
      <c r="K261" s="250"/>
      <c r="L261" s="250"/>
      <c r="M261" s="250"/>
      <c r="N261" s="250"/>
      <c r="O261" s="250"/>
      <c r="P261" s="240"/>
      <c r="R261" s="250">
        <f>MAX(Tabla3[[#This Row],[VALOR TOTAL]],Tabla3[[#This Row],[VALOR TOTAL ]])</f>
        <v>784602</v>
      </c>
      <c r="S261" s="250">
        <f>MIN(Tabla3[[#This Row],[VALOR TOTAL ]],Tabla3[[#This Row],[VALOR TOTAL]])</f>
        <v>504000</v>
      </c>
      <c r="T261" s="250">
        <f>AVERAGE(Tabla3[[#This Row],[VALOR TOTAL ]:[VALOR TOTAL]])</f>
        <v>466896</v>
      </c>
    </row>
    <row r="262" spans="1:20" x14ac:dyDescent="0.2">
      <c r="A262" s="145" t="s">
        <v>396</v>
      </c>
      <c r="B262" s="58" t="s">
        <v>125</v>
      </c>
      <c r="C262" s="60" t="s">
        <v>6</v>
      </c>
      <c r="D262" s="15">
        <v>7</v>
      </c>
      <c r="E262" s="19">
        <v>20000</v>
      </c>
      <c r="F262" s="250">
        <f>Tabla3[[#This Row],[VALOR UNITARIO ]]*Tabla3[[#This Row],[CANTIDAD ]]</f>
        <v>140000</v>
      </c>
      <c r="G262" s="39">
        <v>33267</v>
      </c>
      <c r="H262" s="250">
        <f>Tabla3[[#This Row],[VALOR UNITARIO]]*Tabla3[[#This Row],[CANTIDAD ]]</f>
        <v>232869</v>
      </c>
      <c r="I262" s="250"/>
      <c r="J262" s="250"/>
      <c r="K262" s="250"/>
      <c r="L262" s="250"/>
      <c r="M262" s="250"/>
      <c r="N262" s="250"/>
      <c r="O262" s="250"/>
      <c r="P262" s="240"/>
      <c r="R262" s="250">
        <f>MAX(Tabla3[[#This Row],[VALOR TOTAL]],Tabla3[[#This Row],[VALOR TOTAL ]])</f>
        <v>232869</v>
      </c>
      <c r="S262" s="250">
        <f>MIN(Tabla3[[#This Row],[VALOR TOTAL ]],Tabla3[[#This Row],[VALOR TOTAL]])</f>
        <v>140000</v>
      </c>
      <c r="T262" s="250">
        <f>AVERAGE(Tabla3[[#This Row],[VALOR TOTAL ]:[VALOR TOTAL]])</f>
        <v>135378.66666666666</v>
      </c>
    </row>
    <row r="263" spans="1:20" ht="48" x14ac:dyDescent="0.2">
      <c r="A263" s="145" t="s">
        <v>397</v>
      </c>
      <c r="B263" s="24" t="s">
        <v>127</v>
      </c>
      <c r="C263" s="60" t="s">
        <v>6</v>
      </c>
      <c r="D263" s="15">
        <v>7</v>
      </c>
      <c r="E263" s="19">
        <v>120000</v>
      </c>
      <c r="F263" s="250">
        <f>Tabla3[[#This Row],[VALOR UNITARIO ]]*Tabla3[[#This Row],[CANTIDAD ]]</f>
        <v>840000</v>
      </c>
      <c r="G263" s="266">
        <v>0</v>
      </c>
      <c r="H263" s="250">
        <f>Tabla3[[#This Row],[VALOR UNITARIO]]*Tabla3[[#This Row],[CANTIDAD ]]</f>
        <v>0</v>
      </c>
      <c r="I263" s="250"/>
      <c r="J263" s="250"/>
      <c r="K263" s="250"/>
      <c r="L263" s="250"/>
      <c r="M263" s="250"/>
      <c r="N263" s="250"/>
      <c r="O263" s="250"/>
      <c r="P263" s="240"/>
      <c r="R263" s="250">
        <f>MAX(Tabla3[[#This Row],[VALOR TOTAL]],Tabla3[[#This Row],[VALOR TOTAL ]])</f>
        <v>840000</v>
      </c>
      <c r="S263" s="250">
        <f>MIN(Tabla3[[#This Row],[VALOR TOTAL ]],Tabla3[[#This Row],[VALOR TOTAL]])</f>
        <v>0</v>
      </c>
      <c r="T263" s="250">
        <f>AVERAGE(Tabla3[[#This Row],[VALOR TOTAL ]:[VALOR TOTAL]])</f>
        <v>280000</v>
      </c>
    </row>
    <row r="264" spans="1:20" ht="48" x14ac:dyDescent="0.2">
      <c r="A264" s="145" t="s">
        <v>398</v>
      </c>
      <c r="B264" s="58" t="s">
        <v>129</v>
      </c>
      <c r="C264" s="64" t="s">
        <v>6</v>
      </c>
      <c r="D264" s="15">
        <v>7</v>
      </c>
      <c r="E264" s="19">
        <v>115000</v>
      </c>
      <c r="F264" s="250">
        <f>Tabla3[[#This Row],[VALOR UNITARIO ]]*Tabla3[[#This Row],[CANTIDAD ]]</f>
        <v>805000</v>
      </c>
      <c r="G264" s="262">
        <v>0</v>
      </c>
      <c r="H264" s="250">
        <f>Tabla3[[#This Row],[VALOR UNITARIO]]*Tabla3[[#This Row],[CANTIDAD ]]</f>
        <v>0</v>
      </c>
      <c r="I264" s="250"/>
      <c r="J264" s="250"/>
      <c r="K264" s="250"/>
      <c r="L264" s="250"/>
      <c r="M264" s="250"/>
      <c r="N264" s="250"/>
      <c r="O264" s="250"/>
      <c r="P264" s="240"/>
      <c r="R264" s="250">
        <f>MAX(Tabla3[[#This Row],[VALOR TOTAL]],Tabla3[[#This Row],[VALOR TOTAL ]])</f>
        <v>805000</v>
      </c>
      <c r="S264" s="250">
        <f>MIN(Tabla3[[#This Row],[VALOR TOTAL ]],Tabla3[[#This Row],[VALOR TOTAL]])</f>
        <v>0</v>
      </c>
      <c r="T264" s="250">
        <f>AVERAGE(Tabla3[[#This Row],[VALOR TOTAL ]:[VALOR TOTAL]])</f>
        <v>268333.33333333331</v>
      </c>
    </row>
    <row r="265" spans="1:20" ht="24" x14ac:dyDescent="0.2">
      <c r="A265" s="145" t="s">
        <v>399</v>
      </c>
      <c r="B265" s="63" t="s">
        <v>279</v>
      </c>
      <c r="C265" s="64" t="s">
        <v>6</v>
      </c>
      <c r="D265" s="15">
        <v>1</v>
      </c>
      <c r="E265" s="19">
        <v>95000</v>
      </c>
      <c r="F265" s="250">
        <f>Tabla3[[#This Row],[VALOR UNITARIO ]]*Tabla3[[#This Row],[CANTIDAD ]]</f>
        <v>95000</v>
      </c>
      <c r="G265" s="39">
        <v>22000</v>
      </c>
      <c r="H265" s="250">
        <f>Tabla3[[#This Row],[VALOR UNITARIO]]*Tabla3[[#This Row],[CANTIDAD ]]</f>
        <v>22000</v>
      </c>
      <c r="I265" s="250"/>
      <c r="J265" s="250"/>
      <c r="K265" s="250"/>
      <c r="L265" s="250"/>
      <c r="M265" s="250"/>
      <c r="N265" s="250"/>
      <c r="O265" s="250"/>
      <c r="P265" s="240"/>
      <c r="R265" s="250">
        <f>MAX(Tabla3[[#This Row],[VALOR TOTAL]],Tabla3[[#This Row],[VALOR TOTAL ]])</f>
        <v>95000</v>
      </c>
      <c r="S265" s="250">
        <f>MIN(Tabla3[[#This Row],[VALOR TOTAL ]],Tabla3[[#This Row],[VALOR TOTAL]])</f>
        <v>22000</v>
      </c>
      <c r="T265" s="250">
        <f>AVERAGE(Tabla3[[#This Row],[VALOR TOTAL ]:[VALOR TOTAL]])</f>
        <v>46333.333333333336</v>
      </c>
    </row>
    <row r="266" spans="1:20" ht="24" x14ac:dyDescent="0.2">
      <c r="A266" s="11" t="s">
        <v>400</v>
      </c>
      <c r="B266" s="63" t="s">
        <v>133</v>
      </c>
      <c r="C266" s="64" t="s">
        <v>6</v>
      </c>
      <c r="D266" s="15">
        <v>3</v>
      </c>
      <c r="E266" s="19">
        <v>115000</v>
      </c>
      <c r="F266" s="250">
        <f>Tabla3[[#This Row],[VALOR UNITARIO ]]*Tabla3[[#This Row],[CANTIDAD ]]</f>
        <v>345000</v>
      </c>
      <c r="G266" s="39">
        <f>62150*1.3</f>
        <v>80795</v>
      </c>
      <c r="H266" s="250">
        <f>Tabla3[[#This Row],[VALOR UNITARIO]]*Tabla3[[#This Row],[CANTIDAD ]]</f>
        <v>242385</v>
      </c>
      <c r="I266" s="250"/>
      <c r="J266" s="250"/>
      <c r="K266" s="250"/>
      <c r="L266" s="250"/>
      <c r="M266" s="250"/>
      <c r="N266" s="250"/>
      <c r="O266" s="250"/>
      <c r="P266" s="240"/>
      <c r="R266" s="250">
        <f>MAX(Tabla3[[#This Row],[VALOR TOTAL]],Tabla3[[#This Row],[VALOR TOTAL ]])</f>
        <v>345000</v>
      </c>
      <c r="S266" s="250">
        <f>MIN(Tabla3[[#This Row],[VALOR TOTAL ]],Tabla3[[#This Row],[VALOR TOTAL]])</f>
        <v>242385</v>
      </c>
      <c r="T266" s="250">
        <f>AVERAGE(Tabla3[[#This Row],[VALOR TOTAL ]:[VALOR TOTAL]])</f>
        <v>222726.66666666666</v>
      </c>
    </row>
    <row r="267" spans="1:20" ht="24" x14ac:dyDescent="0.2">
      <c r="A267" s="145" t="s">
        <v>401</v>
      </c>
      <c r="B267" s="58" t="s">
        <v>135</v>
      </c>
      <c r="C267" s="60" t="s">
        <v>14</v>
      </c>
      <c r="D267" s="15">
        <v>5</v>
      </c>
      <c r="E267" s="19">
        <v>17000</v>
      </c>
      <c r="F267" s="250">
        <f>Tabla3[[#This Row],[VALOR UNITARIO ]]*Tabla3[[#This Row],[CANTIDAD ]]</f>
        <v>85000</v>
      </c>
      <c r="G267" s="39">
        <v>8736</v>
      </c>
      <c r="H267" s="250">
        <f>Tabla3[[#This Row],[VALOR UNITARIO]]*Tabla3[[#This Row],[CANTIDAD ]]</f>
        <v>43680</v>
      </c>
      <c r="I267" s="250"/>
      <c r="J267" s="250"/>
      <c r="K267" s="250"/>
      <c r="L267" s="250"/>
      <c r="M267" s="250"/>
      <c r="N267" s="250"/>
      <c r="O267" s="250"/>
      <c r="P267" s="240"/>
      <c r="R267" s="250">
        <f>MAX(Tabla3[[#This Row],[VALOR TOTAL]],Tabla3[[#This Row],[VALOR TOTAL ]])</f>
        <v>85000</v>
      </c>
      <c r="S267" s="250">
        <f>MIN(Tabla3[[#This Row],[VALOR TOTAL ]],Tabla3[[#This Row],[VALOR TOTAL]])</f>
        <v>43680</v>
      </c>
      <c r="T267" s="250">
        <f>AVERAGE(Tabla3[[#This Row],[VALOR TOTAL ]:[VALOR TOTAL]])</f>
        <v>45805.333333333336</v>
      </c>
    </row>
    <row r="268" spans="1:20" x14ac:dyDescent="0.2">
      <c r="A268" s="11" t="s">
        <v>402</v>
      </c>
      <c r="B268" s="128" t="s">
        <v>137</v>
      </c>
      <c r="C268" s="60" t="s">
        <v>6</v>
      </c>
      <c r="D268" s="15">
        <v>7</v>
      </c>
      <c r="E268" s="19">
        <v>38000</v>
      </c>
      <c r="F268" s="250">
        <f>Tabla3[[#This Row],[VALOR UNITARIO ]]*Tabla3[[#This Row],[CANTIDAD ]]</f>
        <v>266000</v>
      </c>
      <c r="G268" s="39">
        <v>12948</v>
      </c>
      <c r="H268" s="250">
        <f>Tabla3[[#This Row],[VALOR UNITARIO]]*Tabla3[[#This Row],[CANTIDAD ]]</f>
        <v>90636</v>
      </c>
      <c r="I268" s="250"/>
      <c r="J268" s="250"/>
      <c r="K268" s="250"/>
      <c r="L268" s="250"/>
      <c r="M268" s="250"/>
      <c r="N268" s="250"/>
      <c r="O268" s="250"/>
      <c r="P268" s="240"/>
      <c r="R268" s="250">
        <f>MAX(Tabla3[[#This Row],[VALOR TOTAL]],Tabla3[[#This Row],[VALOR TOTAL ]])</f>
        <v>266000</v>
      </c>
      <c r="S268" s="250">
        <f>MIN(Tabla3[[#This Row],[VALOR TOTAL ]],Tabla3[[#This Row],[VALOR TOTAL]])</f>
        <v>90636</v>
      </c>
      <c r="T268" s="250">
        <f>AVERAGE(Tabla3[[#This Row],[VALOR TOTAL ]:[VALOR TOTAL]])</f>
        <v>123194.66666666667</v>
      </c>
    </row>
    <row r="269" spans="1:20" x14ac:dyDescent="0.2">
      <c r="A269" s="145" t="s">
        <v>403</v>
      </c>
      <c r="B269" s="128" t="s">
        <v>139</v>
      </c>
      <c r="C269" s="60" t="s">
        <v>6</v>
      </c>
      <c r="D269" s="15">
        <v>1</v>
      </c>
      <c r="E269" s="19">
        <v>48000</v>
      </c>
      <c r="F269" s="250">
        <f>Tabla3[[#This Row],[VALOR UNITARIO ]]*Tabla3[[#This Row],[CANTIDAD ]]</f>
        <v>48000</v>
      </c>
      <c r="G269" s="39">
        <v>16848</v>
      </c>
      <c r="H269" s="250">
        <f>Tabla3[[#This Row],[VALOR UNITARIO]]*Tabla3[[#This Row],[CANTIDAD ]]</f>
        <v>16848</v>
      </c>
      <c r="I269" s="250"/>
      <c r="J269" s="250"/>
      <c r="K269" s="250"/>
      <c r="L269" s="250"/>
      <c r="M269" s="250"/>
      <c r="N269" s="250"/>
      <c r="O269" s="250"/>
      <c r="P269" s="240"/>
      <c r="R269" s="250">
        <f>MAX(Tabla3[[#This Row],[VALOR TOTAL]],Tabla3[[#This Row],[VALOR TOTAL ]])</f>
        <v>48000</v>
      </c>
      <c r="S269" s="250">
        <f>MIN(Tabla3[[#This Row],[VALOR TOTAL ]],Tabla3[[#This Row],[VALOR TOTAL]])</f>
        <v>16848</v>
      </c>
      <c r="T269" s="250">
        <f>AVERAGE(Tabla3[[#This Row],[VALOR TOTAL ]:[VALOR TOTAL]])</f>
        <v>27232</v>
      </c>
    </row>
    <row r="270" spans="1:20" ht="24" x14ac:dyDescent="0.2">
      <c r="A270" s="11" t="s">
        <v>404</v>
      </c>
      <c r="B270" s="129" t="s">
        <v>141</v>
      </c>
      <c r="C270" s="130" t="s">
        <v>6</v>
      </c>
      <c r="D270" s="15">
        <v>1</v>
      </c>
      <c r="E270" s="19">
        <v>3500000</v>
      </c>
      <c r="F270" s="250">
        <f>Tabla3[[#This Row],[VALOR UNITARIO ]]*Tabla3[[#This Row],[CANTIDAD ]]</f>
        <v>3500000</v>
      </c>
      <c r="G270" s="39">
        <v>2570460</v>
      </c>
      <c r="H270" s="250">
        <f>Tabla3[[#This Row],[VALOR UNITARIO]]*Tabla3[[#This Row],[CANTIDAD ]]</f>
        <v>2570460</v>
      </c>
      <c r="I270" s="250"/>
      <c r="J270" s="250"/>
      <c r="K270" s="250"/>
      <c r="L270" s="250"/>
      <c r="M270" s="250"/>
      <c r="N270" s="250"/>
      <c r="O270" s="250"/>
      <c r="P270" s="240"/>
      <c r="R270" s="250">
        <f>MAX(Tabla3[[#This Row],[VALOR TOTAL]],Tabla3[[#This Row],[VALOR TOTAL ]])</f>
        <v>3500000</v>
      </c>
      <c r="S270" s="250">
        <f>MIN(Tabla3[[#This Row],[VALOR TOTAL ]],Tabla3[[#This Row],[VALOR TOTAL]])</f>
        <v>2570460</v>
      </c>
      <c r="T270" s="250">
        <f>AVERAGE(Tabla3[[#This Row],[VALOR TOTAL ]:[VALOR TOTAL]])</f>
        <v>2880306.6666666665</v>
      </c>
    </row>
    <row r="271" spans="1:20" ht="24" x14ac:dyDescent="0.2">
      <c r="A271" s="145" t="s">
        <v>405</v>
      </c>
      <c r="B271" s="131" t="s">
        <v>286</v>
      </c>
      <c r="C271" s="130" t="s">
        <v>6</v>
      </c>
      <c r="D271" s="156">
        <v>1</v>
      </c>
      <c r="E271" s="19">
        <v>450000</v>
      </c>
      <c r="F271" s="250">
        <f>Tabla3[[#This Row],[VALOR UNITARIO ]]*Tabla3[[#This Row],[CANTIDAD ]]</f>
        <v>450000</v>
      </c>
      <c r="G271" s="39">
        <f>173460*1.3</f>
        <v>225498</v>
      </c>
      <c r="H271" s="250">
        <f>Tabla3[[#This Row],[VALOR UNITARIO]]*Tabla3[[#This Row],[CANTIDAD ]]</f>
        <v>225498</v>
      </c>
      <c r="I271" s="250"/>
      <c r="J271" s="250"/>
      <c r="K271" s="250"/>
      <c r="L271" s="250"/>
      <c r="M271" s="250"/>
      <c r="N271" s="250"/>
      <c r="O271" s="250"/>
      <c r="P271" s="240"/>
      <c r="R271" s="250">
        <f>MAX(Tabla3[[#This Row],[VALOR TOTAL]],Tabla3[[#This Row],[VALOR TOTAL ]])</f>
        <v>450000</v>
      </c>
      <c r="S271" s="250">
        <f>MIN(Tabla3[[#This Row],[VALOR TOTAL ]],Tabla3[[#This Row],[VALOR TOTAL]])</f>
        <v>225498</v>
      </c>
      <c r="T271" s="250">
        <f>AVERAGE(Tabla3[[#This Row],[VALOR TOTAL ]:[VALOR TOTAL]])</f>
        <v>300332</v>
      </c>
    </row>
    <row r="272" spans="1:20" ht="24" x14ac:dyDescent="0.2">
      <c r="A272" s="20" t="s">
        <v>406</v>
      </c>
      <c r="B272" s="24" t="s">
        <v>407</v>
      </c>
      <c r="C272" s="22" t="s">
        <v>6</v>
      </c>
      <c r="D272" s="123">
        <v>1</v>
      </c>
      <c r="E272" s="19">
        <v>1350000</v>
      </c>
      <c r="F272" s="250">
        <f>Tabla3[[#This Row],[VALOR UNITARIO ]]*Tabla3[[#This Row],[CANTIDAD ]]</f>
        <v>1350000</v>
      </c>
      <c r="G272" s="39">
        <f>1.3*166392</f>
        <v>216309.6</v>
      </c>
      <c r="H272" s="250">
        <f>Tabla3[[#This Row],[VALOR UNITARIO]]*Tabla3[[#This Row],[CANTIDAD ]]</f>
        <v>216309.6</v>
      </c>
      <c r="I272" s="250"/>
      <c r="J272" s="250"/>
      <c r="K272" s="250"/>
      <c r="L272" s="250"/>
      <c r="M272" s="250"/>
      <c r="N272" s="250"/>
      <c r="O272" s="250"/>
      <c r="P272" s="240"/>
      <c r="R272" s="250">
        <f>MAX(Tabla3[[#This Row],[VALOR TOTAL]],Tabla3[[#This Row],[VALOR TOTAL ]])</f>
        <v>1350000</v>
      </c>
      <c r="S272" s="250">
        <f>MIN(Tabla3[[#This Row],[VALOR TOTAL ]],Tabla3[[#This Row],[VALOR TOTAL]])</f>
        <v>216309.6</v>
      </c>
      <c r="T272" s="250">
        <f>AVERAGE(Tabla3[[#This Row],[VALOR TOTAL ]:[VALOR TOTAL]])</f>
        <v>594206.4</v>
      </c>
    </row>
    <row r="273" spans="1:20" ht="36" x14ac:dyDescent="0.2">
      <c r="A273" s="145" t="s">
        <v>408</v>
      </c>
      <c r="B273" s="24" t="s">
        <v>409</v>
      </c>
      <c r="C273" s="22" t="s">
        <v>14</v>
      </c>
      <c r="D273" s="123">
        <v>1</v>
      </c>
      <c r="E273" s="19">
        <v>260000</v>
      </c>
      <c r="F273" s="250">
        <f>Tabla3[[#This Row],[VALOR UNITARIO ]]*Tabla3[[#This Row],[CANTIDAD ]]</f>
        <v>260000</v>
      </c>
      <c r="G273" s="39">
        <v>700000</v>
      </c>
      <c r="H273" s="250">
        <f>Tabla3[[#This Row],[VALOR UNITARIO]]*Tabla3[[#This Row],[CANTIDAD ]]</f>
        <v>700000</v>
      </c>
      <c r="I273" s="250"/>
      <c r="J273" s="250"/>
      <c r="K273" s="250"/>
      <c r="L273" s="250"/>
      <c r="M273" s="250"/>
      <c r="N273" s="250"/>
      <c r="O273" s="250"/>
      <c r="P273" s="240"/>
      <c r="R273" s="250">
        <f>MAX(Tabla3[[#This Row],[VALOR TOTAL]],Tabla3[[#This Row],[VALOR TOTAL ]])</f>
        <v>700000</v>
      </c>
      <c r="S273" s="250">
        <f>MIN(Tabla3[[#This Row],[VALOR TOTAL ]],Tabla3[[#This Row],[VALOR TOTAL]])</f>
        <v>260000</v>
      </c>
      <c r="T273" s="250">
        <f>AVERAGE(Tabla3[[#This Row],[VALOR TOTAL ]:[VALOR TOTAL]])</f>
        <v>553333.33333333337</v>
      </c>
    </row>
    <row r="274" spans="1:20" x14ac:dyDescent="0.2">
      <c r="A274" s="52" t="s">
        <v>410</v>
      </c>
      <c r="B274" s="8" t="s">
        <v>294</v>
      </c>
      <c r="C274" s="35"/>
      <c r="D274" s="151"/>
      <c r="F274" s="254"/>
      <c r="G274" s="151"/>
      <c r="H274" s="254"/>
      <c r="I274" s="270"/>
      <c r="P274" s="240"/>
      <c r="R274" s="254"/>
      <c r="S274" s="254"/>
      <c r="T274" s="254"/>
    </row>
    <row r="275" spans="1:20" x14ac:dyDescent="0.2">
      <c r="A275" s="157" t="s">
        <v>411</v>
      </c>
      <c r="B275" s="48" t="s">
        <v>412</v>
      </c>
      <c r="C275" s="86" t="s">
        <v>6</v>
      </c>
      <c r="D275" s="15">
        <v>6</v>
      </c>
      <c r="E275" s="19">
        <v>50000</v>
      </c>
      <c r="F275" s="250">
        <f>Tabla3[[#This Row],[VALOR UNITARIO ]]*Tabla3[[#This Row],[CANTIDAD ]]</f>
        <v>300000</v>
      </c>
      <c r="G275" s="39">
        <v>0</v>
      </c>
      <c r="H275" s="250">
        <f>Tabla3[[#This Row],[VALOR UNITARIO]]*Tabla3[[#This Row],[CANTIDAD ]]</f>
        <v>0</v>
      </c>
      <c r="I275" s="250"/>
      <c r="J275" s="250"/>
      <c r="K275" s="250"/>
      <c r="L275" s="250"/>
      <c r="M275" s="250"/>
      <c r="N275" s="250"/>
      <c r="O275" s="250"/>
      <c r="P275" s="240"/>
      <c r="R275" s="250">
        <f>MAX(Tabla3[[#This Row],[VALOR TOTAL]],Tabla3[[#This Row],[VALOR TOTAL ]])</f>
        <v>300000</v>
      </c>
      <c r="S275" s="250">
        <f>MIN(Tabla3[[#This Row],[VALOR TOTAL ]],Tabla3[[#This Row],[VALOR TOTAL]])</f>
        <v>0</v>
      </c>
      <c r="T275" s="250">
        <f>AVERAGE(Tabla3[[#This Row],[VALOR TOTAL ]:[VALOR TOTAL]])</f>
        <v>100000</v>
      </c>
    </row>
    <row r="276" spans="1:20" x14ac:dyDescent="0.2">
      <c r="A276" s="158" t="s">
        <v>751</v>
      </c>
      <c r="B276" s="48" t="s">
        <v>195</v>
      </c>
      <c r="C276" s="49" t="s">
        <v>19</v>
      </c>
      <c r="D276" s="159">
        <v>380</v>
      </c>
      <c r="E276" s="19">
        <v>7000</v>
      </c>
      <c r="F276" s="250">
        <f>Tabla3[[#This Row],[VALOR UNITARIO ]]*Tabla3[[#This Row],[CANTIDAD ]]</f>
        <v>2660000</v>
      </c>
      <c r="G276" s="39">
        <v>4200</v>
      </c>
      <c r="H276" s="250">
        <f>Tabla3[[#This Row],[VALOR UNITARIO]]*Tabla3[[#This Row],[CANTIDAD ]]</f>
        <v>1596000</v>
      </c>
      <c r="I276" s="250"/>
      <c r="J276" s="250"/>
      <c r="K276" s="250"/>
      <c r="L276" s="250"/>
      <c r="M276" s="250"/>
      <c r="N276" s="250"/>
      <c r="O276" s="250"/>
      <c r="P276" s="240"/>
      <c r="R276" s="250">
        <f>MAX(Tabla3[[#This Row],[VALOR TOTAL]],Tabla3[[#This Row],[VALOR TOTAL ]])</f>
        <v>2660000</v>
      </c>
      <c r="S276" s="250">
        <f>MIN(Tabla3[[#This Row],[VALOR TOTAL ]],Tabla3[[#This Row],[VALOR TOTAL]])</f>
        <v>1596000</v>
      </c>
      <c r="T276" s="250">
        <f>AVERAGE(Tabla3[[#This Row],[VALOR TOTAL ]:[VALOR TOTAL]])</f>
        <v>1420066.6666666667</v>
      </c>
    </row>
    <row r="277" spans="1:20" x14ac:dyDescent="0.2">
      <c r="A277" s="160"/>
      <c r="B277" s="161"/>
      <c r="C277" s="108" t="s">
        <v>196</v>
      </c>
      <c r="D277" s="109"/>
      <c r="F277" s="258">
        <f>SUM(F206:F276)</f>
        <v>65511720</v>
      </c>
      <c r="H277" s="254">
        <f>SUM(H206:H276)</f>
        <v>35588591.109999999</v>
      </c>
      <c r="I277" s="270"/>
      <c r="P277" s="240"/>
      <c r="R277" s="254"/>
      <c r="S277" s="254"/>
      <c r="T277" s="254"/>
    </row>
    <row r="278" spans="1:20" x14ac:dyDescent="0.2">
      <c r="A278" s="162"/>
      <c r="B278" s="163"/>
      <c r="C278" s="95" t="s">
        <v>197</v>
      </c>
      <c r="D278" s="96"/>
      <c r="E278" s="97">
        <v>0.3</v>
      </c>
      <c r="F278" s="255">
        <f>F277*Tabla3[[#This Row],[VALOR UNITARIO ]]</f>
        <v>19653516</v>
      </c>
      <c r="G278" s="249">
        <v>0.24</v>
      </c>
      <c r="H278" s="255">
        <f>H277*Tabla3[[#This Row],[VALOR UNITARIO]]</f>
        <v>8541261.8663999997</v>
      </c>
      <c r="I278" s="271"/>
      <c r="J278" s="249"/>
      <c r="K278" s="249"/>
      <c r="L278" s="249"/>
      <c r="M278" s="249"/>
      <c r="N278" s="249"/>
      <c r="O278" s="249"/>
      <c r="P278" s="240"/>
      <c r="R278" s="255"/>
      <c r="S278" s="255"/>
      <c r="T278" s="255"/>
    </row>
    <row r="279" spans="1:20" x14ac:dyDescent="0.2">
      <c r="A279" s="162"/>
      <c r="B279" s="163"/>
      <c r="C279" s="95" t="s">
        <v>198</v>
      </c>
      <c r="D279" s="96"/>
      <c r="E279" s="97">
        <v>0.02</v>
      </c>
      <c r="F279" s="255">
        <f>F277*Tabla3[[#This Row],[VALOR UNITARIO ]]</f>
        <v>1310234.4000000001</v>
      </c>
      <c r="G279" s="249">
        <v>0.01</v>
      </c>
      <c r="H279" s="255">
        <f>H277*Tabla3[[#This Row],[VALOR UNITARIO]]</f>
        <v>355885.91110000003</v>
      </c>
      <c r="I279" s="271"/>
      <c r="J279" s="249"/>
      <c r="K279" s="249"/>
      <c r="L279" s="249"/>
      <c r="M279" s="249"/>
      <c r="N279" s="249"/>
      <c r="O279" s="249"/>
      <c r="P279" s="240"/>
      <c r="R279" s="255"/>
      <c r="S279" s="255"/>
      <c r="T279" s="255"/>
    </row>
    <row r="280" spans="1:20" x14ac:dyDescent="0.2">
      <c r="A280" s="162"/>
      <c r="B280" s="163"/>
      <c r="C280" s="95" t="s">
        <v>199</v>
      </c>
      <c r="D280" s="96"/>
      <c r="E280" s="97">
        <v>0.05</v>
      </c>
      <c r="F280" s="255">
        <f>F277*Tabla3[[#This Row],[VALOR UNITARIO ]]</f>
        <v>3275586</v>
      </c>
      <c r="G280" s="249">
        <v>0.05</v>
      </c>
      <c r="H280" s="255">
        <f>H277*Tabla3[[#This Row],[VALOR UNITARIO]]</f>
        <v>1779429.5555</v>
      </c>
      <c r="I280" s="271"/>
      <c r="J280" s="249"/>
      <c r="K280" s="249"/>
      <c r="L280" s="249"/>
      <c r="M280" s="249"/>
      <c r="N280" s="249"/>
      <c r="O280" s="249"/>
      <c r="P280" s="240"/>
      <c r="R280" s="255"/>
      <c r="S280" s="255"/>
      <c r="T280" s="255"/>
    </row>
    <row r="281" spans="1:20" x14ac:dyDescent="0.2">
      <c r="A281" s="162"/>
      <c r="B281" s="163"/>
      <c r="C281" s="95" t="s">
        <v>200</v>
      </c>
      <c r="D281" s="96"/>
      <c r="E281" s="97">
        <v>0.19</v>
      </c>
      <c r="F281" s="255">
        <f>F280*Tabla3[[#This Row],[VALOR UNITARIO ]]</f>
        <v>622361.34</v>
      </c>
      <c r="G281" s="249">
        <v>0.19</v>
      </c>
      <c r="H281" s="255">
        <f>H280*19%</f>
        <v>338091.61554500001</v>
      </c>
      <c r="I281" s="271"/>
      <c r="J281" s="249"/>
      <c r="K281" s="249"/>
      <c r="L281" s="249"/>
      <c r="M281" s="249"/>
      <c r="N281" s="249"/>
      <c r="O281" s="249"/>
      <c r="P281" s="240"/>
      <c r="R281" s="255"/>
      <c r="S281" s="255"/>
      <c r="T281" s="255"/>
    </row>
    <row r="282" spans="1:20" x14ac:dyDescent="0.2">
      <c r="A282" s="164"/>
      <c r="B282" s="165"/>
      <c r="C282" s="91" t="s">
        <v>201</v>
      </c>
      <c r="D282" s="100"/>
      <c r="F282" s="258">
        <f>SUM(F277:F281)</f>
        <v>90373417.74000001</v>
      </c>
      <c r="H282" s="258">
        <f>SUM(H277:H281)</f>
        <v>46603260.058545001</v>
      </c>
      <c r="I282" s="270"/>
      <c r="P282" s="240"/>
      <c r="R282" s="258"/>
      <c r="S282" s="258"/>
      <c r="T282" s="258"/>
    </row>
    <row r="283" spans="1:20" x14ac:dyDescent="0.2">
      <c r="A283" s="166" t="s">
        <v>413</v>
      </c>
      <c r="B283" s="141" t="s">
        <v>414</v>
      </c>
      <c r="C283" s="142"/>
      <c r="D283" s="142"/>
      <c r="F283" s="254"/>
      <c r="H283" s="254">
        <f>Tabla3[[#This Row],[VALOR UNITARIO]]*Tabla3[[#This Row],[CANTIDAD ]]</f>
        <v>0</v>
      </c>
      <c r="I283" s="270"/>
      <c r="P283" s="240"/>
      <c r="R283" s="254"/>
      <c r="S283" s="254"/>
      <c r="T283" s="254"/>
    </row>
    <row r="284" spans="1:20" x14ac:dyDescent="0.2">
      <c r="A284" s="167" t="s">
        <v>415</v>
      </c>
      <c r="B284" s="132" t="s">
        <v>416</v>
      </c>
      <c r="C284" s="151"/>
      <c r="D284" s="151"/>
      <c r="F284" s="254"/>
      <c r="H284" s="254"/>
      <c r="I284" s="270"/>
      <c r="P284" s="240"/>
      <c r="R284" s="254"/>
      <c r="S284" s="254"/>
      <c r="T284" s="254"/>
    </row>
    <row r="285" spans="1:20" ht="24" x14ac:dyDescent="0.2">
      <c r="A285" s="123" t="s">
        <v>417</v>
      </c>
      <c r="B285" s="12" t="s">
        <v>418</v>
      </c>
      <c r="C285" s="86" t="s">
        <v>19</v>
      </c>
      <c r="D285" s="15">
        <v>197</v>
      </c>
      <c r="E285" s="19">
        <v>45000</v>
      </c>
      <c r="F285" s="250">
        <f>Tabla3[[#This Row],[VALOR UNITARIO ]]*Tabla3[[#This Row],[CANTIDAD ]]</f>
        <v>8865000</v>
      </c>
      <c r="G285" s="266">
        <v>0</v>
      </c>
      <c r="H285" s="250">
        <f>Tabla3[[#This Row],[VALOR UNITARIO]]*Tabla3[[#This Row],[CANTIDAD ]]</f>
        <v>0</v>
      </c>
      <c r="I285" s="250"/>
      <c r="J285" s="250"/>
      <c r="K285" s="250"/>
      <c r="L285" s="250"/>
      <c r="M285" s="250"/>
      <c r="N285" s="250"/>
      <c r="O285" s="250"/>
      <c r="P285" s="240"/>
      <c r="R285" s="250">
        <f>MAX(Tabla3[[#This Row],[VALOR TOTAL]],Tabla3[[#This Row],[VALOR TOTAL ]])</f>
        <v>8865000</v>
      </c>
      <c r="S285" s="250">
        <f>MIN(Tabla3[[#This Row],[VALOR TOTAL ]],Tabla3[[#This Row],[VALOR TOTAL]])</f>
        <v>0</v>
      </c>
      <c r="T285" s="250">
        <f>AVERAGE(Tabla3[[#This Row],[VALOR TOTAL ]:[VALOR TOTAL]])</f>
        <v>2955000</v>
      </c>
    </row>
    <row r="286" spans="1:20" ht="72" x14ac:dyDescent="0.2">
      <c r="A286" s="168" t="s">
        <v>419</v>
      </c>
      <c r="B286" s="56" t="s">
        <v>785</v>
      </c>
      <c r="C286" s="13" t="s">
        <v>6</v>
      </c>
      <c r="D286" s="15">
        <v>113</v>
      </c>
      <c r="E286" s="246"/>
      <c r="F286" s="257" t="s">
        <v>780</v>
      </c>
      <c r="G286" s="266">
        <v>0</v>
      </c>
      <c r="H286" s="250">
        <f>Tabla3[[#This Row],[VALOR UNITARIO]]*Tabla3[[#This Row],[CANTIDAD ]]</f>
        <v>0</v>
      </c>
      <c r="I286" s="251"/>
      <c r="J286" s="251"/>
      <c r="K286" s="251"/>
      <c r="L286" s="251"/>
      <c r="M286" s="251"/>
      <c r="N286" s="251"/>
      <c r="O286" s="251"/>
      <c r="P286" s="240"/>
      <c r="R286" s="250">
        <f>MAX(Tabla3[[#This Row],[VALOR TOTAL]],Tabla3[[#This Row],[VALOR TOTAL ]])</f>
        <v>0</v>
      </c>
      <c r="S286" s="250">
        <f>MIN(Tabla3[[#This Row],[VALOR TOTAL ]],Tabla3[[#This Row],[VALOR TOTAL]])</f>
        <v>0</v>
      </c>
      <c r="T286" s="250">
        <f>AVERAGE(Tabla3[[#This Row],[VALOR TOTAL ]:[VALOR TOTAL]])</f>
        <v>0</v>
      </c>
    </row>
    <row r="287" spans="1:20" ht="72" x14ac:dyDescent="0.2">
      <c r="A287" s="123" t="s">
        <v>420</v>
      </c>
      <c r="B287" s="24" t="s">
        <v>754</v>
      </c>
      <c r="C287" s="17" t="s">
        <v>6</v>
      </c>
      <c r="D287" s="123">
        <v>16</v>
      </c>
      <c r="E287" s="246"/>
      <c r="F287" s="257" t="s">
        <v>780</v>
      </c>
      <c r="G287" s="266">
        <v>0</v>
      </c>
      <c r="H287" s="250">
        <f>Tabla3[[#This Row],[VALOR UNITARIO]]*Tabla3[[#This Row],[CANTIDAD ]]</f>
        <v>0</v>
      </c>
      <c r="I287" s="251"/>
      <c r="J287" s="251"/>
      <c r="K287" s="251"/>
      <c r="L287" s="251"/>
      <c r="M287" s="251"/>
      <c r="N287" s="251"/>
      <c r="O287" s="251"/>
      <c r="P287" s="240"/>
      <c r="R287" s="250">
        <f>MAX(Tabla3[[#This Row],[VALOR TOTAL]],Tabla3[[#This Row],[VALOR TOTAL ]])</f>
        <v>0</v>
      </c>
      <c r="S287" s="250">
        <f>MIN(Tabla3[[#This Row],[VALOR TOTAL ]],Tabla3[[#This Row],[VALOR TOTAL]])</f>
        <v>0</v>
      </c>
      <c r="T287" s="250">
        <f>AVERAGE(Tabla3[[#This Row],[VALOR TOTAL ]:[VALOR TOTAL]])</f>
        <v>0</v>
      </c>
    </row>
    <row r="288" spans="1:20" ht="72" x14ac:dyDescent="0.2">
      <c r="A288" s="145" t="s">
        <v>421</v>
      </c>
      <c r="B288" s="56" t="s">
        <v>755</v>
      </c>
      <c r="C288" s="17" t="s">
        <v>6</v>
      </c>
      <c r="D288" s="123">
        <v>6</v>
      </c>
      <c r="E288" s="246"/>
      <c r="F288" s="257" t="s">
        <v>780</v>
      </c>
      <c r="G288" s="266">
        <v>0</v>
      </c>
      <c r="H288" s="250">
        <f>Tabla3[[#This Row],[VALOR UNITARIO]]*Tabla3[[#This Row],[CANTIDAD ]]</f>
        <v>0</v>
      </c>
      <c r="I288" s="251"/>
      <c r="J288" s="251"/>
      <c r="K288" s="251"/>
      <c r="L288" s="251"/>
      <c r="M288" s="251"/>
      <c r="N288" s="251"/>
      <c r="O288" s="251"/>
      <c r="P288" s="240"/>
      <c r="R288" s="250">
        <f>MAX(Tabla3[[#This Row],[VALOR TOTAL]],Tabla3[[#This Row],[VALOR TOTAL ]])</f>
        <v>0</v>
      </c>
      <c r="S288" s="250">
        <f>MIN(Tabla3[[#This Row],[VALOR TOTAL ]],Tabla3[[#This Row],[VALOR TOTAL]])</f>
        <v>0</v>
      </c>
      <c r="T288" s="250">
        <f>AVERAGE(Tabla3[[#This Row],[VALOR TOTAL ]:[VALOR TOTAL]])</f>
        <v>0</v>
      </c>
    </row>
    <row r="289" spans="1:20" ht="48" x14ac:dyDescent="0.2">
      <c r="A289" s="145" t="s">
        <v>422</v>
      </c>
      <c r="B289" s="169" t="s">
        <v>423</v>
      </c>
      <c r="C289" s="17" t="s">
        <v>6</v>
      </c>
      <c r="D289" s="123">
        <v>5</v>
      </c>
      <c r="E289" s="19">
        <v>280000</v>
      </c>
      <c r="F289" s="250">
        <f>Tabla3[[#This Row],[VALOR UNITARIO ]]*Tabla3[[#This Row],[CANTIDAD ]]</f>
        <v>1400000</v>
      </c>
      <c r="G289" s="266">
        <v>0</v>
      </c>
      <c r="H289" s="250">
        <f>Tabla3[[#This Row],[VALOR UNITARIO]]*Tabla3[[#This Row],[CANTIDAD ]]</f>
        <v>0</v>
      </c>
      <c r="I289" s="250"/>
      <c r="J289" s="250"/>
      <c r="K289" s="250"/>
      <c r="L289" s="250"/>
      <c r="M289" s="250"/>
      <c r="N289" s="250"/>
      <c r="O289" s="250"/>
      <c r="P289" s="240"/>
      <c r="R289" s="250">
        <f>MAX(Tabla3[[#This Row],[VALOR TOTAL]],Tabla3[[#This Row],[VALOR TOTAL ]])</f>
        <v>1400000</v>
      </c>
      <c r="S289" s="250">
        <f>MIN(Tabla3[[#This Row],[VALOR TOTAL ]],Tabla3[[#This Row],[VALOR TOTAL]])</f>
        <v>0</v>
      </c>
      <c r="T289" s="250">
        <f>AVERAGE(Tabla3[[#This Row],[VALOR TOTAL ]:[VALOR TOTAL]])</f>
        <v>466666.66666666669</v>
      </c>
    </row>
    <row r="290" spans="1:20" ht="24" x14ac:dyDescent="0.2">
      <c r="A290" s="170" t="s">
        <v>424</v>
      </c>
      <c r="B290" s="171" t="s">
        <v>425</v>
      </c>
      <c r="C290" s="83" t="s">
        <v>19</v>
      </c>
      <c r="D290" s="150">
        <v>4</v>
      </c>
      <c r="E290" s="19">
        <v>45000</v>
      </c>
      <c r="F290" s="250">
        <f>Tabla3[[#This Row],[VALOR UNITARIO ]]*Tabla3[[#This Row],[CANTIDAD ]]</f>
        <v>180000</v>
      </c>
      <c r="G290" s="266">
        <v>0</v>
      </c>
      <c r="H290" s="250">
        <f>Tabla3[[#This Row],[VALOR UNITARIO]]*Tabla3[[#This Row],[CANTIDAD ]]</f>
        <v>0</v>
      </c>
      <c r="I290" s="250"/>
      <c r="J290" s="250"/>
      <c r="K290" s="250"/>
      <c r="L290" s="250"/>
      <c r="M290" s="250"/>
      <c r="N290" s="250"/>
      <c r="O290" s="250"/>
      <c r="P290" s="240"/>
      <c r="R290" s="250">
        <f>MAX(Tabla3[[#This Row],[VALOR TOTAL]],Tabla3[[#This Row],[VALOR TOTAL ]])</f>
        <v>180000</v>
      </c>
      <c r="S290" s="250">
        <f>MIN(Tabla3[[#This Row],[VALOR TOTAL ]],Tabla3[[#This Row],[VALOR TOTAL]])</f>
        <v>0</v>
      </c>
      <c r="T290" s="250">
        <f>AVERAGE(Tabla3[[#This Row],[VALOR TOTAL ]:[VALOR TOTAL]])</f>
        <v>60000</v>
      </c>
    </row>
    <row r="291" spans="1:20" ht="48" x14ac:dyDescent="0.2">
      <c r="A291" s="170" t="s">
        <v>426</v>
      </c>
      <c r="B291" s="172" t="s">
        <v>427</v>
      </c>
      <c r="C291" s="17" t="s">
        <v>6</v>
      </c>
      <c r="D291" s="123">
        <v>1</v>
      </c>
      <c r="E291" s="19">
        <v>800000</v>
      </c>
      <c r="F291" s="250">
        <f>Tabla3[[#This Row],[VALOR UNITARIO ]]*Tabla3[[#This Row],[CANTIDAD ]]</f>
        <v>800000</v>
      </c>
      <c r="G291" s="266">
        <v>0</v>
      </c>
      <c r="H291" s="250">
        <f>Tabla3[[#This Row],[VALOR UNITARIO]]*Tabla3[[#This Row],[CANTIDAD ]]</f>
        <v>0</v>
      </c>
      <c r="I291" s="250"/>
      <c r="J291" s="250"/>
      <c r="K291" s="250"/>
      <c r="L291" s="250"/>
      <c r="M291" s="250"/>
      <c r="N291" s="250"/>
      <c r="O291" s="250"/>
      <c r="P291" s="240"/>
      <c r="R291" s="250">
        <f>MAX(Tabla3[[#This Row],[VALOR TOTAL]],Tabla3[[#This Row],[VALOR TOTAL ]])</f>
        <v>800000</v>
      </c>
      <c r="S291" s="250">
        <f>MIN(Tabla3[[#This Row],[VALOR TOTAL ]],Tabla3[[#This Row],[VALOR TOTAL]])</f>
        <v>0</v>
      </c>
      <c r="T291" s="250">
        <f>AVERAGE(Tabla3[[#This Row],[VALOR TOTAL ]:[VALOR TOTAL]])</f>
        <v>266666.66666666669</v>
      </c>
    </row>
    <row r="292" spans="1:20" x14ac:dyDescent="0.2">
      <c r="A292" s="143" t="s">
        <v>428</v>
      </c>
      <c r="B292" s="132" t="s">
        <v>429</v>
      </c>
      <c r="C292" s="151"/>
      <c r="D292" s="151"/>
      <c r="E292" s="19"/>
      <c r="F292" s="250"/>
      <c r="G292" s="151"/>
      <c r="H292" s="250"/>
      <c r="I292" s="250"/>
      <c r="J292" s="250"/>
      <c r="K292" s="250"/>
      <c r="L292" s="250"/>
      <c r="M292" s="250"/>
      <c r="N292" s="250"/>
      <c r="O292" s="250"/>
      <c r="P292" s="240"/>
      <c r="R292" s="250"/>
      <c r="S292" s="250"/>
      <c r="T292" s="250"/>
    </row>
    <row r="293" spans="1:20" ht="36" x14ac:dyDescent="0.2">
      <c r="A293" s="20" t="s">
        <v>430</v>
      </c>
      <c r="B293" s="169" t="s">
        <v>431</v>
      </c>
      <c r="C293" s="13" t="s">
        <v>6</v>
      </c>
      <c r="D293" s="15">
        <v>37</v>
      </c>
      <c r="E293" s="19">
        <v>550000</v>
      </c>
      <c r="F293" s="250">
        <f>Tabla3[[#This Row],[VALOR UNITARIO ]]*Tabla3[[#This Row],[CANTIDAD ]]</f>
        <v>20350000</v>
      </c>
      <c r="G293" s="39">
        <v>300000</v>
      </c>
      <c r="H293" s="250">
        <f>Tabla3[[#This Row],[VALOR UNITARIO]]*Tabla3[[#This Row],[CANTIDAD ]]</f>
        <v>11100000</v>
      </c>
      <c r="I293" s="250"/>
      <c r="J293" s="250"/>
      <c r="K293" s="250"/>
      <c r="L293" s="250"/>
      <c r="M293" s="250"/>
      <c r="N293" s="250"/>
      <c r="O293" s="250"/>
      <c r="P293" s="240"/>
      <c r="R293" s="250">
        <f>MAX(Tabla3[[#This Row],[VALOR TOTAL]],Tabla3[[#This Row],[VALOR TOTAL ]])</f>
        <v>20350000</v>
      </c>
      <c r="S293" s="250">
        <f>MIN(Tabla3[[#This Row],[VALOR TOTAL ]],Tabla3[[#This Row],[VALOR TOTAL]])</f>
        <v>11100000</v>
      </c>
      <c r="T293" s="250">
        <f>AVERAGE(Tabla3[[#This Row],[VALOR TOTAL ]:[VALOR TOTAL]])</f>
        <v>10583333.333333334</v>
      </c>
    </row>
    <row r="294" spans="1:20" ht="48" x14ac:dyDescent="0.2">
      <c r="A294" s="45" t="s">
        <v>432</v>
      </c>
      <c r="B294" s="173" t="s">
        <v>433</v>
      </c>
      <c r="C294" s="17" t="s">
        <v>6</v>
      </c>
      <c r="D294" s="174">
        <v>2</v>
      </c>
      <c r="E294" s="19">
        <v>550000</v>
      </c>
      <c r="F294" s="250">
        <f>Tabla3[[#This Row],[VALOR UNITARIO ]]*Tabla3[[#This Row],[CANTIDAD ]]</f>
        <v>1100000</v>
      </c>
      <c r="G294" s="39">
        <v>450000</v>
      </c>
      <c r="H294" s="250">
        <f>Tabla3[[#This Row],[VALOR UNITARIO]]*Tabla3[[#This Row],[CANTIDAD ]]</f>
        <v>900000</v>
      </c>
      <c r="I294" s="250"/>
      <c r="J294" s="250"/>
      <c r="K294" s="250"/>
      <c r="L294" s="250"/>
      <c r="M294" s="250"/>
      <c r="N294" s="250"/>
      <c r="O294" s="250"/>
      <c r="P294" s="240"/>
      <c r="R294" s="250">
        <f>MAX(Tabla3[[#This Row],[VALOR TOTAL]],Tabla3[[#This Row],[VALOR TOTAL ]])</f>
        <v>1100000</v>
      </c>
      <c r="S294" s="250">
        <f>MIN(Tabla3[[#This Row],[VALOR TOTAL ]],Tabla3[[#This Row],[VALOR TOTAL]])</f>
        <v>900000</v>
      </c>
      <c r="T294" s="250">
        <f>AVERAGE(Tabla3[[#This Row],[VALOR TOTAL ]:[VALOR TOTAL]])</f>
        <v>816666.66666666663</v>
      </c>
    </row>
    <row r="295" spans="1:20" ht="36" x14ac:dyDescent="0.2">
      <c r="A295" s="20" t="s">
        <v>434</v>
      </c>
      <c r="B295" s="173" t="s">
        <v>435</v>
      </c>
      <c r="C295" s="17" t="s">
        <v>6</v>
      </c>
      <c r="D295" s="174">
        <v>1</v>
      </c>
      <c r="E295" s="19">
        <v>650000</v>
      </c>
      <c r="F295" s="250">
        <f>Tabla3[[#This Row],[VALOR UNITARIO ]]*Tabla3[[#This Row],[CANTIDAD ]]</f>
        <v>650000</v>
      </c>
      <c r="G295" s="39">
        <v>490000</v>
      </c>
      <c r="H295" s="250">
        <f>Tabla3[[#This Row],[VALOR UNITARIO]]*Tabla3[[#This Row],[CANTIDAD ]]</f>
        <v>490000</v>
      </c>
      <c r="I295" s="250"/>
      <c r="J295" s="250"/>
      <c r="K295" s="250"/>
      <c r="L295" s="250"/>
      <c r="M295" s="250"/>
      <c r="N295" s="250"/>
      <c r="O295" s="250"/>
      <c r="P295" s="240"/>
      <c r="R295" s="250">
        <f>MAX(Tabla3[[#This Row],[VALOR TOTAL]],Tabla3[[#This Row],[VALOR TOTAL ]])</f>
        <v>650000</v>
      </c>
      <c r="S295" s="250">
        <f>MIN(Tabla3[[#This Row],[VALOR TOTAL ]],Tabla3[[#This Row],[VALOR TOTAL]])</f>
        <v>490000</v>
      </c>
      <c r="T295" s="250">
        <f>AVERAGE(Tabla3[[#This Row],[VALOR TOTAL ]:[VALOR TOTAL]])</f>
        <v>543333.33333333337</v>
      </c>
    </row>
    <row r="296" spans="1:20" ht="48" x14ac:dyDescent="0.2">
      <c r="A296" s="45" t="s">
        <v>436</v>
      </c>
      <c r="B296" s="173" t="s">
        <v>437</v>
      </c>
      <c r="C296" s="17" t="s">
        <v>6</v>
      </c>
      <c r="D296" s="174">
        <v>15</v>
      </c>
      <c r="E296" s="19">
        <v>700000</v>
      </c>
      <c r="F296" s="250">
        <f>Tabla3[[#This Row],[VALOR UNITARIO ]]*Tabla3[[#This Row],[CANTIDAD ]]</f>
        <v>10500000</v>
      </c>
      <c r="G296" s="39">
        <v>2700000</v>
      </c>
      <c r="H296" s="250">
        <f>Tabla3[[#This Row],[VALOR UNITARIO]]*Tabla3[[#This Row],[CANTIDAD ]]</f>
        <v>40500000</v>
      </c>
      <c r="I296" s="250"/>
      <c r="J296" s="250"/>
      <c r="K296" s="250"/>
      <c r="L296" s="250"/>
      <c r="M296" s="250"/>
      <c r="N296" s="250"/>
      <c r="O296" s="250"/>
      <c r="P296" s="240"/>
      <c r="R296" s="250">
        <f>MAX(Tabla3[[#This Row],[VALOR TOTAL]],Tabla3[[#This Row],[VALOR TOTAL ]])</f>
        <v>40500000</v>
      </c>
      <c r="S296" s="250">
        <f>MIN(Tabla3[[#This Row],[VALOR TOTAL ]],Tabla3[[#This Row],[VALOR TOTAL]])</f>
        <v>10500000</v>
      </c>
      <c r="T296" s="250">
        <f>AVERAGE(Tabla3[[#This Row],[VALOR TOTAL ]:[VALOR TOTAL]])</f>
        <v>17900000</v>
      </c>
    </row>
    <row r="297" spans="1:20" ht="48" x14ac:dyDescent="0.2">
      <c r="A297" s="20" t="s">
        <v>438</v>
      </c>
      <c r="B297" s="169" t="s">
        <v>439</v>
      </c>
      <c r="C297" s="17" t="s">
        <v>6</v>
      </c>
      <c r="D297" s="174">
        <v>7</v>
      </c>
      <c r="E297" s="19">
        <v>700000</v>
      </c>
      <c r="F297" s="250">
        <f>Tabla3[[#This Row],[VALOR UNITARIO ]]*Tabla3[[#This Row],[CANTIDAD ]]</f>
        <v>4900000</v>
      </c>
      <c r="G297" s="39">
        <v>230000</v>
      </c>
      <c r="H297" s="250">
        <f>Tabla3[[#This Row],[VALOR UNITARIO]]*Tabla3[[#This Row],[CANTIDAD ]]</f>
        <v>1610000</v>
      </c>
      <c r="I297" s="250"/>
      <c r="J297" s="250"/>
      <c r="K297" s="250"/>
      <c r="L297" s="250"/>
      <c r="M297" s="250"/>
      <c r="N297" s="250"/>
      <c r="O297" s="250"/>
      <c r="P297" s="240"/>
      <c r="R297" s="250">
        <f>MAX(Tabla3[[#This Row],[VALOR TOTAL]],Tabla3[[#This Row],[VALOR TOTAL ]])</f>
        <v>4900000</v>
      </c>
      <c r="S297" s="250">
        <f>MIN(Tabla3[[#This Row],[VALOR TOTAL ]],Tabla3[[#This Row],[VALOR TOTAL]])</f>
        <v>1610000</v>
      </c>
      <c r="T297" s="250">
        <f>AVERAGE(Tabla3[[#This Row],[VALOR TOTAL ]:[VALOR TOTAL]])</f>
        <v>2246666.6666666665</v>
      </c>
    </row>
    <row r="298" spans="1:20" ht="24" x14ac:dyDescent="0.2">
      <c r="A298" s="20" t="s">
        <v>440</v>
      </c>
      <c r="B298" s="24" t="s">
        <v>441</v>
      </c>
      <c r="C298" s="22" t="s">
        <v>6</v>
      </c>
      <c r="D298" s="175">
        <v>5</v>
      </c>
      <c r="E298" s="19">
        <v>60000</v>
      </c>
      <c r="F298" s="250">
        <f>Tabla3[[#This Row],[VALOR UNITARIO ]]*Tabla3[[#This Row],[CANTIDAD ]]</f>
        <v>300000</v>
      </c>
      <c r="G298" s="39">
        <v>65000</v>
      </c>
      <c r="H298" s="250">
        <f>Tabla3[[#This Row],[VALOR UNITARIO]]*Tabla3[[#This Row],[CANTIDAD ]]</f>
        <v>325000</v>
      </c>
      <c r="I298" s="250"/>
      <c r="J298" s="250"/>
      <c r="K298" s="250"/>
      <c r="L298" s="250"/>
      <c r="M298" s="250"/>
      <c r="N298" s="250"/>
      <c r="O298" s="250"/>
      <c r="P298" s="240"/>
      <c r="R298" s="250">
        <f>MAX(Tabla3[[#This Row],[VALOR TOTAL]],Tabla3[[#This Row],[VALOR TOTAL ]])</f>
        <v>325000</v>
      </c>
      <c r="S298" s="250">
        <f>MIN(Tabla3[[#This Row],[VALOR TOTAL ]],Tabla3[[#This Row],[VALOR TOTAL]])</f>
        <v>300000</v>
      </c>
      <c r="T298" s="250">
        <f>AVERAGE(Tabla3[[#This Row],[VALOR TOTAL ]:[VALOR TOTAL]])</f>
        <v>230000</v>
      </c>
    </row>
    <row r="299" spans="1:20" ht="36" x14ac:dyDescent="0.2">
      <c r="A299" s="20" t="s">
        <v>442</v>
      </c>
      <c r="B299" s="176" t="s">
        <v>443</v>
      </c>
      <c r="C299" s="83" t="s">
        <v>6</v>
      </c>
      <c r="D299" s="175">
        <v>5</v>
      </c>
      <c r="E299" s="19">
        <v>2900000</v>
      </c>
      <c r="F299" s="250">
        <f>Tabla3[[#This Row],[VALOR UNITARIO ]]*Tabla3[[#This Row],[CANTIDAD ]]</f>
        <v>14500000</v>
      </c>
      <c r="G299" s="39">
        <v>1100000</v>
      </c>
      <c r="H299" s="250">
        <f>Tabla3[[#This Row],[VALOR UNITARIO]]*Tabla3[[#This Row],[CANTIDAD ]]</f>
        <v>5500000</v>
      </c>
      <c r="I299" s="250"/>
      <c r="J299" s="250"/>
      <c r="K299" s="250"/>
      <c r="L299" s="250"/>
      <c r="M299" s="250"/>
      <c r="N299" s="250"/>
      <c r="O299" s="250"/>
      <c r="P299" s="240"/>
      <c r="R299" s="250">
        <f>MAX(Tabla3[[#This Row],[VALOR TOTAL]],Tabla3[[#This Row],[VALOR TOTAL ]])</f>
        <v>14500000</v>
      </c>
      <c r="S299" s="250">
        <f>MIN(Tabla3[[#This Row],[VALOR TOTAL ]],Tabla3[[#This Row],[VALOR TOTAL]])</f>
        <v>5500000</v>
      </c>
      <c r="T299" s="250">
        <f>AVERAGE(Tabla3[[#This Row],[VALOR TOTAL ]:[VALOR TOTAL]])</f>
        <v>7033333.333333333</v>
      </c>
    </row>
    <row r="300" spans="1:20" x14ac:dyDescent="0.2">
      <c r="A300" s="118" t="s">
        <v>444</v>
      </c>
      <c r="B300" s="115" t="s">
        <v>234</v>
      </c>
      <c r="C300" s="79"/>
      <c r="D300" s="177"/>
      <c r="E300" s="19"/>
      <c r="F300" s="250"/>
      <c r="G300" s="119"/>
      <c r="H300" s="250"/>
      <c r="I300" s="250"/>
      <c r="J300" s="250"/>
      <c r="K300" s="250"/>
      <c r="L300" s="250"/>
      <c r="M300" s="250"/>
      <c r="N300" s="250"/>
      <c r="O300" s="250"/>
      <c r="P300" s="240"/>
      <c r="R300" s="250"/>
      <c r="S300" s="250"/>
      <c r="T300" s="250"/>
    </row>
    <row r="301" spans="1:20" x14ac:dyDescent="0.2">
      <c r="A301" s="117" t="s">
        <v>445</v>
      </c>
      <c r="B301" s="87" t="s">
        <v>84</v>
      </c>
      <c r="C301" s="75" t="s">
        <v>19</v>
      </c>
      <c r="D301" s="178">
        <v>426</v>
      </c>
      <c r="E301" s="19">
        <v>9000</v>
      </c>
      <c r="F301" s="250">
        <f>Tabla3[[#This Row],[VALOR UNITARIO ]]*Tabla3[[#This Row],[CANTIDAD ]]</f>
        <v>3834000</v>
      </c>
      <c r="G301" s="39">
        <v>5200</v>
      </c>
      <c r="H301" s="250">
        <f>Tabla3[[#This Row],[VALOR UNITARIO]]*Tabla3[[#This Row],[CANTIDAD ]]</f>
        <v>2215200</v>
      </c>
      <c r="I301" s="250"/>
      <c r="J301" s="250"/>
      <c r="K301" s="250"/>
      <c r="L301" s="250"/>
      <c r="M301" s="250"/>
      <c r="N301" s="250"/>
      <c r="O301" s="250"/>
      <c r="P301" s="240"/>
      <c r="R301" s="250">
        <f>MAX(Tabla3[[#This Row],[VALOR TOTAL]],Tabla3[[#This Row],[VALOR TOTAL ]])</f>
        <v>3834000</v>
      </c>
      <c r="S301" s="250">
        <f>MIN(Tabla3[[#This Row],[VALOR TOTAL ]],Tabla3[[#This Row],[VALOR TOTAL]])</f>
        <v>2215200</v>
      </c>
      <c r="T301" s="250">
        <f>AVERAGE(Tabla3[[#This Row],[VALOR TOTAL ]:[VALOR TOTAL]])</f>
        <v>2018133.3333333333</v>
      </c>
    </row>
    <row r="302" spans="1:20" ht="36" x14ac:dyDescent="0.2">
      <c r="A302" s="179" t="s">
        <v>446</v>
      </c>
      <c r="B302" s="46" t="s">
        <v>86</v>
      </c>
      <c r="C302" s="45" t="s">
        <v>19</v>
      </c>
      <c r="D302" s="178">
        <v>355</v>
      </c>
      <c r="E302" s="19">
        <v>48000</v>
      </c>
      <c r="F302" s="250">
        <f>Tabla3[[#This Row],[VALOR UNITARIO ]]*Tabla3[[#This Row],[CANTIDAD ]]</f>
        <v>17040000</v>
      </c>
      <c r="G302" s="39">
        <v>45500</v>
      </c>
      <c r="H302" s="250">
        <f>Tabla3[[#This Row],[VALOR UNITARIO]]*Tabla3[[#This Row],[CANTIDAD ]]</f>
        <v>16152500</v>
      </c>
      <c r="I302" s="250"/>
      <c r="J302" s="250"/>
      <c r="K302" s="250"/>
      <c r="L302" s="250"/>
      <c r="M302" s="250"/>
      <c r="N302" s="250"/>
      <c r="O302" s="250"/>
      <c r="P302" s="240"/>
      <c r="R302" s="250">
        <f>MAX(Tabla3[[#This Row],[VALOR TOTAL]],Tabla3[[#This Row],[VALOR TOTAL ]])</f>
        <v>17040000</v>
      </c>
      <c r="S302" s="250">
        <f>MIN(Tabla3[[#This Row],[VALOR TOTAL ]],Tabla3[[#This Row],[VALOR TOTAL]])</f>
        <v>16152500</v>
      </c>
      <c r="T302" s="250">
        <f>AVERAGE(Tabla3[[#This Row],[VALOR TOTAL ]:[VALOR TOTAL]])</f>
        <v>11079333.333333334</v>
      </c>
    </row>
    <row r="303" spans="1:20" x14ac:dyDescent="0.2">
      <c r="A303" s="179" t="s">
        <v>447</v>
      </c>
      <c r="B303" s="46" t="s">
        <v>88</v>
      </c>
      <c r="C303" s="45" t="s">
        <v>19</v>
      </c>
      <c r="D303" s="178">
        <v>568</v>
      </c>
      <c r="E303" s="19">
        <v>28000</v>
      </c>
      <c r="F303" s="250">
        <f>Tabla3[[#This Row],[VALOR UNITARIO ]]*Tabla3[[#This Row],[CANTIDAD ]]</f>
        <v>15904000</v>
      </c>
      <c r="G303" s="39">
        <v>11700</v>
      </c>
      <c r="H303" s="250">
        <f>Tabla3[[#This Row],[VALOR UNITARIO]]*Tabla3[[#This Row],[CANTIDAD ]]</f>
        <v>6645600</v>
      </c>
      <c r="I303" s="250"/>
      <c r="J303" s="250"/>
      <c r="K303" s="250"/>
      <c r="L303" s="250"/>
      <c r="M303" s="250"/>
      <c r="N303" s="250"/>
      <c r="O303" s="250"/>
      <c r="P303" s="240"/>
      <c r="R303" s="250">
        <f>MAX(Tabla3[[#This Row],[VALOR TOTAL]],Tabla3[[#This Row],[VALOR TOTAL ]])</f>
        <v>15904000</v>
      </c>
      <c r="S303" s="250">
        <f>MIN(Tabla3[[#This Row],[VALOR TOTAL ]],Tabla3[[#This Row],[VALOR TOTAL]])</f>
        <v>6645600</v>
      </c>
      <c r="T303" s="250">
        <f>AVERAGE(Tabla3[[#This Row],[VALOR TOTAL ]:[VALOR TOTAL]])</f>
        <v>7520433.333333333</v>
      </c>
    </row>
    <row r="304" spans="1:20" x14ac:dyDescent="0.2">
      <c r="A304" s="179" t="s">
        <v>448</v>
      </c>
      <c r="B304" s="40" t="s">
        <v>90</v>
      </c>
      <c r="C304" s="45" t="s">
        <v>19</v>
      </c>
      <c r="D304" s="178">
        <v>710</v>
      </c>
      <c r="E304" s="19">
        <v>19000</v>
      </c>
      <c r="F304" s="250">
        <f>Tabla3[[#This Row],[VALOR UNITARIO ]]*Tabla3[[#This Row],[CANTIDAD ]]</f>
        <v>13490000</v>
      </c>
      <c r="G304" s="39">
        <v>8710</v>
      </c>
      <c r="H304" s="250">
        <f>Tabla3[[#This Row],[VALOR UNITARIO]]*Tabla3[[#This Row],[CANTIDAD ]]</f>
        <v>6184100</v>
      </c>
      <c r="I304" s="250"/>
      <c r="J304" s="250"/>
      <c r="K304" s="250"/>
      <c r="L304" s="250"/>
      <c r="M304" s="250"/>
      <c r="N304" s="250"/>
      <c r="O304" s="250"/>
      <c r="P304" s="240"/>
      <c r="R304" s="250">
        <f>MAX(Tabla3[[#This Row],[VALOR TOTAL]],Tabla3[[#This Row],[VALOR TOTAL ]])</f>
        <v>13490000</v>
      </c>
      <c r="S304" s="250">
        <f>MIN(Tabla3[[#This Row],[VALOR TOTAL ]],Tabla3[[#This Row],[VALOR TOTAL]])</f>
        <v>6184100</v>
      </c>
      <c r="T304" s="250">
        <f>AVERAGE(Tabla3[[#This Row],[VALOR TOTAL ]:[VALOR TOTAL]])</f>
        <v>6560936.666666667</v>
      </c>
    </row>
    <row r="305" spans="1:20" x14ac:dyDescent="0.2">
      <c r="A305" s="179" t="s">
        <v>449</v>
      </c>
      <c r="B305" s="46" t="s">
        <v>92</v>
      </c>
      <c r="C305" s="45" t="s">
        <v>19</v>
      </c>
      <c r="D305" s="178">
        <v>497</v>
      </c>
      <c r="E305" s="19">
        <v>18000</v>
      </c>
      <c r="F305" s="250">
        <f>Tabla3[[#This Row],[VALOR UNITARIO ]]*Tabla3[[#This Row],[CANTIDAD ]]</f>
        <v>8946000</v>
      </c>
      <c r="G305" s="39">
        <v>8710</v>
      </c>
      <c r="H305" s="250">
        <f>Tabla3[[#This Row],[VALOR UNITARIO]]*Tabla3[[#This Row],[CANTIDAD ]]</f>
        <v>4328870</v>
      </c>
      <c r="I305" s="250"/>
      <c r="J305" s="250"/>
      <c r="K305" s="250"/>
      <c r="L305" s="250"/>
      <c r="M305" s="250"/>
      <c r="N305" s="250"/>
      <c r="O305" s="250"/>
      <c r="P305" s="240"/>
      <c r="R305" s="250">
        <f>MAX(Tabla3[[#This Row],[VALOR TOTAL]],Tabla3[[#This Row],[VALOR TOTAL ]])</f>
        <v>8946000</v>
      </c>
      <c r="S305" s="250">
        <f>MIN(Tabla3[[#This Row],[VALOR TOTAL ]],Tabla3[[#This Row],[VALOR TOTAL]])</f>
        <v>4328870</v>
      </c>
      <c r="T305" s="250">
        <f>AVERAGE(Tabla3[[#This Row],[VALOR TOTAL ]:[VALOR TOTAL]])</f>
        <v>4427860</v>
      </c>
    </row>
    <row r="306" spans="1:20" x14ac:dyDescent="0.2">
      <c r="A306" s="179" t="s">
        <v>450</v>
      </c>
      <c r="B306" s="40" t="s">
        <v>94</v>
      </c>
      <c r="C306" s="45" t="s">
        <v>19</v>
      </c>
      <c r="D306" s="178">
        <v>474</v>
      </c>
      <c r="E306" s="19">
        <v>17000</v>
      </c>
      <c r="F306" s="250">
        <f>Tabla3[[#This Row],[VALOR UNITARIO ]]*Tabla3[[#This Row],[CANTIDAD ]]</f>
        <v>8058000</v>
      </c>
      <c r="G306" s="39">
        <v>8710</v>
      </c>
      <c r="H306" s="250">
        <f>Tabla3[[#This Row],[VALOR UNITARIO]]*Tabla3[[#This Row],[CANTIDAD ]]</f>
        <v>4128540</v>
      </c>
      <c r="I306" s="250"/>
      <c r="J306" s="250"/>
      <c r="K306" s="250"/>
      <c r="L306" s="250"/>
      <c r="M306" s="250"/>
      <c r="N306" s="250"/>
      <c r="O306" s="250"/>
      <c r="P306" s="240"/>
      <c r="R306" s="250">
        <f>MAX(Tabla3[[#This Row],[VALOR TOTAL]],Tabla3[[#This Row],[VALOR TOTAL ]])</f>
        <v>8058000</v>
      </c>
      <c r="S306" s="250">
        <f>MIN(Tabla3[[#This Row],[VALOR TOTAL ]],Tabla3[[#This Row],[VALOR TOTAL]])</f>
        <v>4128540</v>
      </c>
      <c r="T306" s="250">
        <f>AVERAGE(Tabla3[[#This Row],[VALOR TOTAL ]:[VALOR TOTAL]])</f>
        <v>4065083.3333333335</v>
      </c>
    </row>
    <row r="307" spans="1:20" x14ac:dyDescent="0.2">
      <c r="A307" s="45" t="s">
        <v>451</v>
      </c>
      <c r="B307" s="40" t="s">
        <v>84</v>
      </c>
      <c r="C307" s="45" t="s">
        <v>14</v>
      </c>
      <c r="D307" s="178">
        <v>281</v>
      </c>
      <c r="E307" s="19">
        <v>5400</v>
      </c>
      <c r="F307" s="250">
        <f>Tabla3[[#This Row],[VALOR UNITARIO ]]*Tabla3[[#This Row],[CANTIDAD ]]</f>
        <v>1517400</v>
      </c>
      <c r="G307" s="39">
        <v>5200</v>
      </c>
      <c r="H307" s="250">
        <f>Tabla3[[#This Row],[VALOR UNITARIO]]*Tabla3[[#This Row],[CANTIDAD ]]</f>
        <v>1461200</v>
      </c>
      <c r="I307" s="250"/>
      <c r="J307" s="250"/>
      <c r="K307" s="250"/>
      <c r="L307" s="250"/>
      <c r="M307" s="250"/>
      <c r="N307" s="250"/>
      <c r="O307" s="250"/>
      <c r="P307" s="240"/>
      <c r="R307" s="250">
        <f>MAX(Tabla3[[#This Row],[VALOR TOTAL]],Tabla3[[#This Row],[VALOR TOTAL ]])</f>
        <v>1517400</v>
      </c>
      <c r="S307" s="250">
        <f>MIN(Tabla3[[#This Row],[VALOR TOTAL ]],Tabla3[[#This Row],[VALOR TOTAL]])</f>
        <v>1461200</v>
      </c>
      <c r="T307" s="250">
        <f>AVERAGE(Tabla3[[#This Row],[VALOR TOTAL ]:[VALOR TOTAL]])</f>
        <v>994600</v>
      </c>
    </row>
    <row r="308" spans="1:20" ht="36" x14ac:dyDescent="0.2">
      <c r="A308" s="45" t="s">
        <v>452</v>
      </c>
      <c r="B308" s="46" t="s">
        <v>86</v>
      </c>
      <c r="C308" s="45" t="s">
        <v>14</v>
      </c>
      <c r="D308" s="178">
        <v>281</v>
      </c>
      <c r="E308" s="19">
        <v>28800</v>
      </c>
      <c r="F308" s="250">
        <f>Tabla3[[#This Row],[VALOR UNITARIO ]]*Tabla3[[#This Row],[CANTIDAD ]]</f>
        <v>8092800</v>
      </c>
      <c r="G308" s="39">
        <v>6500</v>
      </c>
      <c r="H308" s="250">
        <f>Tabla3[[#This Row],[VALOR UNITARIO]]*Tabla3[[#This Row],[CANTIDAD ]]</f>
        <v>1826500</v>
      </c>
      <c r="I308" s="250"/>
      <c r="J308" s="250"/>
      <c r="K308" s="250"/>
      <c r="L308" s="250"/>
      <c r="M308" s="250"/>
      <c r="N308" s="250"/>
      <c r="O308" s="250"/>
      <c r="P308" s="240"/>
      <c r="R308" s="250">
        <f>MAX(Tabla3[[#This Row],[VALOR TOTAL]],Tabla3[[#This Row],[VALOR TOTAL ]])</f>
        <v>8092800</v>
      </c>
      <c r="S308" s="250">
        <f>MIN(Tabla3[[#This Row],[VALOR TOTAL ]],Tabla3[[#This Row],[VALOR TOTAL]])</f>
        <v>1826500</v>
      </c>
      <c r="T308" s="250">
        <f>AVERAGE(Tabla3[[#This Row],[VALOR TOTAL ]:[VALOR TOTAL]])</f>
        <v>3308600</v>
      </c>
    </row>
    <row r="309" spans="1:20" x14ac:dyDescent="0.2">
      <c r="A309" s="45" t="s">
        <v>453</v>
      </c>
      <c r="B309" s="46" t="s">
        <v>88</v>
      </c>
      <c r="C309" s="45" t="s">
        <v>14</v>
      </c>
      <c r="D309" s="178">
        <v>351</v>
      </c>
      <c r="E309" s="19">
        <v>16800</v>
      </c>
      <c r="F309" s="250">
        <f>Tabla3[[#This Row],[VALOR UNITARIO ]]*Tabla3[[#This Row],[CANTIDAD ]]</f>
        <v>5896800</v>
      </c>
      <c r="G309" s="39">
        <v>11700</v>
      </c>
      <c r="H309" s="250">
        <f>Tabla3[[#This Row],[VALOR UNITARIO]]*Tabla3[[#This Row],[CANTIDAD ]]</f>
        <v>4106700</v>
      </c>
      <c r="I309" s="250"/>
      <c r="J309" s="250"/>
      <c r="K309" s="250"/>
      <c r="L309" s="250"/>
      <c r="M309" s="250"/>
      <c r="N309" s="250"/>
      <c r="O309" s="250"/>
      <c r="P309" s="240"/>
      <c r="R309" s="250">
        <f>MAX(Tabla3[[#This Row],[VALOR TOTAL]],Tabla3[[#This Row],[VALOR TOTAL ]])</f>
        <v>5896800</v>
      </c>
      <c r="S309" s="250">
        <f>MIN(Tabla3[[#This Row],[VALOR TOTAL ]],Tabla3[[#This Row],[VALOR TOTAL]])</f>
        <v>4106700</v>
      </c>
      <c r="T309" s="250">
        <f>AVERAGE(Tabla3[[#This Row],[VALOR TOTAL ]:[VALOR TOTAL]])</f>
        <v>3338400</v>
      </c>
    </row>
    <row r="310" spans="1:20" x14ac:dyDescent="0.2">
      <c r="A310" s="45" t="s">
        <v>454</v>
      </c>
      <c r="B310" s="46" t="s">
        <v>90</v>
      </c>
      <c r="C310" s="45" t="s">
        <v>14</v>
      </c>
      <c r="D310" s="178">
        <v>351</v>
      </c>
      <c r="E310" s="19">
        <v>11400</v>
      </c>
      <c r="F310" s="250">
        <f>Tabla3[[#This Row],[VALOR UNITARIO ]]*Tabla3[[#This Row],[CANTIDAD ]]</f>
        <v>4001400</v>
      </c>
      <c r="G310" s="39">
        <v>8710</v>
      </c>
      <c r="H310" s="250">
        <f>Tabla3[[#This Row],[VALOR UNITARIO]]*Tabla3[[#This Row],[CANTIDAD ]]</f>
        <v>3057210</v>
      </c>
      <c r="I310" s="250"/>
      <c r="J310" s="250"/>
      <c r="K310" s="250"/>
      <c r="L310" s="250"/>
      <c r="M310" s="250"/>
      <c r="N310" s="250"/>
      <c r="O310" s="250"/>
      <c r="P310" s="240"/>
      <c r="R310" s="250">
        <f>MAX(Tabla3[[#This Row],[VALOR TOTAL]],Tabla3[[#This Row],[VALOR TOTAL ]])</f>
        <v>4001400</v>
      </c>
      <c r="S310" s="250">
        <f>MIN(Tabla3[[#This Row],[VALOR TOTAL ]],Tabla3[[#This Row],[VALOR TOTAL]])</f>
        <v>3057210</v>
      </c>
      <c r="T310" s="250">
        <f>AVERAGE(Tabla3[[#This Row],[VALOR TOTAL ]:[VALOR TOTAL]])</f>
        <v>2355773.3333333335</v>
      </c>
    </row>
    <row r="311" spans="1:20" x14ac:dyDescent="0.2">
      <c r="A311" s="45" t="s">
        <v>455</v>
      </c>
      <c r="B311" s="66" t="s">
        <v>92</v>
      </c>
      <c r="C311" s="67" t="s">
        <v>14</v>
      </c>
      <c r="D311" s="181">
        <v>351</v>
      </c>
      <c r="E311" s="19">
        <v>10800</v>
      </c>
      <c r="F311" s="250">
        <f>Tabla3[[#This Row],[VALOR UNITARIO ]]*Tabla3[[#This Row],[CANTIDAD ]]</f>
        <v>3790800</v>
      </c>
      <c r="G311" s="39">
        <v>8710</v>
      </c>
      <c r="H311" s="250">
        <f>Tabla3[[#This Row],[VALOR UNITARIO]]*Tabla3[[#This Row],[CANTIDAD ]]</f>
        <v>3057210</v>
      </c>
      <c r="I311" s="250"/>
      <c r="J311" s="250"/>
      <c r="K311" s="250"/>
      <c r="L311" s="250"/>
      <c r="M311" s="250"/>
      <c r="N311" s="250"/>
      <c r="O311" s="250"/>
      <c r="P311" s="240"/>
      <c r="R311" s="250">
        <f>MAX(Tabla3[[#This Row],[VALOR TOTAL]],Tabla3[[#This Row],[VALOR TOTAL ]])</f>
        <v>3790800</v>
      </c>
      <c r="S311" s="250">
        <f>MIN(Tabla3[[#This Row],[VALOR TOTAL ]],Tabla3[[#This Row],[VALOR TOTAL]])</f>
        <v>3057210</v>
      </c>
      <c r="T311" s="250">
        <f>AVERAGE(Tabla3[[#This Row],[VALOR TOTAL ]:[VALOR TOTAL]])</f>
        <v>2285573.3333333335</v>
      </c>
    </row>
    <row r="312" spans="1:20" x14ac:dyDescent="0.2">
      <c r="A312" s="182" t="s">
        <v>456</v>
      </c>
      <c r="B312" s="115" t="s">
        <v>457</v>
      </c>
      <c r="C312" s="79"/>
      <c r="D312" s="177"/>
      <c r="E312" s="19"/>
      <c r="F312" s="250"/>
      <c r="G312" s="119"/>
      <c r="H312" s="250"/>
      <c r="I312" s="250"/>
      <c r="J312" s="250"/>
      <c r="K312" s="250"/>
      <c r="L312" s="250"/>
      <c r="M312" s="250"/>
      <c r="N312" s="250"/>
      <c r="O312" s="250"/>
      <c r="P312" s="240"/>
      <c r="R312" s="250"/>
      <c r="S312" s="250"/>
      <c r="T312" s="250"/>
    </row>
    <row r="313" spans="1:20" ht="24" x14ac:dyDescent="0.2">
      <c r="A313" s="179" t="s">
        <v>458</v>
      </c>
      <c r="B313" s="46" t="s">
        <v>459</v>
      </c>
      <c r="C313" s="17" t="s">
        <v>6</v>
      </c>
      <c r="D313" s="174">
        <v>4</v>
      </c>
      <c r="E313" s="19">
        <v>180000</v>
      </c>
      <c r="F313" s="250">
        <f>Tabla3[[#This Row],[VALOR UNITARIO ]]*Tabla3[[#This Row],[CANTIDAD ]]</f>
        <v>720000</v>
      </c>
      <c r="G313" s="18">
        <f>1.3*9550</f>
        <v>12415</v>
      </c>
      <c r="H313" s="250">
        <f>Tabla3[[#This Row],[VALOR UNITARIO]]*Tabla3[[#This Row],[CANTIDAD ]]</f>
        <v>49660</v>
      </c>
      <c r="I313" s="250"/>
      <c r="J313" s="250"/>
      <c r="K313" s="250"/>
      <c r="L313" s="250"/>
      <c r="M313" s="250"/>
      <c r="N313" s="250"/>
      <c r="O313" s="250"/>
      <c r="P313" s="240"/>
      <c r="R313" s="250">
        <f>MAX(Tabla3[[#This Row],[VALOR TOTAL]],Tabla3[[#This Row],[VALOR TOTAL ]])</f>
        <v>720000</v>
      </c>
      <c r="S313" s="250">
        <f>MIN(Tabla3[[#This Row],[VALOR TOTAL ]],Tabla3[[#This Row],[VALOR TOTAL]])</f>
        <v>49660</v>
      </c>
      <c r="T313" s="250">
        <f>AVERAGE(Tabla3[[#This Row],[VALOR TOTAL ]:[VALOR TOTAL]])</f>
        <v>260691.66666666666</v>
      </c>
    </row>
    <row r="314" spans="1:20" ht="24" x14ac:dyDescent="0.2">
      <c r="A314" s="179" t="s">
        <v>460</v>
      </c>
      <c r="B314" s="82" t="s">
        <v>461</v>
      </c>
      <c r="C314" s="17" t="s">
        <v>6</v>
      </c>
      <c r="D314" s="174">
        <v>1</v>
      </c>
      <c r="E314" s="19">
        <v>850000</v>
      </c>
      <c r="F314" s="250">
        <f>Tabla3[[#This Row],[VALOR UNITARIO ]]*Tabla3[[#This Row],[CANTIDAD ]]</f>
        <v>850000</v>
      </c>
      <c r="G314" s="18">
        <f>1.3*447280</f>
        <v>581464</v>
      </c>
      <c r="H314" s="250">
        <f>Tabla3[[#This Row],[VALOR UNITARIO]]*Tabla3[[#This Row],[CANTIDAD ]]</f>
        <v>581464</v>
      </c>
      <c r="I314" s="250"/>
      <c r="J314" s="250"/>
      <c r="K314" s="250"/>
      <c r="L314" s="250"/>
      <c r="M314" s="250"/>
      <c r="N314" s="250"/>
      <c r="O314" s="250"/>
      <c r="P314" s="240"/>
      <c r="R314" s="250">
        <f>MAX(Tabla3[[#This Row],[VALOR TOTAL]],Tabla3[[#This Row],[VALOR TOTAL ]])</f>
        <v>850000</v>
      </c>
      <c r="S314" s="250">
        <f>MIN(Tabla3[[#This Row],[VALOR TOTAL ]],Tabla3[[#This Row],[VALOR TOTAL]])</f>
        <v>581464</v>
      </c>
      <c r="T314" s="250">
        <f>AVERAGE(Tabla3[[#This Row],[VALOR TOTAL ]:[VALOR TOTAL]])</f>
        <v>670976</v>
      </c>
    </row>
    <row r="315" spans="1:20" x14ac:dyDescent="0.2">
      <c r="A315" s="20" t="s">
        <v>462</v>
      </c>
      <c r="B315" s="46" t="s">
        <v>463</v>
      </c>
      <c r="C315" s="17" t="s">
        <v>150</v>
      </c>
      <c r="D315" s="174">
        <v>25</v>
      </c>
      <c r="E315" s="19">
        <v>25000</v>
      </c>
      <c r="F315" s="250">
        <f>Tabla3[[#This Row],[VALOR UNITARIO ]]*Tabla3[[#This Row],[CANTIDAD ]]</f>
        <v>625000</v>
      </c>
      <c r="G315" s="18">
        <f>1.3*18060</f>
        <v>23478</v>
      </c>
      <c r="H315" s="250">
        <f>Tabla3[[#This Row],[VALOR UNITARIO]]*Tabla3[[#This Row],[CANTIDAD ]]</f>
        <v>586950</v>
      </c>
      <c r="I315" s="250"/>
      <c r="J315" s="250"/>
      <c r="K315" s="250"/>
      <c r="L315" s="250"/>
      <c r="M315" s="250"/>
      <c r="N315" s="250"/>
      <c r="O315" s="250"/>
      <c r="P315" s="240"/>
      <c r="R315" s="250">
        <f>MAX(Tabla3[[#This Row],[VALOR TOTAL]],Tabla3[[#This Row],[VALOR TOTAL ]])</f>
        <v>625000</v>
      </c>
      <c r="S315" s="250">
        <f>MIN(Tabla3[[#This Row],[VALOR TOTAL ]],Tabla3[[#This Row],[VALOR TOTAL]])</f>
        <v>586950</v>
      </c>
      <c r="T315" s="250">
        <f>AVERAGE(Tabla3[[#This Row],[VALOR TOTAL ]:[VALOR TOTAL]])</f>
        <v>411809.33333333331</v>
      </c>
    </row>
    <row r="316" spans="1:20" x14ac:dyDescent="0.2">
      <c r="A316" s="20" t="s">
        <v>464</v>
      </c>
      <c r="B316" s="46" t="s">
        <v>465</v>
      </c>
      <c r="C316" s="17" t="s">
        <v>14</v>
      </c>
      <c r="D316" s="174">
        <v>16</v>
      </c>
      <c r="E316" s="19">
        <v>35000</v>
      </c>
      <c r="F316" s="250">
        <f>Tabla3[[#This Row],[VALOR UNITARIO ]]*Tabla3[[#This Row],[CANTIDAD ]]</f>
        <v>560000</v>
      </c>
      <c r="G316" s="18">
        <f>1.3*25580</f>
        <v>33254</v>
      </c>
      <c r="H316" s="250">
        <f>Tabla3[[#This Row],[VALOR UNITARIO]]*Tabla3[[#This Row],[CANTIDAD ]]</f>
        <v>532064</v>
      </c>
      <c r="I316" s="250"/>
      <c r="J316" s="250"/>
      <c r="K316" s="250"/>
      <c r="L316" s="250"/>
      <c r="M316" s="250"/>
      <c r="N316" s="250"/>
      <c r="O316" s="250"/>
      <c r="P316" s="240"/>
      <c r="R316" s="250">
        <f>MAX(Tabla3[[#This Row],[VALOR TOTAL]],Tabla3[[#This Row],[VALOR TOTAL ]])</f>
        <v>560000</v>
      </c>
      <c r="S316" s="250">
        <f>MIN(Tabla3[[#This Row],[VALOR TOTAL ]],Tabla3[[#This Row],[VALOR TOTAL]])</f>
        <v>532064</v>
      </c>
      <c r="T316" s="250">
        <f>AVERAGE(Tabla3[[#This Row],[VALOR TOTAL ]:[VALOR TOTAL]])</f>
        <v>375106</v>
      </c>
    </row>
    <row r="317" spans="1:20" x14ac:dyDescent="0.2">
      <c r="A317" s="20" t="s">
        <v>466</v>
      </c>
      <c r="B317" s="122" t="s">
        <v>467</v>
      </c>
      <c r="C317" s="17" t="s">
        <v>14</v>
      </c>
      <c r="D317" s="174">
        <v>16</v>
      </c>
      <c r="E317" s="19">
        <v>16000</v>
      </c>
      <c r="F317" s="250">
        <f>Tabla3[[#This Row],[VALOR UNITARIO ]]*Tabla3[[#This Row],[CANTIDAD ]]</f>
        <v>256000</v>
      </c>
      <c r="G317" s="18">
        <v>23000</v>
      </c>
      <c r="H317" s="250">
        <f>Tabla3[[#This Row],[VALOR UNITARIO]]*Tabla3[[#This Row],[CANTIDAD ]]</f>
        <v>368000</v>
      </c>
      <c r="I317" s="250"/>
      <c r="J317" s="250"/>
      <c r="K317" s="250"/>
      <c r="L317" s="250"/>
      <c r="M317" s="250"/>
      <c r="N317" s="250"/>
      <c r="O317" s="250"/>
      <c r="P317" s="240"/>
      <c r="R317" s="250">
        <f>MAX(Tabla3[[#This Row],[VALOR TOTAL]],Tabla3[[#This Row],[VALOR TOTAL ]])</f>
        <v>368000</v>
      </c>
      <c r="S317" s="250">
        <f>MIN(Tabla3[[#This Row],[VALOR TOTAL ]],Tabla3[[#This Row],[VALOR TOTAL]])</f>
        <v>256000</v>
      </c>
      <c r="T317" s="250">
        <f>AVERAGE(Tabla3[[#This Row],[VALOR TOTAL ]:[VALOR TOTAL]])</f>
        <v>215666.66666666666</v>
      </c>
    </row>
    <row r="318" spans="1:20" x14ac:dyDescent="0.2">
      <c r="A318" s="20" t="s">
        <v>468</v>
      </c>
      <c r="B318" s="24" t="s">
        <v>469</v>
      </c>
      <c r="C318" s="22" t="s">
        <v>6</v>
      </c>
      <c r="D318" s="178">
        <v>4</v>
      </c>
      <c r="E318" s="19">
        <v>180000</v>
      </c>
      <c r="F318" s="250">
        <f>Tabla3[[#This Row],[VALOR UNITARIO ]]*Tabla3[[#This Row],[CANTIDAD ]]</f>
        <v>720000</v>
      </c>
      <c r="G318" s="18">
        <v>88000</v>
      </c>
      <c r="H318" s="250">
        <f>Tabla3[[#This Row],[VALOR UNITARIO]]*Tabla3[[#This Row],[CANTIDAD ]]</f>
        <v>352000</v>
      </c>
      <c r="I318" s="250"/>
      <c r="J318" s="250"/>
      <c r="K318" s="250"/>
      <c r="L318" s="250"/>
      <c r="M318" s="250"/>
      <c r="N318" s="250"/>
      <c r="O318" s="250"/>
      <c r="P318" s="240"/>
      <c r="R318" s="250">
        <f>MAX(Tabla3[[#This Row],[VALOR TOTAL]],Tabla3[[#This Row],[VALOR TOTAL ]])</f>
        <v>720000</v>
      </c>
      <c r="S318" s="250">
        <f>MIN(Tabla3[[#This Row],[VALOR TOTAL ]],Tabla3[[#This Row],[VALOR TOTAL]])</f>
        <v>352000</v>
      </c>
      <c r="T318" s="250">
        <f>AVERAGE(Tabla3[[#This Row],[VALOR TOTAL ]:[VALOR TOTAL]])</f>
        <v>386666.66666666669</v>
      </c>
    </row>
    <row r="319" spans="1:20" x14ac:dyDescent="0.2">
      <c r="A319" s="20" t="s">
        <v>470</v>
      </c>
      <c r="B319" s="12" t="s">
        <v>471</v>
      </c>
      <c r="C319" s="13" t="s">
        <v>14</v>
      </c>
      <c r="D319" s="178">
        <v>50</v>
      </c>
      <c r="E319" s="19">
        <v>10000</v>
      </c>
      <c r="F319" s="250">
        <f>Tabla3[[#This Row],[VALOR UNITARIO ]]*Tabla3[[#This Row],[CANTIDAD ]]</f>
        <v>500000</v>
      </c>
      <c r="G319" s="18">
        <f>1.3*9520</f>
        <v>12376</v>
      </c>
      <c r="H319" s="250">
        <f>Tabla3[[#This Row],[VALOR UNITARIO]]*Tabla3[[#This Row],[CANTIDAD ]]</f>
        <v>618800</v>
      </c>
      <c r="I319" s="250"/>
      <c r="J319" s="250"/>
      <c r="K319" s="250"/>
      <c r="L319" s="250"/>
      <c r="M319" s="250"/>
      <c r="N319" s="250"/>
      <c r="O319" s="250"/>
      <c r="P319" s="240"/>
      <c r="R319" s="250">
        <f>MAX(Tabla3[[#This Row],[VALOR TOTAL]],Tabla3[[#This Row],[VALOR TOTAL ]])</f>
        <v>618800</v>
      </c>
      <c r="S319" s="250">
        <f>MIN(Tabla3[[#This Row],[VALOR TOTAL ]],Tabla3[[#This Row],[VALOR TOTAL]])</f>
        <v>500000</v>
      </c>
      <c r="T319" s="250">
        <f>AVERAGE(Tabla3[[#This Row],[VALOR TOTAL ]:[VALOR TOTAL]])</f>
        <v>377058.66666666669</v>
      </c>
    </row>
    <row r="320" spans="1:20" x14ac:dyDescent="0.2">
      <c r="A320" s="20" t="s">
        <v>472</v>
      </c>
      <c r="B320" s="12" t="s">
        <v>473</v>
      </c>
      <c r="C320" s="13" t="s">
        <v>474</v>
      </c>
      <c r="D320" s="178">
        <v>25</v>
      </c>
      <c r="E320" s="19">
        <v>12000</v>
      </c>
      <c r="F320" s="250">
        <f>Tabla3[[#This Row],[VALOR UNITARIO ]]*Tabla3[[#This Row],[CANTIDAD ]]</f>
        <v>300000</v>
      </c>
      <c r="G320" s="18">
        <f>1.3*2700</f>
        <v>3510</v>
      </c>
      <c r="H320" s="250">
        <f>Tabla3[[#This Row],[VALOR UNITARIO]]*Tabla3[[#This Row],[CANTIDAD ]]</f>
        <v>87750</v>
      </c>
      <c r="I320" s="250"/>
      <c r="J320" s="250"/>
      <c r="K320" s="250"/>
      <c r="L320" s="250"/>
      <c r="M320" s="250"/>
      <c r="N320" s="250"/>
      <c r="O320" s="250"/>
      <c r="P320" s="240"/>
      <c r="R320" s="250">
        <f>MAX(Tabla3[[#This Row],[VALOR TOTAL]],Tabla3[[#This Row],[VALOR TOTAL ]])</f>
        <v>300000</v>
      </c>
      <c r="S320" s="250">
        <f>MIN(Tabla3[[#This Row],[VALOR TOTAL ]],Tabla3[[#This Row],[VALOR TOTAL]])</f>
        <v>87750</v>
      </c>
      <c r="T320" s="250">
        <f>AVERAGE(Tabla3[[#This Row],[VALOR TOTAL ]:[VALOR TOTAL]])</f>
        <v>130420</v>
      </c>
    </row>
    <row r="321" spans="1:20" ht="36" x14ac:dyDescent="0.2">
      <c r="A321" s="20" t="s">
        <v>475</v>
      </c>
      <c r="B321" s="63" t="s">
        <v>476</v>
      </c>
      <c r="C321" s="17" t="s">
        <v>14</v>
      </c>
      <c r="D321" s="178">
        <v>30</v>
      </c>
      <c r="E321" s="19">
        <v>48000</v>
      </c>
      <c r="F321" s="250">
        <f>Tabla3[[#This Row],[VALOR UNITARIO ]]*Tabla3[[#This Row],[CANTIDAD ]]</f>
        <v>1440000</v>
      </c>
      <c r="G321" s="18">
        <f>1.3*27905</f>
        <v>36276.5</v>
      </c>
      <c r="H321" s="250">
        <f>Tabla3[[#This Row],[VALOR UNITARIO]]*Tabla3[[#This Row],[CANTIDAD ]]</f>
        <v>1088295</v>
      </c>
      <c r="I321" s="250"/>
      <c r="J321" s="250"/>
      <c r="K321" s="250"/>
      <c r="L321" s="250"/>
      <c r="M321" s="250"/>
      <c r="N321" s="250"/>
      <c r="O321" s="250"/>
      <c r="P321" s="240"/>
      <c r="R321" s="250">
        <f>MAX(Tabla3[[#This Row],[VALOR TOTAL]],Tabla3[[#This Row],[VALOR TOTAL ]])</f>
        <v>1440000</v>
      </c>
      <c r="S321" s="250">
        <f>MIN(Tabla3[[#This Row],[VALOR TOTAL ]],Tabla3[[#This Row],[VALOR TOTAL]])</f>
        <v>1088295</v>
      </c>
      <c r="T321" s="250">
        <f>AVERAGE(Tabla3[[#This Row],[VALOR TOTAL ]:[VALOR TOTAL]])</f>
        <v>854857.16666666663</v>
      </c>
    </row>
    <row r="322" spans="1:20" ht="36" x14ac:dyDescent="0.2">
      <c r="A322" s="20" t="s">
        <v>477</v>
      </c>
      <c r="B322" s="63" t="s">
        <v>478</v>
      </c>
      <c r="C322" s="17" t="s">
        <v>14</v>
      </c>
      <c r="D322" s="178">
        <v>25</v>
      </c>
      <c r="E322" s="19">
        <v>35000</v>
      </c>
      <c r="F322" s="250">
        <f>Tabla3[[#This Row],[VALOR UNITARIO ]]*Tabla3[[#This Row],[CANTIDAD ]]</f>
        <v>875000</v>
      </c>
      <c r="G322" s="18">
        <f>1.3*11840</f>
        <v>15392</v>
      </c>
      <c r="H322" s="250">
        <f>Tabla3[[#This Row],[VALOR UNITARIO]]*Tabla3[[#This Row],[CANTIDAD ]]</f>
        <v>384800</v>
      </c>
      <c r="I322" s="250"/>
      <c r="J322" s="250"/>
      <c r="K322" s="250"/>
      <c r="L322" s="250"/>
      <c r="M322" s="250"/>
      <c r="N322" s="250"/>
      <c r="O322" s="250"/>
      <c r="P322" s="240"/>
      <c r="R322" s="250">
        <f>MAX(Tabla3[[#This Row],[VALOR TOTAL]],Tabla3[[#This Row],[VALOR TOTAL ]])</f>
        <v>875000</v>
      </c>
      <c r="S322" s="250">
        <f>MIN(Tabla3[[#This Row],[VALOR TOTAL ]],Tabla3[[#This Row],[VALOR TOTAL]])</f>
        <v>384800</v>
      </c>
      <c r="T322" s="250">
        <f>AVERAGE(Tabla3[[#This Row],[VALOR TOTAL ]:[VALOR TOTAL]])</f>
        <v>425064</v>
      </c>
    </row>
    <row r="323" spans="1:20" ht="24" x14ac:dyDescent="0.2">
      <c r="A323" s="20" t="s">
        <v>479</v>
      </c>
      <c r="B323" s="63" t="s">
        <v>480</v>
      </c>
      <c r="C323" s="17" t="s">
        <v>6</v>
      </c>
      <c r="D323" s="178">
        <v>5</v>
      </c>
      <c r="E323" s="19">
        <v>600000</v>
      </c>
      <c r="F323" s="250">
        <f>Tabla3[[#This Row],[VALOR UNITARIO ]]*Tabla3[[#This Row],[CANTIDAD ]]</f>
        <v>3000000</v>
      </c>
      <c r="G323" s="18">
        <f>240000*1.3</f>
        <v>312000</v>
      </c>
      <c r="H323" s="250">
        <f>Tabla3[[#This Row],[VALOR UNITARIO]]*Tabla3[[#This Row],[CANTIDAD ]]</f>
        <v>1560000</v>
      </c>
      <c r="I323" s="250"/>
      <c r="J323" s="250"/>
      <c r="K323" s="250"/>
      <c r="L323" s="250"/>
      <c r="M323" s="250"/>
      <c r="N323" s="250"/>
      <c r="O323" s="250"/>
      <c r="P323" s="240"/>
      <c r="R323" s="250">
        <f>MAX(Tabla3[[#This Row],[VALOR TOTAL]],Tabla3[[#This Row],[VALOR TOTAL ]])</f>
        <v>3000000</v>
      </c>
      <c r="S323" s="250">
        <f>MIN(Tabla3[[#This Row],[VALOR TOTAL ]],Tabla3[[#This Row],[VALOR TOTAL]])</f>
        <v>1560000</v>
      </c>
      <c r="T323" s="250">
        <f>AVERAGE(Tabla3[[#This Row],[VALOR TOTAL ]:[VALOR TOTAL]])</f>
        <v>1624000</v>
      </c>
    </row>
    <row r="324" spans="1:20" x14ac:dyDescent="0.2">
      <c r="A324" s="20" t="s">
        <v>481</v>
      </c>
      <c r="B324" s="74" t="s">
        <v>482</v>
      </c>
      <c r="C324" s="75" t="s">
        <v>150</v>
      </c>
      <c r="D324" s="178">
        <v>2</v>
      </c>
      <c r="E324" s="19">
        <v>120000</v>
      </c>
      <c r="F324" s="250">
        <f>Tabla3[[#This Row],[VALOR UNITARIO ]]*Tabla3[[#This Row],[CANTIDAD ]]</f>
        <v>240000</v>
      </c>
      <c r="G324" s="18">
        <v>274603.32899999997</v>
      </c>
      <c r="H324" s="250">
        <f>Tabla3[[#This Row],[VALOR UNITARIO]]*Tabla3[[#This Row],[CANTIDAD ]]</f>
        <v>549206.65799999994</v>
      </c>
      <c r="I324" s="250"/>
      <c r="J324" s="250"/>
      <c r="K324" s="250"/>
      <c r="L324" s="250"/>
      <c r="M324" s="250"/>
      <c r="N324" s="250"/>
      <c r="O324" s="250"/>
      <c r="P324" s="240"/>
      <c r="R324" s="250">
        <f>MAX(Tabla3[[#This Row],[VALOR TOTAL]],Tabla3[[#This Row],[VALOR TOTAL ]])</f>
        <v>549206.65799999994</v>
      </c>
      <c r="S324" s="250">
        <f>MIN(Tabla3[[#This Row],[VALOR TOTAL ]],Tabla3[[#This Row],[VALOR TOTAL]])</f>
        <v>240000</v>
      </c>
      <c r="T324" s="250">
        <f>AVERAGE(Tabla3[[#This Row],[VALOR TOTAL ]:[VALOR TOTAL]])</f>
        <v>354603.32899999997</v>
      </c>
    </row>
    <row r="325" spans="1:20" ht="36" x14ac:dyDescent="0.2">
      <c r="A325" s="20" t="s">
        <v>483</v>
      </c>
      <c r="B325" s="63" t="s">
        <v>484</v>
      </c>
      <c r="C325" s="83" t="s">
        <v>14</v>
      </c>
      <c r="D325" s="181">
        <v>15</v>
      </c>
      <c r="E325" s="19">
        <v>35000</v>
      </c>
      <c r="F325" s="250">
        <f>Tabla3[[#This Row],[VALOR UNITARIO ]]*Tabla3[[#This Row],[CANTIDAD ]]</f>
        <v>525000</v>
      </c>
      <c r="G325" s="18">
        <v>60500.000000000007</v>
      </c>
      <c r="H325" s="250">
        <f>Tabla3[[#This Row],[VALOR UNITARIO]]*Tabla3[[#This Row],[CANTIDAD ]]</f>
        <v>907500.00000000012</v>
      </c>
      <c r="I325" s="250"/>
      <c r="J325" s="250"/>
      <c r="K325" s="250"/>
      <c r="L325" s="250"/>
      <c r="M325" s="250"/>
      <c r="N325" s="250"/>
      <c r="O325" s="250"/>
      <c r="P325" s="240"/>
      <c r="R325" s="250">
        <f>MAX(Tabla3[[#This Row],[VALOR TOTAL]],Tabla3[[#This Row],[VALOR TOTAL ]])</f>
        <v>907500.00000000012</v>
      </c>
      <c r="S325" s="250">
        <f>MIN(Tabla3[[#This Row],[VALOR TOTAL ]],Tabla3[[#This Row],[VALOR TOTAL]])</f>
        <v>525000</v>
      </c>
      <c r="T325" s="250">
        <f>AVERAGE(Tabla3[[#This Row],[VALOR TOTAL ]:[VALOR TOTAL]])</f>
        <v>497666.66666666669</v>
      </c>
    </row>
    <row r="326" spans="1:20" ht="36" x14ac:dyDescent="0.2">
      <c r="A326" s="20" t="s">
        <v>485</v>
      </c>
      <c r="B326" s="63" t="s">
        <v>486</v>
      </c>
      <c r="C326" s="17" t="s">
        <v>14</v>
      </c>
      <c r="D326" s="174">
        <v>15</v>
      </c>
      <c r="E326" s="19">
        <v>15000</v>
      </c>
      <c r="F326" s="250">
        <f>Tabla3[[#This Row],[VALOR UNITARIO ]]*Tabla3[[#This Row],[CANTIDAD ]]</f>
        <v>225000</v>
      </c>
      <c r="G326" s="18">
        <v>20000</v>
      </c>
      <c r="H326" s="250">
        <f>Tabla3[[#This Row],[VALOR UNITARIO]]*Tabla3[[#This Row],[CANTIDAD ]]</f>
        <v>300000</v>
      </c>
      <c r="I326" s="250"/>
      <c r="J326" s="250"/>
      <c r="K326" s="250"/>
      <c r="L326" s="250"/>
      <c r="M326" s="250"/>
      <c r="N326" s="250"/>
      <c r="O326" s="250"/>
      <c r="P326" s="240"/>
      <c r="R326" s="250">
        <f>MAX(Tabla3[[#This Row],[VALOR TOTAL]],Tabla3[[#This Row],[VALOR TOTAL ]])</f>
        <v>300000</v>
      </c>
      <c r="S326" s="250">
        <f>MIN(Tabla3[[#This Row],[VALOR TOTAL ]],Tabla3[[#This Row],[VALOR TOTAL]])</f>
        <v>225000</v>
      </c>
      <c r="T326" s="250">
        <f>AVERAGE(Tabla3[[#This Row],[VALOR TOTAL ]:[VALOR TOTAL]])</f>
        <v>181666.66666666666</v>
      </c>
    </row>
    <row r="327" spans="1:20" ht="24" x14ac:dyDescent="0.2">
      <c r="A327" s="20" t="s">
        <v>487</v>
      </c>
      <c r="B327" s="63" t="s">
        <v>488</v>
      </c>
      <c r="C327" s="83" t="s">
        <v>6</v>
      </c>
      <c r="D327" s="175">
        <v>2</v>
      </c>
      <c r="E327" s="19">
        <v>200000</v>
      </c>
      <c r="F327" s="250">
        <f>Tabla3[[#This Row],[VALOR UNITARIO ]]*Tabla3[[#This Row],[CANTIDAD ]]</f>
        <v>400000</v>
      </c>
      <c r="G327" s="18">
        <f>438770*1.3</f>
        <v>570401</v>
      </c>
      <c r="H327" s="250">
        <f>Tabla3[[#This Row],[VALOR UNITARIO]]*Tabla3[[#This Row],[CANTIDAD ]]</f>
        <v>1140802</v>
      </c>
      <c r="I327" s="250"/>
      <c r="J327" s="250"/>
      <c r="K327" s="250"/>
      <c r="L327" s="250"/>
      <c r="M327" s="250"/>
      <c r="N327" s="250"/>
      <c r="O327" s="250"/>
      <c r="P327" s="240"/>
      <c r="R327" s="250">
        <f>MAX(Tabla3[[#This Row],[VALOR TOTAL]],Tabla3[[#This Row],[VALOR TOTAL ]])</f>
        <v>1140802</v>
      </c>
      <c r="S327" s="250">
        <f>MIN(Tabla3[[#This Row],[VALOR TOTAL ]],Tabla3[[#This Row],[VALOR TOTAL]])</f>
        <v>400000</v>
      </c>
      <c r="T327" s="250">
        <f>AVERAGE(Tabla3[[#This Row],[VALOR TOTAL ]:[VALOR TOTAL]])</f>
        <v>703734.33333333337</v>
      </c>
    </row>
    <row r="328" spans="1:20" x14ac:dyDescent="0.2">
      <c r="A328" s="20" t="s">
        <v>489</v>
      </c>
      <c r="B328" s="122" t="s">
        <v>490</v>
      </c>
      <c r="C328" s="17" t="s">
        <v>14</v>
      </c>
      <c r="D328" s="174">
        <v>1</v>
      </c>
      <c r="E328" s="19">
        <v>60000</v>
      </c>
      <c r="F328" s="250">
        <f>Tabla3[[#This Row],[VALOR UNITARIO ]]*Tabla3[[#This Row],[CANTIDAD ]]</f>
        <v>60000</v>
      </c>
      <c r="G328" s="18">
        <f>1.1*14650</f>
        <v>16115.000000000002</v>
      </c>
      <c r="H328" s="250">
        <f>Tabla3[[#This Row],[VALOR UNITARIO]]*Tabla3[[#This Row],[CANTIDAD ]]</f>
        <v>16115.000000000002</v>
      </c>
      <c r="I328" s="250"/>
      <c r="J328" s="250"/>
      <c r="K328" s="250"/>
      <c r="L328" s="250"/>
      <c r="M328" s="250"/>
      <c r="N328" s="250"/>
      <c r="O328" s="250"/>
      <c r="P328" s="240"/>
      <c r="R328" s="250">
        <f>MAX(Tabla3[[#This Row],[VALOR TOTAL]],Tabla3[[#This Row],[VALOR TOTAL ]])</f>
        <v>60000</v>
      </c>
      <c r="S328" s="250">
        <f>MIN(Tabla3[[#This Row],[VALOR TOTAL ]],Tabla3[[#This Row],[VALOR TOTAL]])</f>
        <v>16115.000000000002</v>
      </c>
      <c r="T328" s="250">
        <f>AVERAGE(Tabla3[[#This Row],[VALOR TOTAL ]:[VALOR TOTAL]])</f>
        <v>30743.333333333332</v>
      </c>
    </row>
    <row r="329" spans="1:20" x14ac:dyDescent="0.2">
      <c r="A329" s="20" t="s">
        <v>491</v>
      </c>
      <c r="B329" s="63" t="s">
        <v>492</v>
      </c>
      <c r="C329" s="17" t="s">
        <v>14</v>
      </c>
      <c r="D329" s="174">
        <v>25</v>
      </c>
      <c r="E329" s="19">
        <v>98000</v>
      </c>
      <c r="F329" s="250">
        <f>Tabla3[[#This Row],[VALOR UNITARIO ]]*Tabla3[[#This Row],[CANTIDAD ]]</f>
        <v>2450000</v>
      </c>
      <c r="G329" s="18">
        <f>1.3*45090</f>
        <v>58617</v>
      </c>
      <c r="H329" s="250">
        <f>Tabla3[[#This Row],[VALOR UNITARIO]]*Tabla3[[#This Row],[CANTIDAD ]]</f>
        <v>1465425</v>
      </c>
      <c r="I329" s="250"/>
      <c r="J329" s="250"/>
      <c r="K329" s="250"/>
      <c r="L329" s="250"/>
      <c r="M329" s="250"/>
      <c r="N329" s="250"/>
      <c r="O329" s="250"/>
      <c r="P329" s="240"/>
      <c r="R329" s="250">
        <f>MAX(Tabla3[[#This Row],[VALOR TOTAL]],Tabla3[[#This Row],[VALOR TOTAL ]])</f>
        <v>2450000</v>
      </c>
      <c r="S329" s="250">
        <f>MIN(Tabla3[[#This Row],[VALOR TOTAL ]],Tabla3[[#This Row],[VALOR TOTAL]])</f>
        <v>1465425</v>
      </c>
      <c r="T329" s="250">
        <f>AVERAGE(Tabla3[[#This Row],[VALOR TOTAL ]:[VALOR TOTAL]])</f>
        <v>1324680.6666666667</v>
      </c>
    </row>
    <row r="330" spans="1:20" x14ac:dyDescent="0.2">
      <c r="A330" s="20" t="s">
        <v>493</v>
      </c>
      <c r="B330" s="122" t="s">
        <v>494</v>
      </c>
      <c r="C330" s="17" t="s">
        <v>6</v>
      </c>
      <c r="D330" s="174">
        <v>1</v>
      </c>
      <c r="E330" s="19">
        <v>45000</v>
      </c>
      <c r="F330" s="250">
        <f>Tabla3[[#This Row],[VALOR UNITARIO ]]*Tabla3[[#This Row],[CANTIDAD ]]</f>
        <v>45000</v>
      </c>
      <c r="G330" s="18">
        <f>17000*1.3</f>
        <v>22100</v>
      </c>
      <c r="H330" s="250">
        <f>Tabla3[[#This Row],[VALOR UNITARIO]]*Tabla3[[#This Row],[CANTIDAD ]]</f>
        <v>22100</v>
      </c>
      <c r="I330" s="250"/>
      <c r="J330" s="250"/>
      <c r="K330" s="250"/>
      <c r="L330" s="250"/>
      <c r="M330" s="250"/>
      <c r="N330" s="250"/>
      <c r="O330" s="250"/>
      <c r="P330" s="240"/>
      <c r="R330" s="250">
        <f>MAX(Tabla3[[#This Row],[VALOR TOTAL]],Tabla3[[#This Row],[VALOR TOTAL ]])</f>
        <v>45000</v>
      </c>
      <c r="S330" s="250">
        <f>MIN(Tabla3[[#This Row],[VALOR TOTAL ]],Tabla3[[#This Row],[VALOR TOTAL]])</f>
        <v>22100</v>
      </c>
      <c r="T330" s="250">
        <f>AVERAGE(Tabla3[[#This Row],[VALOR TOTAL ]:[VALOR TOTAL]])</f>
        <v>29733.333333333332</v>
      </c>
    </row>
    <row r="331" spans="1:20" x14ac:dyDescent="0.2">
      <c r="A331" s="184" t="s">
        <v>781</v>
      </c>
      <c r="B331" s="185" t="s">
        <v>294</v>
      </c>
      <c r="C331" s="177"/>
      <c r="D331" s="177"/>
      <c r="E331" s="19"/>
      <c r="F331" s="250">
        <f>Tabla3[[#This Row],[VALOR UNITARIO ]]*Tabla3[[#This Row],[CANTIDAD ]]</f>
        <v>0</v>
      </c>
      <c r="G331" s="119"/>
      <c r="H331" s="250"/>
      <c r="I331" s="250"/>
      <c r="J331" s="250"/>
      <c r="K331" s="250"/>
      <c r="L331" s="250"/>
      <c r="M331" s="250"/>
      <c r="N331" s="250"/>
      <c r="O331" s="250"/>
      <c r="P331" s="240"/>
      <c r="R331" s="250">
        <f>MAX(Tabla3[[#This Row],[VALOR TOTAL]],Tabla3[[#This Row],[VALOR TOTAL ]])</f>
        <v>0</v>
      </c>
      <c r="S331" s="250">
        <f>MIN(Tabla3[[#This Row],[VALOR TOTAL ]],Tabla3[[#This Row],[VALOR TOTAL]])</f>
        <v>0</v>
      </c>
      <c r="T331" s="250">
        <f>AVERAGE(Tabla3[[#This Row],[VALOR TOTAL ]:[VALOR TOTAL]])</f>
        <v>0</v>
      </c>
    </row>
    <row r="332" spans="1:20" ht="24" x14ac:dyDescent="0.2">
      <c r="A332" s="186" t="s">
        <v>495</v>
      </c>
      <c r="B332" s="12" t="s">
        <v>264</v>
      </c>
      <c r="C332" s="13" t="s">
        <v>19</v>
      </c>
      <c r="D332" s="178">
        <v>616</v>
      </c>
      <c r="E332" s="19">
        <v>135000</v>
      </c>
      <c r="F332" s="250">
        <f>Tabla3[[#This Row],[VALOR UNITARIO ]]*Tabla3[[#This Row],[CANTIDAD ]]</f>
        <v>83160000</v>
      </c>
      <c r="G332" s="18">
        <f>+G391</f>
        <v>77870</v>
      </c>
      <c r="H332" s="250">
        <f>Tabla3[[#This Row],[VALOR UNITARIO]]*Tabla3[[#This Row],[CANTIDAD ]]</f>
        <v>47967920</v>
      </c>
      <c r="I332" s="250"/>
      <c r="J332" s="250"/>
      <c r="K332" s="250"/>
      <c r="L332" s="250"/>
      <c r="M332" s="250"/>
      <c r="N332" s="250"/>
      <c r="O332" s="250"/>
      <c r="P332" s="240"/>
      <c r="R332" s="250">
        <f>MAX(Tabla3[[#This Row],[VALOR TOTAL]],Tabla3[[#This Row],[VALOR TOTAL ]])</f>
        <v>83160000</v>
      </c>
      <c r="S332" s="250">
        <f>MIN(Tabla3[[#This Row],[VALOR TOTAL ]],Tabla3[[#This Row],[VALOR TOTAL]])</f>
        <v>47967920</v>
      </c>
      <c r="T332" s="250">
        <f>AVERAGE(Tabla3[[#This Row],[VALOR TOTAL ]:[VALOR TOTAL]])</f>
        <v>43735263.333333336</v>
      </c>
    </row>
    <row r="333" spans="1:20" x14ac:dyDescent="0.2">
      <c r="A333" s="186" t="s">
        <v>496</v>
      </c>
      <c r="B333" s="63" t="s">
        <v>195</v>
      </c>
      <c r="C333" s="17" t="s">
        <v>19</v>
      </c>
      <c r="D333" s="174">
        <v>816</v>
      </c>
      <c r="E333" s="19">
        <v>7000</v>
      </c>
      <c r="F333" s="250">
        <f>Tabla3[[#This Row],[VALOR UNITARIO ]]*Tabla3[[#This Row],[CANTIDAD ]]</f>
        <v>5712000</v>
      </c>
      <c r="G333" s="18">
        <v>4200</v>
      </c>
      <c r="H333" s="250">
        <f>Tabla3[[#This Row],[VALOR UNITARIO]]*Tabla3[[#This Row],[CANTIDAD ]]</f>
        <v>3427200</v>
      </c>
      <c r="I333" s="250"/>
      <c r="J333" s="250"/>
      <c r="K333" s="250"/>
      <c r="L333" s="250"/>
      <c r="M333" s="250"/>
      <c r="N333" s="250"/>
      <c r="O333" s="250"/>
      <c r="P333" s="240"/>
      <c r="R333" s="250">
        <f>MAX(Tabla3[[#This Row],[VALOR TOTAL]],Tabla3[[#This Row],[VALOR TOTAL ]])</f>
        <v>5712000</v>
      </c>
      <c r="S333" s="250">
        <f>MIN(Tabla3[[#This Row],[VALOR TOTAL ]],Tabla3[[#This Row],[VALOR TOTAL]])</f>
        <v>3427200</v>
      </c>
      <c r="T333" s="250">
        <f>AVERAGE(Tabla3[[#This Row],[VALOR TOTAL ]:[VALOR TOTAL]])</f>
        <v>3047800</v>
      </c>
    </row>
    <row r="334" spans="1:20" x14ac:dyDescent="0.2">
      <c r="A334" s="186" t="s">
        <v>497</v>
      </c>
      <c r="B334" s="82" t="s">
        <v>498</v>
      </c>
      <c r="C334" s="22" t="s">
        <v>14</v>
      </c>
      <c r="D334" s="174">
        <v>167</v>
      </c>
      <c r="E334" s="19">
        <v>35000</v>
      </c>
      <c r="F334" s="250">
        <f>Tabla3[[#This Row],[VALOR UNITARIO ]]*Tabla3[[#This Row],[CANTIDAD ]]</f>
        <v>5845000</v>
      </c>
      <c r="G334" s="18">
        <f>9390*1.4</f>
        <v>13146</v>
      </c>
      <c r="H334" s="250">
        <f>Tabla3[[#This Row],[VALOR UNITARIO]]*Tabla3[[#This Row],[CANTIDAD ]]</f>
        <v>2195382</v>
      </c>
      <c r="I334" s="250"/>
      <c r="J334" s="250"/>
      <c r="K334" s="250"/>
      <c r="L334" s="250"/>
      <c r="M334" s="250"/>
      <c r="N334" s="250"/>
      <c r="O334" s="250"/>
      <c r="P334" s="240"/>
      <c r="R334" s="250">
        <f>MAX(Tabla3[[#This Row],[VALOR TOTAL]],Tabla3[[#This Row],[VALOR TOTAL ]])</f>
        <v>5845000</v>
      </c>
      <c r="S334" s="250">
        <f>MIN(Tabla3[[#This Row],[VALOR TOTAL ]],Tabla3[[#This Row],[VALOR TOTAL]])</f>
        <v>2195382</v>
      </c>
      <c r="T334" s="250">
        <f>AVERAGE(Tabla3[[#This Row],[VALOR TOTAL ]:[VALOR TOTAL]])</f>
        <v>2684509.3333333335</v>
      </c>
    </row>
    <row r="335" spans="1:20" ht="24" x14ac:dyDescent="0.2">
      <c r="A335" s="186" t="s">
        <v>499</v>
      </c>
      <c r="B335" s="90" t="s">
        <v>500</v>
      </c>
      <c r="C335" s="22" t="s">
        <v>501</v>
      </c>
      <c r="D335" s="174">
        <v>1</v>
      </c>
      <c r="E335" s="19">
        <v>3000000</v>
      </c>
      <c r="F335" s="250">
        <f>Tabla3[[#This Row],[VALOR UNITARIO ]]*Tabla3[[#This Row],[CANTIDAD ]]</f>
        <v>3000000</v>
      </c>
      <c r="G335" s="269">
        <v>0</v>
      </c>
      <c r="H335" s="250">
        <f>Tabla3[[#This Row],[VALOR UNITARIO]]*Tabla3[[#This Row],[CANTIDAD ]]</f>
        <v>0</v>
      </c>
      <c r="I335" s="250"/>
      <c r="J335" s="250"/>
      <c r="K335" s="250"/>
      <c r="L335" s="250"/>
      <c r="M335" s="250"/>
      <c r="N335" s="250"/>
      <c r="O335" s="250"/>
      <c r="P335" s="240"/>
      <c r="R335" s="250">
        <f>MAX(Tabla3[[#This Row],[VALOR TOTAL]],Tabla3[[#This Row],[VALOR TOTAL ]])</f>
        <v>3000000</v>
      </c>
      <c r="S335" s="250">
        <f>MIN(Tabla3[[#This Row],[VALOR TOTAL ]],Tabla3[[#This Row],[VALOR TOTAL]])</f>
        <v>0</v>
      </c>
      <c r="T335" s="250">
        <f>AVERAGE(Tabla3[[#This Row],[VALOR TOTAL ]:[VALOR TOTAL]])</f>
        <v>1000000</v>
      </c>
    </row>
    <row r="336" spans="1:20" x14ac:dyDescent="0.2">
      <c r="A336" s="186" t="s">
        <v>502</v>
      </c>
      <c r="B336" s="90" t="s">
        <v>503</v>
      </c>
      <c r="C336" s="35" t="s">
        <v>19</v>
      </c>
      <c r="D336" s="174">
        <v>110</v>
      </c>
      <c r="E336" s="19">
        <v>30000</v>
      </c>
      <c r="F336" s="250">
        <f>Tabla3[[#This Row],[VALOR UNITARIO ]]*Tabla3[[#This Row],[CANTIDAD ]]</f>
        <v>3300000</v>
      </c>
      <c r="G336" s="18">
        <v>15067</v>
      </c>
      <c r="H336" s="250">
        <f>Tabla3[[#This Row],[VALOR UNITARIO]]*Tabla3[[#This Row],[CANTIDAD ]]</f>
        <v>1657370</v>
      </c>
      <c r="I336" s="250"/>
      <c r="J336" s="250"/>
      <c r="K336" s="250"/>
      <c r="L336" s="250"/>
      <c r="M336" s="250"/>
      <c r="N336" s="250"/>
      <c r="O336" s="250"/>
      <c r="P336" s="240"/>
      <c r="R336" s="250">
        <f>MAX(Tabla3[[#This Row],[VALOR TOTAL]],Tabla3[[#This Row],[VALOR TOTAL ]])</f>
        <v>3300000</v>
      </c>
      <c r="S336" s="250">
        <f>MIN(Tabla3[[#This Row],[VALOR TOTAL ]],Tabla3[[#This Row],[VALOR TOTAL]])</f>
        <v>1657370</v>
      </c>
      <c r="T336" s="250">
        <f>AVERAGE(Tabla3[[#This Row],[VALOR TOTAL ]:[VALOR TOTAL]])</f>
        <v>1657479</v>
      </c>
    </row>
    <row r="337" spans="1:20" ht="24" x14ac:dyDescent="0.2">
      <c r="A337" s="186" t="s">
        <v>504</v>
      </c>
      <c r="B337" s="63" t="s">
        <v>505</v>
      </c>
      <c r="C337" s="22" t="s">
        <v>6</v>
      </c>
      <c r="D337" s="174">
        <v>36</v>
      </c>
      <c r="E337" s="19">
        <v>8000</v>
      </c>
      <c r="F337" s="250">
        <f>Tabla3[[#This Row],[VALOR UNITARIO ]]*Tabla3[[#This Row],[CANTIDAD ]]</f>
        <v>288000</v>
      </c>
      <c r="G337" s="18">
        <f>10744*1.3</f>
        <v>13967.2</v>
      </c>
      <c r="H337" s="250">
        <f>Tabla3[[#This Row],[VALOR UNITARIO]]*Tabla3[[#This Row],[CANTIDAD ]]</f>
        <v>502819.2</v>
      </c>
      <c r="I337" s="250"/>
      <c r="J337" s="250"/>
      <c r="K337" s="250"/>
      <c r="L337" s="250"/>
      <c r="M337" s="250"/>
      <c r="N337" s="250"/>
      <c r="O337" s="250"/>
      <c r="P337" s="240"/>
      <c r="R337" s="250">
        <f>MAX(Tabla3[[#This Row],[VALOR TOTAL]],Tabla3[[#This Row],[VALOR TOTAL ]])</f>
        <v>502819.2</v>
      </c>
      <c r="S337" s="250">
        <f>MIN(Tabla3[[#This Row],[VALOR TOTAL ]],Tabla3[[#This Row],[VALOR TOTAL]])</f>
        <v>288000</v>
      </c>
      <c r="T337" s="250">
        <f>AVERAGE(Tabla3[[#This Row],[VALOR TOTAL ]:[VALOR TOTAL]])</f>
        <v>268262.13333333336</v>
      </c>
    </row>
    <row r="338" spans="1:20" ht="36" x14ac:dyDescent="0.2">
      <c r="A338" s="186" t="s">
        <v>506</v>
      </c>
      <c r="B338" s="63" t="s">
        <v>507</v>
      </c>
      <c r="C338" s="22" t="s">
        <v>6</v>
      </c>
      <c r="D338" s="174">
        <v>36</v>
      </c>
      <c r="E338" s="19">
        <v>80000</v>
      </c>
      <c r="F338" s="250">
        <f>Tabla3[[#This Row],[VALOR UNITARIO ]]*Tabla3[[#This Row],[CANTIDAD ]]</f>
        <v>2880000</v>
      </c>
      <c r="G338" s="18">
        <f>1.3*42001</f>
        <v>54601.3</v>
      </c>
      <c r="H338" s="250">
        <f>Tabla3[[#This Row],[VALOR UNITARIO]]*Tabla3[[#This Row],[CANTIDAD ]]</f>
        <v>1965646.8</v>
      </c>
      <c r="I338" s="250"/>
      <c r="J338" s="250"/>
      <c r="K338" s="250"/>
      <c r="L338" s="250"/>
      <c r="M338" s="250"/>
      <c r="N338" s="250"/>
      <c r="O338" s="250"/>
      <c r="P338" s="240"/>
      <c r="R338" s="250">
        <f>MAX(Tabla3[[#This Row],[VALOR TOTAL]],Tabla3[[#This Row],[VALOR TOTAL ]])</f>
        <v>2880000</v>
      </c>
      <c r="S338" s="250">
        <f>MIN(Tabla3[[#This Row],[VALOR TOTAL ]],Tabla3[[#This Row],[VALOR TOTAL]])</f>
        <v>1965646.8</v>
      </c>
      <c r="T338" s="250">
        <f>AVERAGE(Tabla3[[#This Row],[VALOR TOTAL ]:[VALOR TOTAL]])</f>
        <v>1633416.0333333332</v>
      </c>
    </row>
    <row r="339" spans="1:20" x14ac:dyDescent="0.2">
      <c r="A339" s="186" t="s">
        <v>508</v>
      </c>
      <c r="B339" s="63" t="s">
        <v>173</v>
      </c>
      <c r="C339" s="22" t="s">
        <v>14</v>
      </c>
      <c r="D339" s="174">
        <v>172</v>
      </c>
      <c r="E339" s="19">
        <v>25000</v>
      </c>
      <c r="F339" s="250">
        <f>Tabla3[[#This Row],[VALOR UNITARIO ]]*Tabla3[[#This Row],[CANTIDAD ]]</f>
        <v>4300000</v>
      </c>
      <c r="G339" s="18">
        <f>1.3*6130</f>
        <v>7969</v>
      </c>
      <c r="H339" s="250">
        <f>Tabla3[[#This Row],[VALOR UNITARIO]]*Tabla3[[#This Row],[CANTIDAD ]]</f>
        <v>1370668</v>
      </c>
      <c r="I339" s="250"/>
      <c r="J339" s="250"/>
      <c r="K339" s="250"/>
      <c r="L339" s="250"/>
      <c r="M339" s="250"/>
      <c r="N339" s="250"/>
      <c r="O339" s="250"/>
      <c r="P339" s="240"/>
      <c r="R339" s="250">
        <f>MAX(Tabla3[[#This Row],[VALOR TOTAL]],Tabla3[[#This Row],[VALOR TOTAL ]])</f>
        <v>4300000</v>
      </c>
      <c r="S339" s="250">
        <f>MIN(Tabla3[[#This Row],[VALOR TOTAL ]],Tabla3[[#This Row],[VALOR TOTAL]])</f>
        <v>1370668</v>
      </c>
      <c r="T339" s="250">
        <f>AVERAGE(Tabla3[[#This Row],[VALOR TOTAL ]:[VALOR TOTAL]])</f>
        <v>1892879</v>
      </c>
    </row>
    <row r="340" spans="1:20" ht="24" x14ac:dyDescent="0.2">
      <c r="A340" s="186" t="s">
        <v>509</v>
      </c>
      <c r="B340" s="146" t="s">
        <v>23</v>
      </c>
      <c r="C340" s="17" t="s">
        <v>19</v>
      </c>
      <c r="D340" s="174">
        <v>97</v>
      </c>
      <c r="E340" s="19">
        <v>35000</v>
      </c>
      <c r="F340" s="250">
        <f>Tabla3[[#This Row],[VALOR UNITARIO ]]*Tabla3[[#This Row],[CANTIDAD ]]</f>
        <v>3395000</v>
      </c>
      <c r="G340" s="18">
        <v>3731</v>
      </c>
      <c r="H340" s="250">
        <f>Tabla3[[#This Row],[VALOR UNITARIO]]*Tabla3[[#This Row],[CANTIDAD ]]</f>
        <v>361907</v>
      </c>
      <c r="I340" s="250"/>
      <c r="J340" s="250"/>
      <c r="K340" s="250"/>
      <c r="L340" s="250"/>
      <c r="M340" s="250"/>
      <c r="N340" s="250"/>
      <c r="O340" s="250"/>
      <c r="P340" s="240"/>
      <c r="R340" s="250">
        <f>MAX(Tabla3[[#This Row],[VALOR TOTAL]],Tabla3[[#This Row],[VALOR TOTAL ]])</f>
        <v>3395000</v>
      </c>
      <c r="S340" s="250">
        <f>MIN(Tabla3[[#This Row],[VALOR TOTAL ]],Tabla3[[#This Row],[VALOR TOTAL]])</f>
        <v>361907</v>
      </c>
      <c r="T340" s="250">
        <f>AVERAGE(Tabla3[[#This Row],[VALOR TOTAL ]:[VALOR TOTAL]])</f>
        <v>1253546</v>
      </c>
    </row>
    <row r="341" spans="1:20" x14ac:dyDescent="0.2">
      <c r="A341" s="186" t="s">
        <v>510</v>
      </c>
      <c r="B341" s="63" t="s">
        <v>25</v>
      </c>
      <c r="C341" s="22" t="s">
        <v>19</v>
      </c>
      <c r="D341" s="174">
        <v>97</v>
      </c>
      <c r="E341" s="19">
        <v>27000</v>
      </c>
      <c r="F341" s="250">
        <f>Tabla3[[#This Row],[VALOR UNITARIO ]]*Tabla3[[#This Row],[CANTIDAD ]]</f>
        <v>2619000</v>
      </c>
      <c r="G341" s="18">
        <v>5200</v>
      </c>
      <c r="H341" s="250">
        <f>Tabla3[[#This Row],[VALOR UNITARIO]]*Tabla3[[#This Row],[CANTIDAD ]]</f>
        <v>504400</v>
      </c>
      <c r="I341" s="250"/>
      <c r="J341" s="250"/>
      <c r="K341" s="250"/>
      <c r="L341" s="250"/>
      <c r="M341" s="250"/>
      <c r="N341" s="250"/>
      <c r="O341" s="250"/>
      <c r="P341" s="240"/>
      <c r="R341" s="250">
        <f>MAX(Tabla3[[#This Row],[VALOR TOTAL]],Tabla3[[#This Row],[VALOR TOTAL ]])</f>
        <v>2619000</v>
      </c>
      <c r="S341" s="250">
        <f>MIN(Tabla3[[#This Row],[VALOR TOTAL ]],Tabla3[[#This Row],[VALOR TOTAL]])</f>
        <v>504400</v>
      </c>
      <c r="T341" s="250">
        <f>AVERAGE(Tabla3[[#This Row],[VALOR TOTAL ]:[VALOR TOTAL]])</f>
        <v>1042866.6666666666</v>
      </c>
    </row>
    <row r="342" spans="1:20" x14ac:dyDescent="0.2">
      <c r="A342" s="186" t="s">
        <v>511</v>
      </c>
      <c r="B342" s="146" t="s">
        <v>27</v>
      </c>
      <c r="C342" s="17" t="s">
        <v>19</v>
      </c>
      <c r="D342" s="174">
        <v>97</v>
      </c>
      <c r="E342" s="19">
        <v>75000</v>
      </c>
      <c r="F342" s="250">
        <f>Tabla3[[#This Row],[VALOR UNITARIO ]]*Tabla3[[#This Row],[CANTIDAD ]]</f>
        <v>7275000</v>
      </c>
      <c r="G342" s="269">
        <v>0</v>
      </c>
      <c r="H342" s="250">
        <f>Tabla3[[#This Row],[VALOR UNITARIO]]*Tabla3[[#This Row],[CANTIDAD ]]</f>
        <v>0</v>
      </c>
      <c r="I342" s="250"/>
      <c r="J342" s="250"/>
      <c r="K342" s="250"/>
      <c r="L342" s="250"/>
      <c r="M342" s="250"/>
      <c r="N342" s="250"/>
      <c r="O342" s="250"/>
      <c r="P342" s="240"/>
      <c r="R342" s="250">
        <f>MAX(Tabla3[[#This Row],[VALOR TOTAL]],Tabla3[[#This Row],[VALOR TOTAL ]])</f>
        <v>7275000</v>
      </c>
      <c r="S342" s="250">
        <f>MIN(Tabla3[[#This Row],[VALOR TOTAL ]],Tabla3[[#This Row],[VALOR TOTAL]])</f>
        <v>0</v>
      </c>
      <c r="T342" s="250">
        <f>AVERAGE(Tabla3[[#This Row],[VALOR TOTAL ]:[VALOR TOTAL]])</f>
        <v>2425000</v>
      </c>
    </row>
    <row r="343" spans="1:20" ht="36" x14ac:dyDescent="0.2">
      <c r="A343" s="186" t="s">
        <v>512</v>
      </c>
      <c r="B343" s="63" t="s">
        <v>29</v>
      </c>
      <c r="C343" s="22" t="s">
        <v>19</v>
      </c>
      <c r="D343" s="174">
        <v>97</v>
      </c>
      <c r="E343" s="19">
        <v>38000</v>
      </c>
      <c r="F343" s="250">
        <f>Tabla3[[#This Row],[VALOR UNITARIO ]]*Tabla3[[#This Row],[CANTIDAD ]]</f>
        <v>3686000</v>
      </c>
      <c r="G343" s="18">
        <v>5200</v>
      </c>
      <c r="H343" s="250">
        <f>Tabla3[[#This Row],[VALOR UNITARIO]]*Tabla3[[#This Row],[CANTIDAD ]]</f>
        <v>504400</v>
      </c>
      <c r="I343" s="250"/>
      <c r="J343" s="250"/>
      <c r="K343" s="250"/>
      <c r="L343" s="250"/>
      <c r="M343" s="250"/>
      <c r="N343" s="250"/>
      <c r="O343" s="250"/>
      <c r="P343" s="240"/>
      <c r="R343" s="250">
        <f>MAX(Tabla3[[#This Row],[VALOR TOTAL]],Tabla3[[#This Row],[VALOR TOTAL ]])</f>
        <v>3686000</v>
      </c>
      <c r="S343" s="250">
        <f>MIN(Tabla3[[#This Row],[VALOR TOTAL ]],Tabla3[[#This Row],[VALOR TOTAL]])</f>
        <v>504400</v>
      </c>
      <c r="T343" s="250">
        <f>AVERAGE(Tabla3[[#This Row],[VALOR TOTAL ]:[VALOR TOTAL]])</f>
        <v>1398533.3333333333</v>
      </c>
    </row>
    <row r="344" spans="1:20" ht="48" x14ac:dyDescent="0.2">
      <c r="A344" s="186" t="s">
        <v>513</v>
      </c>
      <c r="B344" s="146" t="s">
        <v>31</v>
      </c>
      <c r="C344" s="22" t="s">
        <v>19</v>
      </c>
      <c r="D344" s="174">
        <v>97</v>
      </c>
      <c r="E344" s="19">
        <v>320000</v>
      </c>
      <c r="F344" s="250">
        <f>Tabla3[[#This Row],[VALOR UNITARIO ]]*Tabla3[[#This Row],[CANTIDAD ]]</f>
        <v>31040000</v>
      </c>
      <c r="G344" s="18">
        <v>128700</v>
      </c>
      <c r="H344" s="250">
        <f>Tabla3[[#This Row],[VALOR UNITARIO]]*Tabla3[[#This Row],[CANTIDAD ]]</f>
        <v>12483900</v>
      </c>
      <c r="I344" s="250"/>
      <c r="J344" s="250"/>
      <c r="K344" s="250"/>
      <c r="L344" s="250"/>
      <c r="M344" s="250"/>
      <c r="N344" s="250"/>
      <c r="O344" s="250"/>
      <c r="P344" s="240"/>
      <c r="R344" s="250">
        <f>MAX(Tabla3[[#This Row],[VALOR TOTAL]],Tabla3[[#This Row],[VALOR TOTAL ]])</f>
        <v>31040000</v>
      </c>
      <c r="S344" s="250">
        <f>MIN(Tabla3[[#This Row],[VALOR TOTAL ]],Tabla3[[#This Row],[VALOR TOTAL]])</f>
        <v>12483900</v>
      </c>
      <c r="T344" s="250">
        <f>AVERAGE(Tabla3[[#This Row],[VALOR TOTAL ]:[VALOR TOTAL]])</f>
        <v>14550866.666666666</v>
      </c>
    </row>
    <row r="345" spans="1:20" ht="48" x14ac:dyDescent="0.2">
      <c r="A345" s="186" t="s">
        <v>514</v>
      </c>
      <c r="B345" s="63" t="s">
        <v>33</v>
      </c>
      <c r="C345" s="22" t="s">
        <v>14</v>
      </c>
      <c r="D345" s="174">
        <v>131</v>
      </c>
      <c r="E345" s="19">
        <v>50000</v>
      </c>
      <c r="F345" s="250">
        <f>Tabla3[[#This Row],[VALOR UNITARIO ]]*Tabla3[[#This Row],[CANTIDAD ]]</f>
        <v>6550000</v>
      </c>
      <c r="G345" s="18">
        <v>52117</v>
      </c>
      <c r="H345" s="250">
        <f>Tabla3[[#This Row],[VALOR UNITARIO]]*Tabla3[[#This Row],[CANTIDAD ]]</f>
        <v>6827327</v>
      </c>
      <c r="I345" s="250"/>
      <c r="J345" s="250"/>
      <c r="K345" s="250"/>
      <c r="L345" s="250"/>
      <c r="M345" s="250"/>
      <c r="N345" s="250"/>
      <c r="O345" s="250"/>
      <c r="P345" s="240"/>
      <c r="R345" s="250">
        <f>MAX(Tabla3[[#This Row],[VALOR TOTAL]],Tabla3[[#This Row],[VALOR TOTAL ]])</f>
        <v>6827327</v>
      </c>
      <c r="S345" s="250">
        <f>MIN(Tabla3[[#This Row],[VALOR TOTAL ]],Tabla3[[#This Row],[VALOR TOTAL]])</f>
        <v>6550000</v>
      </c>
      <c r="T345" s="250">
        <f>AVERAGE(Tabla3[[#This Row],[VALOR TOTAL ]:[VALOR TOTAL]])</f>
        <v>4476481.333333333</v>
      </c>
    </row>
    <row r="346" spans="1:20" ht="24" x14ac:dyDescent="0.2">
      <c r="A346" s="186" t="s">
        <v>515</v>
      </c>
      <c r="B346" s="24" t="s">
        <v>35</v>
      </c>
      <c r="C346" s="22" t="s">
        <v>19</v>
      </c>
      <c r="D346" s="174">
        <v>97</v>
      </c>
      <c r="E346" s="19">
        <v>140000</v>
      </c>
      <c r="F346" s="250">
        <f>Tabla3[[#This Row],[VALOR UNITARIO ]]*Tabla3[[#This Row],[CANTIDAD ]]</f>
        <v>13580000</v>
      </c>
      <c r="G346" s="18">
        <f>106276*1.1</f>
        <v>116903.6</v>
      </c>
      <c r="H346" s="250">
        <f>Tabla3[[#This Row],[VALOR UNITARIO]]*Tabla3[[#This Row],[CANTIDAD ]]</f>
        <v>11339649.200000001</v>
      </c>
      <c r="I346" s="250"/>
      <c r="J346" s="250"/>
      <c r="K346" s="250"/>
      <c r="L346" s="250"/>
      <c r="M346" s="250"/>
      <c r="N346" s="250"/>
      <c r="O346" s="250"/>
      <c r="P346" s="240"/>
      <c r="R346" s="250">
        <f>MAX(Tabla3[[#This Row],[VALOR TOTAL]],Tabla3[[#This Row],[VALOR TOTAL ]])</f>
        <v>13580000</v>
      </c>
      <c r="S346" s="250">
        <f>MIN(Tabla3[[#This Row],[VALOR TOTAL ]],Tabla3[[#This Row],[VALOR TOTAL]])</f>
        <v>11339649.200000001</v>
      </c>
      <c r="T346" s="250">
        <f>AVERAGE(Tabla3[[#This Row],[VALOR TOTAL ]:[VALOR TOTAL]])</f>
        <v>8345517.6000000006</v>
      </c>
    </row>
    <row r="347" spans="1:20" ht="24" x14ac:dyDescent="0.2">
      <c r="A347" s="186" t="s">
        <v>516</v>
      </c>
      <c r="B347" s="63" t="s">
        <v>37</v>
      </c>
      <c r="C347" s="22" t="s">
        <v>14</v>
      </c>
      <c r="D347" s="174">
        <v>26</v>
      </c>
      <c r="E347" s="19">
        <v>35000</v>
      </c>
      <c r="F347" s="250">
        <f>Tabla3[[#This Row],[VALOR UNITARIO ]]*Tabla3[[#This Row],[CANTIDAD ]]</f>
        <v>910000</v>
      </c>
      <c r="G347" s="18">
        <f>14420*1.3</f>
        <v>18746</v>
      </c>
      <c r="H347" s="250">
        <f>Tabla3[[#This Row],[VALOR UNITARIO]]*Tabla3[[#This Row],[CANTIDAD ]]</f>
        <v>487396</v>
      </c>
      <c r="I347" s="250"/>
      <c r="J347" s="250"/>
      <c r="K347" s="250"/>
      <c r="L347" s="250"/>
      <c r="M347" s="250"/>
      <c r="N347" s="250"/>
      <c r="O347" s="250"/>
      <c r="P347" s="240"/>
      <c r="R347" s="250">
        <f>MAX(Tabla3[[#This Row],[VALOR TOTAL]],Tabla3[[#This Row],[VALOR TOTAL ]])</f>
        <v>910000</v>
      </c>
      <c r="S347" s="250">
        <f>MIN(Tabla3[[#This Row],[VALOR TOTAL ]],Tabla3[[#This Row],[VALOR TOTAL]])</f>
        <v>487396</v>
      </c>
      <c r="T347" s="250">
        <f>AVERAGE(Tabla3[[#This Row],[VALOR TOTAL ]:[VALOR TOTAL]])</f>
        <v>472047.33333333331</v>
      </c>
    </row>
    <row r="348" spans="1:20" ht="24" x14ac:dyDescent="0.2">
      <c r="A348" s="186" t="s">
        <v>517</v>
      </c>
      <c r="B348" s="24" t="s">
        <v>39</v>
      </c>
      <c r="C348" s="22" t="s">
        <v>14</v>
      </c>
      <c r="D348" s="174">
        <v>55</v>
      </c>
      <c r="E348" s="19">
        <v>40000</v>
      </c>
      <c r="F348" s="250">
        <f>Tabla3[[#This Row],[VALOR UNITARIO ]]*Tabla3[[#This Row],[CANTIDAD ]]</f>
        <v>2200000</v>
      </c>
      <c r="G348" s="18">
        <f>13210*1.3</f>
        <v>17173</v>
      </c>
      <c r="H348" s="250">
        <f>Tabla3[[#This Row],[VALOR UNITARIO]]*Tabla3[[#This Row],[CANTIDAD ]]</f>
        <v>944515</v>
      </c>
      <c r="I348" s="250"/>
      <c r="J348" s="250"/>
      <c r="K348" s="250"/>
      <c r="L348" s="250"/>
      <c r="M348" s="250"/>
      <c r="N348" s="250"/>
      <c r="O348" s="250"/>
      <c r="P348" s="240"/>
      <c r="R348" s="250">
        <f>MAX(Tabla3[[#This Row],[VALOR TOTAL]],Tabla3[[#This Row],[VALOR TOTAL ]])</f>
        <v>2200000</v>
      </c>
      <c r="S348" s="250">
        <f>MIN(Tabla3[[#This Row],[VALOR TOTAL ]],Tabla3[[#This Row],[VALOR TOTAL]])</f>
        <v>944515</v>
      </c>
      <c r="T348" s="250">
        <f>AVERAGE(Tabla3[[#This Row],[VALOR TOTAL ]:[VALOR TOTAL]])</f>
        <v>1053896</v>
      </c>
    </row>
    <row r="349" spans="1:20" x14ac:dyDescent="0.2">
      <c r="A349" s="9" t="s">
        <v>518</v>
      </c>
      <c r="B349" s="53" t="s">
        <v>101</v>
      </c>
      <c r="C349" s="54"/>
      <c r="D349" s="151"/>
      <c r="E349" s="19"/>
      <c r="F349" s="250">
        <f>Tabla3[[#This Row],[VALOR UNITARIO ]]*Tabla3[[#This Row],[CANTIDAD ]]</f>
        <v>0</v>
      </c>
      <c r="G349" s="151"/>
      <c r="H349" s="250"/>
      <c r="I349" s="250"/>
      <c r="J349" s="250"/>
      <c r="K349" s="250"/>
      <c r="L349" s="250"/>
      <c r="M349" s="250"/>
      <c r="N349" s="250"/>
      <c r="O349" s="250"/>
      <c r="P349" s="240"/>
      <c r="R349" s="250">
        <f>MAX(Tabla3[[#This Row],[VALOR TOTAL]],Tabla3[[#This Row],[VALOR TOTAL ]])</f>
        <v>0</v>
      </c>
      <c r="S349" s="250">
        <f>MIN(Tabla3[[#This Row],[VALOR TOTAL ]],Tabla3[[#This Row],[VALOR TOTAL]])</f>
        <v>0</v>
      </c>
      <c r="T349" s="250">
        <f>AVERAGE(Tabla3[[#This Row],[VALOR TOTAL ]:[VALOR TOTAL]])</f>
        <v>0</v>
      </c>
    </row>
    <row r="350" spans="1:20" ht="24" x14ac:dyDescent="0.2">
      <c r="A350" s="11" t="s">
        <v>519</v>
      </c>
      <c r="B350" s="56" t="s">
        <v>103</v>
      </c>
      <c r="C350" s="57" t="s">
        <v>19</v>
      </c>
      <c r="D350" s="15">
        <v>10</v>
      </c>
      <c r="E350" s="19">
        <v>130000</v>
      </c>
      <c r="F350" s="250">
        <f>Tabla3[[#This Row],[VALOR UNITARIO ]]*Tabla3[[#This Row],[CANTIDAD ]]</f>
        <v>1300000</v>
      </c>
      <c r="G350" s="39">
        <v>122971.77200000001</v>
      </c>
      <c r="H350" s="250">
        <f>Tabla3[[#This Row],[VALOR UNITARIO]]*Tabla3[[#This Row],[CANTIDAD ]]</f>
        <v>1229717.7200000002</v>
      </c>
      <c r="I350" s="250"/>
      <c r="J350" s="250"/>
      <c r="K350" s="250"/>
      <c r="L350" s="250"/>
      <c r="M350" s="250"/>
      <c r="N350" s="250"/>
      <c r="O350" s="250"/>
      <c r="P350" s="240"/>
      <c r="R350" s="250">
        <f>MAX(Tabla3[[#This Row],[VALOR TOTAL]],Tabla3[[#This Row],[VALOR TOTAL ]])</f>
        <v>1300000</v>
      </c>
      <c r="S350" s="250">
        <f>MIN(Tabla3[[#This Row],[VALOR TOTAL ]],Tabla3[[#This Row],[VALOR TOTAL]])</f>
        <v>1229717.7200000002</v>
      </c>
      <c r="T350" s="250">
        <f>AVERAGE(Tabla3[[#This Row],[VALOR TOTAL ]:[VALOR TOTAL]])</f>
        <v>884229.83066666685</v>
      </c>
    </row>
    <row r="351" spans="1:20" x14ac:dyDescent="0.2">
      <c r="A351" s="11" t="s">
        <v>520</v>
      </c>
      <c r="B351" s="58" t="s">
        <v>105</v>
      </c>
      <c r="C351" s="59" t="s">
        <v>14</v>
      </c>
      <c r="D351" s="15">
        <v>5</v>
      </c>
      <c r="E351" s="19">
        <v>50000</v>
      </c>
      <c r="F351" s="250">
        <f>Tabla3[[#This Row],[VALOR UNITARIO ]]*Tabla3[[#This Row],[CANTIDAD ]]</f>
        <v>250000</v>
      </c>
      <c r="G351" s="39">
        <v>111069.57400000001</v>
      </c>
      <c r="H351" s="250">
        <f>Tabla3[[#This Row],[VALOR UNITARIO]]*Tabla3[[#This Row],[CANTIDAD ]]</f>
        <v>555347.87</v>
      </c>
      <c r="I351" s="250"/>
      <c r="J351" s="250"/>
      <c r="K351" s="250"/>
      <c r="L351" s="250"/>
      <c r="M351" s="250"/>
      <c r="N351" s="250"/>
      <c r="O351" s="250"/>
      <c r="P351" s="240"/>
      <c r="R351" s="250">
        <f>MAX(Tabla3[[#This Row],[VALOR TOTAL]],Tabla3[[#This Row],[VALOR TOTAL ]])</f>
        <v>555347.87</v>
      </c>
      <c r="S351" s="250">
        <f>MIN(Tabla3[[#This Row],[VALOR TOTAL ]],Tabla3[[#This Row],[VALOR TOTAL]])</f>
        <v>250000</v>
      </c>
      <c r="T351" s="250">
        <f>AVERAGE(Tabla3[[#This Row],[VALOR TOTAL ]:[VALOR TOTAL]])</f>
        <v>305472.48133333336</v>
      </c>
    </row>
    <row r="352" spans="1:20" ht="36" x14ac:dyDescent="0.2">
      <c r="A352" s="11" t="s">
        <v>521</v>
      </c>
      <c r="B352" s="24" t="s">
        <v>107</v>
      </c>
      <c r="C352" s="59" t="s">
        <v>14</v>
      </c>
      <c r="D352" s="15">
        <v>5</v>
      </c>
      <c r="E352" s="19">
        <v>78000</v>
      </c>
      <c r="F352" s="250">
        <f>Tabla3[[#This Row],[VALOR UNITARIO ]]*Tabla3[[#This Row],[CANTIDAD ]]</f>
        <v>390000</v>
      </c>
      <c r="G352" s="39">
        <v>76011.936000000002</v>
      </c>
      <c r="H352" s="250">
        <f>Tabla3[[#This Row],[VALOR UNITARIO]]*Tabla3[[#This Row],[CANTIDAD ]]</f>
        <v>380059.68</v>
      </c>
      <c r="I352" s="250"/>
      <c r="J352" s="250"/>
      <c r="K352" s="250"/>
      <c r="L352" s="250"/>
      <c r="M352" s="250"/>
      <c r="N352" s="250"/>
      <c r="O352" s="250"/>
      <c r="P352" s="240"/>
      <c r="R352" s="250">
        <f>MAX(Tabla3[[#This Row],[VALOR TOTAL]],Tabla3[[#This Row],[VALOR TOTAL ]])</f>
        <v>390000</v>
      </c>
      <c r="S352" s="250">
        <f>MIN(Tabla3[[#This Row],[VALOR TOTAL ]],Tabla3[[#This Row],[VALOR TOTAL]])</f>
        <v>380059.68</v>
      </c>
      <c r="T352" s="250">
        <f>AVERAGE(Tabla3[[#This Row],[VALOR TOTAL ]:[VALOR TOTAL]])</f>
        <v>282023.87199999997</v>
      </c>
    </row>
    <row r="353" spans="1:20" x14ac:dyDescent="0.2">
      <c r="A353" s="11" t="s">
        <v>522</v>
      </c>
      <c r="B353" s="58" t="s">
        <v>109</v>
      </c>
      <c r="C353" s="59" t="s">
        <v>14</v>
      </c>
      <c r="D353" s="15">
        <v>8</v>
      </c>
      <c r="E353" s="19">
        <v>50000</v>
      </c>
      <c r="F353" s="250">
        <f>Tabla3[[#This Row],[VALOR UNITARIO ]]*Tabla3[[#This Row],[CANTIDAD ]]</f>
        <v>400000</v>
      </c>
      <c r="G353" s="39">
        <v>17277</v>
      </c>
      <c r="H353" s="250">
        <f>Tabla3[[#This Row],[VALOR UNITARIO]]*Tabla3[[#This Row],[CANTIDAD ]]</f>
        <v>138216</v>
      </c>
      <c r="I353" s="250"/>
      <c r="J353" s="250"/>
      <c r="K353" s="250"/>
      <c r="L353" s="250"/>
      <c r="M353" s="250"/>
      <c r="N353" s="250"/>
      <c r="O353" s="250"/>
      <c r="P353" s="240"/>
      <c r="R353" s="250">
        <f>MAX(Tabla3[[#This Row],[VALOR TOTAL]],Tabla3[[#This Row],[VALOR TOTAL ]])</f>
        <v>400000</v>
      </c>
      <c r="S353" s="250">
        <f>MIN(Tabla3[[#This Row],[VALOR TOTAL ]],Tabla3[[#This Row],[VALOR TOTAL]])</f>
        <v>138216</v>
      </c>
      <c r="T353" s="250">
        <f>AVERAGE(Tabla3[[#This Row],[VALOR TOTAL ]:[VALOR TOTAL]])</f>
        <v>185164.33333333334</v>
      </c>
    </row>
    <row r="354" spans="1:20" ht="36" x14ac:dyDescent="0.2">
      <c r="A354" s="11" t="s">
        <v>523</v>
      </c>
      <c r="B354" s="24" t="s">
        <v>111</v>
      </c>
      <c r="C354" s="60" t="s">
        <v>6</v>
      </c>
      <c r="D354" s="15">
        <v>1</v>
      </c>
      <c r="E354" s="19">
        <v>650000</v>
      </c>
      <c r="F354" s="250">
        <f>Tabla3[[#This Row],[VALOR UNITARIO ]]*Tabla3[[#This Row],[CANTIDAD ]]</f>
        <v>650000</v>
      </c>
      <c r="G354" s="39">
        <v>802118.24000000011</v>
      </c>
      <c r="H354" s="250">
        <f>Tabla3[[#This Row],[VALOR UNITARIO]]*Tabla3[[#This Row],[CANTIDAD ]]</f>
        <v>802118.24000000011</v>
      </c>
      <c r="I354" s="250"/>
      <c r="J354" s="250"/>
      <c r="K354" s="250"/>
      <c r="L354" s="250"/>
      <c r="M354" s="250"/>
      <c r="N354" s="250"/>
      <c r="O354" s="250"/>
      <c r="P354" s="240"/>
      <c r="R354" s="250">
        <f>MAX(Tabla3[[#This Row],[VALOR TOTAL]],Tabla3[[#This Row],[VALOR TOTAL ]])</f>
        <v>802118.24000000011</v>
      </c>
      <c r="S354" s="250">
        <f>MIN(Tabla3[[#This Row],[VALOR TOTAL ]],Tabla3[[#This Row],[VALOR TOTAL]])</f>
        <v>650000</v>
      </c>
      <c r="T354" s="250">
        <f>AVERAGE(Tabla3[[#This Row],[VALOR TOTAL ]:[VALOR TOTAL]])</f>
        <v>751412.16000000015</v>
      </c>
    </row>
    <row r="355" spans="1:20" x14ac:dyDescent="0.2">
      <c r="A355" s="187"/>
      <c r="B355" s="90"/>
      <c r="C355" s="108" t="s">
        <v>196</v>
      </c>
      <c r="D355" s="109"/>
      <c r="F355" s="258">
        <f>SUM(F285:F354)</f>
        <v>350637200</v>
      </c>
      <c r="H355" s="254">
        <f>SUM(H285:H354)</f>
        <v>219845521.368</v>
      </c>
      <c r="I355" s="270"/>
      <c r="P355" s="240"/>
      <c r="R355" s="254"/>
      <c r="S355" s="254"/>
      <c r="T355" s="254"/>
    </row>
    <row r="356" spans="1:20" x14ac:dyDescent="0.2">
      <c r="A356" s="188"/>
      <c r="B356" s="94"/>
      <c r="C356" s="95" t="s">
        <v>197</v>
      </c>
      <c r="D356" s="96"/>
      <c r="E356" s="97">
        <v>0.25</v>
      </c>
      <c r="F356" s="255">
        <f>F355*Tabla3[[#This Row],[VALOR UNITARIO ]]</f>
        <v>87659300</v>
      </c>
      <c r="G356" s="249">
        <v>0.24</v>
      </c>
      <c r="H356" s="255">
        <f>H355*Tabla3[[#This Row],[VALOR UNITARIO]]</f>
        <v>52762925.128320001</v>
      </c>
      <c r="I356" s="271"/>
      <c r="J356" s="249"/>
      <c r="K356" s="249"/>
      <c r="L356" s="249"/>
      <c r="M356" s="249"/>
      <c r="N356" s="249"/>
      <c r="O356" s="249"/>
      <c r="P356" s="240"/>
      <c r="R356" s="255"/>
      <c r="S356" s="255"/>
      <c r="T356" s="255"/>
    </row>
    <row r="357" spans="1:20" x14ac:dyDescent="0.2">
      <c r="A357" s="188"/>
      <c r="B357" s="94"/>
      <c r="C357" s="95" t="s">
        <v>198</v>
      </c>
      <c r="D357" s="96"/>
      <c r="E357" s="97">
        <v>0.02</v>
      </c>
      <c r="F357" s="255">
        <f>F355*Tabla3[[#This Row],[VALOR UNITARIO ]]</f>
        <v>7012744</v>
      </c>
      <c r="G357" s="249">
        <v>0.01</v>
      </c>
      <c r="H357" s="255">
        <f>H355*Tabla3[[#This Row],[VALOR UNITARIO]]</f>
        <v>2198455.21368</v>
      </c>
      <c r="I357" s="271"/>
      <c r="J357" s="249"/>
      <c r="K357" s="249"/>
      <c r="L357" s="249"/>
      <c r="M357" s="249"/>
      <c r="N357" s="249"/>
      <c r="O357" s="249"/>
      <c r="P357" s="240"/>
      <c r="R357" s="255"/>
      <c r="S357" s="255"/>
      <c r="T357" s="255"/>
    </row>
    <row r="358" spans="1:20" x14ac:dyDescent="0.2">
      <c r="A358" s="188"/>
      <c r="B358" s="94"/>
      <c r="C358" s="95" t="s">
        <v>199</v>
      </c>
      <c r="D358" s="96"/>
      <c r="E358" s="97">
        <v>0.05</v>
      </c>
      <c r="F358" s="255">
        <f>F355*Tabla3[[#This Row],[VALOR UNITARIO ]]</f>
        <v>17531860</v>
      </c>
      <c r="G358" s="249">
        <v>0.05</v>
      </c>
      <c r="H358" s="255">
        <f>H355*Tabla3[[#This Row],[VALOR UNITARIO]]</f>
        <v>10992276.068400001</v>
      </c>
      <c r="I358" s="271"/>
      <c r="J358" s="249"/>
      <c r="K358" s="249"/>
      <c r="L358" s="249"/>
      <c r="M358" s="249"/>
      <c r="N358" s="249"/>
      <c r="O358" s="249"/>
      <c r="P358" s="240"/>
      <c r="R358" s="255"/>
      <c r="S358" s="255"/>
      <c r="T358" s="255"/>
    </row>
    <row r="359" spans="1:20" x14ac:dyDescent="0.2">
      <c r="A359" s="188"/>
      <c r="B359" s="94"/>
      <c r="C359" s="95" t="s">
        <v>200</v>
      </c>
      <c r="D359" s="96"/>
      <c r="E359" s="97">
        <v>0.19</v>
      </c>
      <c r="F359" s="255">
        <f>F358*Tabla3[[#This Row],[VALOR UNITARIO ]]</f>
        <v>3331053.4</v>
      </c>
      <c r="G359" s="249">
        <v>0.19</v>
      </c>
      <c r="H359" s="255">
        <f>H358*Tabla3[[#This Row],[VALOR UNITARIO]]</f>
        <v>2088532.4529960002</v>
      </c>
      <c r="I359" s="271"/>
      <c r="J359" s="249"/>
      <c r="K359" s="249"/>
      <c r="L359" s="249"/>
      <c r="M359" s="249"/>
      <c r="N359" s="249"/>
      <c r="O359" s="249"/>
      <c r="P359" s="240"/>
      <c r="R359" s="255"/>
      <c r="S359" s="255"/>
      <c r="T359" s="255"/>
    </row>
    <row r="360" spans="1:20" x14ac:dyDescent="0.2">
      <c r="A360" s="189"/>
      <c r="B360" s="99"/>
      <c r="C360" s="91" t="s">
        <v>201</v>
      </c>
      <c r="D360" s="100"/>
      <c r="F360" s="258">
        <f>SUM(F355:F359)</f>
        <v>466172157.39999998</v>
      </c>
      <c r="H360" s="258">
        <f>SUM(H355:H359)</f>
        <v>287887710.23139608</v>
      </c>
      <c r="I360" s="270"/>
      <c r="P360" s="240"/>
      <c r="R360" s="258"/>
      <c r="S360" s="258"/>
      <c r="T360" s="258"/>
    </row>
    <row r="361" spans="1:20" x14ac:dyDescent="0.2">
      <c r="A361" s="166" t="s">
        <v>524</v>
      </c>
      <c r="B361" s="141" t="s">
        <v>525</v>
      </c>
      <c r="C361" s="142"/>
      <c r="D361" s="142"/>
      <c r="F361" s="254">
        <f>Tabla3[[#This Row],[VALOR UNITARIO ]]*Tabla3[[#This Row],[CANTIDAD ]]</f>
        <v>0</v>
      </c>
      <c r="H361" s="254">
        <f>Tabla3[[#This Row],[VALOR UNITARIO]]*Tabla3[[#This Row],[CANTIDAD ]]</f>
        <v>0</v>
      </c>
      <c r="I361" s="270"/>
      <c r="P361" s="240"/>
      <c r="R361" s="254"/>
      <c r="S361" s="254"/>
      <c r="T361" s="254"/>
    </row>
    <row r="362" spans="1:20" x14ac:dyDescent="0.2">
      <c r="A362" s="190" t="s">
        <v>526</v>
      </c>
      <c r="B362" s="132" t="s">
        <v>527</v>
      </c>
      <c r="C362" s="191"/>
      <c r="D362" s="9"/>
      <c r="F362" s="254"/>
      <c r="H362" s="254">
        <f>Tabla3[[#This Row],[VALOR UNITARIO]]*Tabla3[[#This Row],[CANTIDAD ]]</f>
        <v>0</v>
      </c>
      <c r="I362" s="270"/>
      <c r="P362" s="240"/>
      <c r="R362" s="254"/>
      <c r="S362" s="254"/>
      <c r="T362" s="254"/>
    </row>
    <row r="363" spans="1:20" ht="24" x14ac:dyDescent="0.2">
      <c r="A363" s="20" t="s">
        <v>528</v>
      </c>
      <c r="B363" s="24" t="s">
        <v>529</v>
      </c>
      <c r="C363" s="59" t="s">
        <v>19</v>
      </c>
      <c r="D363" s="123">
        <v>22</v>
      </c>
      <c r="E363" s="19">
        <v>12500</v>
      </c>
      <c r="F363" s="250">
        <f>Tabla3[[#This Row],[VALOR UNITARIO ]]*Tabla3[[#This Row],[CANTIDAD ]]</f>
        <v>275000</v>
      </c>
      <c r="G363" s="266">
        <v>0</v>
      </c>
      <c r="H363" s="266">
        <f>Tabla3[[#This Row],[VALOR UNITARIO]]*Tabla3[[#This Row],[CANTIDAD ]]</f>
        <v>0</v>
      </c>
      <c r="I363" s="250"/>
      <c r="J363" s="250"/>
      <c r="K363" s="250"/>
      <c r="L363" s="250"/>
      <c r="M363" s="250"/>
      <c r="N363" s="250"/>
      <c r="O363" s="250"/>
      <c r="P363" s="240"/>
      <c r="R363" s="266">
        <f>MAX(Tabla3[[#This Row],[VALOR TOTAL]],Tabla3[[#This Row],[VALOR TOTAL ]])</f>
        <v>275000</v>
      </c>
      <c r="S363" s="266">
        <f>MIN(Tabla3[[#This Row],[VALOR TOTAL ]],Tabla3[[#This Row],[VALOR TOTAL]])</f>
        <v>0</v>
      </c>
      <c r="T363" s="266">
        <f>AVERAGE(Tabla3[[#This Row],[VALOR TOTAL ]:[VALOR TOTAL]])</f>
        <v>91666.666666666672</v>
      </c>
    </row>
    <row r="364" spans="1:20" ht="24" x14ac:dyDescent="0.2">
      <c r="A364" s="186" t="s">
        <v>530</v>
      </c>
      <c r="B364" s="24" t="s">
        <v>531</v>
      </c>
      <c r="C364" s="22" t="s">
        <v>19</v>
      </c>
      <c r="D364" s="21">
        <v>395</v>
      </c>
      <c r="E364" s="19">
        <v>14000</v>
      </c>
      <c r="F364" s="250">
        <f>Tabla3[[#This Row],[VALOR UNITARIO ]]*Tabla3[[#This Row],[CANTIDAD ]]</f>
        <v>5530000</v>
      </c>
      <c r="G364" s="39">
        <v>4000</v>
      </c>
      <c r="H364" s="39">
        <f>Tabla3[[#This Row],[VALOR UNITARIO]]*Tabla3[[#This Row],[CANTIDAD ]]</f>
        <v>1580000</v>
      </c>
      <c r="I364" s="250"/>
      <c r="J364" s="250"/>
      <c r="K364" s="250"/>
      <c r="L364" s="250"/>
      <c r="M364" s="250"/>
      <c r="N364" s="250"/>
      <c r="O364" s="250"/>
      <c r="P364" s="240"/>
      <c r="R364" s="39">
        <f>MAX(Tabla3[[#This Row],[VALOR TOTAL]],Tabla3[[#This Row],[VALOR TOTAL ]])</f>
        <v>5530000</v>
      </c>
      <c r="S364" s="39">
        <f>MIN(Tabla3[[#This Row],[VALOR TOTAL ]],Tabla3[[#This Row],[VALOR TOTAL]])</f>
        <v>1580000</v>
      </c>
      <c r="T364" s="39">
        <f>AVERAGE(Tabla3[[#This Row],[VALOR TOTAL ]:[VALOR TOTAL]])</f>
        <v>2371333.3333333335</v>
      </c>
    </row>
    <row r="365" spans="1:20" x14ac:dyDescent="0.2">
      <c r="A365" s="20" t="s">
        <v>532</v>
      </c>
      <c r="B365" s="24" t="s">
        <v>533</v>
      </c>
      <c r="C365" s="22" t="s">
        <v>19</v>
      </c>
      <c r="D365" s="21">
        <v>245</v>
      </c>
      <c r="E365" s="19">
        <v>9000</v>
      </c>
      <c r="F365" s="250">
        <f>Tabla3[[#This Row],[VALOR UNITARIO ]]*Tabla3[[#This Row],[CANTIDAD ]]</f>
        <v>2205000</v>
      </c>
      <c r="G365" s="39">
        <v>4000</v>
      </c>
      <c r="H365" s="39">
        <f>Tabla3[[#This Row],[VALOR UNITARIO]]*Tabla3[[#This Row],[CANTIDAD ]]</f>
        <v>980000</v>
      </c>
      <c r="I365" s="250"/>
      <c r="J365" s="250"/>
      <c r="K365" s="250"/>
      <c r="L365" s="250"/>
      <c r="M365" s="250"/>
      <c r="N365" s="250"/>
      <c r="O365" s="250"/>
      <c r="P365" s="240"/>
      <c r="R365" s="39">
        <f>MAX(Tabla3[[#This Row],[VALOR TOTAL]],Tabla3[[#This Row],[VALOR TOTAL ]])</f>
        <v>2205000</v>
      </c>
      <c r="S365" s="39">
        <f>MIN(Tabla3[[#This Row],[VALOR TOTAL ]],Tabla3[[#This Row],[VALOR TOTAL]])</f>
        <v>980000</v>
      </c>
      <c r="T365" s="39">
        <f>AVERAGE(Tabla3[[#This Row],[VALOR TOTAL ]:[VALOR TOTAL]])</f>
        <v>1063000</v>
      </c>
    </row>
    <row r="366" spans="1:20" ht="36" x14ac:dyDescent="0.2">
      <c r="A366" s="186" t="s">
        <v>534</v>
      </c>
      <c r="B366" s="24" t="s">
        <v>86</v>
      </c>
      <c r="C366" s="22" t="s">
        <v>19</v>
      </c>
      <c r="D366" s="21">
        <v>245</v>
      </c>
      <c r="E366" s="19">
        <v>48000</v>
      </c>
      <c r="F366" s="250">
        <f>Tabla3[[#This Row],[VALOR UNITARIO ]]*Tabla3[[#This Row],[CANTIDAD ]]</f>
        <v>11760000</v>
      </c>
      <c r="G366" s="39">
        <v>45500</v>
      </c>
      <c r="H366" s="39">
        <f>Tabla3[[#This Row],[VALOR UNITARIO]]*Tabla3[[#This Row],[CANTIDAD ]]</f>
        <v>11147500</v>
      </c>
      <c r="I366" s="250"/>
      <c r="J366" s="250"/>
      <c r="K366" s="250"/>
      <c r="L366" s="250"/>
      <c r="M366" s="250"/>
      <c r="N366" s="250"/>
      <c r="O366" s="250"/>
      <c r="P366" s="240"/>
      <c r="R366" s="39">
        <f>MAX(Tabla3[[#This Row],[VALOR TOTAL]],Tabla3[[#This Row],[VALOR TOTAL ]])</f>
        <v>11760000</v>
      </c>
      <c r="S366" s="39">
        <f>MIN(Tabla3[[#This Row],[VALOR TOTAL ]],Tabla3[[#This Row],[VALOR TOTAL]])</f>
        <v>11147500</v>
      </c>
      <c r="T366" s="39">
        <f>AVERAGE(Tabla3[[#This Row],[VALOR TOTAL ]:[VALOR TOTAL]])</f>
        <v>7651000</v>
      </c>
    </row>
    <row r="367" spans="1:20" ht="24" x14ac:dyDescent="0.2">
      <c r="A367" s="186" t="s">
        <v>535</v>
      </c>
      <c r="B367" s="24" t="s">
        <v>536</v>
      </c>
      <c r="C367" s="22" t="s">
        <v>19</v>
      </c>
      <c r="D367" s="21">
        <v>350</v>
      </c>
      <c r="E367" s="19">
        <v>14000</v>
      </c>
      <c r="F367" s="250">
        <f>Tabla3[[#This Row],[VALOR UNITARIO ]]*Tabla3[[#This Row],[CANTIDAD ]]</f>
        <v>4900000</v>
      </c>
      <c r="G367" s="39">
        <f>1.3*11760</f>
        <v>15288</v>
      </c>
      <c r="H367" s="39">
        <f>Tabla3[[#This Row],[VALOR UNITARIO]]*Tabla3[[#This Row],[CANTIDAD ]]</f>
        <v>5350800</v>
      </c>
      <c r="I367" s="250"/>
      <c r="J367" s="250"/>
      <c r="K367" s="250"/>
      <c r="L367" s="250"/>
      <c r="M367" s="250"/>
      <c r="N367" s="250"/>
      <c r="O367" s="250"/>
      <c r="P367" s="240"/>
      <c r="R367" s="39">
        <f>MAX(Tabla3[[#This Row],[VALOR TOTAL]],Tabla3[[#This Row],[VALOR TOTAL ]])</f>
        <v>5350800</v>
      </c>
      <c r="S367" s="39">
        <f>MIN(Tabla3[[#This Row],[VALOR TOTAL ]],Tabla3[[#This Row],[VALOR TOTAL]])</f>
        <v>4900000</v>
      </c>
      <c r="T367" s="39">
        <f>AVERAGE(Tabla3[[#This Row],[VALOR TOTAL ]:[VALOR TOTAL]])</f>
        <v>3422029.3333333335</v>
      </c>
    </row>
    <row r="368" spans="1:20" ht="36" x14ac:dyDescent="0.2">
      <c r="A368" s="20" t="s">
        <v>537</v>
      </c>
      <c r="B368" s="48" t="s">
        <v>538</v>
      </c>
      <c r="C368" s="49" t="s">
        <v>19</v>
      </c>
      <c r="D368" s="100">
        <v>350</v>
      </c>
      <c r="E368" s="19">
        <v>35000</v>
      </c>
      <c r="F368" s="250">
        <f>Tabla3[[#This Row],[VALOR UNITARIO ]]*Tabla3[[#This Row],[CANTIDAD ]]</f>
        <v>12250000</v>
      </c>
      <c r="G368" s="39">
        <v>12000</v>
      </c>
      <c r="H368" s="39">
        <f>Tabla3[[#This Row],[VALOR UNITARIO]]*Tabla3[[#This Row],[CANTIDAD ]]</f>
        <v>4200000</v>
      </c>
      <c r="I368" s="250"/>
      <c r="J368" s="250"/>
      <c r="K368" s="250"/>
      <c r="L368" s="250"/>
      <c r="M368" s="250"/>
      <c r="N368" s="250"/>
      <c r="O368" s="250"/>
      <c r="P368" s="240"/>
      <c r="R368" s="39">
        <f>MAX(Tabla3[[#This Row],[VALOR TOTAL]],Tabla3[[#This Row],[VALOR TOTAL ]])</f>
        <v>12250000</v>
      </c>
      <c r="S368" s="39">
        <f>MIN(Tabla3[[#This Row],[VALOR TOTAL ]],Tabla3[[#This Row],[VALOR TOTAL]])</f>
        <v>4200000</v>
      </c>
      <c r="T368" s="39">
        <f>AVERAGE(Tabla3[[#This Row],[VALOR TOTAL ]:[VALOR TOTAL]])</f>
        <v>5487333.333333333</v>
      </c>
    </row>
    <row r="369" spans="1:20" x14ac:dyDescent="0.2">
      <c r="A369" s="184" t="s">
        <v>539</v>
      </c>
      <c r="B369" s="132" t="s">
        <v>540</v>
      </c>
      <c r="C369" s="151"/>
      <c r="D369" s="9"/>
      <c r="E369" s="19"/>
      <c r="F369" s="250"/>
      <c r="G369" s="9"/>
      <c r="H369" s="9"/>
      <c r="I369" s="250"/>
      <c r="J369" s="250"/>
      <c r="K369" s="250"/>
      <c r="L369" s="250"/>
      <c r="M369" s="250"/>
      <c r="N369" s="250"/>
      <c r="O369" s="250"/>
      <c r="P369" s="240"/>
      <c r="R369" s="9"/>
      <c r="S369" s="9"/>
      <c r="T369" s="9"/>
    </row>
    <row r="370" spans="1:20" x14ac:dyDescent="0.2">
      <c r="A370" s="186" t="s">
        <v>541</v>
      </c>
      <c r="B370" s="56" t="s">
        <v>542</v>
      </c>
      <c r="C370" s="86" t="s">
        <v>6</v>
      </c>
      <c r="D370" s="15">
        <v>6</v>
      </c>
      <c r="E370" s="19">
        <v>50000</v>
      </c>
      <c r="F370" s="250">
        <f>Tabla3[[#This Row],[VALOR UNITARIO ]]*Tabla3[[#This Row],[CANTIDAD ]]</f>
        <v>300000</v>
      </c>
      <c r="G370" s="39">
        <v>65000</v>
      </c>
      <c r="H370" s="39">
        <f>Tabla3[[#This Row],[VALOR UNITARIO]]*Tabla3[[#This Row],[CANTIDAD ]]</f>
        <v>390000</v>
      </c>
      <c r="I370" s="250"/>
      <c r="J370" s="250"/>
      <c r="K370" s="250"/>
      <c r="L370" s="250"/>
      <c r="M370" s="250"/>
      <c r="N370" s="250"/>
      <c r="O370" s="250"/>
      <c r="P370" s="240"/>
      <c r="R370" s="39">
        <f>MAX(Tabla3[[#This Row],[VALOR TOTAL]],Tabla3[[#This Row],[VALOR TOTAL ]])</f>
        <v>390000</v>
      </c>
      <c r="S370" s="39">
        <f>MIN(Tabla3[[#This Row],[VALOR TOTAL ]],Tabla3[[#This Row],[VALOR TOTAL]])</f>
        <v>300000</v>
      </c>
      <c r="T370" s="39">
        <f>AVERAGE(Tabla3[[#This Row],[VALOR TOTAL ]:[VALOR TOTAL]])</f>
        <v>251666.66666666666</v>
      </c>
    </row>
    <row r="371" spans="1:20" ht="36" x14ac:dyDescent="0.2">
      <c r="A371" s="20" t="s">
        <v>543</v>
      </c>
      <c r="B371" s="24" t="s">
        <v>544</v>
      </c>
      <c r="C371" s="17" t="s">
        <v>6</v>
      </c>
      <c r="D371" s="123">
        <v>22</v>
      </c>
      <c r="E371" s="19">
        <v>550000</v>
      </c>
      <c r="F371" s="250">
        <f>Tabla3[[#This Row],[VALOR UNITARIO ]]*Tabla3[[#This Row],[CANTIDAD ]]</f>
        <v>12100000</v>
      </c>
      <c r="G371" s="39">
        <v>300000</v>
      </c>
      <c r="H371" s="39">
        <f>Tabla3[[#This Row],[VALOR UNITARIO]]*Tabla3[[#This Row],[CANTIDAD ]]</f>
        <v>6600000</v>
      </c>
      <c r="I371" s="250"/>
      <c r="J371" s="250"/>
      <c r="K371" s="250"/>
      <c r="L371" s="250"/>
      <c r="M371" s="250"/>
      <c r="N371" s="250"/>
      <c r="O371" s="250"/>
      <c r="P371" s="240"/>
      <c r="R371" s="39">
        <f>MAX(Tabla3[[#This Row],[VALOR TOTAL]],Tabla3[[#This Row],[VALOR TOTAL ]])</f>
        <v>12100000</v>
      </c>
      <c r="S371" s="39">
        <f>MIN(Tabla3[[#This Row],[VALOR TOTAL ]],Tabla3[[#This Row],[VALOR TOTAL]])</f>
        <v>6600000</v>
      </c>
      <c r="T371" s="39">
        <f>AVERAGE(Tabla3[[#This Row],[VALOR TOTAL ]:[VALOR TOTAL]])</f>
        <v>6333333.333333333</v>
      </c>
    </row>
    <row r="372" spans="1:20" ht="60" x14ac:dyDescent="0.2">
      <c r="A372" s="186" t="s">
        <v>545</v>
      </c>
      <c r="B372" s="24" t="s">
        <v>546</v>
      </c>
      <c r="C372" s="22" t="s">
        <v>6</v>
      </c>
      <c r="D372" s="21">
        <v>6</v>
      </c>
      <c r="E372" s="19">
        <v>2900000</v>
      </c>
      <c r="F372" s="250">
        <f>Tabla3[[#This Row],[VALOR UNITARIO ]]*Tabla3[[#This Row],[CANTIDAD ]]</f>
        <v>17400000</v>
      </c>
      <c r="G372" s="39">
        <v>1100000</v>
      </c>
      <c r="H372" s="39">
        <f>Tabla3[[#This Row],[VALOR UNITARIO]]*Tabla3[[#This Row],[CANTIDAD ]]</f>
        <v>6600000</v>
      </c>
      <c r="I372" s="250"/>
      <c r="J372" s="250"/>
      <c r="K372" s="250"/>
      <c r="L372" s="250"/>
      <c r="M372" s="250"/>
      <c r="N372" s="250"/>
      <c r="O372" s="250"/>
      <c r="P372" s="240"/>
      <c r="R372" s="39">
        <f>MAX(Tabla3[[#This Row],[VALOR TOTAL]],Tabla3[[#This Row],[VALOR TOTAL ]])</f>
        <v>17400000</v>
      </c>
      <c r="S372" s="39">
        <f>MIN(Tabla3[[#This Row],[VALOR TOTAL ]],Tabla3[[#This Row],[VALOR TOTAL]])</f>
        <v>6600000</v>
      </c>
      <c r="T372" s="39">
        <f>AVERAGE(Tabla3[[#This Row],[VALOR TOTAL ]:[VALOR TOTAL]])</f>
        <v>8366666.666666667</v>
      </c>
    </row>
    <row r="373" spans="1:20" ht="24" x14ac:dyDescent="0.2">
      <c r="A373" s="20" t="s">
        <v>547</v>
      </c>
      <c r="B373" s="24" t="s">
        <v>548</v>
      </c>
      <c r="C373" s="22" t="s">
        <v>6</v>
      </c>
      <c r="D373" s="21">
        <v>6</v>
      </c>
      <c r="E373" s="19">
        <v>160000</v>
      </c>
      <c r="F373" s="250">
        <f>Tabla3[[#This Row],[VALOR UNITARIO ]]*Tabla3[[#This Row],[CANTIDAD ]]</f>
        <v>960000</v>
      </c>
      <c r="G373" s="39">
        <v>250000</v>
      </c>
      <c r="H373" s="39">
        <f>Tabla3[[#This Row],[VALOR UNITARIO]]*Tabla3[[#This Row],[CANTIDAD ]]</f>
        <v>1500000</v>
      </c>
      <c r="I373" s="250"/>
      <c r="J373" s="250"/>
      <c r="K373" s="250"/>
      <c r="L373" s="250"/>
      <c r="M373" s="250"/>
      <c r="N373" s="250"/>
      <c r="O373" s="250"/>
      <c r="P373" s="240"/>
      <c r="R373" s="39">
        <f>MAX(Tabla3[[#This Row],[VALOR TOTAL]],Tabla3[[#This Row],[VALOR TOTAL ]])</f>
        <v>1500000</v>
      </c>
      <c r="S373" s="39">
        <f>MIN(Tabla3[[#This Row],[VALOR TOTAL ]],Tabla3[[#This Row],[VALOR TOTAL]])</f>
        <v>960000</v>
      </c>
      <c r="T373" s="39">
        <f>AVERAGE(Tabla3[[#This Row],[VALOR TOTAL ]:[VALOR TOTAL]])</f>
        <v>903333.33333333337</v>
      </c>
    </row>
    <row r="374" spans="1:20" x14ac:dyDescent="0.2">
      <c r="A374" s="186" t="s">
        <v>549</v>
      </c>
      <c r="B374" s="24" t="s">
        <v>550</v>
      </c>
      <c r="C374" s="22" t="s">
        <v>6</v>
      </c>
      <c r="D374" s="21">
        <v>12</v>
      </c>
      <c r="E374" s="19">
        <v>105000</v>
      </c>
      <c r="F374" s="250">
        <f>Tabla3[[#This Row],[VALOR UNITARIO ]]*Tabla3[[#This Row],[CANTIDAD ]]</f>
        <v>1260000</v>
      </c>
      <c r="G374" s="39">
        <v>65000</v>
      </c>
      <c r="H374" s="39">
        <f>Tabla3[[#This Row],[VALOR UNITARIO]]*Tabla3[[#This Row],[CANTIDAD ]]</f>
        <v>780000</v>
      </c>
      <c r="I374" s="250"/>
      <c r="J374" s="250"/>
      <c r="K374" s="250"/>
      <c r="L374" s="250"/>
      <c r="M374" s="250"/>
      <c r="N374" s="250"/>
      <c r="O374" s="250"/>
      <c r="P374" s="240"/>
      <c r="R374" s="39">
        <f>MAX(Tabla3[[#This Row],[VALOR TOTAL]],Tabla3[[#This Row],[VALOR TOTAL ]])</f>
        <v>1260000</v>
      </c>
      <c r="S374" s="39">
        <f>MIN(Tabla3[[#This Row],[VALOR TOTAL ]],Tabla3[[#This Row],[VALOR TOTAL]])</f>
        <v>780000</v>
      </c>
      <c r="T374" s="39">
        <f>AVERAGE(Tabla3[[#This Row],[VALOR TOTAL ]:[VALOR TOTAL]])</f>
        <v>701666.66666666663</v>
      </c>
    </row>
    <row r="375" spans="1:20" x14ac:dyDescent="0.2">
      <c r="A375" s="184" t="s">
        <v>551</v>
      </c>
      <c r="B375" s="115" t="s">
        <v>234</v>
      </c>
      <c r="C375" s="79"/>
      <c r="D375" s="9"/>
      <c r="E375" s="19"/>
      <c r="F375" s="250">
        <f>Tabla3[[#This Row],[VALOR UNITARIO ]]*Tabla3[[#This Row],[CANTIDAD ]]</f>
        <v>0</v>
      </c>
      <c r="G375" s="9"/>
      <c r="H375" s="9"/>
      <c r="I375" s="250"/>
      <c r="J375" s="250"/>
      <c r="K375" s="250"/>
      <c r="L375" s="250"/>
      <c r="M375" s="250"/>
      <c r="N375" s="250"/>
      <c r="O375" s="250"/>
      <c r="P375" s="240"/>
      <c r="R375" s="9"/>
      <c r="S375" s="9"/>
      <c r="T375" s="9"/>
    </row>
    <row r="376" spans="1:20" x14ac:dyDescent="0.2">
      <c r="A376" s="20" t="s">
        <v>552</v>
      </c>
      <c r="B376" s="87" t="s">
        <v>84</v>
      </c>
      <c r="C376" s="75" t="s">
        <v>19</v>
      </c>
      <c r="D376" s="15">
        <v>191</v>
      </c>
      <c r="E376" s="19">
        <v>9000</v>
      </c>
      <c r="F376" s="250">
        <f>Tabla3[[#This Row],[VALOR UNITARIO ]]*Tabla3[[#This Row],[CANTIDAD ]]</f>
        <v>1719000</v>
      </c>
      <c r="G376" s="39">
        <v>5200</v>
      </c>
      <c r="H376" s="39">
        <f>Tabla3[[#This Row],[VALOR UNITARIO]]*Tabla3[[#This Row],[CANTIDAD ]]</f>
        <v>993200</v>
      </c>
      <c r="I376" s="250"/>
      <c r="J376" s="250"/>
      <c r="K376" s="250"/>
      <c r="L376" s="250"/>
      <c r="M376" s="250"/>
      <c r="N376" s="250"/>
      <c r="O376" s="250"/>
      <c r="P376" s="240"/>
      <c r="R376" s="39">
        <f>MAX(Tabla3[[#This Row],[VALOR TOTAL]],Tabla3[[#This Row],[VALOR TOTAL ]])</f>
        <v>1719000</v>
      </c>
      <c r="S376" s="39">
        <f>MIN(Tabla3[[#This Row],[VALOR TOTAL ]],Tabla3[[#This Row],[VALOR TOTAL]])</f>
        <v>993200</v>
      </c>
      <c r="T376" s="39">
        <f>AVERAGE(Tabla3[[#This Row],[VALOR TOTAL ]:[VALOR TOTAL]])</f>
        <v>905800</v>
      </c>
    </row>
    <row r="377" spans="1:20" ht="36" x14ac:dyDescent="0.2">
      <c r="A377" s="186" t="s">
        <v>553</v>
      </c>
      <c r="B377" s="46" t="s">
        <v>86</v>
      </c>
      <c r="C377" s="45" t="s">
        <v>19</v>
      </c>
      <c r="D377" s="123">
        <v>191</v>
      </c>
      <c r="E377" s="19">
        <v>48000</v>
      </c>
      <c r="F377" s="250">
        <f>Tabla3[[#This Row],[VALOR UNITARIO ]]*Tabla3[[#This Row],[CANTIDAD ]]</f>
        <v>9168000</v>
      </c>
      <c r="G377" s="39">
        <v>45500</v>
      </c>
      <c r="H377" s="39">
        <f>Tabla3[[#This Row],[VALOR UNITARIO]]*Tabla3[[#This Row],[CANTIDAD ]]</f>
        <v>8690500</v>
      </c>
      <c r="I377" s="250"/>
      <c r="J377" s="250"/>
      <c r="K377" s="250"/>
      <c r="L377" s="250"/>
      <c r="M377" s="250"/>
      <c r="N377" s="250"/>
      <c r="O377" s="250"/>
      <c r="P377" s="240"/>
      <c r="R377" s="39">
        <f>MAX(Tabla3[[#This Row],[VALOR TOTAL]],Tabla3[[#This Row],[VALOR TOTAL ]])</f>
        <v>9168000</v>
      </c>
      <c r="S377" s="39">
        <f>MIN(Tabla3[[#This Row],[VALOR TOTAL ]],Tabla3[[#This Row],[VALOR TOTAL]])</f>
        <v>8690500</v>
      </c>
      <c r="T377" s="39">
        <f>AVERAGE(Tabla3[[#This Row],[VALOR TOTAL ]:[VALOR TOTAL]])</f>
        <v>5968000</v>
      </c>
    </row>
    <row r="378" spans="1:20" x14ac:dyDescent="0.2">
      <c r="A378" s="20" t="s">
        <v>554</v>
      </c>
      <c r="B378" s="46" t="s">
        <v>88</v>
      </c>
      <c r="C378" s="45" t="s">
        <v>19</v>
      </c>
      <c r="D378" s="123">
        <v>239</v>
      </c>
      <c r="E378" s="19">
        <v>28000</v>
      </c>
      <c r="F378" s="250">
        <f>Tabla3[[#This Row],[VALOR UNITARIO ]]*Tabla3[[#This Row],[CANTIDAD ]]</f>
        <v>6692000</v>
      </c>
      <c r="G378" s="39">
        <v>11700</v>
      </c>
      <c r="H378" s="39">
        <f>Tabla3[[#This Row],[VALOR UNITARIO]]*Tabla3[[#This Row],[CANTIDAD ]]</f>
        <v>2796300</v>
      </c>
      <c r="I378" s="250"/>
      <c r="J378" s="250"/>
      <c r="K378" s="250"/>
      <c r="L378" s="250"/>
      <c r="M378" s="250"/>
      <c r="N378" s="250"/>
      <c r="O378" s="250"/>
      <c r="P378" s="240"/>
      <c r="R378" s="39">
        <f>MAX(Tabla3[[#This Row],[VALOR TOTAL]],Tabla3[[#This Row],[VALOR TOTAL ]])</f>
        <v>6692000</v>
      </c>
      <c r="S378" s="39">
        <f>MIN(Tabla3[[#This Row],[VALOR TOTAL ]],Tabla3[[#This Row],[VALOR TOTAL]])</f>
        <v>2796300</v>
      </c>
      <c r="T378" s="39">
        <f>AVERAGE(Tabla3[[#This Row],[VALOR TOTAL ]:[VALOR TOTAL]])</f>
        <v>3166666.6666666665</v>
      </c>
    </row>
    <row r="379" spans="1:20" x14ac:dyDescent="0.2">
      <c r="A379" s="186" t="s">
        <v>555</v>
      </c>
      <c r="B379" s="40" t="s">
        <v>90</v>
      </c>
      <c r="C379" s="45" t="s">
        <v>19</v>
      </c>
      <c r="D379" s="123">
        <v>239</v>
      </c>
      <c r="E379" s="19">
        <v>19000</v>
      </c>
      <c r="F379" s="250">
        <f>Tabla3[[#This Row],[VALOR UNITARIO ]]*Tabla3[[#This Row],[CANTIDAD ]]</f>
        <v>4541000</v>
      </c>
      <c r="G379" s="39">
        <v>8710</v>
      </c>
      <c r="H379" s="39">
        <f>Tabla3[[#This Row],[VALOR UNITARIO]]*Tabla3[[#This Row],[CANTIDAD ]]</f>
        <v>2081690</v>
      </c>
      <c r="I379" s="250"/>
      <c r="J379" s="250"/>
      <c r="K379" s="250"/>
      <c r="L379" s="250"/>
      <c r="M379" s="250"/>
      <c r="N379" s="250"/>
      <c r="O379" s="250"/>
      <c r="P379" s="240"/>
      <c r="R379" s="39">
        <f>MAX(Tabla3[[#This Row],[VALOR TOTAL]],Tabla3[[#This Row],[VALOR TOTAL ]])</f>
        <v>4541000</v>
      </c>
      <c r="S379" s="39">
        <f>MIN(Tabla3[[#This Row],[VALOR TOTAL ]],Tabla3[[#This Row],[VALOR TOTAL]])</f>
        <v>2081690</v>
      </c>
      <c r="T379" s="39">
        <f>AVERAGE(Tabla3[[#This Row],[VALOR TOTAL ]:[VALOR TOTAL]])</f>
        <v>2210466.6666666665</v>
      </c>
    </row>
    <row r="380" spans="1:20" x14ac:dyDescent="0.2">
      <c r="A380" s="20" t="s">
        <v>556</v>
      </c>
      <c r="B380" s="46" t="s">
        <v>92</v>
      </c>
      <c r="C380" s="45" t="s">
        <v>19</v>
      </c>
      <c r="D380" s="123">
        <v>167</v>
      </c>
      <c r="E380" s="19">
        <v>18000</v>
      </c>
      <c r="F380" s="250">
        <f>Tabla3[[#This Row],[VALOR UNITARIO ]]*Tabla3[[#This Row],[CANTIDAD ]]</f>
        <v>3006000</v>
      </c>
      <c r="G380" s="39">
        <v>8710</v>
      </c>
      <c r="H380" s="39">
        <f>Tabla3[[#This Row],[VALOR UNITARIO]]*Tabla3[[#This Row],[CANTIDAD ]]</f>
        <v>1454570</v>
      </c>
      <c r="I380" s="250"/>
      <c r="J380" s="250"/>
      <c r="K380" s="250"/>
      <c r="L380" s="250"/>
      <c r="M380" s="250"/>
      <c r="N380" s="250"/>
      <c r="O380" s="250"/>
      <c r="P380" s="240"/>
      <c r="R380" s="39">
        <f>MAX(Tabla3[[#This Row],[VALOR TOTAL]],Tabla3[[#This Row],[VALOR TOTAL ]])</f>
        <v>3006000</v>
      </c>
      <c r="S380" s="39">
        <f>MIN(Tabla3[[#This Row],[VALOR TOTAL ]],Tabla3[[#This Row],[VALOR TOTAL]])</f>
        <v>1454570</v>
      </c>
      <c r="T380" s="39">
        <f>AVERAGE(Tabla3[[#This Row],[VALOR TOTAL ]:[VALOR TOTAL]])</f>
        <v>1489760</v>
      </c>
    </row>
    <row r="381" spans="1:20" x14ac:dyDescent="0.2">
      <c r="A381" s="186" t="s">
        <v>557</v>
      </c>
      <c r="B381" s="192" t="s">
        <v>94</v>
      </c>
      <c r="C381" s="45" t="s">
        <v>19</v>
      </c>
      <c r="D381" s="123">
        <v>3</v>
      </c>
      <c r="E381" s="19">
        <v>17000</v>
      </c>
      <c r="F381" s="250">
        <f>Tabla3[[#This Row],[VALOR UNITARIO ]]*Tabla3[[#This Row],[CANTIDAD ]]</f>
        <v>51000</v>
      </c>
      <c r="G381" s="39">
        <v>8710</v>
      </c>
      <c r="H381" s="39">
        <f>Tabla3[[#This Row],[VALOR UNITARIO]]*Tabla3[[#This Row],[CANTIDAD ]]</f>
        <v>26130</v>
      </c>
      <c r="I381" s="250"/>
      <c r="J381" s="250"/>
      <c r="K381" s="250"/>
      <c r="L381" s="250"/>
      <c r="M381" s="250"/>
      <c r="N381" s="250"/>
      <c r="O381" s="250"/>
      <c r="P381" s="240"/>
      <c r="R381" s="39">
        <f>MAX(Tabla3[[#This Row],[VALOR TOTAL]],Tabla3[[#This Row],[VALOR TOTAL ]])</f>
        <v>51000</v>
      </c>
      <c r="S381" s="39">
        <f>MIN(Tabla3[[#This Row],[VALOR TOTAL ]],Tabla3[[#This Row],[VALOR TOTAL]])</f>
        <v>26130</v>
      </c>
      <c r="T381" s="39">
        <f>AVERAGE(Tabla3[[#This Row],[VALOR TOTAL ]:[VALOR TOTAL]])</f>
        <v>28613.333333333332</v>
      </c>
    </row>
    <row r="382" spans="1:20" x14ac:dyDescent="0.2">
      <c r="A382" s="20" t="s">
        <v>558</v>
      </c>
      <c r="B382" s="40" t="s">
        <v>84</v>
      </c>
      <c r="C382" s="45" t="s">
        <v>14</v>
      </c>
      <c r="D382" s="123">
        <v>10</v>
      </c>
      <c r="E382" s="19">
        <v>5400</v>
      </c>
      <c r="F382" s="250">
        <f>Tabla3[[#This Row],[VALOR UNITARIO ]]*Tabla3[[#This Row],[CANTIDAD ]]</f>
        <v>54000</v>
      </c>
      <c r="G382" s="39">
        <v>5200</v>
      </c>
      <c r="H382" s="39">
        <f>Tabla3[[#This Row],[VALOR UNITARIO]]*Tabla3[[#This Row],[CANTIDAD ]]</f>
        <v>52000</v>
      </c>
      <c r="I382" s="250"/>
      <c r="J382" s="250"/>
      <c r="K382" s="250"/>
      <c r="L382" s="250"/>
      <c r="M382" s="250"/>
      <c r="N382" s="250"/>
      <c r="O382" s="250"/>
      <c r="P382" s="240"/>
      <c r="R382" s="39">
        <f>MAX(Tabla3[[#This Row],[VALOR TOTAL]],Tabla3[[#This Row],[VALOR TOTAL ]])</f>
        <v>54000</v>
      </c>
      <c r="S382" s="39">
        <f>MIN(Tabla3[[#This Row],[VALOR TOTAL ]],Tabla3[[#This Row],[VALOR TOTAL]])</f>
        <v>52000</v>
      </c>
      <c r="T382" s="39">
        <f>AVERAGE(Tabla3[[#This Row],[VALOR TOTAL ]:[VALOR TOTAL]])</f>
        <v>37066.666666666664</v>
      </c>
    </row>
    <row r="383" spans="1:20" ht="36" x14ac:dyDescent="0.2">
      <c r="A383" s="186" t="s">
        <v>559</v>
      </c>
      <c r="B383" s="46" t="s">
        <v>86</v>
      </c>
      <c r="C383" s="45" t="s">
        <v>14</v>
      </c>
      <c r="D383" s="123">
        <v>10</v>
      </c>
      <c r="E383" s="19">
        <v>28800</v>
      </c>
      <c r="F383" s="250">
        <f>Tabla3[[#This Row],[VALOR UNITARIO ]]*Tabla3[[#This Row],[CANTIDAD ]]</f>
        <v>288000</v>
      </c>
      <c r="G383" s="39">
        <v>6500</v>
      </c>
      <c r="H383" s="39">
        <f>Tabla3[[#This Row],[VALOR UNITARIO]]*Tabla3[[#This Row],[CANTIDAD ]]</f>
        <v>65000</v>
      </c>
      <c r="I383" s="250"/>
      <c r="J383" s="250"/>
      <c r="K383" s="250"/>
      <c r="L383" s="250"/>
      <c r="M383" s="250"/>
      <c r="N383" s="250"/>
      <c r="O383" s="250"/>
      <c r="P383" s="240"/>
      <c r="R383" s="39">
        <f>MAX(Tabla3[[#This Row],[VALOR TOTAL]],Tabla3[[#This Row],[VALOR TOTAL ]])</f>
        <v>288000</v>
      </c>
      <c r="S383" s="39">
        <f>MIN(Tabla3[[#This Row],[VALOR TOTAL ]],Tabla3[[#This Row],[VALOR TOTAL]])</f>
        <v>65000</v>
      </c>
      <c r="T383" s="39">
        <f>AVERAGE(Tabla3[[#This Row],[VALOR TOTAL ]:[VALOR TOTAL]])</f>
        <v>119833.33333333333</v>
      </c>
    </row>
    <row r="384" spans="1:20" x14ac:dyDescent="0.2">
      <c r="A384" s="20" t="s">
        <v>560</v>
      </c>
      <c r="B384" s="46" t="s">
        <v>88</v>
      </c>
      <c r="C384" s="45" t="s">
        <v>14</v>
      </c>
      <c r="D384" s="123">
        <v>10</v>
      </c>
      <c r="E384" s="19">
        <v>16800</v>
      </c>
      <c r="F384" s="250">
        <f>Tabla3[[#This Row],[VALOR UNITARIO ]]*Tabla3[[#This Row],[CANTIDAD ]]</f>
        <v>168000</v>
      </c>
      <c r="G384" s="39">
        <v>11700</v>
      </c>
      <c r="H384" s="39">
        <f>Tabla3[[#This Row],[VALOR UNITARIO]]*Tabla3[[#This Row],[CANTIDAD ]]</f>
        <v>117000</v>
      </c>
      <c r="I384" s="250"/>
      <c r="J384" s="250"/>
      <c r="K384" s="250"/>
      <c r="L384" s="250"/>
      <c r="M384" s="250"/>
      <c r="N384" s="250"/>
      <c r="O384" s="250"/>
      <c r="P384" s="240"/>
      <c r="R384" s="39">
        <f>MAX(Tabla3[[#This Row],[VALOR TOTAL]],Tabla3[[#This Row],[VALOR TOTAL ]])</f>
        <v>168000</v>
      </c>
      <c r="S384" s="39">
        <f>MIN(Tabla3[[#This Row],[VALOR TOTAL ]],Tabla3[[#This Row],[VALOR TOTAL]])</f>
        <v>117000</v>
      </c>
      <c r="T384" s="39">
        <f>AVERAGE(Tabla3[[#This Row],[VALOR TOTAL ]:[VALOR TOTAL]])</f>
        <v>98900</v>
      </c>
    </row>
    <row r="385" spans="1:20" x14ac:dyDescent="0.2">
      <c r="A385" s="186" t="s">
        <v>561</v>
      </c>
      <c r="B385" s="46" t="s">
        <v>98</v>
      </c>
      <c r="C385" s="45" t="s">
        <v>14</v>
      </c>
      <c r="D385" s="123">
        <v>10</v>
      </c>
      <c r="E385" s="19">
        <v>10200</v>
      </c>
      <c r="F385" s="250">
        <f>Tabla3[[#This Row],[VALOR UNITARIO ]]*Tabla3[[#This Row],[CANTIDAD ]]</f>
        <v>102000</v>
      </c>
      <c r="G385" s="39">
        <v>5200</v>
      </c>
      <c r="H385" s="39">
        <f>Tabla3[[#This Row],[VALOR UNITARIO]]*Tabla3[[#This Row],[CANTIDAD ]]</f>
        <v>52000</v>
      </c>
      <c r="I385" s="250"/>
      <c r="J385" s="250"/>
      <c r="K385" s="250"/>
      <c r="L385" s="250"/>
      <c r="M385" s="250"/>
      <c r="N385" s="250"/>
      <c r="O385" s="250"/>
      <c r="P385" s="240"/>
      <c r="R385" s="39">
        <f>MAX(Tabla3[[#This Row],[VALOR TOTAL]],Tabla3[[#This Row],[VALOR TOTAL ]])</f>
        <v>102000</v>
      </c>
      <c r="S385" s="39">
        <f>MIN(Tabla3[[#This Row],[VALOR TOTAL ]],Tabla3[[#This Row],[VALOR TOTAL]])</f>
        <v>52000</v>
      </c>
      <c r="T385" s="39">
        <f>AVERAGE(Tabla3[[#This Row],[VALOR TOTAL ]:[VALOR TOTAL]])</f>
        <v>53066.666666666664</v>
      </c>
    </row>
    <row r="386" spans="1:20" x14ac:dyDescent="0.2">
      <c r="A386" s="20" t="s">
        <v>562</v>
      </c>
      <c r="B386" s="66" t="s">
        <v>92</v>
      </c>
      <c r="C386" s="67" t="s">
        <v>14</v>
      </c>
      <c r="D386" s="150">
        <v>10</v>
      </c>
      <c r="E386" s="19">
        <v>10800</v>
      </c>
      <c r="F386" s="250">
        <f>Tabla3[[#This Row],[VALOR UNITARIO ]]*Tabla3[[#This Row],[CANTIDAD ]]</f>
        <v>108000</v>
      </c>
      <c r="G386" s="39">
        <v>5200</v>
      </c>
      <c r="H386" s="39">
        <f>Tabla3[[#This Row],[VALOR UNITARIO]]*Tabla3[[#This Row],[CANTIDAD ]]</f>
        <v>52000</v>
      </c>
      <c r="I386" s="250"/>
      <c r="J386" s="250"/>
      <c r="K386" s="250"/>
      <c r="L386" s="250"/>
      <c r="M386" s="250"/>
      <c r="N386" s="250"/>
      <c r="O386" s="250"/>
      <c r="P386" s="240"/>
      <c r="R386" s="39">
        <f>MAX(Tabla3[[#This Row],[VALOR TOTAL]],Tabla3[[#This Row],[VALOR TOTAL ]])</f>
        <v>108000</v>
      </c>
      <c r="S386" s="39">
        <f>MIN(Tabla3[[#This Row],[VALOR TOTAL ]],Tabla3[[#This Row],[VALOR TOTAL]])</f>
        <v>52000</v>
      </c>
      <c r="T386" s="39">
        <f>AVERAGE(Tabla3[[#This Row],[VALOR TOTAL ]:[VALOR TOTAL]])</f>
        <v>55066.666666666664</v>
      </c>
    </row>
    <row r="387" spans="1:20" x14ac:dyDescent="0.2">
      <c r="A387" s="9" t="s">
        <v>563</v>
      </c>
      <c r="B387" s="193" t="s">
        <v>564</v>
      </c>
      <c r="C387" s="79"/>
      <c r="D387" s="9"/>
      <c r="E387" s="19"/>
      <c r="F387" s="250"/>
      <c r="G387" s="9"/>
      <c r="H387" s="9"/>
      <c r="I387" s="250"/>
      <c r="J387" s="250"/>
      <c r="K387" s="250"/>
      <c r="L387" s="250"/>
      <c r="M387" s="250"/>
      <c r="N387" s="250"/>
      <c r="O387" s="250"/>
      <c r="P387" s="240"/>
      <c r="R387" s="9"/>
      <c r="S387" s="9"/>
      <c r="T387" s="9"/>
    </row>
    <row r="388" spans="1:20" ht="36" x14ac:dyDescent="0.2">
      <c r="A388" s="186" t="s">
        <v>565</v>
      </c>
      <c r="B388" s="194" t="s">
        <v>566</v>
      </c>
      <c r="C388" s="195" t="s">
        <v>19</v>
      </c>
      <c r="D388" s="15">
        <v>490</v>
      </c>
      <c r="E388" s="245">
        <v>33000</v>
      </c>
      <c r="F388" s="251">
        <f>Tabla3[[#This Row],[VALOR UNITARIO ]]*Tabla3[[#This Row],[CANTIDAD ]]</f>
        <v>16170000</v>
      </c>
      <c r="G388" s="266">
        <v>0</v>
      </c>
      <c r="H388" s="266">
        <f>Tabla3[[#This Row],[VALOR UNITARIO]]*Tabla3[[#This Row],[CANTIDAD ]]</f>
        <v>0</v>
      </c>
      <c r="I388" s="251"/>
      <c r="J388" s="251"/>
      <c r="K388" s="251"/>
      <c r="L388" s="251"/>
      <c r="M388" s="251"/>
      <c r="N388" s="251"/>
      <c r="O388" s="251"/>
      <c r="P388" s="240"/>
      <c r="R388" s="266">
        <f>MAX(Tabla3[[#This Row],[VALOR TOTAL]],Tabla3[[#This Row],[VALOR TOTAL ]])</f>
        <v>16170000</v>
      </c>
      <c r="S388" s="266">
        <f>MIN(Tabla3[[#This Row],[VALOR TOTAL ]],Tabla3[[#This Row],[VALOR TOTAL]])</f>
        <v>0</v>
      </c>
      <c r="T388" s="266">
        <f>AVERAGE(Tabla3[[#This Row],[VALOR TOTAL ]:[VALOR TOTAL]])</f>
        <v>5390000</v>
      </c>
    </row>
    <row r="389" spans="1:20" ht="24" x14ac:dyDescent="0.2">
      <c r="A389" s="179" t="s">
        <v>567</v>
      </c>
      <c r="B389" s="46" t="s">
        <v>568</v>
      </c>
      <c r="C389" s="196" t="s">
        <v>14</v>
      </c>
      <c r="D389" s="123">
        <v>60</v>
      </c>
      <c r="E389" s="19">
        <v>60000</v>
      </c>
      <c r="F389" s="250">
        <f>Tabla3[[#This Row],[VALOR UNITARIO ]]*Tabla3[[#This Row],[CANTIDAD ]]</f>
        <v>3600000</v>
      </c>
      <c r="G389" s="266">
        <v>0</v>
      </c>
      <c r="H389" s="266">
        <f>Tabla3[[#This Row],[VALOR UNITARIO]]*Tabla3[[#This Row],[CANTIDAD ]]</f>
        <v>0</v>
      </c>
      <c r="I389" s="250"/>
      <c r="J389" s="250"/>
      <c r="K389" s="250"/>
      <c r="L389" s="250"/>
      <c r="M389" s="250"/>
      <c r="N389" s="250"/>
      <c r="O389" s="250"/>
      <c r="P389" s="240"/>
      <c r="R389" s="266">
        <f>MAX(Tabla3[[#This Row],[VALOR TOTAL]],Tabla3[[#This Row],[VALOR TOTAL ]])</f>
        <v>3600000</v>
      </c>
      <c r="S389" s="266">
        <f>MIN(Tabla3[[#This Row],[VALOR TOTAL ]],Tabla3[[#This Row],[VALOR TOTAL]])</f>
        <v>0</v>
      </c>
      <c r="T389" s="266">
        <f>AVERAGE(Tabla3[[#This Row],[VALOR TOTAL ]:[VALOR TOTAL]])</f>
        <v>1200000</v>
      </c>
    </row>
    <row r="390" spans="1:20" ht="24" x14ac:dyDescent="0.2">
      <c r="A390" s="186" t="s">
        <v>569</v>
      </c>
      <c r="B390" s="27" t="s">
        <v>61</v>
      </c>
      <c r="C390" s="197" t="s">
        <v>14</v>
      </c>
      <c r="D390" s="123">
        <v>40</v>
      </c>
      <c r="E390" s="19">
        <v>46000</v>
      </c>
      <c r="F390" s="250">
        <f>Tabla3[[#This Row],[VALOR UNITARIO ]]*Tabla3[[#This Row],[CANTIDAD ]]</f>
        <v>1840000</v>
      </c>
      <c r="G390" s="39">
        <v>57837</v>
      </c>
      <c r="H390" s="39">
        <f>Tabla3[[#This Row],[VALOR UNITARIO]]*Tabla3[[#This Row],[CANTIDAD ]]</f>
        <v>2313480</v>
      </c>
      <c r="I390" s="250"/>
      <c r="J390" s="250"/>
      <c r="K390" s="250"/>
      <c r="L390" s="250"/>
      <c r="M390" s="250"/>
      <c r="N390" s="250"/>
      <c r="O390" s="250"/>
      <c r="P390" s="240"/>
      <c r="R390" s="39">
        <f>MAX(Tabla3[[#This Row],[VALOR TOTAL]],Tabla3[[#This Row],[VALOR TOTAL ]])</f>
        <v>2313480</v>
      </c>
      <c r="S390" s="39">
        <f>MIN(Tabla3[[#This Row],[VALOR TOTAL ]],Tabla3[[#This Row],[VALOR TOTAL]])</f>
        <v>1840000</v>
      </c>
      <c r="T390" s="39">
        <f>AVERAGE(Tabla3[[#This Row],[VALOR TOTAL ]:[VALOR TOTAL]])</f>
        <v>1403772.3333333333</v>
      </c>
    </row>
    <row r="391" spans="1:20" ht="24" x14ac:dyDescent="0.2">
      <c r="A391" s="179" t="s">
        <v>570</v>
      </c>
      <c r="B391" s="24" t="s">
        <v>264</v>
      </c>
      <c r="C391" s="22" t="s">
        <v>19</v>
      </c>
      <c r="D391" s="123">
        <v>15</v>
      </c>
      <c r="E391" s="19">
        <v>135000</v>
      </c>
      <c r="F391" s="250">
        <f>Tabla3[[#This Row],[VALOR UNITARIO ]]*Tabla3[[#This Row],[CANTIDAD ]]</f>
        <v>2025000</v>
      </c>
      <c r="G391" s="39">
        <f>59900*1.3</f>
        <v>77870</v>
      </c>
      <c r="H391" s="39">
        <f>Tabla3[[#This Row],[VALOR UNITARIO]]*Tabla3[[#This Row],[CANTIDAD ]]</f>
        <v>1168050</v>
      </c>
      <c r="I391" s="250"/>
      <c r="J391" s="250"/>
      <c r="K391" s="250"/>
      <c r="L391" s="250"/>
      <c r="M391" s="250"/>
      <c r="N391" s="250"/>
      <c r="O391" s="250"/>
      <c r="P391" s="240"/>
      <c r="R391" s="39">
        <f>MAX(Tabla3[[#This Row],[VALOR TOTAL]],Tabla3[[#This Row],[VALOR TOTAL ]])</f>
        <v>2025000</v>
      </c>
      <c r="S391" s="39">
        <f>MIN(Tabla3[[#This Row],[VALOR TOTAL ]],Tabla3[[#This Row],[VALOR TOTAL]])</f>
        <v>1168050</v>
      </c>
      <c r="T391" s="39">
        <f>AVERAGE(Tabla3[[#This Row],[VALOR TOTAL ]:[VALOR TOTAL]])</f>
        <v>1090306.6666666667</v>
      </c>
    </row>
    <row r="392" spans="1:20" x14ac:dyDescent="0.2">
      <c r="A392" s="186" t="s">
        <v>571</v>
      </c>
      <c r="B392" s="48" t="s">
        <v>195</v>
      </c>
      <c r="C392" s="22" t="s">
        <v>19</v>
      </c>
      <c r="D392" s="123">
        <v>570</v>
      </c>
      <c r="E392" s="19">
        <v>7000</v>
      </c>
      <c r="F392" s="250">
        <f>Tabla3[[#This Row],[VALOR UNITARIO ]]*Tabla3[[#This Row],[CANTIDAD ]]</f>
        <v>3990000</v>
      </c>
      <c r="G392" s="39">
        <v>4200</v>
      </c>
      <c r="H392" s="39">
        <f>Tabla3[[#This Row],[VALOR UNITARIO]]*Tabla3[[#This Row],[CANTIDAD ]]</f>
        <v>2394000</v>
      </c>
      <c r="I392" s="250"/>
      <c r="J392" s="250"/>
      <c r="K392" s="250"/>
      <c r="L392" s="250"/>
      <c r="M392" s="250"/>
      <c r="N392" s="250"/>
      <c r="O392" s="250"/>
      <c r="P392" s="240"/>
      <c r="R392" s="39">
        <f>MAX(Tabla3[[#This Row],[VALOR TOTAL]],Tabla3[[#This Row],[VALOR TOTAL ]])</f>
        <v>3990000</v>
      </c>
      <c r="S392" s="39">
        <f>MIN(Tabla3[[#This Row],[VALOR TOTAL ]],Tabla3[[#This Row],[VALOR TOTAL]])</f>
        <v>2394000</v>
      </c>
      <c r="T392" s="39">
        <f>AVERAGE(Tabla3[[#This Row],[VALOR TOTAL ]:[VALOR TOTAL]])</f>
        <v>2129400</v>
      </c>
    </row>
    <row r="393" spans="1:20" x14ac:dyDescent="0.2">
      <c r="A393" s="186" t="s">
        <v>572</v>
      </c>
      <c r="B393" s="198" t="s">
        <v>573</v>
      </c>
      <c r="C393" s="22" t="s">
        <v>6</v>
      </c>
      <c r="D393" s="123">
        <v>6</v>
      </c>
      <c r="E393" s="19">
        <v>45000</v>
      </c>
      <c r="F393" s="250">
        <f>Tabla3[[#This Row],[VALOR UNITARIO ]]*Tabla3[[#This Row],[CANTIDAD ]]</f>
        <v>270000</v>
      </c>
      <c r="G393" s="39">
        <v>9000</v>
      </c>
      <c r="H393" s="39">
        <f>Tabla3[[#This Row],[VALOR UNITARIO]]*Tabla3[[#This Row],[CANTIDAD ]]</f>
        <v>54000</v>
      </c>
      <c r="I393" s="250"/>
      <c r="J393" s="250"/>
      <c r="K393" s="250"/>
      <c r="L393" s="250"/>
      <c r="M393" s="250"/>
      <c r="N393" s="250"/>
      <c r="O393" s="250"/>
      <c r="P393" s="240"/>
      <c r="R393" s="39">
        <f>MAX(Tabla3[[#This Row],[VALOR TOTAL]],Tabla3[[#This Row],[VALOR TOTAL ]])</f>
        <v>270000</v>
      </c>
      <c r="S393" s="39">
        <f>MIN(Tabla3[[#This Row],[VALOR TOTAL ]],Tabla3[[#This Row],[VALOR TOTAL]])</f>
        <v>54000</v>
      </c>
      <c r="T393" s="39">
        <f>AVERAGE(Tabla3[[#This Row],[VALOR TOTAL ]:[VALOR TOTAL]])</f>
        <v>111000</v>
      </c>
    </row>
    <row r="394" spans="1:20" x14ac:dyDescent="0.2">
      <c r="A394" s="186" t="s">
        <v>574</v>
      </c>
      <c r="B394" s="24" t="s">
        <v>575</v>
      </c>
      <c r="C394" s="22" t="s">
        <v>6</v>
      </c>
      <c r="D394" s="123">
        <v>6</v>
      </c>
      <c r="E394" s="19">
        <v>98000</v>
      </c>
      <c r="F394" s="250">
        <f>Tabla3[[#This Row],[VALOR UNITARIO ]]*Tabla3[[#This Row],[CANTIDAD ]]</f>
        <v>588000</v>
      </c>
      <c r="G394" s="39">
        <v>15000</v>
      </c>
      <c r="H394" s="39">
        <f>Tabla3[[#This Row],[VALOR UNITARIO]]*Tabla3[[#This Row],[CANTIDAD ]]</f>
        <v>90000</v>
      </c>
      <c r="I394" s="250"/>
      <c r="J394" s="250"/>
      <c r="K394" s="250"/>
      <c r="L394" s="250"/>
      <c r="M394" s="250"/>
      <c r="N394" s="250"/>
      <c r="O394" s="250"/>
      <c r="P394" s="240"/>
      <c r="R394" s="39">
        <f>MAX(Tabla3[[#This Row],[VALOR TOTAL]],Tabla3[[#This Row],[VALOR TOTAL ]])</f>
        <v>588000</v>
      </c>
      <c r="S394" s="39">
        <f>MIN(Tabla3[[#This Row],[VALOR TOTAL ]],Tabla3[[#This Row],[VALOR TOTAL]])</f>
        <v>90000</v>
      </c>
      <c r="T394" s="39">
        <f>AVERAGE(Tabla3[[#This Row],[VALOR TOTAL ]:[VALOR TOTAL]])</f>
        <v>231000</v>
      </c>
    </row>
    <row r="395" spans="1:20" x14ac:dyDescent="0.2">
      <c r="A395" s="187"/>
      <c r="B395" s="161"/>
      <c r="C395" s="108" t="s">
        <v>196</v>
      </c>
      <c r="D395" s="109"/>
      <c r="F395" s="258">
        <f>SUM(F363:F394)</f>
        <v>123320000</v>
      </c>
      <c r="H395" s="39">
        <f>SUM(H363:H394)</f>
        <v>61528220</v>
      </c>
      <c r="I395" s="270"/>
      <c r="P395" s="240"/>
      <c r="R395" s="39"/>
      <c r="S395" s="39"/>
      <c r="T395" s="39"/>
    </row>
    <row r="396" spans="1:20" x14ac:dyDescent="0.2">
      <c r="A396" s="188"/>
      <c r="B396" s="163"/>
      <c r="C396" s="95" t="s">
        <v>197</v>
      </c>
      <c r="D396" s="96"/>
      <c r="E396" s="97">
        <v>0.25</v>
      </c>
      <c r="F396" s="255">
        <f>F395*Tabla3[[#This Row],[VALOR UNITARIO ]]</f>
        <v>30830000</v>
      </c>
      <c r="G396" s="249">
        <v>0.24</v>
      </c>
      <c r="H396" s="39">
        <f>H395*Tabla3[[#This Row],[VALOR UNITARIO]]</f>
        <v>14766772.799999999</v>
      </c>
      <c r="I396" s="271"/>
      <c r="J396" s="249"/>
      <c r="K396" s="249"/>
      <c r="L396" s="249"/>
      <c r="M396" s="249"/>
      <c r="N396" s="249"/>
      <c r="O396" s="249"/>
      <c r="P396" s="240"/>
      <c r="R396" s="39"/>
      <c r="S396" s="39"/>
      <c r="T396" s="39"/>
    </row>
    <row r="397" spans="1:20" x14ac:dyDescent="0.2">
      <c r="A397" s="188"/>
      <c r="B397" s="163"/>
      <c r="C397" s="95" t="s">
        <v>198</v>
      </c>
      <c r="D397" s="96"/>
      <c r="E397" s="97">
        <v>0.02</v>
      </c>
      <c r="F397" s="255">
        <f>F395*Tabla3[[#This Row],[VALOR UNITARIO ]]</f>
        <v>2466400</v>
      </c>
      <c r="G397" s="249">
        <v>0.01</v>
      </c>
      <c r="H397" s="39">
        <f>H395*Tabla3[[#This Row],[VALOR UNITARIO]]</f>
        <v>615282.20000000007</v>
      </c>
      <c r="I397" s="271"/>
      <c r="J397" s="249"/>
      <c r="K397" s="249"/>
      <c r="L397" s="249"/>
      <c r="M397" s="249"/>
      <c r="N397" s="249"/>
      <c r="O397" s="249"/>
      <c r="P397" s="240"/>
      <c r="R397" s="39"/>
      <c r="S397" s="39"/>
      <c r="T397" s="39"/>
    </row>
    <row r="398" spans="1:20" x14ac:dyDescent="0.2">
      <c r="A398" s="188"/>
      <c r="B398" s="163"/>
      <c r="C398" s="95" t="s">
        <v>199</v>
      </c>
      <c r="D398" s="96"/>
      <c r="E398" s="97">
        <v>0.05</v>
      </c>
      <c r="F398" s="255">
        <f>F395*Tabla3[[#This Row],[VALOR UNITARIO ]]</f>
        <v>6166000</v>
      </c>
      <c r="G398" s="249">
        <v>0.05</v>
      </c>
      <c r="H398" s="39">
        <f>H395*Tabla3[[#This Row],[VALOR UNITARIO]]</f>
        <v>3076411</v>
      </c>
      <c r="I398" s="271"/>
      <c r="J398" s="249"/>
      <c r="K398" s="249"/>
      <c r="L398" s="249"/>
      <c r="M398" s="249"/>
      <c r="N398" s="249"/>
      <c r="O398" s="249"/>
      <c r="P398" s="240"/>
      <c r="R398" s="39"/>
      <c r="S398" s="39"/>
      <c r="T398" s="39"/>
    </row>
    <row r="399" spans="1:20" x14ac:dyDescent="0.2">
      <c r="A399" s="188"/>
      <c r="B399" s="163"/>
      <c r="C399" s="95" t="s">
        <v>200</v>
      </c>
      <c r="D399" s="96"/>
      <c r="E399" s="97">
        <v>0.19</v>
      </c>
      <c r="F399" s="255">
        <f>F398*Tabla3[[#This Row],[VALOR UNITARIO ]]</f>
        <v>1171540</v>
      </c>
      <c r="G399" s="249">
        <v>0.19</v>
      </c>
      <c r="H399" s="39">
        <f>H398*Tabla3[[#This Row],[VALOR UNITARIO]]</f>
        <v>584518.09</v>
      </c>
      <c r="I399" s="271"/>
      <c r="J399" s="249"/>
      <c r="K399" s="249"/>
      <c r="L399" s="249"/>
      <c r="M399" s="249"/>
      <c r="N399" s="249"/>
      <c r="O399" s="249"/>
      <c r="P399" s="240"/>
      <c r="R399" s="39"/>
      <c r="S399" s="39"/>
      <c r="T399" s="39"/>
    </row>
    <row r="400" spans="1:20" x14ac:dyDescent="0.2">
      <c r="A400" s="189"/>
      <c r="B400" s="165"/>
      <c r="C400" s="91" t="s">
        <v>201</v>
      </c>
      <c r="D400" s="100"/>
      <c r="F400" s="258">
        <f>SUM(F395:F399)</f>
        <v>163953940</v>
      </c>
      <c r="H400" s="272">
        <f>SUM(H395:H399)</f>
        <v>80571204.090000004</v>
      </c>
      <c r="I400" s="270"/>
      <c r="P400" s="240"/>
      <c r="R400" s="272"/>
      <c r="S400" s="272"/>
      <c r="T400" s="272"/>
    </row>
    <row r="401" spans="1:20" x14ac:dyDescent="0.2">
      <c r="A401" s="101" t="s">
        <v>576</v>
      </c>
      <c r="B401" s="141" t="s">
        <v>577</v>
      </c>
      <c r="C401" s="142"/>
      <c r="D401" s="142"/>
      <c r="F401" s="254"/>
      <c r="H401" s="39"/>
      <c r="I401" s="270">
        <f>Tabla3[[#This Row],[VALOR TOTAL]]*Tabla3[[#This Row],[CANTIDAD ]]</f>
        <v>0</v>
      </c>
      <c r="P401" s="240"/>
      <c r="R401" s="39"/>
      <c r="S401" s="39"/>
      <c r="T401" s="39"/>
    </row>
    <row r="402" spans="1:20" x14ac:dyDescent="0.2">
      <c r="A402" s="9" t="s">
        <v>578</v>
      </c>
      <c r="B402" s="132" t="s">
        <v>527</v>
      </c>
      <c r="C402" s="191"/>
      <c r="D402" s="9"/>
      <c r="F402" s="256"/>
      <c r="G402" s="250"/>
      <c r="H402" s="39">
        <f>Tabla3[[#This Row],[VALOR UNITARIO]]*Tabla3[[#This Row],[CANTIDAD ]]</f>
        <v>0</v>
      </c>
      <c r="I402" s="250">
        <f>Tabla3[[#This Row],[VALOR TOTAL]]*Tabla3[[#This Row],[CANTIDAD ]]</f>
        <v>0</v>
      </c>
      <c r="J402" s="250"/>
      <c r="K402" s="250"/>
      <c r="L402" s="250"/>
      <c r="M402" s="250"/>
      <c r="N402" s="250"/>
      <c r="O402" s="250"/>
      <c r="P402" s="240"/>
      <c r="R402" s="39"/>
      <c r="S402" s="39"/>
      <c r="T402" s="39"/>
    </row>
    <row r="403" spans="1:20" ht="24" x14ac:dyDescent="0.2">
      <c r="A403" s="179" t="s">
        <v>579</v>
      </c>
      <c r="B403" s="56" t="s">
        <v>529</v>
      </c>
      <c r="C403" s="86" t="s">
        <v>19</v>
      </c>
      <c r="D403" s="15">
        <v>33</v>
      </c>
      <c r="E403" s="19">
        <v>12500</v>
      </c>
      <c r="F403" s="255">
        <f>Tabla3[[#This Row],[VALOR UNITARIO ]]*Tabla3[[#This Row],[CANTIDAD ]]</f>
        <v>412500</v>
      </c>
      <c r="G403" s="266">
        <v>0</v>
      </c>
      <c r="H403" s="39">
        <f>Tabla3[[#This Row],[VALOR UNITARIO]]*Tabla3[[#This Row],[CANTIDAD ]]</f>
        <v>0</v>
      </c>
      <c r="I403" s="250">
        <f>Tabla3[[#This Row],[VALOR TOTAL]]*Tabla3[[#This Row],[CANTIDAD ]]</f>
        <v>0</v>
      </c>
      <c r="J403" s="250"/>
      <c r="K403" s="250"/>
      <c r="L403" s="250"/>
      <c r="M403" s="250"/>
      <c r="N403" s="250"/>
      <c r="O403" s="250"/>
      <c r="P403" s="240"/>
      <c r="R403" s="39">
        <f>MAX(Tabla3[[#This Row],[VALOR TOTAL]],Tabla3[[#This Row],[VALOR TOTAL ]])</f>
        <v>412500</v>
      </c>
      <c r="S403" s="39">
        <f>MIN(Tabla3[[#This Row],[VALOR TOTAL ]],Tabla3[[#This Row],[VALOR TOTAL]])</f>
        <v>0</v>
      </c>
      <c r="T403" s="39">
        <f>AVERAGE(Tabla3[[#This Row],[VALOR TOTAL ]:[VALOR TOTAL]])</f>
        <v>137500</v>
      </c>
    </row>
    <row r="404" spans="1:20" ht="24" x14ac:dyDescent="0.2">
      <c r="A404" s="20" t="s">
        <v>580</v>
      </c>
      <c r="B404" s="24" t="s">
        <v>531</v>
      </c>
      <c r="C404" s="22" t="s">
        <v>19</v>
      </c>
      <c r="D404" s="123">
        <v>33</v>
      </c>
      <c r="E404" s="19">
        <v>14000</v>
      </c>
      <c r="F404" s="255">
        <f>Tabla3[[#This Row],[VALOR UNITARIO ]]*Tabla3[[#This Row],[CANTIDAD ]]</f>
        <v>462000</v>
      </c>
      <c r="G404" s="39">
        <f>2870*1.3</f>
        <v>3731</v>
      </c>
      <c r="H404" s="39">
        <f>Tabla3[[#This Row],[VALOR UNITARIO]]*Tabla3[[#This Row],[CANTIDAD ]]</f>
        <v>123123</v>
      </c>
      <c r="I404" s="250">
        <f>Tabla3[[#This Row],[VALOR TOTAL]]*Tabla3[[#This Row],[CANTIDAD ]]</f>
        <v>4063059</v>
      </c>
      <c r="J404" s="250"/>
      <c r="K404" s="250"/>
      <c r="L404" s="250"/>
      <c r="M404" s="250"/>
      <c r="N404" s="250"/>
      <c r="O404" s="250"/>
      <c r="P404" s="240"/>
      <c r="R404" s="39">
        <f>MAX(Tabla3[[#This Row],[VALOR TOTAL]],Tabla3[[#This Row],[VALOR TOTAL ]])</f>
        <v>462000</v>
      </c>
      <c r="S404" s="39">
        <f>MIN(Tabla3[[#This Row],[VALOR TOTAL ]],Tabla3[[#This Row],[VALOR TOTAL]])</f>
        <v>123123</v>
      </c>
      <c r="T404" s="39">
        <f>AVERAGE(Tabla3[[#This Row],[VALOR TOTAL ]:[VALOR TOTAL]])</f>
        <v>196284.66666666666</v>
      </c>
    </row>
    <row r="405" spans="1:20" ht="24" x14ac:dyDescent="0.2">
      <c r="A405" s="179" t="s">
        <v>581</v>
      </c>
      <c r="B405" s="24" t="s">
        <v>582</v>
      </c>
      <c r="C405" s="22" t="s">
        <v>14</v>
      </c>
      <c r="D405" s="123">
        <v>5</v>
      </c>
      <c r="E405" s="19">
        <v>85000</v>
      </c>
      <c r="F405" s="255">
        <f>Tabla3[[#This Row],[VALOR UNITARIO ]]*Tabla3[[#This Row],[CANTIDAD ]]</f>
        <v>425000</v>
      </c>
      <c r="G405" s="266">
        <v>0</v>
      </c>
      <c r="H405" s="39">
        <f>Tabla3[[#This Row],[VALOR UNITARIO]]*Tabla3[[#This Row],[CANTIDAD ]]</f>
        <v>0</v>
      </c>
      <c r="I405" s="250">
        <f>Tabla3[[#This Row],[VALOR TOTAL]]*Tabla3[[#This Row],[CANTIDAD ]]</f>
        <v>0</v>
      </c>
      <c r="J405" s="250"/>
      <c r="K405" s="250"/>
      <c r="L405" s="250"/>
      <c r="M405" s="250"/>
      <c r="N405" s="250"/>
      <c r="O405" s="250"/>
      <c r="P405" s="240"/>
      <c r="R405" s="39">
        <f>MAX(Tabla3[[#This Row],[VALOR TOTAL]],Tabla3[[#This Row],[VALOR TOTAL ]])</f>
        <v>425000</v>
      </c>
      <c r="S405" s="39">
        <f>MIN(Tabla3[[#This Row],[VALOR TOTAL ]],Tabla3[[#This Row],[VALOR TOTAL]])</f>
        <v>0</v>
      </c>
      <c r="T405" s="39">
        <f>AVERAGE(Tabla3[[#This Row],[VALOR TOTAL ]:[VALOR TOTAL]])</f>
        <v>141666.66666666666</v>
      </c>
    </row>
    <row r="406" spans="1:20" x14ac:dyDescent="0.2">
      <c r="A406" s="20" t="s">
        <v>583</v>
      </c>
      <c r="B406" s="24" t="s">
        <v>533</v>
      </c>
      <c r="C406" s="22" t="s">
        <v>19</v>
      </c>
      <c r="D406" s="123">
        <v>20</v>
      </c>
      <c r="E406" s="19">
        <v>9000</v>
      </c>
      <c r="F406" s="255">
        <f>Tabla3[[#This Row],[VALOR UNITARIO ]]*Tabla3[[#This Row],[CANTIDAD ]]</f>
        <v>180000</v>
      </c>
      <c r="G406" s="39">
        <v>4000</v>
      </c>
      <c r="H406" s="39">
        <f>Tabla3[[#This Row],[VALOR UNITARIO]]*Tabla3[[#This Row],[CANTIDAD ]]</f>
        <v>80000</v>
      </c>
      <c r="I406" s="250">
        <f>Tabla3[[#This Row],[VALOR TOTAL]]*Tabla3[[#This Row],[CANTIDAD ]]</f>
        <v>1600000</v>
      </c>
      <c r="J406" s="250"/>
      <c r="K406" s="250"/>
      <c r="L406" s="250"/>
      <c r="M406" s="250"/>
      <c r="N406" s="250"/>
      <c r="O406" s="250"/>
      <c r="P406" s="240"/>
      <c r="R406" s="39">
        <f>MAX(Tabla3[[#This Row],[VALOR TOTAL]],Tabla3[[#This Row],[VALOR TOTAL ]])</f>
        <v>180000</v>
      </c>
      <c r="S406" s="39">
        <f>MIN(Tabla3[[#This Row],[VALOR TOTAL ]],Tabla3[[#This Row],[VALOR TOTAL]])</f>
        <v>80000</v>
      </c>
      <c r="T406" s="39">
        <f>AVERAGE(Tabla3[[#This Row],[VALOR TOTAL ]:[VALOR TOTAL]])</f>
        <v>88000</v>
      </c>
    </row>
    <row r="407" spans="1:20" ht="24" x14ac:dyDescent="0.2">
      <c r="A407" s="179" t="s">
        <v>584</v>
      </c>
      <c r="B407" s="24" t="s">
        <v>585</v>
      </c>
      <c r="C407" s="22" t="s">
        <v>19</v>
      </c>
      <c r="D407" s="123">
        <v>33</v>
      </c>
      <c r="E407" s="19">
        <v>22500</v>
      </c>
      <c r="F407" s="255">
        <f>Tabla3[[#This Row],[VALOR UNITARIO ]]*Tabla3[[#This Row],[CANTIDAD ]]</f>
        <v>742500</v>
      </c>
      <c r="G407" s="266">
        <v>0</v>
      </c>
      <c r="H407" s="39">
        <f>Tabla3[[#This Row],[VALOR UNITARIO]]*Tabla3[[#This Row],[CANTIDAD ]]</f>
        <v>0</v>
      </c>
      <c r="I407" s="250">
        <f>Tabla3[[#This Row],[VALOR TOTAL]]*Tabla3[[#This Row],[CANTIDAD ]]</f>
        <v>0</v>
      </c>
      <c r="J407" s="250"/>
      <c r="K407" s="250"/>
      <c r="L407" s="250"/>
      <c r="M407" s="250"/>
      <c r="N407" s="250"/>
      <c r="O407" s="250"/>
      <c r="P407" s="240"/>
      <c r="R407" s="39">
        <f>MAX(Tabla3[[#This Row],[VALOR TOTAL]],Tabla3[[#This Row],[VALOR TOTAL ]])</f>
        <v>742500</v>
      </c>
      <c r="S407" s="39">
        <f>MIN(Tabla3[[#This Row],[VALOR TOTAL ]],Tabla3[[#This Row],[VALOR TOTAL]])</f>
        <v>0</v>
      </c>
      <c r="T407" s="39">
        <f>AVERAGE(Tabla3[[#This Row],[VALOR TOTAL ]:[VALOR TOTAL]])</f>
        <v>247500</v>
      </c>
    </row>
    <row r="408" spans="1:20" ht="24" x14ac:dyDescent="0.2">
      <c r="A408" s="20" t="s">
        <v>586</v>
      </c>
      <c r="B408" s="48" t="s">
        <v>587</v>
      </c>
      <c r="C408" s="49" t="s">
        <v>19</v>
      </c>
      <c r="D408" s="150">
        <v>33</v>
      </c>
      <c r="E408" s="19">
        <v>24000</v>
      </c>
      <c r="F408" s="255">
        <f>Tabla3[[#This Row],[VALOR UNITARIO ]]*Tabla3[[#This Row],[CANTIDAD ]]</f>
        <v>792000</v>
      </c>
      <c r="G408" s="39">
        <v>8710</v>
      </c>
      <c r="H408" s="39">
        <f>Tabla3[[#This Row],[VALOR UNITARIO]]*Tabla3[[#This Row],[CANTIDAD ]]</f>
        <v>287430</v>
      </c>
      <c r="I408" s="250">
        <f>Tabla3[[#This Row],[VALOR TOTAL]]*Tabla3[[#This Row],[CANTIDAD ]]</f>
        <v>9485190</v>
      </c>
      <c r="J408" s="250"/>
      <c r="K408" s="250"/>
      <c r="L408" s="250"/>
      <c r="M408" s="250"/>
      <c r="N408" s="250"/>
      <c r="O408" s="250"/>
      <c r="P408" s="240"/>
      <c r="R408" s="39">
        <f>MAX(Tabla3[[#This Row],[VALOR TOTAL]],Tabla3[[#This Row],[VALOR TOTAL ]])</f>
        <v>792000</v>
      </c>
      <c r="S408" s="39">
        <f>MIN(Tabla3[[#This Row],[VALOR TOTAL ]],Tabla3[[#This Row],[VALOR TOTAL]])</f>
        <v>287430</v>
      </c>
      <c r="T408" s="39">
        <f>AVERAGE(Tabla3[[#This Row],[VALOR TOTAL ]:[VALOR TOTAL]])</f>
        <v>362713.33333333331</v>
      </c>
    </row>
    <row r="409" spans="1:20" ht="36" x14ac:dyDescent="0.2">
      <c r="A409" s="20" t="s">
        <v>588</v>
      </c>
      <c r="B409" s="24" t="s">
        <v>86</v>
      </c>
      <c r="C409" s="22" t="s">
        <v>19</v>
      </c>
      <c r="D409" s="123">
        <v>20</v>
      </c>
      <c r="E409" s="19">
        <v>48000</v>
      </c>
      <c r="F409" s="255">
        <f>Tabla3[[#This Row],[VALOR UNITARIO ]]*Tabla3[[#This Row],[CANTIDAD ]]</f>
        <v>960000</v>
      </c>
      <c r="G409" s="39">
        <v>45500</v>
      </c>
      <c r="H409" s="39">
        <f>Tabla3[[#This Row],[VALOR UNITARIO]]*Tabla3[[#This Row],[CANTIDAD ]]</f>
        <v>910000</v>
      </c>
      <c r="I409" s="250">
        <f>Tabla3[[#This Row],[VALOR TOTAL]]*Tabla3[[#This Row],[CANTIDAD ]]</f>
        <v>18200000</v>
      </c>
      <c r="J409" s="250"/>
      <c r="K409" s="250"/>
      <c r="L409" s="250"/>
      <c r="M409" s="250"/>
      <c r="N409" s="250"/>
      <c r="O409" s="250"/>
      <c r="P409" s="240"/>
      <c r="R409" s="39">
        <f>MAX(Tabla3[[#This Row],[VALOR TOTAL]],Tabla3[[#This Row],[VALOR TOTAL ]])</f>
        <v>960000</v>
      </c>
      <c r="S409" s="39">
        <f>MIN(Tabla3[[#This Row],[VALOR TOTAL ]],Tabla3[[#This Row],[VALOR TOTAL]])</f>
        <v>910000</v>
      </c>
      <c r="T409" s="39">
        <f>AVERAGE(Tabla3[[#This Row],[VALOR TOTAL ]:[VALOR TOTAL]])</f>
        <v>638500</v>
      </c>
    </row>
    <row r="410" spans="1:20" x14ac:dyDescent="0.2">
      <c r="A410" s="9" t="s">
        <v>589</v>
      </c>
      <c r="B410" s="193" t="s">
        <v>590</v>
      </c>
      <c r="C410" s="9"/>
      <c r="D410" s="9"/>
      <c r="F410" s="250"/>
      <c r="G410" s="9"/>
      <c r="H410" s="39">
        <f>Tabla3[[#This Row],[VALOR UNITARIO]]*Tabla3[[#This Row],[CANTIDAD ]]</f>
        <v>0</v>
      </c>
      <c r="I410" s="250">
        <f>Tabla3[[#This Row],[VALOR TOTAL]]*Tabla3[[#This Row],[CANTIDAD ]]</f>
        <v>0</v>
      </c>
      <c r="J410" s="250"/>
      <c r="K410" s="250"/>
      <c r="L410" s="250"/>
      <c r="M410" s="250"/>
      <c r="N410" s="250"/>
      <c r="O410" s="250"/>
      <c r="P410" s="240"/>
      <c r="R410" s="39">
        <f>MAX(Tabla3[[#This Row],[VALOR TOTAL]],Tabla3[[#This Row],[VALOR TOTAL ]])</f>
        <v>0</v>
      </c>
      <c r="S410" s="39">
        <f>MIN(Tabla3[[#This Row],[VALOR TOTAL ]],Tabla3[[#This Row],[VALOR TOTAL]])</f>
        <v>0</v>
      </c>
      <c r="T410" s="39">
        <f>AVERAGE(Tabla3[[#This Row],[VALOR TOTAL ]:[VALOR TOTAL]])</f>
        <v>0</v>
      </c>
    </row>
    <row r="411" spans="1:20" ht="24" x14ac:dyDescent="0.2">
      <c r="A411" s="179" t="s">
        <v>591</v>
      </c>
      <c r="B411" s="199" t="s">
        <v>592</v>
      </c>
      <c r="C411" s="200" t="s">
        <v>14</v>
      </c>
      <c r="D411" s="15">
        <v>20</v>
      </c>
      <c r="E411" s="19">
        <v>85000</v>
      </c>
      <c r="F411" s="250">
        <f>Tabla3[[#This Row],[VALOR UNITARIO ]]*Tabla3[[#This Row],[CANTIDAD ]]</f>
        <v>1700000</v>
      </c>
      <c r="G411" s="39">
        <v>62000</v>
      </c>
      <c r="H411" s="39">
        <f>Tabla3[[#This Row],[VALOR UNITARIO]]*Tabla3[[#This Row],[CANTIDAD ]]</f>
        <v>1240000</v>
      </c>
      <c r="I411" s="250">
        <f>Tabla3[[#This Row],[VALOR TOTAL]]*Tabla3[[#This Row],[CANTIDAD ]]</f>
        <v>24800000</v>
      </c>
      <c r="J411" s="250"/>
      <c r="K411" s="250"/>
      <c r="L411" s="250"/>
      <c r="M411" s="250"/>
      <c r="N411" s="250"/>
      <c r="O411" s="250"/>
      <c r="P411" s="240"/>
      <c r="R411" s="39">
        <f>MAX(Tabla3[[#This Row],[VALOR TOTAL]],Tabla3[[#This Row],[VALOR TOTAL ]])</f>
        <v>1700000</v>
      </c>
      <c r="S411" s="39">
        <f>MIN(Tabla3[[#This Row],[VALOR TOTAL ]],Tabla3[[#This Row],[VALOR TOTAL]])</f>
        <v>1240000</v>
      </c>
      <c r="T411" s="39">
        <f>AVERAGE(Tabla3[[#This Row],[VALOR TOTAL ]:[VALOR TOTAL]])</f>
        <v>1000666.6666666666</v>
      </c>
    </row>
    <row r="412" spans="1:20" x14ac:dyDescent="0.2">
      <c r="A412" s="179" t="s">
        <v>593</v>
      </c>
      <c r="B412" s="87" t="s">
        <v>84</v>
      </c>
      <c r="C412" s="75" t="s">
        <v>19</v>
      </c>
      <c r="D412" s="123">
        <v>50</v>
      </c>
      <c r="E412" s="19">
        <v>9000</v>
      </c>
      <c r="F412" s="250">
        <f>Tabla3[[#This Row],[VALOR UNITARIO ]]*Tabla3[[#This Row],[CANTIDAD ]]</f>
        <v>450000</v>
      </c>
      <c r="G412" s="39">
        <v>5200</v>
      </c>
      <c r="H412" s="39">
        <f>Tabla3[[#This Row],[VALOR UNITARIO]]*Tabla3[[#This Row],[CANTIDAD ]]</f>
        <v>260000</v>
      </c>
      <c r="I412" s="250">
        <f>Tabla3[[#This Row],[VALOR TOTAL]]*Tabla3[[#This Row],[CANTIDAD ]]</f>
        <v>13000000</v>
      </c>
      <c r="J412" s="250"/>
      <c r="K412" s="250"/>
      <c r="L412" s="250"/>
      <c r="M412" s="250"/>
      <c r="N412" s="250"/>
      <c r="O412" s="250"/>
      <c r="P412" s="240"/>
      <c r="R412" s="39">
        <f>MAX(Tabla3[[#This Row],[VALOR TOTAL]],Tabla3[[#This Row],[VALOR TOTAL ]])</f>
        <v>450000</v>
      </c>
      <c r="S412" s="39">
        <f>MIN(Tabla3[[#This Row],[VALOR TOTAL ]],Tabla3[[#This Row],[VALOR TOTAL]])</f>
        <v>260000</v>
      </c>
      <c r="T412" s="39">
        <f>AVERAGE(Tabla3[[#This Row],[VALOR TOTAL ]:[VALOR TOTAL]])</f>
        <v>238400</v>
      </c>
    </row>
    <row r="413" spans="1:20" ht="36" x14ac:dyDescent="0.2">
      <c r="A413" s="179" t="s">
        <v>594</v>
      </c>
      <c r="B413" s="24" t="s">
        <v>86</v>
      </c>
      <c r="C413" s="22" t="s">
        <v>19</v>
      </c>
      <c r="D413" s="123">
        <v>50</v>
      </c>
      <c r="E413" s="19">
        <v>48000</v>
      </c>
      <c r="F413" s="250">
        <f>Tabla3[[#This Row],[VALOR UNITARIO ]]*Tabla3[[#This Row],[CANTIDAD ]]</f>
        <v>2400000</v>
      </c>
      <c r="G413" s="39">
        <v>45500</v>
      </c>
      <c r="H413" s="39">
        <f>Tabla3[[#This Row],[VALOR UNITARIO]]*Tabla3[[#This Row],[CANTIDAD ]]</f>
        <v>2275000</v>
      </c>
      <c r="I413" s="250">
        <f>Tabla3[[#This Row],[VALOR TOTAL]]*Tabla3[[#This Row],[CANTIDAD ]]</f>
        <v>113750000</v>
      </c>
      <c r="J413" s="250"/>
      <c r="K413" s="250"/>
      <c r="L413" s="250"/>
      <c r="M413" s="250"/>
      <c r="N413" s="250"/>
      <c r="O413" s="250"/>
      <c r="P413" s="240"/>
      <c r="R413" s="39">
        <f>MAX(Tabla3[[#This Row],[VALOR TOTAL]],Tabla3[[#This Row],[VALOR TOTAL ]])</f>
        <v>2400000</v>
      </c>
      <c r="S413" s="39">
        <f>MIN(Tabla3[[#This Row],[VALOR TOTAL ]],Tabla3[[#This Row],[VALOR TOTAL]])</f>
        <v>2275000</v>
      </c>
      <c r="T413" s="39">
        <f>AVERAGE(Tabla3[[#This Row],[VALOR TOTAL ]:[VALOR TOTAL]])</f>
        <v>1573500</v>
      </c>
    </row>
    <row r="414" spans="1:20" x14ac:dyDescent="0.2">
      <c r="A414" s="179" t="s">
        <v>595</v>
      </c>
      <c r="B414" s="24" t="s">
        <v>88</v>
      </c>
      <c r="C414" s="22" t="s">
        <v>19</v>
      </c>
      <c r="D414" s="123">
        <v>80</v>
      </c>
      <c r="E414" s="19">
        <v>28000</v>
      </c>
      <c r="F414" s="250">
        <f>Tabla3[[#This Row],[VALOR UNITARIO ]]*Tabla3[[#This Row],[CANTIDAD ]]</f>
        <v>2240000</v>
      </c>
      <c r="G414" s="39">
        <v>11700</v>
      </c>
      <c r="H414" s="39">
        <f>Tabla3[[#This Row],[VALOR UNITARIO]]*Tabla3[[#This Row],[CANTIDAD ]]</f>
        <v>936000</v>
      </c>
      <c r="I414" s="250">
        <f>Tabla3[[#This Row],[VALOR TOTAL]]*Tabla3[[#This Row],[CANTIDAD ]]</f>
        <v>74880000</v>
      </c>
      <c r="J414" s="250"/>
      <c r="K414" s="250"/>
      <c r="L414" s="250"/>
      <c r="M414" s="250"/>
      <c r="N414" s="250"/>
      <c r="O414" s="250"/>
      <c r="P414" s="240"/>
      <c r="R414" s="39">
        <f>MAX(Tabla3[[#This Row],[VALOR TOTAL]],Tabla3[[#This Row],[VALOR TOTAL ]])</f>
        <v>2240000</v>
      </c>
      <c r="S414" s="39">
        <f>MIN(Tabla3[[#This Row],[VALOR TOTAL ]],Tabla3[[#This Row],[VALOR TOTAL]])</f>
        <v>936000</v>
      </c>
      <c r="T414" s="39">
        <f>AVERAGE(Tabla3[[#This Row],[VALOR TOTAL ]:[VALOR TOTAL]])</f>
        <v>1062566.6666666667</v>
      </c>
    </row>
    <row r="415" spans="1:20" x14ac:dyDescent="0.2">
      <c r="A415" s="20" t="s">
        <v>596</v>
      </c>
      <c r="B415" s="24" t="s">
        <v>90</v>
      </c>
      <c r="C415" s="22" t="s">
        <v>19</v>
      </c>
      <c r="D415" s="123">
        <v>114</v>
      </c>
      <c r="E415" s="19">
        <v>19000</v>
      </c>
      <c r="F415" s="250">
        <f>Tabla3[[#This Row],[VALOR UNITARIO ]]*Tabla3[[#This Row],[CANTIDAD ]]</f>
        <v>2166000</v>
      </c>
      <c r="G415" s="39">
        <v>8710</v>
      </c>
      <c r="H415" s="39">
        <f>Tabla3[[#This Row],[VALOR UNITARIO]]*Tabla3[[#This Row],[CANTIDAD ]]</f>
        <v>992940</v>
      </c>
      <c r="I415" s="250">
        <f>Tabla3[[#This Row],[VALOR TOTAL]]*Tabla3[[#This Row],[CANTIDAD ]]</f>
        <v>113195160</v>
      </c>
      <c r="J415" s="250"/>
      <c r="K415" s="250"/>
      <c r="L415" s="250"/>
      <c r="M415" s="250"/>
      <c r="N415" s="250"/>
      <c r="O415" s="250"/>
      <c r="P415" s="240"/>
      <c r="R415" s="39">
        <f>MAX(Tabla3[[#This Row],[VALOR TOTAL]],Tabla3[[#This Row],[VALOR TOTAL ]])</f>
        <v>2166000</v>
      </c>
      <c r="S415" s="39">
        <f>MIN(Tabla3[[#This Row],[VALOR TOTAL ]],Tabla3[[#This Row],[VALOR TOTAL]])</f>
        <v>992940</v>
      </c>
      <c r="T415" s="39">
        <f>AVERAGE(Tabla3[[#This Row],[VALOR TOTAL ]:[VALOR TOTAL]])</f>
        <v>1055883.3333333333</v>
      </c>
    </row>
    <row r="416" spans="1:20" x14ac:dyDescent="0.2">
      <c r="A416" s="179" t="s">
        <v>597</v>
      </c>
      <c r="B416" s="24" t="s">
        <v>92</v>
      </c>
      <c r="C416" s="22" t="s">
        <v>19</v>
      </c>
      <c r="D416" s="123">
        <v>23</v>
      </c>
      <c r="E416" s="19">
        <v>18000</v>
      </c>
      <c r="F416" s="250">
        <f>Tabla3[[#This Row],[VALOR UNITARIO ]]*Tabla3[[#This Row],[CANTIDAD ]]</f>
        <v>414000</v>
      </c>
      <c r="G416" s="39">
        <v>8710</v>
      </c>
      <c r="H416" s="39">
        <f>Tabla3[[#This Row],[VALOR UNITARIO]]*Tabla3[[#This Row],[CANTIDAD ]]</f>
        <v>200330</v>
      </c>
      <c r="I416" s="250">
        <f>Tabla3[[#This Row],[VALOR TOTAL]]*Tabla3[[#This Row],[CANTIDAD ]]</f>
        <v>4607590</v>
      </c>
      <c r="J416" s="250"/>
      <c r="K416" s="250"/>
      <c r="L416" s="250"/>
      <c r="M416" s="250"/>
      <c r="N416" s="250"/>
      <c r="O416" s="250"/>
      <c r="P416" s="240"/>
      <c r="R416" s="39">
        <f>MAX(Tabla3[[#This Row],[VALOR TOTAL]],Tabla3[[#This Row],[VALOR TOTAL ]])</f>
        <v>414000</v>
      </c>
      <c r="S416" s="39">
        <f>MIN(Tabla3[[#This Row],[VALOR TOTAL ]],Tabla3[[#This Row],[VALOR TOTAL]])</f>
        <v>200330</v>
      </c>
      <c r="T416" s="39">
        <f>AVERAGE(Tabla3[[#This Row],[VALOR TOTAL ]:[VALOR TOTAL]])</f>
        <v>207680</v>
      </c>
    </row>
    <row r="417" spans="1:20" x14ac:dyDescent="0.2">
      <c r="A417" s="20" t="s">
        <v>598</v>
      </c>
      <c r="B417" s="24" t="s">
        <v>94</v>
      </c>
      <c r="C417" s="22" t="s">
        <v>19</v>
      </c>
      <c r="D417" s="123">
        <v>6</v>
      </c>
      <c r="E417" s="19">
        <v>17000</v>
      </c>
      <c r="F417" s="250">
        <f>Tabla3[[#This Row],[VALOR UNITARIO ]]*Tabla3[[#This Row],[CANTIDAD ]]</f>
        <v>102000</v>
      </c>
      <c r="G417" s="39">
        <v>8710</v>
      </c>
      <c r="H417" s="39">
        <f>Tabla3[[#This Row],[VALOR UNITARIO]]*Tabla3[[#This Row],[CANTIDAD ]]</f>
        <v>52260</v>
      </c>
      <c r="I417" s="250">
        <f>Tabla3[[#This Row],[VALOR TOTAL]]*Tabla3[[#This Row],[CANTIDAD ]]</f>
        <v>313560</v>
      </c>
      <c r="J417" s="250"/>
      <c r="K417" s="250"/>
      <c r="L417" s="250"/>
      <c r="M417" s="250"/>
      <c r="N417" s="250"/>
      <c r="O417" s="250"/>
      <c r="P417" s="240"/>
      <c r="R417" s="39">
        <f>MAX(Tabla3[[#This Row],[VALOR TOTAL]],Tabla3[[#This Row],[VALOR TOTAL ]])</f>
        <v>102000</v>
      </c>
      <c r="S417" s="39">
        <f>MIN(Tabla3[[#This Row],[VALOR TOTAL ]],Tabla3[[#This Row],[VALOR TOTAL]])</f>
        <v>52260</v>
      </c>
      <c r="T417" s="39">
        <f>AVERAGE(Tabla3[[#This Row],[VALOR TOTAL ]:[VALOR TOTAL]])</f>
        <v>54323.333333333336</v>
      </c>
    </row>
    <row r="418" spans="1:20" x14ac:dyDescent="0.2">
      <c r="A418" s="179" t="s">
        <v>599</v>
      </c>
      <c r="B418" s="24" t="s">
        <v>84</v>
      </c>
      <c r="C418" s="22" t="s">
        <v>14</v>
      </c>
      <c r="D418" s="123">
        <v>3</v>
      </c>
      <c r="E418" s="19">
        <v>5400</v>
      </c>
      <c r="F418" s="250">
        <f>Tabla3[[#This Row],[VALOR UNITARIO ]]*Tabla3[[#This Row],[CANTIDAD ]]</f>
        <v>16200</v>
      </c>
      <c r="G418" s="39">
        <v>5200</v>
      </c>
      <c r="H418" s="39">
        <f>Tabla3[[#This Row],[VALOR UNITARIO]]*Tabla3[[#This Row],[CANTIDAD ]]</f>
        <v>15600</v>
      </c>
      <c r="I418" s="250">
        <f>Tabla3[[#This Row],[VALOR TOTAL]]*Tabla3[[#This Row],[CANTIDAD ]]</f>
        <v>46800</v>
      </c>
      <c r="J418" s="250"/>
      <c r="K418" s="250"/>
      <c r="L418" s="250"/>
      <c r="M418" s="250"/>
      <c r="N418" s="250"/>
      <c r="O418" s="250"/>
      <c r="P418" s="240"/>
      <c r="R418" s="39">
        <f>MAX(Tabla3[[#This Row],[VALOR TOTAL]],Tabla3[[#This Row],[VALOR TOTAL ]])</f>
        <v>16200</v>
      </c>
      <c r="S418" s="39">
        <f>MIN(Tabla3[[#This Row],[VALOR TOTAL ]],Tabla3[[#This Row],[VALOR TOTAL]])</f>
        <v>15600</v>
      </c>
      <c r="T418" s="39">
        <f>AVERAGE(Tabla3[[#This Row],[VALOR TOTAL ]:[VALOR TOTAL]])</f>
        <v>12333.333333333334</v>
      </c>
    </row>
    <row r="419" spans="1:20" ht="36" x14ac:dyDescent="0.2">
      <c r="A419" s="20" t="s">
        <v>600</v>
      </c>
      <c r="B419" s="24" t="s">
        <v>86</v>
      </c>
      <c r="C419" s="22" t="s">
        <v>14</v>
      </c>
      <c r="D419" s="123">
        <v>3</v>
      </c>
      <c r="E419" s="19">
        <v>28800</v>
      </c>
      <c r="F419" s="250">
        <f>Tabla3[[#This Row],[VALOR UNITARIO ]]*Tabla3[[#This Row],[CANTIDAD ]]</f>
        <v>86400</v>
      </c>
      <c r="G419" s="39">
        <v>6500</v>
      </c>
      <c r="H419" s="39">
        <f>Tabla3[[#This Row],[VALOR UNITARIO]]*Tabla3[[#This Row],[CANTIDAD ]]</f>
        <v>19500</v>
      </c>
      <c r="I419" s="250">
        <f>Tabla3[[#This Row],[VALOR TOTAL]]*Tabla3[[#This Row],[CANTIDAD ]]</f>
        <v>58500</v>
      </c>
      <c r="J419" s="250"/>
      <c r="K419" s="250"/>
      <c r="L419" s="250"/>
      <c r="M419" s="250"/>
      <c r="N419" s="250"/>
      <c r="O419" s="250"/>
      <c r="P419" s="240"/>
      <c r="R419" s="39">
        <f>MAX(Tabla3[[#This Row],[VALOR TOTAL]],Tabla3[[#This Row],[VALOR TOTAL ]])</f>
        <v>86400</v>
      </c>
      <c r="S419" s="39">
        <f>MIN(Tabla3[[#This Row],[VALOR TOTAL ]],Tabla3[[#This Row],[VALOR TOTAL]])</f>
        <v>19500</v>
      </c>
      <c r="T419" s="39">
        <f>AVERAGE(Tabla3[[#This Row],[VALOR TOTAL ]:[VALOR TOTAL]])</f>
        <v>37466.666666666664</v>
      </c>
    </row>
    <row r="420" spans="1:20" x14ac:dyDescent="0.2">
      <c r="A420" s="179" t="s">
        <v>601</v>
      </c>
      <c r="B420" s="24" t="s">
        <v>88</v>
      </c>
      <c r="C420" s="22" t="s">
        <v>14</v>
      </c>
      <c r="D420" s="123">
        <v>3</v>
      </c>
      <c r="E420" s="19">
        <v>16800</v>
      </c>
      <c r="F420" s="250">
        <f>Tabla3[[#This Row],[VALOR UNITARIO ]]*Tabla3[[#This Row],[CANTIDAD ]]</f>
        <v>50400</v>
      </c>
      <c r="G420" s="39">
        <v>11700</v>
      </c>
      <c r="H420" s="39">
        <f>Tabla3[[#This Row],[VALOR UNITARIO]]*Tabla3[[#This Row],[CANTIDAD ]]</f>
        <v>35100</v>
      </c>
      <c r="I420" s="250">
        <f>Tabla3[[#This Row],[VALOR TOTAL]]*Tabla3[[#This Row],[CANTIDAD ]]</f>
        <v>105300</v>
      </c>
      <c r="J420" s="250"/>
      <c r="K420" s="250"/>
      <c r="L420" s="250"/>
      <c r="M420" s="250"/>
      <c r="N420" s="250"/>
      <c r="O420" s="250"/>
      <c r="P420" s="240"/>
      <c r="R420" s="39">
        <f>MAX(Tabla3[[#This Row],[VALOR TOTAL]],Tabla3[[#This Row],[VALOR TOTAL ]])</f>
        <v>50400</v>
      </c>
      <c r="S420" s="39">
        <f>MIN(Tabla3[[#This Row],[VALOR TOTAL ]],Tabla3[[#This Row],[VALOR TOTAL]])</f>
        <v>35100</v>
      </c>
      <c r="T420" s="39">
        <f>AVERAGE(Tabla3[[#This Row],[VALOR TOTAL ]:[VALOR TOTAL]])</f>
        <v>32400</v>
      </c>
    </row>
    <row r="421" spans="1:20" x14ac:dyDescent="0.2">
      <c r="A421" s="20" t="s">
        <v>602</v>
      </c>
      <c r="B421" s="24" t="s">
        <v>98</v>
      </c>
      <c r="C421" s="22" t="s">
        <v>14</v>
      </c>
      <c r="D421" s="123">
        <v>3</v>
      </c>
      <c r="E421" s="19">
        <v>10200</v>
      </c>
      <c r="F421" s="250">
        <f>Tabla3[[#This Row],[VALOR UNITARIO ]]*Tabla3[[#This Row],[CANTIDAD ]]</f>
        <v>30600</v>
      </c>
      <c r="G421" s="39">
        <v>5200</v>
      </c>
      <c r="H421" s="39">
        <f>Tabla3[[#This Row],[VALOR UNITARIO]]*Tabla3[[#This Row],[CANTIDAD ]]</f>
        <v>15600</v>
      </c>
      <c r="I421" s="250">
        <f>Tabla3[[#This Row],[VALOR TOTAL]]*Tabla3[[#This Row],[CANTIDAD ]]</f>
        <v>46800</v>
      </c>
      <c r="J421" s="250"/>
      <c r="K421" s="250"/>
      <c r="L421" s="250"/>
      <c r="M421" s="250"/>
      <c r="N421" s="250"/>
      <c r="O421" s="250"/>
      <c r="P421" s="240"/>
      <c r="R421" s="39">
        <f>MAX(Tabla3[[#This Row],[VALOR TOTAL]],Tabla3[[#This Row],[VALOR TOTAL ]])</f>
        <v>30600</v>
      </c>
      <c r="S421" s="39">
        <f>MIN(Tabla3[[#This Row],[VALOR TOTAL ]],Tabla3[[#This Row],[VALOR TOTAL]])</f>
        <v>15600</v>
      </c>
      <c r="T421" s="39">
        <f>AVERAGE(Tabla3[[#This Row],[VALOR TOTAL ]:[VALOR TOTAL]])</f>
        <v>17133.333333333332</v>
      </c>
    </row>
    <row r="422" spans="1:20" x14ac:dyDescent="0.2">
      <c r="A422" s="179" t="s">
        <v>603</v>
      </c>
      <c r="B422" s="48" t="s">
        <v>92</v>
      </c>
      <c r="C422" s="49" t="s">
        <v>14</v>
      </c>
      <c r="D422" s="150">
        <v>3</v>
      </c>
      <c r="E422" s="19">
        <v>10800</v>
      </c>
      <c r="F422" s="250">
        <f>Tabla3[[#This Row],[VALOR UNITARIO ]]*Tabla3[[#This Row],[CANTIDAD ]]</f>
        <v>32400</v>
      </c>
      <c r="G422" s="39">
        <v>5200</v>
      </c>
      <c r="H422" s="39">
        <f>Tabla3[[#This Row],[VALOR UNITARIO]]*Tabla3[[#This Row],[CANTIDAD ]]</f>
        <v>15600</v>
      </c>
      <c r="I422" s="250">
        <f>Tabla3[[#This Row],[VALOR TOTAL]]*Tabla3[[#This Row],[CANTIDAD ]]</f>
        <v>46800</v>
      </c>
      <c r="J422" s="250"/>
      <c r="K422" s="250"/>
      <c r="L422" s="250"/>
      <c r="M422" s="250"/>
      <c r="N422" s="250"/>
      <c r="O422" s="250"/>
      <c r="P422" s="240"/>
      <c r="R422" s="39">
        <f>MAX(Tabla3[[#This Row],[VALOR TOTAL]],Tabla3[[#This Row],[VALOR TOTAL ]])</f>
        <v>32400</v>
      </c>
      <c r="S422" s="39">
        <f>MIN(Tabla3[[#This Row],[VALOR TOTAL ]],Tabla3[[#This Row],[VALOR TOTAL]])</f>
        <v>15600</v>
      </c>
      <c r="T422" s="39">
        <f>AVERAGE(Tabla3[[#This Row],[VALOR TOTAL ]:[VALOR TOTAL]])</f>
        <v>17733.333333333332</v>
      </c>
    </row>
    <row r="423" spans="1:20" x14ac:dyDescent="0.2">
      <c r="A423" s="182" t="s">
        <v>604</v>
      </c>
      <c r="B423" s="201" t="s">
        <v>605</v>
      </c>
      <c r="C423" s="202"/>
      <c r="D423" s="9"/>
      <c r="E423" s="19"/>
      <c r="F423" s="250"/>
      <c r="G423" s="9"/>
      <c r="H423" s="39">
        <f>Tabla3[[#This Row],[VALOR UNITARIO]]*Tabla3[[#This Row],[CANTIDAD ]]</f>
        <v>0</v>
      </c>
      <c r="I423" s="250">
        <f>Tabla3[[#This Row],[VALOR TOTAL]]*Tabla3[[#This Row],[CANTIDAD ]]</f>
        <v>0</v>
      </c>
      <c r="J423" s="250"/>
      <c r="K423" s="250"/>
      <c r="L423" s="250"/>
      <c r="M423" s="250"/>
      <c r="N423" s="250"/>
      <c r="O423" s="250"/>
      <c r="P423" s="240"/>
      <c r="R423" s="39">
        <f>MAX(Tabla3[[#This Row],[VALOR TOTAL]],Tabla3[[#This Row],[VALOR TOTAL ]])</f>
        <v>0</v>
      </c>
      <c r="S423" s="39">
        <f>MIN(Tabla3[[#This Row],[VALOR TOTAL ]],Tabla3[[#This Row],[VALOR TOTAL]])</f>
        <v>0</v>
      </c>
      <c r="T423" s="39">
        <f>AVERAGE(Tabla3[[#This Row],[VALOR TOTAL ]:[VALOR TOTAL]])</f>
        <v>0</v>
      </c>
    </row>
    <row r="424" spans="1:20" x14ac:dyDescent="0.2">
      <c r="A424" s="179" t="s">
        <v>606</v>
      </c>
      <c r="B424" s="194" t="s">
        <v>607</v>
      </c>
      <c r="C424" s="200" t="s">
        <v>19</v>
      </c>
      <c r="D424" s="15">
        <v>30</v>
      </c>
      <c r="E424" s="19">
        <v>9000</v>
      </c>
      <c r="F424" s="250">
        <f>Tabla3[[#This Row],[VALOR UNITARIO ]]*Tabla3[[#This Row],[CANTIDAD ]]</f>
        <v>270000</v>
      </c>
      <c r="G424" s="39">
        <v>7000</v>
      </c>
      <c r="H424" s="39">
        <f>Tabla3[[#This Row],[VALOR UNITARIO]]*Tabla3[[#This Row],[CANTIDAD ]]</f>
        <v>210000</v>
      </c>
      <c r="I424" s="250">
        <f>Tabla3[[#This Row],[VALOR TOTAL]]*Tabla3[[#This Row],[CANTIDAD ]]</f>
        <v>6300000</v>
      </c>
      <c r="J424" s="250"/>
      <c r="K424" s="250"/>
      <c r="L424" s="250"/>
      <c r="M424" s="250"/>
      <c r="N424" s="250"/>
      <c r="O424" s="250"/>
      <c r="P424" s="240"/>
      <c r="R424" s="39">
        <f>MAX(Tabla3[[#This Row],[VALOR TOTAL]],Tabla3[[#This Row],[VALOR TOTAL ]])</f>
        <v>270000</v>
      </c>
      <c r="S424" s="39">
        <f>MIN(Tabla3[[#This Row],[VALOR TOTAL ]],Tabla3[[#This Row],[VALOR TOTAL]])</f>
        <v>210000</v>
      </c>
      <c r="T424" s="39">
        <f>AVERAGE(Tabla3[[#This Row],[VALOR TOTAL ]:[VALOR TOTAL]])</f>
        <v>162333.33333333334</v>
      </c>
    </row>
    <row r="425" spans="1:20" ht="24" x14ac:dyDescent="0.2">
      <c r="A425" s="179" t="s">
        <v>608</v>
      </c>
      <c r="B425" s="203" t="s">
        <v>609</v>
      </c>
      <c r="C425" s="204" t="s">
        <v>19</v>
      </c>
      <c r="D425" s="123">
        <v>30</v>
      </c>
      <c r="E425" s="19">
        <v>80000</v>
      </c>
      <c r="F425" s="250">
        <f>Tabla3[[#This Row],[VALOR UNITARIO ]]*Tabla3[[#This Row],[CANTIDAD ]]</f>
        <v>2400000</v>
      </c>
      <c r="G425" s="39">
        <v>45000</v>
      </c>
      <c r="H425" s="39">
        <f>Tabla3[[#This Row],[VALOR UNITARIO]]*Tabla3[[#This Row],[CANTIDAD ]]</f>
        <v>1350000</v>
      </c>
      <c r="I425" s="250">
        <f>Tabla3[[#This Row],[VALOR TOTAL]]*Tabla3[[#This Row],[CANTIDAD ]]</f>
        <v>40500000</v>
      </c>
      <c r="J425" s="250"/>
      <c r="K425" s="250"/>
      <c r="L425" s="250"/>
      <c r="M425" s="250"/>
      <c r="N425" s="250"/>
      <c r="O425" s="250"/>
      <c r="P425" s="240"/>
      <c r="R425" s="39">
        <f>MAX(Tabla3[[#This Row],[VALOR TOTAL]],Tabla3[[#This Row],[VALOR TOTAL ]])</f>
        <v>2400000</v>
      </c>
      <c r="S425" s="39">
        <f>MIN(Tabla3[[#This Row],[VALOR TOTAL ]],Tabla3[[#This Row],[VALOR TOTAL]])</f>
        <v>1350000</v>
      </c>
      <c r="T425" s="39">
        <f>AVERAGE(Tabla3[[#This Row],[VALOR TOTAL ]:[VALOR TOTAL]])</f>
        <v>1265000</v>
      </c>
    </row>
    <row r="426" spans="1:20" x14ac:dyDescent="0.2">
      <c r="A426" s="179" t="s">
        <v>610</v>
      </c>
      <c r="B426" s="154" t="s">
        <v>59</v>
      </c>
      <c r="C426" s="205" t="s">
        <v>14</v>
      </c>
      <c r="D426" s="180">
        <v>23</v>
      </c>
      <c r="E426" s="19">
        <v>16000</v>
      </c>
      <c r="F426" s="250">
        <f>Tabla3[[#This Row],[VALOR UNITARIO ]]*Tabla3[[#This Row],[CANTIDAD ]]</f>
        <v>368000</v>
      </c>
      <c r="G426" s="39">
        <v>16848</v>
      </c>
      <c r="H426" s="39">
        <f>Tabla3[[#This Row],[VALOR UNITARIO]]*Tabla3[[#This Row],[CANTIDAD ]]</f>
        <v>387504</v>
      </c>
      <c r="I426" s="250">
        <f>Tabla3[[#This Row],[VALOR TOTAL]]*Tabla3[[#This Row],[CANTIDAD ]]</f>
        <v>8912592</v>
      </c>
      <c r="J426" s="250"/>
      <c r="K426" s="250"/>
      <c r="L426" s="250"/>
      <c r="M426" s="250"/>
      <c r="N426" s="250"/>
      <c r="O426" s="250"/>
      <c r="P426" s="240"/>
      <c r="R426" s="39">
        <f>MAX(Tabla3[[#This Row],[VALOR TOTAL]],Tabla3[[#This Row],[VALOR TOTAL ]])</f>
        <v>387504</v>
      </c>
      <c r="S426" s="39">
        <f>MIN(Tabla3[[#This Row],[VALOR TOTAL ]],Tabla3[[#This Row],[VALOR TOTAL]])</f>
        <v>368000</v>
      </c>
      <c r="T426" s="39">
        <f>AVERAGE(Tabla3[[#This Row],[VALOR TOTAL ]:[VALOR TOTAL]])</f>
        <v>257450.66666666666</v>
      </c>
    </row>
    <row r="427" spans="1:20" ht="24" x14ac:dyDescent="0.2">
      <c r="A427" s="179" t="s">
        <v>611</v>
      </c>
      <c r="B427" s="48" t="s">
        <v>61</v>
      </c>
      <c r="C427" s="49" t="s">
        <v>14</v>
      </c>
      <c r="D427" s="181">
        <v>23</v>
      </c>
      <c r="E427" s="19">
        <v>46000</v>
      </c>
      <c r="F427" s="250">
        <f>Tabla3[[#This Row],[VALOR UNITARIO ]]*Tabla3[[#This Row],[CANTIDAD ]]</f>
        <v>1058000</v>
      </c>
      <c r="G427" s="39">
        <v>57837</v>
      </c>
      <c r="H427" s="39">
        <f>Tabla3[[#This Row],[VALOR UNITARIO]]*Tabla3[[#This Row],[CANTIDAD ]]</f>
        <v>1330251</v>
      </c>
      <c r="I427" s="250">
        <f>Tabla3[[#This Row],[VALOR TOTAL]]*Tabla3[[#This Row],[CANTIDAD ]]</f>
        <v>30595773</v>
      </c>
      <c r="J427" s="250"/>
      <c r="K427" s="250"/>
      <c r="L427" s="250"/>
      <c r="M427" s="250"/>
      <c r="N427" s="250"/>
      <c r="O427" s="250"/>
      <c r="P427" s="240"/>
      <c r="R427" s="39">
        <f>MAX(Tabla3[[#This Row],[VALOR TOTAL]],Tabla3[[#This Row],[VALOR TOTAL ]])</f>
        <v>1330251</v>
      </c>
      <c r="S427" s="39">
        <f>MIN(Tabla3[[#This Row],[VALOR TOTAL ]],Tabla3[[#This Row],[VALOR TOTAL]])</f>
        <v>1058000</v>
      </c>
      <c r="T427" s="39">
        <f>AVERAGE(Tabla3[[#This Row],[VALOR TOTAL ]:[VALOR TOTAL]])</f>
        <v>815362.66666666663</v>
      </c>
    </row>
    <row r="428" spans="1:20" x14ac:dyDescent="0.2">
      <c r="A428" s="143" t="s">
        <v>612</v>
      </c>
      <c r="B428" s="8" t="s">
        <v>294</v>
      </c>
      <c r="C428" s="35"/>
      <c r="D428" s="177"/>
      <c r="E428" s="19"/>
      <c r="F428" s="250">
        <f>Tabla3[[#This Row],[VALOR UNITARIO ]]*Tabla3[[#This Row],[CANTIDAD ]]</f>
        <v>0</v>
      </c>
      <c r="G428" s="119"/>
      <c r="H428" s="39">
        <f>Tabla3[[#This Row],[VALOR UNITARIO]]*Tabla3[[#This Row],[CANTIDAD ]]</f>
        <v>0</v>
      </c>
      <c r="I428" s="250">
        <f>Tabla3[[#This Row],[VALOR TOTAL]]*Tabla3[[#This Row],[CANTIDAD ]]</f>
        <v>0</v>
      </c>
      <c r="J428" s="250"/>
      <c r="K428" s="250"/>
      <c r="L428" s="250"/>
      <c r="M428" s="250"/>
      <c r="N428" s="250"/>
      <c r="O428" s="250"/>
      <c r="P428" s="240"/>
      <c r="R428" s="39">
        <f>MAX(Tabla3[[#This Row],[VALOR TOTAL]],Tabla3[[#This Row],[VALOR TOTAL ]])</f>
        <v>0</v>
      </c>
      <c r="S428" s="39">
        <f>MIN(Tabla3[[#This Row],[VALOR TOTAL ]],Tabla3[[#This Row],[VALOR TOTAL]])</f>
        <v>0</v>
      </c>
      <c r="T428" s="39">
        <f>AVERAGE(Tabla3[[#This Row],[VALOR TOTAL ]:[VALOR TOTAL]])</f>
        <v>0</v>
      </c>
    </row>
    <row r="429" spans="1:20" x14ac:dyDescent="0.2">
      <c r="A429" s="179" t="s">
        <v>613</v>
      </c>
      <c r="B429" s="56" t="s">
        <v>614</v>
      </c>
      <c r="C429" s="200" t="s">
        <v>19</v>
      </c>
      <c r="D429" s="178">
        <v>30</v>
      </c>
      <c r="E429" s="19">
        <v>110000</v>
      </c>
      <c r="F429" s="250">
        <f>Tabla3[[#This Row],[VALOR UNITARIO ]]*Tabla3[[#This Row],[CANTIDAD ]]</f>
        <v>3300000</v>
      </c>
      <c r="G429" s="39">
        <v>38000</v>
      </c>
      <c r="H429" s="39">
        <f>Tabla3[[#This Row],[VALOR UNITARIO]]*Tabla3[[#This Row],[CANTIDAD ]]</f>
        <v>1140000</v>
      </c>
      <c r="I429" s="250">
        <f>Tabla3[[#This Row],[VALOR TOTAL]]*Tabla3[[#This Row],[CANTIDAD ]]</f>
        <v>34200000</v>
      </c>
      <c r="J429" s="250"/>
      <c r="K429" s="250"/>
      <c r="L429" s="250"/>
      <c r="M429" s="250"/>
      <c r="N429" s="250"/>
      <c r="O429" s="250"/>
      <c r="P429" s="240"/>
      <c r="R429" s="39">
        <f>MAX(Tabla3[[#This Row],[VALOR TOTAL]],Tabla3[[#This Row],[VALOR TOTAL ]])</f>
        <v>3300000</v>
      </c>
      <c r="S429" s="39">
        <f>MIN(Tabla3[[#This Row],[VALOR TOTAL ]],Tabla3[[#This Row],[VALOR TOTAL]])</f>
        <v>1140000</v>
      </c>
      <c r="T429" s="39">
        <f>AVERAGE(Tabla3[[#This Row],[VALOR TOTAL ]:[VALOR TOTAL]])</f>
        <v>1492666.6666666667</v>
      </c>
    </row>
    <row r="430" spans="1:20" x14ac:dyDescent="0.2">
      <c r="A430" s="186" t="s">
        <v>615</v>
      </c>
      <c r="B430" s="48" t="s">
        <v>195</v>
      </c>
      <c r="C430" s="204" t="s">
        <v>19</v>
      </c>
      <c r="D430" s="178">
        <v>30</v>
      </c>
      <c r="E430" s="19">
        <v>70000</v>
      </c>
      <c r="F430" s="254">
        <f>Tabla3[[#This Row],[VALOR UNITARIO ]]*Tabla3[[#This Row],[CANTIDAD ]]</f>
        <v>2100000</v>
      </c>
      <c r="G430" s="39">
        <v>4200</v>
      </c>
      <c r="H430" s="39">
        <f>Tabla3[[#This Row],[VALOR UNITARIO]]*Tabla3[[#This Row],[CANTIDAD ]]</f>
        <v>126000</v>
      </c>
      <c r="I430" s="270">
        <f>Tabla3[[#This Row],[VALOR TOTAL]]*Tabla3[[#This Row],[CANTIDAD ]]</f>
        <v>3780000</v>
      </c>
      <c r="P430" s="240"/>
      <c r="R430" s="39">
        <f>MAX(Tabla3[[#This Row],[VALOR TOTAL]],Tabla3[[#This Row],[VALOR TOTAL ]])</f>
        <v>2100000</v>
      </c>
      <c r="S430" s="39">
        <f>MIN(Tabla3[[#This Row],[VALOR TOTAL ]],Tabla3[[#This Row],[VALOR TOTAL]])</f>
        <v>126000</v>
      </c>
      <c r="T430" s="39">
        <f>AVERAGE(Tabla3[[#This Row],[VALOR TOTAL ]:[VALOR TOTAL]])</f>
        <v>743400</v>
      </c>
    </row>
    <row r="431" spans="1:20" x14ac:dyDescent="0.2">
      <c r="A431" s="187"/>
      <c r="B431" s="161"/>
      <c r="C431" s="108" t="s">
        <v>196</v>
      </c>
      <c r="D431" s="109"/>
      <c r="F431" s="258">
        <f>SUM(F403:F430)</f>
        <v>23158000</v>
      </c>
      <c r="H431" s="39">
        <f>SUM(H403:H430)</f>
        <v>12002238</v>
      </c>
      <c r="I431" s="270">
        <f>Tabla3[[#This Row],[VALOR TOTAL]]*Tabla3[[#This Row],[CANTIDAD ]]</f>
        <v>0</v>
      </c>
      <c r="P431" s="240"/>
      <c r="R431" s="39"/>
      <c r="S431" s="39"/>
      <c r="T431" s="39"/>
    </row>
    <row r="432" spans="1:20" x14ac:dyDescent="0.2">
      <c r="A432" s="188"/>
      <c r="B432" s="163"/>
      <c r="C432" s="95" t="s">
        <v>197</v>
      </c>
      <c r="D432" s="96"/>
      <c r="E432" s="97">
        <v>0.35</v>
      </c>
      <c r="F432" s="255">
        <f>F431*Tabla3[[#This Row],[VALOR UNITARIO ]]</f>
        <v>8105299.9999999991</v>
      </c>
      <c r="G432" s="249">
        <v>0.24</v>
      </c>
      <c r="H432" s="39">
        <f>H431*Tabla3[[#This Row],[VALOR UNITARIO]]</f>
        <v>2880537.12</v>
      </c>
      <c r="I432" s="271">
        <f>Tabla3[[#This Row],[VALOR TOTAL]]*Tabla3[[#This Row],[CANTIDAD ]]</f>
        <v>0</v>
      </c>
      <c r="J432" s="249"/>
      <c r="K432" s="249"/>
      <c r="L432" s="249"/>
      <c r="M432" s="249"/>
      <c r="N432" s="249"/>
      <c r="O432" s="249"/>
      <c r="P432" s="240"/>
      <c r="R432" s="39"/>
      <c r="S432" s="39"/>
      <c r="T432" s="39"/>
    </row>
    <row r="433" spans="1:20" x14ac:dyDescent="0.2">
      <c r="A433" s="188"/>
      <c r="B433" s="163"/>
      <c r="C433" s="95" t="s">
        <v>198</v>
      </c>
      <c r="D433" s="96"/>
      <c r="E433" s="97">
        <v>0.02</v>
      </c>
      <c r="F433" s="255">
        <f>F431*Tabla3[[#This Row],[VALOR UNITARIO ]]</f>
        <v>463160</v>
      </c>
      <c r="G433" s="249">
        <v>0.01</v>
      </c>
      <c r="H433" s="39">
        <f>H431*Tabla3[[#This Row],[VALOR UNITARIO]]</f>
        <v>120022.38</v>
      </c>
      <c r="I433" s="271">
        <f>Tabla3[[#This Row],[VALOR TOTAL]]*Tabla3[[#This Row],[CANTIDAD ]]</f>
        <v>0</v>
      </c>
      <c r="J433" s="249"/>
      <c r="K433" s="249"/>
      <c r="L433" s="249"/>
      <c r="M433" s="249"/>
      <c r="N433" s="249"/>
      <c r="O433" s="249"/>
      <c r="P433" s="240"/>
      <c r="R433" s="39"/>
      <c r="S433" s="39"/>
      <c r="T433" s="39"/>
    </row>
    <row r="434" spans="1:20" x14ac:dyDescent="0.2">
      <c r="A434" s="188"/>
      <c r="B434" s="163"/>
      <c r="C434" s="95" t="s">
        <v>199</v>
      </c>
      <c r="D434" s="96"/>
      <c r="E434" s="97">
        <v>0.05</v>
      </c>
      <c r="F434" s="255">
        <f>F431*Tabla3[[#This Row],[VALOR UNITARIO ]]</f>
        <v>1157900</v>
      </c>
      <c r="G434" s="249">
        <v>0.05</v>
      </c>
      <c r="H434" s="39">
        <f>H431*Tabla3[[#This Row],[VALOR UNITARIO]]</f>
        <v>600111.9</v>
      </c>
      <c r="I434" s="271">
        <f>Tabla3[[#This Row],[VALOR TOTAL]]*Tabla3[[#This Row],[CANTIDAD ]]</f>
        <v>0</v>
      </c>
      <c r="J434" s="249"/>
      <c r="K434" s="249"/>
      <c r="L434" s="249"/>
      <c r="M434" s="249"/>
      <c r="N434" s="249"/>
      <c r="O434" s="249"/>
      <c r="P434" s="240"/>
      <c r="R434" s="39"/>
      <c r="S434" s="39"/>
      <c r="T434" s="39"/>
    </row>
    <row r="435" spans="1:20" x14ac:dyDescent="0.2">
      <c r="A435" s="188"/>
      <c r="B435" s="163"/>
      <c r="C435" s="95" t="s">
        <v>200</v>
      </c>
      <c r="D435" s="96"/>
      <c r="E435" s="97">
        <v>0.19</v>
      </c>
      <c r="F435" s="255">
        <f>F434*Tabla3[[#This Row],[VALOR UNITARIO ]]</f>
        <v>220001</v>
      </c>
      <c r="G435" s="249">
        <v>0.19</v>
      </c>
      <c r="H435" s="39">
        <f>H434*Tabla3[[#This Row],[VALOR UNITARIO]]</f>
        <v>114021.261</v>
      </c>
      <c r="I435" s="271">
        <f>Tabla3[[#This Row],[VALOR TOTAL]]*Tabla3[[#This Row],[CANTIDAD ]]</f>
        <v>0</v>
      </c>
      <c r="J435" s="249"/>
      <c r="K435" s="249"/>
      <c r="L435" s="249"/>
      <c r="M435" s="249"/>
      <c r="N435" s="249"/>
      <c r="O435" s="249"/>
      <c r="P435" s="240"/>
      <c r="R435" s="39"/>
      <c r="S435" s="39"/>
      <c r="T435" s="39"/>
    </row>
    <row r="436" spans="1:20" x14ac:dyDescent="0.2">
      <c r="A436" s="189"/>
      <c r="B436" s="165"/>
      <c r="C436" s="91" t="s">
        <v>201</v>
      </c>
      <c r="D436" s="100"/>
      <c r="F436" s="258">
        <f>SUM(F431:F435)</f>
        <v>33104361</v>
      </c>
      <c r="H436" s="272">
        <f>SUM(H431:H435)</f>
        <v>15716930.661000002</v>
      </c>
      <c r="I436" s="270">
        <f>Tabla3[[#This Row],[VALOR TOTAL]]*Tabla3[[#This Row],[CANTIDAD ]]</f>
        <v>0</v>
      </c>
      <c r="P436" s="240"/>
      <c r="R436" s="272"/>
      <c r="S436" s="272"/>
      <c r="T436" s="272"/>
    </row>
    <row r="437" spans="1:20" x14ac:dyDescent="0.2">
      <c r="A437" s="206" t="s">
        <v>616</v>
      </c>
      <c r="B437" s="207" t="s">
        <v>617</v>
      </c>
      <c r="C437" s="142"/>
      <c r="D437" s="142"/>
      <c r="F437" s="254"/>
      <c r="H437" s="39">
        <f>Tabla3[[#This Row],[VALOR UNITARIO]]*Tabla3[[#This Row],[CANTIDAD ]]</f>
        <v>0</v>
      </c>
      <c r="I437" s="270">
        <f>Tabla3[[#This Row],[VALOR TOTAL]]*Tabla3[[#This Row],[CANTIDAD ]]</f>
        <v>0</v>
      </c>
      <c r="P437" s="240"/>
      <c r="R437" s="39"/>
      <c r="S437" s="39"/>
      <c r="T437" s="39"/>
    </row>
    <row r="438" spans="1:20" x14ac:dyDescent="0.2">
      <c r="A438" s="143" t="s">
        <v>618</v>
      </c>
      <c r="B438" s="193" t="s">
        <v>619</v>
      </c>
      <c r="C438" s="208"/>
      <c r="D438" s="9"/>
      <c r="F438" s="254"/>
      <c r="H438" s="39">
        <f>Tabla3[[#This Row],[VALOR UNITARIO]]*Tabla3[[#This Row],[CANTIDAD ]]</f>
        <v>0</v>
      </c>
      <c r="I438" s="270">
        <f>Tabla3[[#This Row],[VALOR TOTAL]]*Tabla3[[#This Row],[CANTIDAD ]]</f>
        <v>0</v>
      </c>
      <c r="P438" s="240"/>
      <c r="R438" s="39"/>
      <c r="S438" s="39"/>
      <c r="T438" s="39"/>
    </row>
    <row r="439" spans="1:20" ht="36" x14ac:dyDescent="0.2">
      <c r="A439" s="123" t="s">
        <v>620</v>
      </c>
      <c r="B439" s="56" t="s">
        <v>621</v>
      </c>
      <c r="C439" s="57" t="s">
        <v>19</v>
      </c>
      <c r="D439" s="15">
        <v>17</v>
      </c>
      <c r="E439" s="19">
        <v>14000</v>
      </c>
      <c r="F439" s="250">
        <f>Tabla3[[#This Row],[VALOR UNITARIO ]]*Tabla3[[#This Row],[CANTIDAD ]]</f>
        <v>238000</v>
      </c>
      <c r="G439" s="266">
        <v>0</v>
      </c>
      <c r="H439" s="39">
        <f>Tabla3[[#This Row],[VALOR UNITARIO]]*Tabla3[[#This Row],[CANTIDAD ]]</f>
        <v>0</v>
      </c>
      <c r="I439" s="250">
        <f>Tabla3[[#This Row],[VALOR TOTAL]]*Tabla3[[#This Row],[CANTIDAD ]]</f>
        <v>0</v>
      </c>
      <c r="J439" s="250"/>
      <c r="K439" s="250"/>
      <c r="L439" s="250"/>
      <c r="M439" s="250"/>
      <c r="N439" s="250"/>
      <c r="O439" s="250"/>
      <c r="P439" s="240"/>
      <c r="R439" s="39">
        <f>MAX(Tabla3[[#This Row],[VALOR TOTAL]],Tabla3[[#This Row],[VALOR TOTAL ]])</f>
        <v>238000</v>
      </c>
      <c r="S439" s="39">
        <f>MIN(Tabla3[[#This Row],[VALOR TOTAL ]],Tabla3[[#This Row],[VALOR TOTAL]])</f>
        <v>0</v>
      </c>
      <c r="T439" s="39">
        <f>AVERAGE(Tabla3[[#This Row],[VALOR TOTAL ]:[VALOR TOTAL]])</f>
        <v>79333.333333333328</v>
      </c>
    </row>
    <row r="440" spans="1:20" ht="36" x14ac:dyDescent="0.2">
      <c r="A440" s="123" t="s">
        <v>622</v>
      </c>
      <c r="B440" s="27" t="s">
        <v>86</v>
      </c>
      <c r="C440" s="200" t="s">
        <v>19</v>
      </c>
      <c r="D440" s="123">
        <v>10</v>
      </c>
      <c r="E440" s="19">
        <v>48000</v>
      </c>
      <c r="F440" s="250">
        <f>Tabla3[[#This Row],[VALOR UNITARIO ]]*Tabla3[[#This Row],[CANTIDAD ]]</f>
        <v>480000</v>
      </c>
      <c r="G440" s="39">
        <v>45500</v>
      </c>
      <c r="H440" s="39">
        <f>Tabla3[[#This Row],[VALOR UNITARIO]]*Tabla3[[#This Row],[CANTIDAD ]]</f>
        <v>455000</v>
      </c>
      <c r="I440" s="250">
        <f>Tabla3[[#This Row],[VALOR TOTAL]]*Tabla3[[#This Row],[CANTIDAD ]]</f>
        <v>4550000</v>
      </c>
      <c r="J440" s="250"/>
      <c r="K440" s="250"/>
      <c r="L440" s="250"/>
      <c r="M440" s="250"/>
      <c r="N440" s="250"/>
      <c r="O440" s="250"/>
      <c r="P440" s="240"/>
      <c r="R440" s="39">
        <f>MAX(Tabla3[[#This Row],[VALOR TOTAL]],Tabla3[[#This Row],[VALOR TOTAL ]])</f>
        <v>480000</v>
      </c>
      <c r="S440" s="39">
        <f>MIN(Tabla3[[#This Row],[VALOR TOTAL ]],Tabla3[[#This Row],[VALOR TOTAL]])</f>
        <v>455000</v>
      </c>
      <c r="T440" s="39">
        <f>AVERAGE(Tabla3[[#This Row],[VALOR TOTAL ]:[VALOR TOTAL]])</f>
        <v>326833.33333333331</v>
      </c>
    </row>
    <row r="441" spans="1:20" x14ac:dyDescent="0.2">
      <c r="A441" s="123" t="s">
        <v>623</v>
      </c>
      <c r="B441" s="24" t="s">
        <v>533</v>
      </c>
      <c r="C441" s="22" t="s">
        <v>19</v>
      </c>
      <c r="D441" s="123">
        <v>10</v>
      </c>
      <c r="E441" s="19">
        <v>9000</v>
      </c>
      <c r="F441" s="250">
        <f>Tabla3[[#This Row],[VALOR UNITARIO ]]*Tabla3[[#This Row],[CANTIDAD ]]</f>
        <v>90000</v>
      </c>
      <c r="G441" s="39">
        <v>4000</v>
      </c>
      <c r="H441" s="39">
        <f>Tabla3[[#This Row],[VALOR UNITARIO]]*Tabla3[[#This Row],[CANTIDAD ]]</f>
        <v>40000</v>
      </c>
      <c r="I441" s="250">
        <f>Tabla3[[#This Row],[VALOR TOTAL]]*Tabla3[[#This Row],[CANTIDAD ]]</f>
        <v>400000</v>
      </c>
      <c r="J441" s="250"/>
      <c r="K441" s="250"/>
      <c r="L441" s="250"/>
      <c r="M441" s="250"/>
      <c r="N441" s="250"/>
      <c r="O441" s="250"/>
      <c r="P441" s="240"/>
      <c r="R441" s="39">
        <f>MAX(Tabla3[[#This Row],[VALOR TOTAL]],Tabla3[[#This Row],[VALOR TOTAL ]])</f>
        <v>90000</v>
      </c>
      <c r="S441" s="39">
        <f>MIN(Tabla3[[#This Row],[VALOR TOTAL ]],Tabla3[[#This Row],[VALOR TOTAL]])</f>
        <v>40000</v>
      </c>
      <c r="T441" s="39">
        <f>AVERAGE(Tabla3[[#This Row],[VALOR TOTAL ]:[VALOR TOTAL]])</f>
        <v>44666.666666666664</v>
      </c>
    </row>
    <row r="442" spans="1:20" ht="24" x14ac:dyDescent="0.2">
      <c r="A442" s="123" t="s">
        <v>624</v>
      </c>
      <c r="B442" s="24" t="s">
        <v>536</v>
      </c>
      <c r="C442" s="22" t="s">
        <v>19</v>
      </c>
      <c r="D442" s="123">
        <v>17</v>
      </c>
      <c r="E442" s="19">
        <v>14000</v>
      </c>
      <c r="F442" s="250">
        <f>Tabla3[[#This Row],[VALOR UNITARIO ]]*Tabla3[[#This Row],[CANTIDAD ]]</f>
        <v>238000</v>
      </c>
      <c r="G442" s="266">
        <v>0</v>
      </c>
      <c r="H442" s="39">
        <f>Tabla3[[#This Row],[VALOR UNITARIO]]*Tabla3[[#This Row],[CANTIDAD ]]</f>
        <v>0</v>
      </c>
      <c r="I442" s="250">
        <f>Tabla3[[#This Row],[VALOR TOTAL]]*Tabla3[[#This Row],[CANTIDAD ]]</f>
        <v>0</v>
      </c>
      <c r="J442" s="250"/>
      <c r="K442" s="250"/>
      <c r="L442" s="250"/>
      <c r="M442" s="250"/>
      <c r="N442" s="250"/>
      <c r="O442" s="250"/>
      <c r="P442" s="240"/>
      <c r="R442" s="39">
        <f>MAX(Tabla3[[#This Row],[VALOR TOTAL]],Tabla3[[#This Row],[VALOR TOTAL ]])</f>
        <v>238000</v>
      </c>
      <c r="S442" s="39">
        <f>MIN(Tabla3[[#This Row],[VALOR TOTAL ]],Tabla3[[#This Row],[VALOR TOTAL]])</f>
        <v>0</v>
      </c>
      <c r="T442" s="39">
        <f>AVERAGE(Tabla3[[#This Row],[VALOR TOTAL ]:[VALOR TOTAL]])</f>
        <v>79333.333333333328</v>
      </c>
    </row>
    <row r="443" spans="1:20" ht="36" x14ac:dyDescent="0.2">
      <c r="A443" s="123" t="s">
        <v>625</v>
      </c>
      <c r="B443" s="24" t="s">
        <v>538</v>
      </c>
      <c r="C443" s="22" t="s">
        <v>19</v>
      </c>
      <c r="D443" s="150">
        <v>17</v>
      </c>
      <c r="E443" s="19">
        <v>28000</v>
      </c>
      <c r="F443" s="250">
        <f>Tabla3[[#This Row],[VALOR UNITARIO ]]*Tabla3[[#This Row],[CANTIDAD ]]</f>
        <v>476000</v>
      </c>
      <c r="G443" s="39">
        <v>15000</v>
      </c>
      <c r="H443" s="39">
        <f>Tabla3[[#This Row],[VALOR UNITARIO]]*Tabla3[[#This Row],[CANTIDAD ]]</f>
        <v>255000</v>
      </c>
      <c r="I443" s="250">
        <f>Tabla3[[#This Row],[VALOR TOTAL]]*Tabla3[[#This Row],[CANTIDAD ]]</f>
        <v>4335000</v>
      </c>
      <c r="J443" s="250"/>
      <c r="K443" s="250"/>
      <c r="L443" s="250"/>
      <c r="M443" s="250"/>
      <c r="N443" s="250"/>
      <c r="O443" s="250"/>
      <c r="P443" s="240"/>
      <c r="R443" s="39">
        <f>MAX(Tabla3[[#This Row],[VALOR TOTAL]],Tabla3[[#This Row],[VALOR TOTAL ]])</f>
        <v>476000</v>
      </c>
      <c r="S443" s="39">
        <f>MIN(Tabla3[[#This Row],[VALOR TOTAL ]],Tabla3[[#This Row],[VALOR TOTAL]])</f>
        <v>255000</v>
      </c>
      <c r="T443" s="39">
        <f>AVERAGE(Tabla3[[#This Row],[VALOR TOTAL ]:[VALOR TOTAL]])</f>
        <v>248666.66666666666</v>
      </c>
    </row>
    <row r="444" spans="1:20" x14ac:dyDescent="0.2">
      <c r="A444" s="9" t="s">
        <v>626</v>
      </c>
      <c r="B444" s="193" t="s">
        <v>627</v>
      </c>
      <c r="C444" s="9"/>
      <c r="D444" s="9"/>
      <c r="E444" s="19"/>
      <c r="F444" s="250"/>
      <c r="G444" s="9"/>
      <c r="H444" s="39">
        <f>Tabla3[[#This Row],[VALOR UNITARIO]]*Tabla3[[#This Row],[CANTIDAD ]]</f>
        <v>0</v>
      </c>
      <c r="I444" s="250">
        <f>Tabla3[[#This Row],[VALOR TOTAL]]*Tabla3[[#This Row],[CANTIDAD ]]</f>
        <v>0</v>
      </c>
      <c r="J444" s="250"/>
      <c r="K444" s="250"/>
      <c r="L444" s="250"/>
      <c r="M444" s="250"/>
      <c r="N444" s="250"/>
      <c r="O444" s="250"/>
      <c r="P444" s="240"/>
      <c r="R444" s="39">
        <f>MAX(Tabla3[[#This Row],[VALOR TOTAL]],Tabla3[[#This Row],[VALOR TOTAL ]])</f>
        <v>0</v>
      </c>
      <c r="S444" s="39">
        <f>MIN(Tabla3[[#This Row],[VALOR TOTAL ]],Tabla3[[#This Row],[VALOR TOTAL]])</f>
        <v>0</v>
      </c>
      <c r="T444" s="39">
        <f>AVERAGE(Tabla3[[#This Row],[VALOR TOTAL ]:[VALOR TOTAL]])</f>
        <v>0</v>
      </c>
    </row>
    <row r="445" spans="1:20" x14ac:dyDescent="0.2">
      <c r="A445" s="179" t="s">
        <v>628</v>
      </c>
      <c r="B445" s="87" t="s">
        <v>84</v>
      </c>
      <c r="C445" s="75" t="s">
        <v>19</v>
      </c>
      <c r="D445" s="178">
        <v>192</v>
      </c>
      <c r="E445" s="19">
        <v>9000</v>
      </c>
      <c r="F445" s="250">
        <f>Tabla3[[#This Row],[VALOR UNITARIO ]]*Tabla3[[#This Row],[CANTIDAD ]]</f>
        <v>1728000</v>
      </c>
      <c r="G445" s="39">
        <v>5200</v>
      </c>
      <c r="H445" s="39">
        <f>Tabla3[[#This Row],[VALOR UNITARIO]]*Tabla3[[#This Row],[CANTIDAD ]]</f>
        <v>998400</v>
      </c>
      <c r="I445" s="250">
        <f>Tabla3[[#This Row],[VALOR TOTAL]]*Tabla3[[#This Row],[CANTIDAD ]]</f>
        <v>191692800</v>
      </c>
      <c r="J445" s="250"/>
      <c r="K445" s="250"/>
      <c r="L445" s="250"/>
      <c r="M445" s="250"/>
      <c r="N445" s="250"/>
      <c r="O445" s="250"/>
      <c r="P445" s="240"/>
      <c r="R445" s="39">
        <f>MAX(Tabla3[[#This Row],[VALOR TOTAL]],Tabla3[[#This Row],[VALOR TOTAL ]])</f>
        <v>1728000</v>
      </c>
      <c r="S445" s="39">
        <f>MIN(Tabla3[[#This Row],[VALOR TOTAL ]],Tabla3[[#This Row],[VALOR TOTAL]])</f>
        <v>998400</v>
      </c>
      <c r="T445" s="39">
        <f>AVERAGE(Tabla3[[#This Row],[VALOR TOTAL ]:[VALOR TOTAL]])</f>
        <v>910533.33333333337</v>
      </c>
    </row>
    <row r="446" spans="1:20" ht="36" x14ac:dyDescent="0.2">
      <c r="A446" s="179" t="s">
        <v>629</v>
      </c>
      <c r="B446" s="46" t="s">
        <v>86</v>
      </c>
      <c r="C446" s="45" t="s">
        <v>19</v>
      </c>
      <c r="D446" s="178">
        <v>192</v>
      </c>
      <c r="E446" s="19">
        <v>48000</v>
      </c>
      <c r="F446" s="250">
        <f>Tabla3[[#This Row],[VALOR UNITARIO ]]*Tabla3[[#This Row],[CANTIDAD ]]</f>
        <v>9216000</v>
      </c>
      <c r="G446" s="39">
        <v>45500</v>
      </c>
      <c r="H446" s="39">
        <f>Tabla3[[#This Row],[VALOR UNITARIO]]*Tabla3[[#This Row],[CANTIDAD ]]</f>
        <v>8736000</v>
      </c>
      <c r="I446" s="250">
        <f>Tabla3[[#This Row],[VALOR TOTAL]]*Tabla3[[#This Row],[CANTIDAD ]]</f>
        <v>1677312000</v>
      </c>
      <c r="J446" s="250"/>
      <c r="K446" s="250"/>
      <c r="L446" s="250"/>
      <c r="M446" s="250"/>
      <c r="N446" s="250"/>
      <c r="O446" s="250"/>
      <c r="P446" s="240"/>
      <c r="R446" s="39">
        <f>MAX(Tabla3[[#This Row],[VALOR TOTAL]],Tabla3[[#This Row],[VALOR TOTAL ]])</f>
        <v>9216000</v>
      </c>
      <c r="S446" s="39">
        <f>MIN(Tabla3[[#This Row],[VALOR TOTAL ]],Tabla3[[#This Row],[VALOR TOTAL]])</f>
        <v>8736000</v>
      </c>
      <c r="T446" s="39">
        <f>AVERAGE(Tabla3[[#This Row],[VALOR TOTAL ]:[VALOR TOTAL]])</f>
        <v>5999166.666666667</v>
      </c>
    </row>
    <row r="447" spans="1:20" x14ac:dyDescent="0.2">
      <c r="A447" s="179" t="s">
        <v>630</v>
      </c>
      <c r="B447" s="46" t="s">
        <v>88</v>
      </c>
      <c r="C447" s="45" t="s">
        <v>19</v>
      </c>
      <c r="D447" s="178">
        <v>274</v>
      </c>
      <c r="E447" s="19">
        <v>28000</v>
      </c>
      <c r="F447" s="250">
        <f>Tabla3[[#This Row],[VALOR UNITARIO ]]*Tabla3[[#This Row],[CANTIDAD ]]</f>
        <v>7672000</v>
      </c>
      <c r="G447" s="39">
        <v>11700</v>
      </c>
      <c r="H447" s="39">
        <f>Tabla3[[#This Row],[VALOR UNITARIO]]*Tabla3[[#This Row],[CANTIDAD ]]</f>
        <v>3205800</v>
      </c>
      <c r="I447" s="250">
        <f>Tabla3[[#This Row],[VALOR TOTAL]]*Tabla3[[#This Row],[CANTIDAD ]]</f>
        <v>878389200</v>
      </c>
      <c r="J447" s="250"/>
      <c r="K447" s="250"/>
      <c r="L447" s="250"/>
      <c r="M447" s="250"/>
      <c r="N447" s="250"/>
      <c r="O447" s="250"/>
      <c r="P447" s="240"/>
      <c r="R447" s="39">
        <f>MAX(Tabla3[[#This Row],[VALOR TOTAL]],Tabla3[[#This Row],[VALOR TOTAL ]])</f>
        <v>7672000</v>
      </c>
      <c r="S447" s="39">
        <f>MIN(Tabla3[[#This Row],[VALOR TOTAL ]],Tabla3[[#This Row],[VALOR TOTAL]])</f>
        <v>3205800</v>
      </c>
      <c r="T447" s="39">
        <f>AVERAGE(Tabla3[[#This Row],[VALOR TOTAL ]:[VALOR TOTAL]])</f>
        <v>3629833.3333333335</v>
      </c>
    </row>
    <row r="448" spans="1:20" x14ac:dyDescent="0.2">
      <c r="A448" s="179" t="s">
        <v>631</v>
      </c>
      <c r="B448" s="40" t="s">
        <v>632</v>
      </c>
      <c r="C448" s="45" t="s">
        <v>19</v>
      </c>
      <c r="D448" s="178">
        <v>274</v>
      </c>
      <c r="E448" s="19">
        <v>19000</v>
      </c>
      <c r="F448" s="250">
        <f>Tabla3[[#This Row],[VALOR UNITARIO ]]*Tabla3[[#This Row],[CANTIDAD ]]</f>
        <v>5206000</v>
      </c>
      <c r="G448" s="39">
        <v>8710</v>
      </c>
      <c r="H448" s="39">
        <f>Tabla3[[#This Row],[VALOR UNITARIO]]*Tabla3[[#This Row],[CANTIDAD ]]</f>
        <v>2386540</v>
      </c>
      <c r="I448" s="250">
        <f>Tabla3[[#This Row],[VALOR TOTAL]]*Tabla3[[#This Row],[CANTIDAD ]]</f>
        <v>653911960</v>
      </c>
      <c r="J448" s="250"/>
      <c r="K448" s="250"/>
      <c r="L448" s="250"/>
      <c r="M448" s="250"/>
      <c r="N448" s="250"/>
      <c r="O448" s="250"/>
      <c r="P448" s="240"/>
      <c r="R448" s="39">
        <f>MAX(Tabla3[[#This Row],[VALOR TOTAL]],Tabla3[[#This Row],[VALOR TOTAL ]])</f>
        <v>5206000</v>
      </c>
      <c r="S448" s="39">
        <f>MIN(Tabla3[[#This Row],[VALOR TOTAL ]],Tabla3[[#This Row],[VALOR TOTAL]])</f>
        <v>2386540</v>
      </c>
      <c r="T448" s="39">
        <f>AVERAGE(Tabla3[[#This Row],[VALOR TOTAL ]:[VALOR TOTAL]])</f>
        <v>2533750</v>
      </c>
    </row>
    <row r="449" spans="1:20" x14ac:dyDescent="0.2">
      <c r="A449" s="179" t="s">
        <v>633</v>
      </c>
      <c r="B449" s="46" t="s">
        <v>92</v>
      </c>
      <c r="C449" s="45" t="s">
        <v>19</v>
      </c>
      <c r="D449" s="178">
        <v>137</v>
      </c>
      <c r="E449" s="19">
        <v>18000</v>
      </c>
      <c r="F449" s="250">
        <f>Tabla3[[#This Row],[VALOR UNITARIO ]]*Tabla3[[#This Row],[CANTIDAD ]]</f>
        <v>2466000</v>
      </c>
      <c r="G449" s="39">
        <v>8710</v>
      </c>
      <c r="H449" s="39">
        <f>Tabla3[[#This Row],[VALOR UNITARIO]]*Tabla3[[#This Row],[CANTIDAD ]]</f>
        <v>1193270</v>
      </c>
      <c r="I449" s="250">
        <f>Tabla3[[#This Row],[VALOR TOTAL]]*Tabla3[[#This Row],[CANTIDAD ]]</f>
        <v>163477990</v>
      </c>
      <c r="J449" s="250"/>
      <c r="K449" s="250"/>
      <c r="L449" s="250"/>
      <c r="M449" s="250"/>
      <c r="N449" s="250"/>
      <c r="O449" s="250"/>
      <c r="P449" s="240"/>
      <c r="R449" s="39">
        <f>MAX(Tabla3[[#This Row],[VALOR TOTAL]],Tabla3[[#This Row],[VALOR TOTAL ]])</f>
        <v>2466000</v>
      </c>
      <c r="S449" s="39">
        <f>MIN(Tabla3[[#This Row],[VALOR TOTAL ]],Tabla3[[#This Row],[VALOR TOTAL]])</f>
        <v>1193270</v>
      </c>
      <c r="T449" s="39">
        <f>AVERAGE(Tabla3[[#This Row],[VALOR TOTAL ]:[VALOR TOTAL]])</f>
        <v>1222660</v>
      </c>
    </row>
    <row r="450" spans="1:20" x14ac:dyDescent="0.2">
      <c r="A450" s="179" t="s">
        <v>634</v>
      </c>
      <c r="B450" s="40" t="s">
        <v>84</v>
      </c>
      <c r="C450" s="45" t="s">
        <v>14</v>
      </c>
      <c r="D450" s="178">
        <v>46</v>
      </c>
      <c r="E450" s="19">
        <v>5400</v>
      </c>
      <c r="F450" s="250">
        <f>Tabla3[[#This Row],[VALOR UNITARIO ]]*Tabla3[[#This Row],[CANTIDAD ]]</f>
        <v>248400</v>
      </c>
      <c r="G450" s="39">
        <v>5200</v>
      </c>
      <c r="H450" s="39">
        <f>Tabla3[[#This Row],[VALOR UNITARIO]]*Tabla3[[#This Row],[CANTIDAD ]]</f>
        <v>239200</v>
      </c>
      <c r="I450" s="250">
        <f>Tabla3[[#This Row],[VALOR TOTAL]]*Tabla3[[#This Row],[CANTIDAD ]]</f>
        <v>11003200</v>
      </c>
      <c r="J450" s="250"/>
      <c r="K450" s="250"/>
      <c r="L450" s="250"/>
      <c r="M450" s="250"/>
      <c r="N450" s="250"/>
      <c r="O450" s="250"/>
      <c r="P450" s="240"/>
      <c r="R450" s="39">
        <f>MAX(Tabla3[[#This Row],[VALOR TOTAL]],Tabla3[[#This Row],[VALOR TOTAL ]])</f>
        <v>248400</v>
      </c>
      <c r="S450" s="39">
        <f>MIN(Tabla3[[#This Row],[VALOR TOTAL ]],Tabla3[[#This Row],[VALOR TOTAL]])</f>
        <v>239200</v>
      </c>
      <c r="T450" s="39">
        <f>AVERAGE(Tabla3[[#This Row],[VALOR TOTAL ]:[VALOR TOTAL]])</f>
        <v>164266.66666666666</v>
      </c>
    </row>
    <row r="451" spans="1:20" ht="36" x14ac:dyDescent="0.2">
      <c r="A451" s="179" t="s">
        <v>635</v>
      </c>
      <c r="B451" s="24" t="s">
        <v>636</v>
      </c>
      <c r="C451" s="22" t="s">
        <v>14</v>
      </c>
      <c r="D451" s="178">
        <v>46</v>
      </c>
      <c r="E451" s="19">
        <v>28800</v>
      </c>
      <c r="F451" s="250">
        <f>Tabla3[[#This Row],[VALOR UNITARIO ]]*Tabla3[[#This Row],[CANTIDAD ]]</f>
        <v>1324800</v>
      </c>
      <c r="G451" s="39">
        <v>6500</v>
      </c>
      <c r="H451" s="39">
        <f>Tabla3[[#This Row],[VALOR UNITARIO]]*Tabla3[[#This Row],[CANTIDAD ]]</f>
        <v>299000</v>
      </c>
      <c r="I451" s="250">
        <f>Tabla3[[#This Row],[VALOR TOTAL]]*Tabla3[[#This Row],[CANTIDAD ]]</f>
        <v>13754000</v>
      </c>
      <c r="J451" s="250"/>
      <c r="K451" s="250"/>
      <c r="L451" s="250"/>
      <c r="M451" s="250"/>
      <c r="N451" s="250"/>
      <c r="O451" s="250"/>
      <c r="P451" s="240"/>
      <c r="R451" s="39">
        <f>MAX(Tabla3[[#This Row],[VALOR TOTAL]],Tabla3[[#This Row],[VALOR TOTAL ]])</f>
        <v>1324800</v>
      </c>
      <c r="S451" s="39">
        <f>MIN(Tabla3[[#This Row],[VALOR TOTAL ]],Tabla3[[#This Row],[VALOR TOTAL]])</f>
        <v>299000</v>
      </c>
      <c r="T451" s="39">
        <f>AVERAGE(Tabla3[[#This Row],[VALOR TOTAL ]:[VALOR TOTAL]])</f>
        <v>543433.33333333337</v>
      </c>
    </row>
    <row r="452" spans="1:20" x14ac:dyDescent="0.2">
      <c r="A452" s="179" t="s">
        <v>637</v>
      </c>
      <c r="B452" s="24" t="s">
        <v>88</v>
      </c>
      <c r="C452" s="22" t="s">
        <v>14</v>
      </c>
      <c r="D452" s="178">
        <v>46</v>
      </c>
      <c r="E452" s="19">
        <v>16800</v>
      </c>
      <c r="F452" s="250">
        <f>Tabla3[[#This Row],[VALOR UNITARIO ]]*Tabla3[[#This Row],[CANTIDAD ]]</f>
        <v>772800</v>
      </c>
      <c r="G452" s="39">
        <v>11700</v>
      </c>
      <c r="H452" s="39">
        <f>Tabla3[[#This Row],[VALOR UNITARIO]]*Tabla3[[#This Row],[CANTIDAD ]]</f>
        <v>538200</v>
      </c>
      <c r="I452" s="250">
        <f>Tabla3[[#This Row],[VALOR TOTAL]]*Tabla3[[#This Row],[CANTIDAD ]]</f>
        <v>24757200</v>
      </c>
      <c r="J452" s="250"/>
      <c r="K452" s="250"/>
      <c r="L452" s="250"/>
      <c r="M452" s="250"/>
      <c r="N452" s="250"/>
      <c r="O452" s="250"/>
      <c r="P452" s="240"/>
      <c r="R452" s="39">
        <f>MAX(Tabla3[[#This Row],[VALOR TOTAL]],Tabla3[[#This Row],[VALOR TOTAL ]])</f>
        <v>772800</v>
      </c>
      <c r="S452" s="39">
        <f>MIN(Tabla3[[#This Row],[VALOR TOTAL ]],Tabla3[[#This Row],[VALOR TOTAL]])</f>
        <v>538200</v>
      </c>
      <c r="T452" s="39">
        <f>AVERAGE(Tabla3[[#This Row],[VALOR TOTAL ]:[VALOR TOTAL]])</f>
        <v>440900</v>
      </c>
    </row>
    <row r="453" spans="1:20" x14ac:dyDescent="0.2">
      <c r="A453" s="179" t="s">
        <v>638</v>
      </c>
      <c r="B453" s="24" t="s">
        <v>639</v>
      </c>
      <c r="C453" s="22" t="s">
        <v>14</v>
      </c>
      <c r="D453" s="178">
        <v>65</v>
      </c>
      <c r="E453" s="19">
        <v>11400</v>
      </c>
      <c r="F453" s="250">
        <f>Tabla3[[#This Row],[VALOR UNITARIO ]]*Tabla3[[#This Row],[CANTIDAD ]]</f>
        <v>741000</v>
      </c>
      <c r="G453" s="39">
        <v>5200</v>
      </c>
      <c r="H453" s="39">
        <f>Tabla3[[#This Row],[VALOR UNITARIO]]*Tabla3[[#This Row],[CANTIDAD ]]</f>
        <v>338000</v>
      </c>
      <c r="I453" s="250">
        <f>Tabla3[[#This Row],[VALOR TOTAL]]*Tabla3[[#This Row],[CANTIDAD ]]</f>
        <v>21970000</v>
      </c>
      <c r="J453" s="250"/>
      <c r="K453" s="250"/>
      <c r="L453" s="250"/>
      <c r="M453" s="250"/>
      <c r="N453" s="250"/>
      <c r="O453" s="250"/>
      <c r="P453" s="240"/>
      <c r="R453" s="39">
        <f>MAX(Tabla3[[#This Row],[VALOR TOTAL]],Tabla3[[#This Row],[VALOR TOTAL ]])</f>
        <v>741000</v>
      </c>
      <c r="S453" s="39">
        <f>MIN(Tabla3[[#This Row],[VALOR TOTAL ]],Tabla3[[#This Row],[VALOR TOTAL]])</f>
        <v>338000</v>
      </c>
      <c r="T453" s="39">
        <f>AVERAGE(Tabla3[[#This Row],[VALOR TOTAL ]:[VALOR TOTAL]])</f>
        <v>361400</v>
      </c>
    </row>
    <row r="454" spans="1:20" x14ac:dyDescent="0.2">
      <c r="A454" s="179" t="s">
        <v>640</v>
      </c>
      <c r="B454" s="48" t="s">
        <v>92</v>
      </c>
      <c r="C454" s="49" t="s">
        <v>14</v>
      </c>
      <c r="D454" s="181">
        <v>20</v>
      </c>
      <c r="E454" s="19">
        <v>10800</v>
      </c>
      <c r="F454" s="250">
        <f>Tabla3[[#This Row],[VALOR UNITARIO ]]*Tabla3[[#This Row],[CANTIDAD ]]</f>
        <v>216000</v>
      </c>
      <c r="G454" s="39">
        <v>5200</v>
      </c>
      <c r="H454" s="39">
        <f>Tabla3[[#This Row],[VALOR UNITARIO]]*Tabla3[[#This Row],[CANTIDAD ]]</f>
        <v>104000</v>
      </c>
      <c r="I454" s="250">
        <f>Tabla3[[#This Row],[VALOR TOTAL]]*Tabla3[[#This Row],[CANTIDAD ]]</f>
        <v>2080000</v>
      </c>
      <c r="J454" s="250"/>
      <c r="K454" s="250"/>
      <c r="L454" s="250"/>
      <c r="M454" s="250"/>
      <c r="N454" s="250"/>
      <c r="O454" s="250"/>
      <c r="P454" s="240"/>
      <c r="R454" s="39">
        <f>MAX(Tabla3[[#This Row],[VALOR TOTAL]],Tabla3[[#This Row],[VALOR TOTAL ]])</f>
        <v>216000</v>
      </c>
      <c r="S454" s="39">
        <f>MIN(Tabla3[[#This Row],[VALOR TOTAL ]],Tabla3[[#This Row],[VALOR TOTAL]])</f>
        <v>104000</v>
      </c>
      <c r="T454" s="39">
        <f>AVERAGE(Tabla3[[#This Row],[VALOR TOTAL ]:[VALOR TOTAL]])</f>
        <v>108400</v>
      </c>
    </row>
    <row r="455" spans="1:20" x14ac:dyDescent="0.2">
      <c r="A455" s="209" t="s">
        <v>641</v>
      </c>
      <c r="B455" s="210" t="s">
        <v>642</v>
      </c>
      <c r="C455" s="211"/>
      <c r="D455" s="177"/>
      <c r="E455" s="19"/>
      <c r="F455" s="250"/>
      <c r="G455" s="119"/>
      <c r="H455" s="39">
        <f>Tabla3[[#This Row],[VALOR UNITARIO]]*Tabla3[[#This Row],[CANTIDAD ]]</f>
        <v>0</v>
      </c>
      <c r="I455" s="250">
        <f>Tabla3[[#This Row],[VALOR TOTAL]]*Tabla3[[#This Row],[CANTIDAD ]]</f>
        <v>0</v>
      </c>
      <c r="J455" s="250"/>
      <c r="K455" s="250"/>
      <c r="L455" s="250"/>
      <c r="M455" s="250"/>
      <c r="N455" s="250"/>
      <c r="O455" s="250"/>
      <c r="P455" s="240"/>
      <c r="R455" s="39">
        <f>MAX(Tabla3[[#This Row],[VALOR TOTAL]],Tabla3[[#This Row],[VALOR TOTAL ]])</f>
        <v>0</v>
      </c>
      <c r="S455" s="39">
        <f>MIN(Tabla3[[#This Row],[VALOR TOTAL ]],Tabla3[[#This Row],[VALOR TOTAL]])</f>
        <v>0</v>
      </c>
      <c r="T455" s="39">
        <f>AVERAGE(Tabla3[[#This Row],[VALOR TOTAL ]:[VALOR TOTAL]])</f>
        <v>0</v>
      </c>
    </row>
    <row r="456" spans="1:20" ht="24" x14ac:dyDescent="0.2">
      <c r="A456" s="179" t="s">
        <v>643</v>
      </c>
      <c r="B456" s="212" t="s">
        <v>644</v>
      </c>
      <c r="C456" s="213" t="s">
        <v>19</v>
      </c>
      <c r="D456" s="178">
        <v>10</v>
      </c>
      <c r="E456" s="19">
        <v>50000</v>
      </c>
      <c r="F456" s="250">
        <f>Tabla3[[#This Row],[VALOR UNITARIO ]]*Tabla3[[#This Row],[CANTIDAD ]]</f>
        <v>500000</v>
      </c>
      <c r="G456" s="266">
        <v>0</v>
      </c>
      <c r="H456" s="39">
        <f>Tabla3[[#This Row],[VALOR UNITARIO]]*Tabla3[[#This Row],[CANTIDAD ]]</f>
        <v>0</v>
      </c>
      <c r="I456" s="250">
        <f>Tabla3[[#This Row],[VALOR TOTAL]]*Tabla3[[#This Row],[CANTIDAD ]]</f>
        <v>0</v>
      </c>
      <c r="J456" s="250"/>
      <c r="K456" s="250"/>
      <c r="L456" s="250"/>
      <c r="M456" s="250"/>
      <c r="N456" s="250"/>
      <c r="O456" s="250"/>
      <c r="P456" s="240"/>
      <c r="R456" s="39">
        <f>MAX(Tabla3[[#This Row],[VALOR TOTAL]],Tabla3[[#This Row],[VALOR TOTAL ]])</f>
        <v>500000</v>
      </c>
      <c r="S456" s="39">
        <f>MIN(Tabla3[[#This Row],[VALOR TOTAL ]],Tabla3[[#This Row],[VALOR TOTAL]])</f>
        <v>0</v>
      </c>
      <c r="T456" s="39">
        <f>AVERAGE(Tabla3[[#This Row],[VALOR TOTAL ]:[VALOR TOTAL]])</f>
        <v>166666.66666666666</v>
      </c>
    </row>
    <row r="457" spans="1:20" x14ac:dyDescent="0.2">
      <c r="A457" s="179" t="s">
        <v>645</v>
      </c>
      <c r="B457" s="214" t="s">
        <v>646</v>
      </c>
      <c r="C457" s="41" t="s">
        <v>150</v>
      </c>
      <c r="D457" s="215">
        <v>9</v>
      </c>
      <c r="E457" s="19">
        <v>65000</v>
      </c>
      <c r="F457" s="250">
        <f>Tabla3[[#This Row],[VALOR UNITARIO ]]*Tabla3[[#This Row],[CANTIDAD ]]</f>
        <v>585000</v>
      </c>
      <c r="G457" s="39">
        <f>13690*1.3</f>
        <v>17797</v>
      </c>
      <c r="H457" s="39">
        <f>Tabla3[[#This Row],[VALOR UNITARIO]]*Tabla3[[#This Row],[CANTIDAD ]]</f>
        <v>160173</v>
      </c>
      <c r="I457" s="250">
        <f>Tabla3[[#This Row],[VALOR TOTAL]]*Tabla3[[#This Row],[CANTIDAD ]]</f>
        <v>1441557</v>
      </c>
      <c r="J457" s="250"/>
      <c r="K457" s="250"/>
      <c r="L457" s="250"/>
      <c r="M457" s="250"/>
      <c r="N457" s="250"/>
      <c r="O457" s="250"/>
      <c r="P457" s="240"/>
      <c r="R457" s="39">
        <f>MAX(Tabla3[[#This Row],[VALOR TOTAL]],Tabla3[[#This Row],[VALOR TOTAL ]])</f>
        <v>585000</v>
      </c>
      <c r="S457" s="39">
        <f>MIN(Tabla3[[#This Row],[VALOR TOTAL ]],Tabla3[[#This Row],[VALOR TOTAL]])</f>
        <v>160173</v>
      </c>
      <c r="T457" s="39">
        <f>AVERAGE(Tabla3[[#This Row],[VALOR TOTAL ]:[VALOR TOTAL]])</f>
        <v>254323.33333333334</v>
      </c>
    </row>
    <row r="458" spans="1:20" ht="24" x14ac:dyDescent="0.2">
      <c r="A458" s="179" t="s">
        <v>647</v>
      </c>
      <c r="B458" s="216" t="s">
        <v>648</v>
      </c>
      <c r="C458" s="17" t="s">
        <v>150</v>
      </c>
      <c r="D458" s="178">
        <v>1</v>
      </c>
      <c r="E458" s="19">
        <v>920000</v>
      </c>
      <c r="F458" s="250">
        <f>Tabla3[[#This Row],[VALOR UNITARIO ]]*Tabla3[[#This Row],[CANTIDAD ]]</f>
        <v>920000</v>
      </c>
      <c r="G458" s="39">
        <f>638480*1.3</f>
        <v>830024</v>
      </c>
      <c r="H458" s="39">
        <f>Tabla3[[#This Row],[VALOR UNITARIO]]*Tabla3[[#This Row],[CANTIDAD ]]</f>
        <v>830024</v>
      </c>
      <c r="I458" s="250">
        <f>Tabla3[[#This Row],[VALOR TOTAL]]*Tabla3[[#This Row],[CANTIDAD ]]</f>
        <v>830024</v>
      </c>
      <c r="J458" s="250"/>
      <c r="K458" s="250"/>
      <c r="L458" s="250"/>
      <c r="M458" s="250"/>
      <c r="N458" s="250"/>
      <c r="O458" s="250"/>
      <c r="P458" s="240"/>
      <c r="R458" s="39">
        <f>MAX(Tabla3[[#This Row],[VALOR TOTAL]],Tabla3[[#This Row],[VALOR TOTAL ]])</f>
        <v>920000</v>
      </c>
      <c r="S458" s="39">
        <f>MIN(Tabla3[[#This Row],[VALOR TOTAL ]],Tabla3[[#This Row],[VALOR TOTAL]])</f>
        <v>830024</v>
      </c>
      <c r="T458" s="39">
        <f>AVERAGE(Tabla3[[#This Row],[VALOR TOTAL ]:[VALOR TOTAL]])</f>
        <v>860016</v>
      </c>
    </row>
    <row r="459" spans="1:20" ht="24" x14ac:dyDescent="0.2">
      <c r="A459" s="179" t="s">
        <v>649</v>
      </c>
      <c r="B459" s="24" t="s">
        <v>650</v>
      </c>
      <c r="C459" s="41" t="s">
        <v>19</v>
      </c>
      <c r="D459" s="178">
        <v>52</v>
      </c>
      <c r="E459" s="19">
        <v>45000</v>
      </c>
      <c r="F459" s="250">
        <f>Tabla3[[#This Row],[VALOR UNITARIO ]]*Tabla3[[#This Row],[CANTIDAD ]]</f>
        <v>2340000</v>
      </c>
      <c r="G459" s="39">
        <f>138970*1.3</f>
        <v>180661</v>
      </c>
      <c r="H459" s="39">
        <f>Tabla3[[#This Row],[VALOR UNITARIO]]*Tabla3[[#This Row],[CANTIDAD ]]</f>
        <v>9394372</v>
      </c>
      <c r="I459" s="250">
        <f>Tabla3[[#This Row],[VALOR TOTAL]]*Tabla3[[#This Row],[CANTIDAD ]]</f>
        <v>488507344</v>
      </c>
      <c r="J459" s="250"/>
      <c r="K459" s="250"/>
      <c r="L459" s="250"/>
      <c r="M459" s="250"/>
      <c r="N459" s="250"/>
      <c r="O459" s="250"/>
      <c r="P459" s="240"/>
      <c r="R459" s="39">
        <f>MAX(Tabla3[[#This Row],[VALOR TOTAL]],Tabla3[[#This Row],[VALOR TOTAL ]])</f>
        <v>9394372</v>
      </c>
      <c r="S459" s="39">
        <f>MIN(Tabla3[[#This Row],[VALOR TOTAL ]],Tabla3[[#This Row],[VALOR TOTAL]])</f>
        <v>2340000</v>
      </c>
      <c r="T459" s="39">
        <f>AVERAGE(Tabla3[[#This Row],[VALOR TOTAL ]:[VALOR TOTAL]])</f>
        <v>3971677.6666666665</v>
      </c>
    </row>
    <row r="460" spans="1:20" ht="24" x14ac:dyDescent="0.2">
      <c r="A460" s="179" t="s">
        <v>651</v>
      </c>
      <c r="B460" s="24" t="s">
        <v>652</v>
      </c>
      <c r="C460" s="22" t="s">
        <v>14</v>
      </c>
      <c r="D460" s="21">
        <v>12</v>
      </c>
      <c r="E460" s="19">
        <v>120000</v>
      </c>
      <c r="F460" s="250">
        <f>Tabla3[[#This Row],[VALOR UNITARIO ]]*Tabla3[[#This Row],[CANTIDAD ]]</f>
        <v>1440000</v>
      </c>
      <c r="G460" s="39">
        <f>1.3*14090</f>
        <v>18317</v>
      </c>
      <c r="H460" s="39">
        <f>Tabla3[[#This Row],[VALOR UNITARIO]]*Tabla3[[#This Row],[CANTIDAD ]]</f>
        <v>219804</v>
      </c>
      <c r="I460" s="250">
        <f>Tabla3[[#This Row],[VALOR TOTAL]]*Tabla3[[#This Row],[CANTIDAD ]]</f>
        <v>2637648</v>
      </c>
      <c r="J460" s="250"/>
      <c r="K460" s="250"/>
      <c r="L460" s="250"/>
      <c r="M460" s="250"/>
      <c r="N460" s="250"/>
      <c r="O460" s="250"/>
      <c r="P460" s="240"/>
      <c r="R460" s="39">
        <f>MAX(Tabla3[[#This Row],[VALOR TOTAL]],Tabla3[[#This Row],[VALOR TOTAL ]])</f>
        <v>1440000</v>
      </c>
      <c r="S460" s="39">
        <f>MIN(Tabla3[[#This Row],[VALOR TOTAL ]],Tabla3[[#This Row],[VALOR TOTAL]])</f>
        <v>219804</v>
      </c>
      <c r="T460" s="39">
        <f>AVERAGE(Tabla3[[#This Row],[VALOR TOTAL ]:[VALOR TOTAL]])</f>
        <v>559373.66666666663</v>
      </c>
    </row>
    <row r="461" spans="1:20" ht="48" x14ac:dyDescent="0.2">
      <c r="A461" s="179" t="s">
        <v>653</v>
      </c>
      <c r="B461" s="216" t="s">
        <v>654</v>
      </c>
      <c r="C461" s="41" t="s">
        <v>19</v>
      </c>
      <c r="D461" s="178">
        <v>22</v>
      </c>
      <c r="E461" s="19">
        <v>250000</v>
      </c>
      <c r="F461" s="250">
        <f>Tabla3[[#This Row],[VALOR UNITARIO ]]*Tabla3[[#This Row],[CANTIDAD ]]</f>
        <v>5500000</v>
      </c>
      <c r="G461" s="39">
        <f>1.3*194380</f>
        <v>252694</v>
      </c>
      <c r="H461" s="39">
        <f>Tabla3[[#This Row],[VALOR UNITARIO]]*Tabla3[[#This Row],[CANTIDAD ]]</f>
        <v>5559268</v>
      </c>
      <c r="I461" s="250">
        <f>Tabla3[[#This Row],[VALOR TOTAL]]*Tabla3[[#This Row],[CANTIDAD ]]</f>
        <v>122303896</v>
      </c>
      <c r="J461" s="250"/>
      <c r="K461" s="250"/>
      <c r="L461" s="250"/>
      <c r="M461" s="250"/>
      <c r="N461" s="250"/>
      <c r="O461" s="250"/>
      <c r="P461" s="240"/>
      <c r="R461" s="39">
        <f>MAX(Tabla3[[#This Row],[VALOR TOTAL]],Tabla3[[#This Row],[VALOR TOTAL ]])</f>
        <v>5559268</v>
      </c>
      <c r="S461" s="39">
        <f>MIN(Tabla3[[#This Row],[VALOR TOTAL ]],Tabla3[[#This Row],[VALOR TOTAL]])</f>
        <v>5500000</v>
      </c>
      <c r="T461" s="39">
        <f>AVERAGE(Tabla3[[#This Row],[VALOR TOTAL ]:[VALOR TOTAL]])</f>
        <v>3770654</v>
      </c>
    </row>
    <row r="462" spans="1:20" x14ac:dyDescent="0.2">
      <c r="A462" s="179" t="s">
        <v>655</v>
      </c>
      <c r="B462" s="217" t="s">
        <v>656</v>
      </c>
      <c r="C462" s="17" t="s">
        <v>19</v>
      </c>
      <c r="D462" s="178">
        <v>17</v>
      </c>
      <c r="E462" s="19">
        <v>30000</v>
      </c>
      <c r="F462" s="250">
        <f>Tabla3[[#This Row],[VALOR UNITARIO ]]*Tabla3[[#This Row],[CANTIDAD ]]</f>
        <v>510000</v>
      </c>
      <c r="G462" s="39">
        <f>1.3*19950</f>
        <v>25935</v>
      </c>
      <c r="H462" s="39">
        <f>Tabla3[[#This Row],[VALOR UNITARIO]]*Tabla3[[#This Row],[CANTIDAD ]]</f>
        <v>440895</v>
      </c>
      <c r="I462" s="250">
        <f>Tabla3[[#This Row],[VALOR TOTAL]]*Tabla3[[#This Row],[CANTIDAD ]]</f>
        <v>7495215</v>
      </c>
      <c r="J462" s="250"/>
      <c r="K462" s="250"/>
      <c r="L462" s="250"/>
      <c r="M462" s="250"/>
      <c r="N462" s="250"/>
      <c r="O462" s="250"/>
      <c r="P462" s="240"/>
      <c r="R462" s="39">
        <f>MAX(Tabla3[[#This Row],[VALOR TOTAL]],Tabla3[[#This Row],[VALOR TOTAL ]])</f>
        <v>510000</v>
      </c>
      <c r="S462" s="39">
        <f>MIN(Tabla3[[#This Row],[VALOR TOTAL ]],Tabla3[[#This Row],[VALOR TOTAL]])</f>
        <v>440895</v>
      </c>
      <c r="T462" s="39">
        <f>AVERAGE(Tabla3[[#This Row],[VALOR TOTAL ]:[VALOR TOTAL]])</f>
        <v>325610</v>
      </c>
    </row>
    <row r="463" spans="1:20" x14ac:dyDescent="0.2">
      <c r="A463" s="179" t="s">
        <v>657</v>
      </c>
      <c r="B463" s="217" t="s">
        <v>658</v>
      </c>
      <c r="C463" s="17" t="s">
        <v>19</v>
      </c>
      <c r="D463" s="178">
        <v>17</v>
      </c>
      <c r="E463" s="246"/>
      <c r="F463" s="252">
        <f>Tabla3[[#This Row],[VALOR UNITARIO ]]*Tabla3[[#This Row],[CANTIDAD ]]</f>
        <v>0</v>
      </c>
      <c r="G463" s="39">
        <f>1.3*268710</f>
        <v>349323</v>
      </c>
      <c r="H463" s="39">
        <f>Tabla3[[#This Row],[VALOR UNITARIO]]*Tabla3[[#This Row],[CANTIDAD ]]</f>
        <v>5938491</v>
      </c>
      <c r="I463" s="250">
        <f>Tabla3[[#This Row],[VALOR TOTAL]]*Tabla3[[#This Row],[CANTIDAD ]]</f>
        <v>100954347</v>
      </c>
      <c r="J463" s="250"/>
      <c r="K463" s="250"/>
      <c r="L463" s="250"/>
      <c r="M463" s="250"/>
      <c r="N463" s="250"/>
      <c r="O463" s="250"/>
      <c r="P463" s="240"/>
      <c r="R463" s="39">
        <f>MAX(Tabla3[[#This Row],[VALOR TOTAL]],Tabla3[[#This Row],[VALOR TOTAL ]])</f>
        <v>5938491</v>
      </c>
      <c r="S463" s="39">
        <f>MIN(Tabla3[[#This Row],[VALOR TOTAL ]],Tabla3[[#This Row],[VALOR TOTAL]])</f>
        <v>0</v>
      </c>
      <c r="T463" s="39">
        <f>AVERAGE(Tabla3[[#This Row],[VALOR TOTAL ]:[VALOR TOTAL]])</f>
        <v>2095938</v>
      </c>
    </row>
    <row r="464" spans="1:20" x14ac:dyDescent="0.2">
      <c r="A464" s="20" t="s">
        <v>659</v>
      </c>
      <c r="B464" s="218" t="s">
        <v>195</v>
      </c>
      <c r="C464" s="41" t="s">
        <v>19</v>
      </c>
      <c r="D464" s="178">
        <v>165</v>
      </c>
      <c r="E464" s="19">
        <v>7000</v>
      </c>
      <c r="F464" s="250">
        <f>Tabla3[[#This Row],[VALOR UNITARIO ]]*Tabla3[[#This Row],[CANTIDAD ]]</f>
        <v>1155000</v>
      </c>
      <c r="G464" s="39">
        <v>4200</v>
      </c>
      <c r="H464" s="39">
        <f>Tabla3[[#This Row],[VALOR UNITARIO]]*Tabla3[[#This Row],[CANTIDAD ]]</f>
        <v>693000</v>
      </c>
      <c r="I464" s="250">
        <f>Tabla3[[#This Row],[VALOR TOTAL]]*Tabla3[[#This Row],[CANTIDAD ]]</f>
        <v>114345000</v>
      </c>
      <c r="J464" s="250"/>
      <c r="K464" s="250"/>
      <c r="L464" s="250"/>
      <c r="M464" s="250"/>
      <c r="N464" s="250"/>
      <c r="O464" s="250"/>
      <c r="P464" s="240"/>
      <c r="R464" s="39">
        <f>MAX(Tabla3[[#This Row],[VALOR TOTAL]],Tabla3[[#This Row],[VALOR TOTAL ]])</f>
        <v>1155000</v>
      </c>
      <c r="S464" s="39">
        <f>MIN(Tabla3[[#This Row],[VALOR TOTAL ]],Tabla3[[#This Row],[VALOR TOTAL]])</f>
        <v>693000</v>
      </c>
      <c r="T464" s="39">
        <f>AVERAGE(Tabla3[[#This Row],[VALOR TOTAL ]:[VALOR TOTAL]])</f>
        <v>617400</v>
      </c>
    </row>
    <row r="465" spans="1:20" ht="24" x14ac:dyDescent="0.2">
      <c r="A465" s="20" t="s">
        <v>660</v>
      </c>
      <c r="B465" s="199" t="s">
        <v>661</v>
      </c>
      <c r="C465" s="200" t="s">
        <v>14</v>
      </c>
      <c r="D465" s="174">
        <v>15</v>
      </c>
      <c r="E465" s="19">
        <v>85000</v>
      </c>
      <c r="F465" s="250">
        <f>Tabla3[[#This Row],[VALOR UNITARIO ]]*Tabla3[[#This Row],[CANTIDAD ]]</f>
        <v>1275000</v>
      </c>
      <c r="G465" s="39">
        <v>62000</v>
      </c>
      <c r="H465" s="39">
        <f>Tabla3[[#This Row],[VALOR UNITARIO]]*Tabla3[[#This Row],[CANTIDAD ]]</f>
        <v>930000</v>
      </c>
      <c r="I465" s="250">
        <f>Tabla3[[#This Row],[VALOR TOTAL]]*Tabla3[[#This Row],[CANTIDAD ]]</f>
        <v>13950000</v>
      </c>
      <c r="J465" s="250"/>
      <c r="K465" s="250"/>
      <c r="L465" s="250"/>
      <c r="M465" s="250"/>
      <c r="N465" s="250"/>
      <c r="O465" s="250"/>
      <c r="P465" s="240"/>
      <c r="R465" s="39">
        <f>MAX(Tabla3[[#This Row],[VALOR TOTAL]],Tabla3[[#This Row],[VALOR TOTAL ]])</f>
        <v>1275000</v>
      </c>
      <c r="S465" s="39">
        <f>MIN(Tabla3[[#This Row],[VALOR TOTAL ]],Tabla3[[#This Row],[VALOR TOTAL]])</f>
        <v>930000</v>
      </c>
      <c r="T465" s="39">
        <f>AVERAGE(Tabla3[[#This Row],[VALOR TOTAL ]:[VALOR TOTAL]])</f>
        <v>755666.66666666663</v>
      </c>
    </row>
    <row r="466" spans="1:20" ht="36" x14ac:dyDescent="0.2">
      <c r="A466" s="135" t="s">
        <v>662</v>
      </c>
      <c r="B466" s="124" t="s">
        <v>663</v>
      </c>
      <c r="C466" s="41" t="s">
        <v>19</v>
      </c>
      <c r="D466" s="178">
        <v>45</v>
      </c>
      <c r="E466" s="19">
        <v>75000</v>
      </c>
      <c r="F466" s="250">
        <f>Tabla3[[#This Row],[VALOR UNITARIO ]]*Tabla3[[#This Row],[CANTIDAD ]]</f>
        <v>3375000</v>
      </c>
      <c r="G466" s="266">
        <v>0</v>
      </c>
      <c r="H466" s="39">
        <f>Tabla3[[#This Row],[VALOR UNITARIO]]*Tabla3[[#This Row],[CANTIDAD ]]</f>
        <v>0</v>
      </c>
      <c r="I466" s="250">
        <f>Tabla3[[#This Row],[VALOR TOTAL]]*Tabla3[[#This Row],[CANTIDAD ]]</f>
        <v>0</v>
      </c>
      <c r="J466" s="250"/>
      <c r="K466" s="250"/>
      <c r="L466" s="250"/>
      <c r="M466" s="250"/>
      <c r="N466" s="250"/>
      <c r="O466" s="250"/>
      <c r="P466" s="240"/>
      <c r="R466" s="39">
        <f>MAX(Tabla3[[#This Row],[VALOR TOTAL]],Tabla3[[#This Row],[VALOR TOTAL ]])</f>
        <v>3375000</v>
      </c>
      <c r="S466" s="39">
        <f>MIN(Tabla3[[#This Row],[VALOR TOTAL ]],Tabla3[[#This Row],[VALOR TOTAL]])</f>
        <v>0</v>
      </c>
      <c r="T466" s="39">
        <f>AVERAGE(Tabla3[[#This Row],[VALOR TOTAL ]:[VALOR TOTAL]])</f>
        <v>1125000</v>
      </c>
    </row>
    <row r="467" spans="1:20" ht="24" x14ac:dyDescent="0.2">
      <c r="A467" s="135" t="s">
        <v>664</v>
      </c>
      <c r="B467" s="24" t="s">
        <v>665</v>
      </c>
      <c r="C467" s="22" t="s">
        <v>6</v>
      </c>
      <c r="D467" s="178">
        <v>2</v>
      </c>
      <c r="E467" s="19">
        <v>160000</v>
      </c>
      <c r="F467" s="250">
        <f>Tabla3[[#This Row],[VALOR UNITARIO ]]*Tabla3[[#This Row],[CANTIDAD ]]</f>
        <v>320000</v>
      </c>
      <c r="G467" s="39">
        <f>189060*1.3</f>
        <v>245778</v>
      </c>
      <c r="H467" s="39">
        <f>Tabla3[[#This Row],[VALOR UNITARIO]]*Tabla3[[#This Row],[CANTIDAD ]]</f>
        <v>491556</v>
      </c>
      <c r="I467" s="250">
        <f>Tabla3[[#This Row],[VALOR TOTAL]]*Tabla3[[#This Row],[CANTIDAD ]]</f>
        <v>983112</v>
      </c>
      <c r="J467" s="250"/>
      <c r="K467" s="250"/>
      <c r="L467" s="250"/>
      <c r="M467" s="250"/>
      <c r="N467" s="250"/>
      <c r="O467" s="250"/>
      <c r="P467" s="240"/>
      <c r="R467" s="39">
        <f>MAX(Tabla3[[#This Row],[VALOR TOTAL]],Tabla3[[#This Row],[VALOR TOTAL ]])</f>
        <v>491556</v>
      </c>
      <c r="S467" s="39">
        <f>MIN(Tabla3[[#This Row],[VALOR TOTAL ]],Tabla3[[#This Row],[VALOR TOTAL]])</f>
        <v>320000</v>
      </c>
      <c r="T467" s="39">
        <f>AVERAGE(Tabla3[[#This Row],[VALOR TOTAL ]:[VALOR TOTAL]])</f>
        <v>352444.66666666669</v>
      </c>
    </row>
    <row r="468" spans="1:20" x14ac:dyDescent="0.2">
      <c r="A468" s="135" t="s">
        <v>666</v>
      </c>
      <c r="B468" s="217" t="s">
        <v>667</v>
      </c>
      <c r="C468" s="17" t="s">
        <v>6</v>
      </c>
      <c r="D468" s="178">
        <v>1</v>
      </c>
      <c r="E468" s="19">
        <v>80000</v>
      </c>
      <c r="F468" s="250">
        <f>Tabla3[[#This Row],[VALOR UNITARIO ]]*Tabla3[[#This Row],[CANTIDAD ]]</f>
        <v>80000</v>
      </c>
      <c r="G468" s="39">
        <f>36460*1.3</f>
        <v>47398</v>
      </c>
      <c r="H468" s="39">
        <f>Tabla3[[#This Row],[VALOR UNITARIO]]*Tabla3[[#This Row],[CANTIDAD ]]</f>
        <v>47398</v>
      </c>
      <c r="I468" s="250">
        <f>Tabla3[[#This Row],[VALOR TOTAL]]*Tabla3[[#This Row],[CANTIDAD ]]</f>
        <v>47398</v>
      </c>
      <c r="J468" s="250"/>
      <c r="K468" s="250"/>
      <c r="L468" s="250"/>
      <c r="M468" s="250"/>
      <c r="N468" s="250"/>
      <c r="O468" s="250"/>
      <c r="P468" s="240"/>
      <c r="R468" s="39">
        <f>MAX(Tabla3[[#This Row],[VALOR TOTAL]],Tabla3[[#This Row],[VALOR TOTAL ]])</f>
        <v>80000</v>
      </c>
      <c r="S468" s="39">
        <f>MIN(Tabla3[[#This Row],[VALOR TOTAL ]],Tabla3[[#This Row],[VALOR TOTAL]])</f>
        <v>47398</v>
      </c>
      <c r="T468" s="39">
        <f>AVERAGE(Tabla3[[#This Row],[VALOR TOTAL ]:[VALOR TOTAL]])</f>
        <v>58265.333333333336</v>
      </c>
    </row>
    <row r="469" spans="1:20" x14ac:dyDescent="0.2">
      <c r="A469" s="135" t="s">
        <v>668</v>
      </c>
      <c r="B469" s="63" t="s">
        <v>669</v>
      </c>
      <c r="C469" s="17" t="s">
        <v>6</v>
      </c>
      <c r="D469" s="178">
        <v>1</v>
      </c>
      <c r="E469" s="19">
        <v>800000</v>
      </c>
      <c r="F469" s="250">
        <f>Tabla3[[#This Row],[VALOR UNITARIO ]]*Tabla3[[#This Row],[CANTIDAD ]]</f>
        <v>800000</v>
      </c>
      <c r="G469" s="39">
        <f>350480*1.3</f>
        <v>455624</v>
      </c>
      <c r="H469" s="39">
        <f>Tabla3[[#This Row],[VALOR UNITARIO]]*Tabla3[[#This Row],[CANTIDAD ]]</f>
        <v>455624</v>
      </c>
      <c r="I469" s="250">
        <f>Tabla3[[#This Row],[VALOR TOTAL]]*Tabla3[[#This Row],[CANTIDAD ]]</f>
        <v>455624</v>
      </c>
      <c r="J469" s="250"/>
      <c r="K469" s="250"/>
      <c r="L469" s="250"/>
      <c r="M469" s="250"/>
      <c r="N469" s="250"/>
      <c r="O469" s="250"/>
      <c r="P469" s="240"/>
      <c r="R469" s="39">
        <f>MAX(Tabla3[[#This Row],[VALOR TOTAL]],Tabla3[[#This Row],[VALOR TOTAL ]])</f>
        <v>800000</v>
      </c>
      <c r="S469" s="39">
        <f>MIN(Tabla3[[#This Row],[VALOR TOTAL ]],Tabla3[[#This Row],[VALOR TOTAL]])</f>
        <v>455624</v>
      </c>
      <c r="T469" s="39">
        <f>AVERAGE(Tabla3[[#This Row],[VALOR TOTAL ]:[VALOR TOTAL]])</f>
        <v>570416</v>
      </c>
    </row>
    <row r="470" spans="1:20" x14ac:dyDescent="0.2">
      <c r="A470" s="136"/>
      <c r="B470" s="219"/>
      <c r="C470" s="108" t="s">
        <v>196</v>
      </c>
      <c r="D470" s="109"/>
      <c r="F470" s="258">
        <f>SUM(F439:F469)</f>
        <v>49913000</v>
      </c>
      <c r="H470" s="39">
        <f>SUM(H439:H469)</f>
        <v>43949015</v>
      </c>
      <c r="I470" s="270">
        <f>Tabla3[[#This Row],[VALOR TOTAL]]*Tabla3[[#This Row],[CANTIDAD ]]</f>
        <v>0</v>
      </c>
      <c r="P470" s="240"/>
      <c r="R470" s="39"/>
      <c r="S470" s="39"/>
      <c r="T470" s="39"/>
    </row>
    <row r="471" spans="1:20" x14ac:dyDescent="0.2">
      <c r="A471" s="138"/>
      <c r="B471" s="220"/>
      <c r="C471" s="95" t="s">
        <v>197</v>
      </c>
      <c r="D471" s="96"/>
      <c r="E471" s="97">
        <v>0.35</v>
      </c>
      <c r="F471" s="255">
        <f>F470*Tabla3[[#This Row],[VALOR UNITARIO ]]</f>
        <v>17469550</v>
      </c>
      <c r="G471" s="249">
        <v>0.24</v>
      </c>
      <c r="H471" s="39">
        <f>H470*Tabla3[[#This Row],[VALOR UNITARIO]]</f>
        <v>10547763.6</v>
      </c>
      <c r="I471" s="271">
        <f>Tabla3[[#This Row],[VALOR TOTAL]]*Tabla3[[#This Row],[CANTIDAD ]]</f>
        <v>0</v>
      </c>
      <c r="J471" s="249"/>
      <c r="K471" s="249"/>
      <c r="L471" s="249"/>
      <c r="M471" s="249"/>
      <c r="N471" s="249"/>
      <c r="O471" s="249"/>
      <c r="P471" s="240"/>
      <c r="R471" s="39"/>
      <c r="S471" s="39"/>
      <c r="T471" s="39"/>
    </row>
    <row r="472" spans="1:20" x14ac:dyDescent="0.2">
      <c r="A472" s="138"/>
      <c r="B472" s="220"/>
      <c r="C472" s="95" t="s">
        <v>198</v>
      </c>
      <c r="D472" s="96"/>
      <c r="E472" s="97">
        <v>0.02</v>
      </c>
      <c r="F472" s="255">
        <f>F470*Tabla3[[#This Row],[VALOR UNITARIO ]]</f>
        <v>998260</v>
      </c>
      <c r="G472" s="249">
        <v>0.01</v>
      </c>
      <c r="H472" s="39">
        <f>H470*Tabla3[[#This Row],[VALOR UNITARIO]]</f>
        <v>439490.15</v>
      </c>
      <c r="I472" s="271">
        <f>Tabla3[[#This Row],[VALOR TOTAL]]*Tabla3[[#This Row],[CANTIDAD ]]</f>
        <v>0</v>
      </c>
      <c r="J472" s="249"/>
      <c r="K472" s="249"/>
      <c r="L472" s="249"/>
      <c r="M472" s="249"/>
      <c r="N472" s="249"/>
      <c r="O472" s="249"/>
      <c r="P472" s="240"/>
      <c r="R472" s="39"/>
      <c r="S472" s="39"/>
      <c r="T472" s="39"/>
    </row>
    <row r="473" spans="1:20" x14ac:dyDescent="0.2">
      <c r="A473" s="138"/>
      <c r="B473" s="220"/>
      <c r="C473" s="95" t="s">
        <v>199</v>
      </c>
      <c r="D473" s="96"/>
      <c r="E473" s="97">
        <v>0.05</v>
      </c>
      <c r="F473" s="255">
        <f>F470*Tabla3[[#This Row],[VALOR UNITARIO ]]</f>
        <v>2495650</v>
      </c>
      <c r="G473" s="249">
        <v>0.05</v>
      </c>
      <c r="H473" s="39">
        <f>H470*Tabla3[[#This Row],[VALOR UNITARIO]]</f>
        <v>2197450.75</v>
      </c>
      <c r="I473" s="271">
        <f>Tabla3[[#This Row],[VALOR TOTAL]]*Tabla3[[#This Row],[CANTIDAD ]]</f>
        <v>0</v>
      </c>
      <c r="J473" s="249"/>
      <c r="K473" s="249"/>
      <c r="L473" s="249"/>
      <c r="M473" s="249"/>
      <c r="N473" s="249"/>
      <c r="O473" s="249"/>
      <c r="P473" s="240"/>
      <c r="R473" s="39"/>
      <c r="S473" s="39"/>
      <c r="T473" s="39"/>
    </row>
    <row r="474" spans="1:20" x14ac:dyDescent="0.2">
      <c r="A474" s="138"/>
      <c r="B474" s="220"/>
      <c r="C474" s="95" t="s">
        <v>200</v>
      </c>
      <c r="D474" s="96"/>
      <c r="E474" s="97">
        <v>0.19</v>
      </c>
      <c r="F474" s="255">
        <f>F473*Tabla3[[#This Row],[VALOR UNITARIO ]]</f>
        <v>474173.5</v>
      </c>
      <c r="G474" s="249">
        <v>0.19</v>
      </c>
      <c r="H474" s="39">
        <f>H473*Tabla3[[#This Row],[VALOR UNITARIO]]</f>
        <v>417515.64250000002</v>
      </c>
      <c r="I474" s="271">
        <f>Tabla3[[#This Row],[VALOR TOTAL]]*Tabla3[[#This Row],[CANTIDAD ]]</f>
        <v>0</v>
      </c>
      <c r="J474" s="249"/>
      <c r="K474" s="249"/>
      <c r="L474" s="249"/>
      <c r="M474" s="249"/>
      <c r="N474" s="249"/>
      <c r="O474" s="249"/>
      <c r="P474" s="240"/>
      <c r="R474" s="39"/>
      <c r="S474" s="39"/>
      <c r="T474" s="39"/>
    </row>
    <row r="475" spans="1:20" x14ac:dyDescent="0.2">
      <c r="A475" s="221"/>
      <c r="B475" s="222"/>
      <c r="C475" s="91" t="s">
        <v>201</v>
      </c>
      <c r="D475" s="100"/>
      <c r="F475" s="258">
        <f>SUM(F470:F474)</f>
        <v>71350633.5</v>
      </c>
      <c r="H475" s="272">
        <f>SUM(H470:H474)</f>
        <v>57551235.142499998</v>
      </c>
      <c r="I475" s="270">
        <f>Tabla3[[#This Row],[VALOR TOTAL]]*Tabla3[[#This Row],[CANTIDAD ]]</f>
        <v>0</v>
      </c>
      <c r="P475" s="240"/>
      <c r="R475" s="272"/>
      <c r="S475" s="272"/>
      <c r="T475" s="272"/>
    </row>
    <row r="476" spans="1:20" x14ac:dyDescent="0.2">
      <c r="A476" s="101" t="s">
        <v>670</v>
      </c>
      <c r="B476" s="141" t="s">
        <v>671</v>
      </c>
      <c r="C476" s="142"/>
      <c r="D476" s="142"/>
      <c r="F476" s="254"/>
      <c r="H476" s="39">
        <f>Tabla3[[#This Row],[VALOR UNITARIO]]*Tabla3[[#This Row],[CANTIDAD ]]</f>
        <v>0</v>
      </c>
      <c r="I476" s="270">
        <f>Tabla3[[#This Row],[VALOR TOTAL]]*Tabla3[[#This Row],[CANTIDAD ]]</f>
        <v>0</v>
      </c>
      <c r="P476" s="240"/>
      <c r="R476" s="39"/>
      <c r="S476" s="39"/>
      <c r="T476" s="39"/>
    </row>
    <row r="477" spans="1:20" ht="84" x14ac:dyDescent="0.2">
      <c r="A477" s="9" t="s">
        <v>672</v>
      </c>
      <c r="B477" s="223" t="s">
        <v>673</v>
      </c>
      <c r="C477" s="224"/>
      <c r="D477" s="224"/>
      <c r="F477" s="254"/>
      <c r="H477" s="39">
        <f>Tabla3[[#This Row],[VALOR UNITARIO]]*Tabla3[[#This Row],[CANTIDAD ]]</f>
        <v>0</v>
      </c>
      <c r="I477" s="270">
        <f>Tabla3[[#This Row],[VALOR TOTAL]]*Tabla3[[#This Row],[CANTIDAD ]]</f>
        <v>0</v>
      </c>
      <c r="P477" s="240"/>
      <c r="R477" s="39"/>
      <c r="S477" s="39"/>
      <c r="T477" s="39"/>
    </row>
    <row r="478" spans="1:20" ht="72" x14ac:dyDescent="0.2">
      <c r="A478" s="179" t="s">
        <v>674</v>
      </c>
      <c r="B478" s="12" t="s">
        <v>675</v>
      </c>
      <c r="C478" s="13" t="s">
        <v>6</v>
      </c>
      <c r="D478" s="123">
        <v>2</v>
      </c>
      <c r="E478" s="19">
        <v>850000</v>
      </c>
      <c r="F478" s="250">
        <f>Tabla3[[#This Row],[VALOR UNITARIO ]]*Tabla3[[#This Row],[CANTIDAD ]]</f>
        <v>1700000</v>
      </c>
      <c r="G478" s="18">
        <v>600000</v>
      </c>
      <c r="H478" s="39">
        <f>Tabla3[[#This Row],[VALOR UNITARIO]]*Tabla3[[#This Row],[CANTIDAD ]]</f>
        <v>1200000</v>
      </c>
      <c r="I478" s="250">
        <f>Tabla3[[#This Row],[VALOR TOTAL]]*Tabla3[[#This Row],[CANTIDAD ]]</f>
        <v>2400000</v>
      </c>
      <c r="J478" s="250"/>
      <c r="K478" s="250"/>
      <c r="L478" s="250"/>
      <c r="M478" s="250"/>
      <c r="N478" s="250"/>
      <c r="O478" s="250"/>
      <c r="P478" s="240"/>
      <c r="R478" s="39">
        <f>MAX(Tabla3[[#This Row],[VALOR TOTAL]],Tabla3[[#This Row],[VALOR TOTAL ]])</f>
        <v>1700000</v>
      </c>
      <c r="S478" s="39">
        <f>MIN(Tabla3[[#This Row],[VALOR TOTAL ]],Tabla3[[#This Row],[VALOR TOTAL]])</f>
        <v>1200000</v>
      </c>
      <c r="T478" s="39">
        <f>AVERAGE(Tabla3[[#This Row],[VALOR TOTAL ]:[VALOR TOTAL]])</f>
        <v>1166666.6666666667</v>
      </c>
    </row>
    <row r="479" spans="1:20" ht="84" x14ac:dyDescent="0.2">
      <c r="A479" s="20" t="s">
        <v>676</v>
      </c>
      <c r="B479" s="12" t="s">
        <v>677</v>
      </c>
      <c r="C479" s="13" t="s">
        <v>6</v>
      </c>
      <c r="D479" s="178">
        <v>34</v>
      </c>
      <c r="E479" s="19">
        <v>800000</v>
      </c>
      <c r="F479" s="250">
        <f>Tabla3[[#This Row],[VALOR UNITARIO ]]*Tabla3[[#This Row],[CANTIDAD ]]</f>
        <v>27200000</v>
      </c>
      <c r="G479" s="18">
        <v>481000</v>
      </c>
      <c r="H479" s="39">
        <f>Tabla3[[#This Row],[VALOR UNITARIO]]*Tabla3[[#This Row],[CANTIDAD ]]</f>
        <v>16354000</v>
      </c>
      <c r="I479" s="250">
        <f>Tabla3[[#This Row],[VALOR TOTAL]]*Tabla3[[#This Row],[CANTIDAD ]]</f>
        <v>556036000</v>
      </c>
      <c r="J479" s="250"/>
      <c r="K479" s="250"/>
      <c r="L479" s="250"/>
      <c r="M479" s="250"/>
      <c r="N479" s="250"/>
      <c r="O479" s="250"/>
      <c r="P479" s="240"/>
      <c r="R479" s="39">
        <f>MAX(Tabla3[[#This Row],[VALOR TOTAL]],Tabla3[[#This Row],[VALOR TOTAL ]])</f>
        <v>27200000</v>
      </c>
      <c r="S479" s="39">
        <f>MIN(Tabla3[[#This Row],[VALOR TOTAL ]],Tabla3[[#This Row],[VALOR TOTAL]])</f>
        <v>16354000</v>
      </c>
      <c r="T479" s="39">
        <f>AVERAGE(Tabla3[[#This Row],[VALOR TOTAL ]:[VALOR TOTAL]])</f>
        <v>14678333.333333334</v>
      </c>
    </row>
    <row r="480" spans="1:20" ht="84" x14ac:dyDescent="0.2">
      <c r="A480" s="179" t="s">
        <v>678</v>
      </c>
      <c r="B480" s="12" t="s">
        <v>679</v>
      </c>
      <c r="C480" s="13" t="s">
        <v>6</v>
      </c>
      <c r="D480" s="178">
        <v>17</v>
      </c>
      <c r="E480" s="19">
        <v>800000</v>
      </c>
      <c r="F480" s="250">
        <f>Tabla3[[#This Row],[VALOR UNITARIO ]]*Tabla3[[#This Row],[CANTIDAD ]]</f>
        <v>13600000</v>
      </c>
      <c r="G480" s="18">
        <v>550000</v>
      </c>
      <c r="H480" s="39">
        <f>Tabla3[[#This Row],[VALOR UNITARIO]]*Tabla3[[#This Row],[CANTIDAD ]]</f>
        <v>9350000</v>
      </c>
      <c r="I480" s="250">
        <f>Tabla3[[#This Row],[VALOR TOTAL]]*Tabla3[[#This Row],[CANTIDAD ]]</f>
        <v>158950000</v>
      </c>
      <c r="J480" s="250"/>
      <c r="K480" s="250"/>
      <c r="L480" s="250"/>
      <c r="M480" s="250"/>
      <c r="N480" s="250"/>
      <c r="O480" s="250"/>
      <c r="P480" s="240"/>
      <c r="R480" s="39">
        <f>MAX(Tabla3[[#This Row],[VALOR TOTAL]],Tabla3[[#This Row],[VALOR TOTAL ]])</f>
        <v>13600000</v>
      </c>
      <c r="S480" s="39">
        <f>MIN(Tabla3[[#This Row],[VALOR TOTAL ]],Tabla3[[#This Row],[VALOR TOTAL]])</f>
        <v>9350000</v>
      </c>
      <c r="T480" s="39">
        <f>AVERAGE(Tabla3[[#This Row],[VALOR TOTAL ]:[VALOR TOTAL]])</f>
        <v>7833333.333333333</v>
      </c>
    </row>
    <row r="481" spans="1:20" ht="72" x14ac:dyDescent="0.2">
      <c r="A481" s="20" t="s">
        <v>680</v>
      </c>
      <c r="B481" s="63" t="s">
        <v>681</v>
      </c>
      <c r="C481" s="17" t="s">
        <v>6</v>
      </c>
      <c r="D481" s="178">
        <v>13</v>
      </c>
      <c r="E481" s="19">
        <v>700000</v>
      </c>
      <c r="F481" s="250">
        <f>Tabla3[[#This Row],[VALOR UNITARIO ]]*Tabla3[[#This Row],[CANTIDAD ]]</f>
        <v>9100000</v>
      </c>
      <c r="G481" s="18">
        <f>+G480</f>
        <v>550000</v>
      </c>
      <c r="H481" s="39">
        <f>Tabla3[[#This Row],[VALOR UNITARIO]]*Tabla3[[#This Row],[CANTIDAD ]]</f>
        <v>7150000</v>
      </c>
      <c r="I481" s="250">
        <f>Tabla3[[#This Row],[VALOR TOTAL]]*Tabla3[[#This Row],[CANTIDAD ]]</f>
        <v>92950000</v>
      </c>
      <c r="J481" s="250"/>
      <c r="K481" s="250"/>
      <c r="L481" s="250"/>
      <c r="M481" s="250"/>
      <c r="N481" s="250"/>
      <c r="O481" s="250"/>
      <c r="P481" s="240"/>
      <c r="R481" s="39">
        <f>MAX(Tabla3[[#This Row],[VALOR TOTAL]],Tabla3[[#This Row],[VALOR TOTAL ]])</f>
        <v>9100000</v>
      </c>
      <c r="S481" s="39">
        <f>MIN(Tabla3[[#This Row],[VALOR TOTAL ]],Tabla3[[#This Row],[VALOR TOTAL]])</f>
        <v>7150000</v>
      </c>
      <c r="T481" s="39">
        <f>AVERAGE(Tabla3[[#This Row],[VALOR TOTAL ]:[VALOR TOTAL]])</f>
        <v>5600000</v>
      </c>
    </row>
    <row r="482" spans="1:20" ht="60" x14ac:dyDescent="0.2">
      <c r="A482" s="179" t="s">
        <v>682</v>
      </c>
      <c r="B482" s="63" t="s">
        <v>683</v>
      </c>
      <c r="C482" s="22" t="s">
        <v>6</v>
      </c>
      <c r="D482" s="178">
        <v>1</v>
      </c>
      <c r="E482" s="19">
        <v>2900000</v>
      </c>
      <c r="F482" s="250">
        <f>Tabla3[[#This Row],[VALOR UNITARIO ]]*Tabla3[[#This Row],[CANTIDAD ]]</f>
        <v>2900000</v>
      </c>
      <c r="G482" s="18">
        <v>4000000</v>
      </c>
      <c r="H482" s="39">
        <f>Tabla3[[#This Row],[VALOR UNITARIO]]*Tabla3[[#This Row],[CANTIDAD ]]</f>
        <v>4000000</v>
      </c>
      <c r="I482" s="250">
        <f>Tabla3[[#This Row],[VALOR TOTAL]]*Tabla3[[#This Row],[CANTIDAD ]]</f>
        <v>4000000</v>
      </c>
      <c r="J482" s="250"/>
      <c r="K482" s="250"/>
      <c r="L482" s="250"/>
      <c r="M482" s="250"/>
      <c r="N482" s="250"/>
      <c r="O482" s="250"/>
      <c r="P482" s="240"/>
      <c r="R482" s="39">
        <f>MAX(Tabla3[[#This Row],[VALOR TOTAL]],Tabla3[[#This Row],[VALOR TOTAL ]])</f>
        <v>4000000</v>
      </c>
      <c r="S482" s="39">
        <f>MIN(Tabla3[[#This Row],[VALOR TOTAL ]],Tabla3[[#This Row],[VALOR TOTAL]])</f>
        <v>2900000</v>
      </c>
      <c r="T482" s="39">
        <f>AVERAGE(Tabla3[[#This Row],[VALOR TOTAL ]:[VALOR TOTAL]])</f>
        <v>3633333.3333333335</v>
      </c>
    </row>
    <row r="483" spans="1:20" ht="60" x14ac:dyDescent="0.2">
      <c r="A483" s="20" t="s">
        <v>684</v>
      </c>
      <c r="B483" s="58" t="s">
        <v>685</v>
      </c>
      <c r="C483" s="22" t="s">
        <v>6</v>
      </c>
      <c r="D483" s="178">
        <v>1</v>
      </c>
      <c r="E483" s="19">
        <v>2700000</v>
      </c>
      <c r="F483" s="250">
        <f>Tabla3[[#This Row],[VALOR UNITARIO ]]*Tabla3[[#This Row],[CANTIDAD ]]</f>
        <v>2700000</v>
      </c>
      <c r="G483" s="18">
        <v>3500000</v>
      </c>
      <c r="H483" s="39">
        <f>Tabla3[[#This Row],[VALOR UNITARIO]]*Tabla3[[#This Row],[CANTIDAD ]]</f>
        <v>3500000</v>
      </c>
      <c r="I483" s="250">
        <f>Tabla3[[#This Row],[VALOR TOTAL]]*Tabla3[[#This Row],[CANTIDAD ]]</f>
        <v>3500000</v>
      </c>
      <c r="J483" s="250"/>
      <c r="K483" s="250"/>
      <c r="L483" s="250"/>
      <c r="M483" s="250"/>
      <c r="N483" s="250"/>
      <c r="O483" s="250"/>
      <c r="P483" s="240"/>
      <c r="R483" s="39">
        <f>MAX(Tabla3[[#This Row],[VALOR TOTAL]],Tabla3[[#This Row],[VALOR TOTAL ]])</f>
        <v>3500000</v>
      </c>
      <c r="S483" s="39">
        <f>MIN(Tabla3[[#This Row],[VALOR TOTAL ]],Tabla3[[#This Row],[VALOR TOTAL]])</f>
        <v>2700000</v>
      </c>
      <c r="T483" s="39">
        <f>AVERAGE(Tabla3[[#This Row],[VALOR TOTAL ]:[VALOR TOTAL]])</f>
        <v>3233333.3333333335</v>
      </c>
    </row>
    <row r="484" spans="1:20" ht="24" x14ac:dyDescent="0.2">
      <c r="A484" s="179" t="s">
        <v>686</v>
      </c>
      <c r="B484" s="63" t="s">
        <v>687</v>
      </c>
      <c r="C484" s="17" t="s">
        <v>6</v>
      </c>
      <c r="D484" s="178">
        <v>1</v>
      </c>
      <c r="E484" s="19">
        <v>60000</v>
      </c>
      <c r="F484" s="250">
        <f>Tabla3[[#This Row],[VALOR UNITARIO ]]*Tabla3[[#This Row],[CANTIDAD ]]</f>
        <v>60000</v>
      </c>
      <c r="G484" s="18">
        <v>65000</v>
      </c>
      <c r="H484" s="39">
        <f>Tabla3[[#This Row],[VALOR UNITARIO]]*Tabla3[[#This Row],[CANTIDAD ]]</f>
        <v>65000</v>
      </c>
      <c r="I484" s="250">
        <f>Tabla3[[#This Row],[VALOR TOTAL]]*Tabla3[[#This Row],[CANTIDAD ]]</f>
        <v>65000</v>
      </c>
      <c r="J484" s="250"/>
      <c r="K484" s="250"/>
      <c r="L484" s="250"/>
      <c r="M484" s="250"/>
      <c r="N484" s="250"/>
      <c r="O484" s="250"/>
      <c r="P484" s="240"/>
      <c r="R484" s="39">
        <f>MAX(Tabla3[[#This Row],[VALOR TOTAL]],Tabla3[[#This Row],[VALOR TOTAL ]])</f>
        <v>65000</v>
      </c>
      <c r="S484" s="39">
        <f>MIN(Tabla3[[#This Row],[VALOR TOTAL ]],Tabla3[[#This Row],[VALOR TOTAL]])</f>
        <v>60000</v>
      </c>
      <c r="T484" s="39">
        <f>AVERAGE(Tabla3[[#This Row],[VALOR TOTAL ]:[VALOR TOTAL]])</f>
        <v>63333.333333333336</v>
      </c>
    </row>
    <row r="485" spans="1:20" ht="24" x14ac:dyDescent="0.2">
      <c r="A485" s="20" t="s">
        <v>688</v>
      </c>
      <c r="B485" s="63" t="s">
        <v>689</v>
      </c>
      <c r="C485" s="17" t="s">
        <v>6</v>
      </c>
      <c r="D485" s="174">
        <v>15</v>
      </c>
      <c r="E485" s="19">
        <v>80000</v>
      </c>
      <c r="F485" s="250">
        <f>Tabla3[[#This Row],[VALOR UNITARIO ]]*Tabla3[[#This Row],[CANTIDAD ]]</f>
        <v>1200000</v>
      </c>
      <c r="G485" s="18">
        <v>95000</v>
      </c>
      <c r="H485" s="39">
        <f>Tabla3[[#This Row],[VALOR UNITARIO]]*Tabla3[[#This Row],[CANTIDAD ]]</f>
        <v>1425000</v>
      </c>
      <c r="I485" s="250">
        <f>Tabla3[[#This Row],[VALOR TOTAL]]*Tabla3[[#This Row],[CANTIDAD ]]</f>
        <v>21375000</v>
      </c>
      <c r="J485" s="250"/>
      <c r="K485" s="250"/>
      <c r="L485" s="250"/>
      <c r="M485" s="250"/>
      <c r="N485" s="250"/>
      <c r="O485" s="250"/>
      <c r="P485" s="240"/>
      <c r="R485" s="39">
        <f>MAX(Tabla3[[#This Row],[VALOR TOTAL]],Tabla3[[#This Row],[VALOR TOTAL ]])</f>
        <v>1425000</v>
      </c>
      <c r="S485" s="39">
        <f>MIN(Tabla3[[#This Row],[VALOR TOTAL ]],Tabla3[[#This Row],[VALOR TOTAL]])</f>
        <v>1200000</v>
      </c>
      <c r="T485" s="39">
        <f>AVERAGE(Tabla3[[#This Row],[VALOR TOTAL ]:[VALOR TOTAL]])</f>
        <v>906666.66666666663</v>
      </c>
    </row>
    <row r="486" spans="1:20" x14ac:dyDescent="0.2">
      <c r="A486" s="182" t="s">
        <v>690</v>
      </c>
      <c r="B486" s="193" t="s">
        <v>627</v>
      </c>
      <c r="C486" s="9"/>
      <c r="D486" s="177"/>
      <c r="E486" s="19"/>
      <c r="F486" s="250">
        <f>Tabla3[[#This Row],[VALOR UNITARIO ]]*Tabla3[[#This Row],[CANTIDAD ]]</f>
        <v>0</v>
      </c>
      <c r="G486" s="119"/>
      <c r="H486" s="39">
        <f>Tabla3[[#This Row],[VALOR UNITARIO]]*Tabla3[[#This Row],[CANTIDAD ]]</f>
        <v>0</v>
      </c>
      <c r="I486" s="250">
        <f>Tabla3[[#This Row],[VALOR TOTAL]]*Tabla3[[#This Row],[CANTIDAD ]]</f>
        <v>0</v>
      </c>
      <c r="J486" s="250"/>
      <c r="K486" s="250"/>
      <c r="L486" s="250"/>
      <c r="M486" s="250"/>
      <c r="N486" s="250"/>
      <c r="O486" s="250"/>
      <c r="P486" s="240"/>
      <c r="R486" s="39">
        <f>MAX(Tabla3[[#This Row],[VALOR TOTAL]],Tabla3[[#This Row],[VALOR TOTAL ]])</f>
        <v>0</v>
      </c>
      <c r="S486" s="39">
        <f>MIN(Tabla3[[#This Row],[VALOR TOTAL ]],Tabla3[[#This Row],[VALOR TOTAL]])</f>
        <v>0</v>
      </c>
      <c r="T486" s="39">
        <f>AVERAGE(Tabla3[[#This Row],[VALOR TOTAL ]:[VALOR TOTAL]])</f>
        <v>0</v>
      </c>
    </row>
    <row r="487" spans="1:20" x14ac:dyDescent="0.2">
      <c r="A487" s="179" t="s">
        <v>691</v>
      </c>
      <c r="B487" s="87" t="s">
        <v>84</v>
      </c>
      <c r="C487" s="75" t="s">
        <v>19</v>
      </c>
      <c r="D487" s="178">
        <v>320</v>
      </c>
      <c r="E487" s="19">
        <v>9000</v>
      </c>
      <c r="F487" s="250">
        <f>Tabla3[[#This Row],[VALOR UNITARIO ]]*Tabla3[[#This Row],[CANTIDAD ]]</f>
        <v>2880000</v>
      </c>
      <c r="G487" s="39">
        <v>5200</v>
      </c>
      <c r="H487" s="39">
        <f>Tabla3[[#This Row],[VALOR UNITARIO]]*Tabla3[[#This Row],[CANTIDAD ]]</f>
        <v>1664000</v>
      </c>
      <c r="I487" s="250">
        <f>Tabla3[[#This Row],[VALOR TOTAL]]*Tabla3[[#This Row],[CANTIDAD ]]</f>
        <v>532480000</v>
      </c>
      <c r="J487" s="250"/>
      <c r="K487" s="250"/>
      <c r="L487" s="250"/>
      <c r="M487" s="250"/>
      <c r="N487" s="250"/>
      <c r="O487" s="250"/>
      <c r="P487" s="240"/>
      <c r="R487" s="39">
        <f>MAX(Tabla3[[#This Row],[VALOR TOTAL]],Tabla3[[#This Row],[VALOR TOTAL ]])</f>
        <v>2880000</v>
      </c>
      <c r="S487" s="39">
        <f>MIN(Tabla3[[#This Row],[VALOR TOTAL ]],Tabla3[[#This Row],[VALOR TOTAL]])</f>
        <v>1664000</v>
      </c>
      <c r="T487" s="39">
        <f>AVERAGE(Tabla3[[#This Row],[VALOR TOTAL ]:[VALOR TOTAL]])</f>
        <v>1516400</v>
      </c>
    </row>
    <row r="488" spans="1:20" ht="36" x14ac:dyDescent="0.2">
      <c r="A488" s="179" t="s">
        <v>692</v>
      </c>
      <c r="B488" s="46" t="s">
        <v>86</v>
      </c>
      <c r="C488" s="45" t="s">
        <v>19</v>
      </c>
      <c r="D488" s="178">
        <v>320</v>
      </c>
      <c r="E488" s="19">
        <v>48000</v>
      </c>
      <c r="F488" s="250">
        <f>Tabla3[[#This Row],[VALOR UNITARIO ]]*Tabla3[[#This Row],[CANTIDAD ]]</f>
        <v>15360000</v>
      </c>
      <c r="G488" s="39">
        <v>45500</v>
      </c>
      <c r="H488" s="39">
        <f>Tabla3[[#This Row],[VALOR UNITARIO]]*Tabla3[[#This Row],[CANTIDAD ]]</f>
        <v>14560000</v>
      </c>
      <c r="I488" s="250">
        <f>Tabla3[[#This Row],[VALOR TOTAL]]*Tabla3[[#This Row],[CANTIDAD ]]</f>
        <v>4659200000</v>
      </c>
      <c r="J488" s="250"/>
      <c r="K488" s="250"/>
      <c r="L488" s="250"/>
      <c r="M488" s="250"/>
      <c r="N488" s="250"/>
      <c r="O488" s="250"/>
      <c r="P488" s="240"/>
      <c r="R488" s="39">
        <f>MAX(Tabla3[[#This Row],[VALOR TOTAL]],Tabla3[[#This Row],[VALOR TOTAL ]])</f>
        <v>15360000</v>
      </c>
      <c r="S488" s="39">
        <f>MIN(Tabla3[[#This Row],[VALOR TOTAL ]],Tabla3[[#This Row],[VALOR TOTAL]])</f>
        <v>14560000</v>
      </c>
      <c r="T488" s="39">
        <f>AVERAGE(Tabla3[[#This Row],[VALOR TOTAL ]:[VALOR TOTAL]])</f>
        <v>9988500</v>
      </c>
    </row>
    <row r="489" spans="1:20" x14ac:dyDescent="0.2">
      <c r="A489" s="179" t="s">
        <v>693</v>
      </c>
      <c r="B489" s="46" t="s">
        <v>88</v>
      </c>
      <c r="C489" s="45" t="s">
        <v>19</v>
      </c>
      <c r="D489" s="178">
        <v>448</v>
      </c>
      <c r="E489" s="19">
        <v>28000</v>
      </c>
      <c r="F489" s="250">
        <f>Tabla3[[#This Row],[VALOR UNITARIO ]]*Tabla3[[#This Row],[CANTIDAD ]]</f>
        <v>12544000</v>
      </c>
      <c r="G489" s="39">
        <v>11700</v>
      </c>
      <c r="H489" s="39">
        <f>Tabla3[[#This Row],[VALOR UNITARIO]]*Tabla3[[#This Row],[CANTIDAD ]]</f>
        <v>5241600</v>
      </c>
      <c r="I489" s="250">
        <f>Tabla3[[#This Row],[VALOR TOTAL]]*Tabla3[[#This Row],[CANTIDAD ]]</f>
        <v>2348236800</v>
      </c>
      <c r="J489" s="250"/>
      <c r="K489" s="250"/>
      <c r="L489" s="250"/>
      <c r="M489" s="250"/>
      <c r="N489" s="250"/>
      <c r="O489" s="250"/>
      <c r="P489" s="240"/>
      <c r="R489" s="39">
        <f>MAX(Tabla3[[#This Row],[VALOR TOTAL]],Tabla3[[#This Row],[VALOR TOTAL ]])</f>
        <v>12544000</v>
      </c>
      <c r="S489" s="39">
        <f>MIN(Tabla3[[#This Row],[VALOR TOTAL ]],Tabla3[[#This Row],[VALOR TOTAL]])</f>
        <v>5241600</v>
      </c>
      <c r="T489" s="39">
        <f>AVERAGE(Tabla3[[#This Row],[VALOR TOTAL ]:[VALOR TOTAL]])</f>
        <v>5932433.333333333</v>
      </c>
    </row>
    <row r="490" spans="1:20" x14ac:dyDescent="0.2">
      <c r="A490" s="179" t="s">
        <v>694</v>
      </c>
      <c r="B490" s="40" t="s">
        <v>90</v>
      </c>
      <c r="C490" s="45" t="s">
        <v>19</v>
      </c>
      <c r="D490" s="178">
        <v>641</v>
      </c>
      <c r="E490" s="19">
        <v>19000</v>
      </c>
      <c r="F490" s="250">
        <f>Tabla3[[#This Row],[VALOR UNITARIO ]]*Tabla3[[#This Row],[CANTIDAD ]]</f>
        <v>12179000</v>
      </c>
      <c r="G490" s="39">
        <v>8710</v>
      </c>
      <c r="H490" s="39">
        <f>Tabla3[[#This Row],[VALOR UNITARIO]]*Tabla3[[#This Row],[CANTIDAD ]]</f>
        <v>5583110</v>
      </c>
      <c r="I490" s="250">
        <f>Tabla3[[#This Row],[VALOR TOTAL]]*Tabla3[[#This Row],[CANTIDAD ]]</f>
        <v>3578773510</v>
      </c>
      <c r="J490" s="250"/>
      <c r="K490" s="250"/>
      <c r="L490" s="250"/>
      <c r="M490" s="250"/>
      <c r="N490" s="250"/>
      <c r="O490" s="250"/>
      <c r="P490" s="240"/>
      <c r="R490" s="39">
        <f>MAX(Tabla3[[#This Row],[VALOR TOTAL]],Tabla3[[#This Row],[VALOR TOTAL ]])</f>
        <v>12179000</v>
      </c>
      <c r="S490" s="39">
        <f>MIN(Tabla3[[#This Row],[VALOR TOTAL ]],Tabla3[[#This Row],[VALOR TOTAL]])</f>
        <v>5583110</v>
      </c>
      <c r="T490" s="39">
        <f>AVERAGE(Tabla3[[#This Row],[VALOR TOTAL ]:[VALOR TOTAL]])</f>
        <v>5923606.666666667</v>
      </c>
    </row>
    <row r="491" spans="1:20" x14ac:dyDescent="0.2">
      <c r="A491" s="179" t="s">
        <v>695</v>
      </c>
      <c r="B491" s="46" t="s">
        <v>92</v>
      </c>
      <c r="C491" s="45" t="s">
        <v>19</v>
      </c>
      <c r="D491" s="178">
        <v>128</v>
      </c>
      <c r="E491" s="19">
        <v>18000</v>
      </c>
      <c r="F491" s="250">
        <f>Tabla3[[#This Row],[VALOR UNITARIO ]]*Tabla3[[#This Row],[CANTIDAD ]]</f>
        <v>2304000</v>
      </c>
      <c r="G491" s="39">
        <v>8710</v>
      </c>
      <c r="H491" s="39">
        <f>Tabla3[[#This Row],[VALOR UNITARIO]]*Tabla3[[#This Row],[CANTIDAD ]]</f>
        <v>1114880</v>
      </c>
      <c r="I491" s="250">
        <f>Tabla3[[#This Row],[VALOR TOTAL]]*Tabla3[[#This Row],[CANTIDAD ]]</f>
        <v>142704640</v>
      </c>
      <c r="J491" s="250"/>
      <c r="K491" s="250"/>
      <c r="L491" s="250"/>
      <c r="M491" s="250"/>
      <c r="N491" s="250"/>
      <c r="O491" s="250"/>
      <c r="P491" s="240"/>
      <c r="R491" s="39">
        <f>MAX(Tabla3[[#This Row],[VALOR TOTAL]],Tabla3[[#This Row],[VALOR TOTAL ]])</f>
        <v>2304000</v>
      </c>
      <c r="S491" s="39">
        <f>MIN(Tabla3[[#This Row],[VALOR TOTAL ]],Tabla3[[#This Row],[VALOR TOTAL]])</f>
        <v>1114880</v>
      </c>
      <c r="T491" s="39">
        <f>AVERAGE(Tabla3[[#This Row],[VALOR TOTAL ]:[VALOR TOTAL]])</f>
        <v>1142530</v>
      </c>
    </row>
    <row r="492" spans="1:20" x14ac:dyDescent="0.2">
      <c r="A492" s="179" t="s">
        <v>696</v>
      </c>
      <c r="B492" s="192" t="s">
        <v>94</v>
      </c>
      <c r="C492" s="45" t="s">
        <v>19</v>
      </c>
      <c r="D492" s="178">
        <v>3</v>
      </c>
      <c r="E492" s="19">
        <v>17000</v>
      </c>
      <c r="F492" s="250">
        <f>Tabla3[[#This Row],[VALOR UNITARIO ]]*Tabla3[[#This Row],[CANTIDAD ]]</f>
        <v>51000</v>
      </c>
      <c r="G492" s="39">
        <v>8710</v>
      </c>
      <c r="H492" s="39">
        <f>Tabla3[[#This Row],[VALOR UNITARIO]]*Tabla3[[#This Row],[CANTIDAD ]]</f>
        <v>26130</v>
      </c>
      <c r="I492" s="250">
        <f>Tabla3[[#This Row],[VALOR TOTAL]]*Tabla3[[#This Row],[CANTIDAD ]]</f>
        <v>78390</v>
      </c>
      <c r="J492" s="250"/>
      <c r="K492" s="250"/>
      <c r="L492" s="250"/>
      <c r="M492" s="250"/>
      <c r="N492" s="250"/>
      <c r="O492" s="250"/>
      <c r="P492" s="240"/>
      <c r="R492" s="39">
        <f>MAX(Tabla3[[#This Row],[VALOR TOTAL]],Tabla3[[#This Row],[VALOR TOTAL ]])</f>
        <v>51000</v>
      </c>
      <c r="S492" s="39">
        <f>MIN(Tabla3[[#This Row],[VALOR TOTAL ]],Tabla3[[#This Row],[VALOR TOTAL]])</f>
        <v>26130</v>
      </c>
      <c r="T492" s="39">
        <f>AVERAGE(Tabla3[[#This Row],[VALOR TOTAL ]:[VALOR TOTAL]])</f>
        <v>28613.333333333332</v>
      </c>
    </row>
    <row r="493" spans="1:20" x14ac:dyDescent="0.2">
      <c r="A493" s="179" t="s">
        <v>697</v>
      </c>
      <c r="B493" s="40" t="s">
        <v>84</v>
      </c>
      <c r="C493" s="45" t="s">
        <v>14</v>
      </c>
      <c r="D493" s="178">
        <v>5</v>
      </c>
      <c r="E493" s="19">
        <v>5400</v>
      </c>
      <c r="F493" s="250">
        <f>Tabla3[[#This Row],[VALOR UNITARIO ]]*Tabla3[[#This Row],[CANTIDAD ]]</f>
        <v>27000</v>
      </c>
      <c r="G493" s="39">
        <v>5200</v>
      </c>
      <c r="H493" s="39">
        <f>Tabla3[[#This Row],[VALOR UNITARIO]]*Tabla3[[#This Row],[CANTIDAD ]]</f>
        <v>26000</v>
      </c>
      <c r="I493" s="250">
        <f>Tabla3[[#This Row],[VALOR TOTAL]]*Tabla3[[#This Row],[CANTIDAD ]]</f>
        <v>130000</v>
      </c>
      <c r="J493" s="250"/>
      <c r="K493" s="250"/>
      <c r="L493" s="250"/>
      <c r="M493" s="250"/>
      <c r="N493" s="250"/>
      <c r="O493" s="250"/>
      <c r="P493" s="240"/>
      <c r="R493" s="39">
        <f>MAX(Tabla3[[#This Row],[VALOR TOTAL]],Tabla3[[#This Row],[VALOR TOTAL ]])</f>
        <v>27000</v>
      </c>
      <c r="S493" s="39">
        <f>MIN(Tabla3[[#This Row],[VALOR TOTAL ]],Tabla3[[#This Row],[VALOR TOTAL]])</f>
        <v>26000</v>
      </c>
      <c r="T493" s="39">
        <f>AVERAGE(Tabla3[[#This Row],[VALOR TOTAL ]:[VALOR TOTAL]])</f>
        <v>19400</v>
      </c>
    </row>
    <row r="494" spans="1:20" ht="36" x14ac:dyDescent="0.2">
      <c r="A494" s="179" t="s">
        <v>698</v>
      </c>
      <c r="B494" s="46" t="s">
        <v>86</v>
      </c>
      <c r="C494" s="45" t="s">
        <v>14</v>
      </c>
      <c r="D494" s="178">
        <v>5</v>
      </c>
      <c r="E494" s="19">
        <v>28800</v>
      </c>
      <c r="F494" s="250">
        <f>Tabla3[[#This Row],[VALOR UNITARIO ]]*Tabla3[[#This Row],[CANTIDAD ]]</f>
        <v>144000</v>
      </c>
      <c r="G494" s="39">
        <v>6500</v>
      </c>
      <c r="H494" s="39">
        <f>Tabla3[[#This Row],[VALOR UNITARIO]]*Tabla3[[#This Row],[CANTIDAD ]]</f>
        <v>32500</v>
      </c>
      <c r="I494" s="250">
        <f>Tabla3[[#This Row],[VALOR TOTAL]]*Tabla3[[#This Row],[CANTIDAD ]]</f>
        <v>162500</v>
      </c>
      <c r="J494" s="250"/>
      <c r="K494" s="250"/>
      <c r="L494" s="250"/>
      <c r="M494" s="250"/>
      <c r="N494" s="250"/>
      <c r="O494" s="250"/>
      <c r="P494" s="240"/>
      <c r="R494" s="39">
        <f>MAX(Tabla3[[#This Row],[VALOR TOTAL]],Tabla3[[#This Row],[VALOR TOTAL ]])</f>
        <v>144000</v>
      </c>
      <c r="S494" s="39">
        <f>MIN(Tabla3[[#This Row],[VALOR TOTAL ]],Tabla3[[#This Row],[VALOR TOTAL]])</f>
        <v>32500</v>
      </c>
      <c r="T494" s="39">
        <f>AVERAGE(Tabla3[[#This Row],[VALOR TOTAL ]:[VALOR TOTAL]])</f>
        <v>61000</v>
      </c>
    </row>
    <row r="495" spans="1:20" x14ac:dyDescent="0.2">
      <c r="A495" s="179" t="s">
        <v>699</v>
      </c>
      <c r="B495" s="46" t="s">
        <v>88</v>
      </c>
      <c r="C495" s="45" t="s">
        <v>14</v>
      </c>
      <c r="D495" s="178">
        <v>5</v>
      </c>
      <c r="E495" s="19">
        <v>16800</v>
      </c>
      <c r="F495" s="250">
        <f>Tabla3[[#This Row],[VALOR UNITARIO ]]*Tabla3[[#This Row],[CANTIDAD ]]</f>
        <v>84000</v>
      </c>
      <c r="G495" s="39">
        <v>11700</v>
      </c>
      <c r="H495" s="39">
        <f>Tabla3[[#This Row],[VALOR UNITARIO]]*Tabla3[[#This Row],[CANTIDAD ]]</f>
        <v>58500</v>
      </c>
      <c r="I495" s="250">
        <f>Tabla3[[#This Row],[VALOR TOTAL]]*Tabla3[[#This Row],[CANTIDAD ]]</f>
        <v>292500</v>
      </c>
      <c r="J495" s="250"/>
      <c r="K495" s="250"/>
      <c r="L495" s="250"/>
      <c r="M495" s="250"/>
      <c r="N495" s="250"/>
      <c r="O495" s="250"/>
      <c r="P495" s="240"/>
      <c r="R495" s="39">
        <f>MAX(Tabla3[[#This Row],[VALOR TOTAL]],Tabla3[[#This Row],[VALOR TOTAL ]])</f>
        <v>84000</v>
      </c>
      <c r="S495" s="39">
        <f>MIN(Tabla3[[#This Row],[VALOR TOTAL ]],Tabla3[[#This Row],[VALOR TOTAL]])</f>
        <v>58500</v>
      </c>
      <c r="T495" s="39">
        <f>AVERAGE(Tabla3[[#This Row],[VALOR TOTAL ]:[VALOR TOTAL]])</f>
        <v>51400</v>
      </c>
    </row>
    <row r="496" spans="1:20" x14ac:dyDescent="0.2">
      <c r="A496" s="179" t="s">
        <v>700</v>
      </c>
      <c r="B496" s="46" t="s">
        <v>98</v>
      </c>
      <c r="C496" s="45" t="s">
        <v>14</v>
      </c>
      <c r="D496" s="178">
        <v>5</v>
      </c>
      <c r="E496" s="19">
        <v>10200</v>
      </c>
      <c r="F496" s="250">
        <f>Tabla3[[#This Row],[VALOR UNITARIO ]]*Tabla3[[#This Row],[CANTIDAD ]]</f>
        <v>51000</v>
      </c>
      <c r="G496" s="39">
        <v>5200</v>
      </c>
      <c r="H496" s="39">
        <f>Tabla3[[#This Row],[VALOR UNITARIO]]*Tabla3[[#This Row],[CANTIDAD ]]</f>
        <v>26000</v>
      </c>
      <c r="I496" s="250">
        <f>Tabla3[[#This Row],[VALOR TOTAL]]*Tabla3[[#This Row],[CANTIDAD ]]</f>
        <v>130000</v>
      </c>
      <c r="J496" s="250"/>
      <c r="K496" s="250"/>
      <c r="L496" s="250"/>
      <c r="M496" s="250"/>
      <c r="N496" s="250"/>
      <c r="O496" s="250"/>
      <c r="P496" s="240"/>
      <c r="R496" s="39">
        <f>MAX(Tabla3[[#This Row],[VALOR TOTAL]],Tabla3[[#This Row],[VALOR TOTAL ]])</f>
        <v>51000</v>
      </c>
      <c r="S496" s="39">
        <f>MIN(Tabla3[[#This Row],[VALOR TOTAL ]],Tabla3[[#This Row],[VALOR TOTAL]])</f>
        <v>26000</v>
      </c>
      <c r="T496" s="39">
        <f>AVERAGE(Tabla3[[#This Row],[VALOR TOTAL ]:[VALOR TOTAL]])</f>
        <v>27400</v>
      </c>
    </row>
    <row r="497" spans="1:20" x14ac:dyDescent="0.2">
      <c r="A497" s="179" t="s">
        <v>701</v>
      </c>
      <c r="B497" s="66" t="s">
        <v>92</v>
      </c>
      <c r="C497" s="67" t="s">
        <v>14</v>
      </c>
      <c r="D497" s="181">
        <v>5</v>
      </c>
      <c r="E497" s="19">
        <v>10800</v>
      </c>
      <c r="F497" s="250">
        <f>Tabla3[[#This Row],[VALOR UNITARIO ]]*Tabla3[[#This Row],[CANTIDAD ]]</f>
        <v>54000</v>
      </c>
      <c r="G497" s="39">
        <v>5200</v>
      </c>
      <c r="H497" s="39">
        <f>Tabla3[[#This Row],[VALOR UNITARIO]]*Tabla3[[#This Row],[CANTIDAD ]]</f>
        <v>26000</v>
      </c>
      <c r="I497" s="250">
        <f>Tabla3[[#This Row],[VALOR TOTAL]]*Tabla3[[#This Row],[CANTIDAD ]]</f>
        <v>130000</v>
      </c>
      <c r="J497" s="250"/>
      <c r="K497" s="250"/>
      <c r="L497" s="250"/>
      <c r="M497" s="250"/>
      <c r="N497" s="250"/>
      <c r="O497" s="250"/>
      <c r="P497" s="240"/>
      <c r="R497" s="39">
        <f>MAX(Tabla3[[#This Row],[VALOR TOTAL]],Tabla3[[#This Row],[VALOR TOTAL ]])</f>
        <v>54000</v>
      </c>
      <c r="S497" s="39">
        <f>MIN(Tabla3[[#This Row],[VALOR TOTAL ]],Tabla3[[#This Row],[VALOR TOTAL]])</f>
        <v>26000</v>
      </c>
      <c r="T497" s="39">
        <f>AVERAGE(Tabla3[[#This Row],[VALOR TOTAL ]:[VALOR TOTAL]])</f>
        <v>28400</v>
      </c>
    </row>
    <row r="498" spans="1:20" x14ac:dyDescent="0.2">
      <c r="A498" s="182" t="s">
        <v>702</v>
      </c>
      <c r="B498" s="8" t="s">
        <v>703</v>
      </c>
      <c r="C498" s="54"/>
      <c r="D498" s="177"/>
      <c r="E498" s="119"/>
      <c r="F498" s="253"/>
      <c r="G498" s="119"/>
      <c r="H498" s="39">
        <f>Tabla3[[#This Row],[VALOR UNITARIO]]*Tabla3[[#This Row],[CANTIDAD ]]</f>
        <v>0</v>
      </c>
      <c r="I498" s="253">
        <f>Tabla3[[#This Row],[VALOR TOTAL]]*Tabla3[[#This Row],[CANTIDAD ]]</f>
        <v>0</v>
      </c>
      <c r="J498" s="253"/>
      <c r="K498" s="253"/>
      <c r="L498" s="253"/>
      <c r="M498" s="253"/>
      <c r="N498" s="253"/>
      <c r="O498" s="253"/>
      <c r="P498" s="240"/>
      <c r="R498" s="39">
        <f>MAX(Tabla3[[#This Row],[VALOR TOTAL]],Tabla3[[#This Row],[VALOR TOTAL ]])</f>
        <v>0</v>
      </c>
      <c r="S498" s="39">
        <f>MIN(Tabla3[[#This Row],[VALOR TOTAL ]],Tabla3[[#This Row],[VALOR TOTAL]])</f>
        <v>0</v>
      </c>
      <c r="T498" s="39">
        <f>AVERAGE(Tabla3[[#This Row],[VALOR TOTAL ]:[VALOR TOTAL]])</f>
        <v>0</v>
      </c>
    </row>
    <row r="499" spans="1:20" ht="48" x14ac:dyDescent="0.2">
      <c r="A499" s="179" t="s">
        <v>704</v>
      </c>
      <c r="B499" s="48" t="s">
        <v>705</v>
      </c>
      <c r="C499" s="200" t="s">
        <v>19</v>
      </c>
      <c r="D499" s="178">
        <v>40</v>
      </c>
      <c r="E499" s="19">
        <v>145000</v>
      </c>
      <c r="F499" s="250">
        <f>Tabla3[[#This Row],[VALOR UNITARIO ]]*Tabla3[[#This Row],[CANTIDAD ]]</f>
        <v>5800000</v>
      </c>
      <c r="G499" s="39">
        <f>+G527</f>
        <v>64150</v>
      </c>
      <c r="H499" s="39">
        <f>Tabla3[[#This Row],[VALOR UNITARIO]]*Tabla3[[#This Row],[CANTIDAD ]]</f>
        <v>2566000</v>
      </c>
      <c r="I499" s="250">
        <f>Tabla3[[#This Row],[VALOR TOTAL]]*Tabla3[[#This Row],[CANTIDAD ]]</f>
        <v>102640000</v>
      </c>
      <c r="J499" s="250"/>
      <c r="K499" s="250"/>
      <c r="L499" s="250"/>
      <c r="M499" s="250"/>
      <c r="N499" s="250"/>
      <c r="O499" s="250"/>
      <c r="P499" s="240"/>
      <c r="R499" s="39">
        <f>MAX(Tabla3[[#This Row],[VALOR TOTAL]],Tabla3[[#This Row],[VALOR TOTAL ]])</f>
        <v>5800000</v>
      </c>
      <c r="S499" s="39">
        <f>MIN(Tabla3[[#This Row],[VALOR TOTAL ]],Tabla3[[#This Row],[VALOR TOTAL]])</f>
        <v>2566000</v>
      </c>
      <c r="T499" s="39">
        <f>AVERAGE(Tabla3[[#This Row],[VALOR TOTAL ]:[VALOR TOTAL]])</f>
        <v>2810050</v>
      </c>
    </row>
    <row r="500" spans="1:20" x14ac:dyDescent="0.2">
      <c r="A500" s="179" t="s">
        <v>706</v>
      </c>
      <c r="B500" s="203" t="s">
        <v>707</v>
      </c>
      <c r="C500" s="204" t="s">
        <v>14</v>
      </c>
      <c r="D500" s="178">
        <v>60</v>
      </c>
      <c r="E500" s="19">
        <v>35000</v>
      </c>
      <c r="F500" s="250">
        <f>Tabla3[[#This Row],[VALOR UNITARIO ]]*Tabla3[[#This Row],[CANTIDAD ]]</f>
        <v>2100000</v>
      </c>
      <c r="G500" s="39">
        <f>+G528</f>
        <v>36340</v>
      </c>
      <c r="H500" s="39">
        <f>Tabla3[[#This Row],[VALOR UNITARIO]]*Tabla3[[#This Row],[CANTIDAD ]]</f>
        <v>2180400</v>
      </c>
      <c r="I500" s="250">
        <f>Tabla3[[#This Row],[VALOR TOTAL]]*Tabla3[[#This Row],[CANTIDAD ]]</f>
        <v>130824000</v>
      </c>
      <c r="J500" s="250"/>
      <c r="K500" s="250"/>
      <c r="L500" s="250"/>
      <c r="M500" s="250"/>
      <c r="N500" s="250"/>
      <c r="O500" s="250"/>
      <c r="P500" s="240"/>
      <c r="R500" s="39">
        <f>MAX(Tabla3[[#This Row],[VALOR TOTAL]],Tabla3[[#This Row],[VALOR TOTAL ]])</f>
        <v>2180400</v>
      </c>
      <c r="S500" s="39">
        <f>MIN(Tabla3[[#This Row],[VALOR TOTAL ]],Tabla3[[#This Row],[VALOR TOTAL]])</f>
        <v>2100000</v>
      </c>
      <c r="T500" s="39">
        <f>AVERAGE(Tabla3[[#This Row],[VALOR TOTAL ]:[VALOR TOTAL]])</f>
        <v>1438913.3333333333</v>
      </c>
    </row>
    <row r="501" spans="1:20" ht="36" x14ac:dyDescent="0.2">
      <c r="A501" s="179" t="s">
        <v>708</v>
      </c>
      <c r="B501" s="46" t="s">
        <v>709</v>
      </c>
      <c r="C501" s="45" t="s">
        <v>19</v>
      </c>
      <c r="D501" s="178">
        <v>3</v>
      </c>
      <c r="E501" s="19">
        <v>20000</v>
      </c>
      <c r="F501" s="250">
        <f>Tabla3[[#This Row],[VALOR UNITARIO ]]*Tabla3[[#This Row],[CANTIDAD ]]</f>
        <v>60000</v>
      </c>
      <c r="G501" s="39">
        <v>18700</v>
      </c>
      <c r="H501" s="39">
        <f>Tabla3[[#This Row],[VALOR UNITARIO]]*Tabla3[[#This Row],[CANTIDAD ]]</f>
        <v>56100</v>
      </c>
      <c r="I501" s="250">
        <f>Tabla3[[#This Row],[VALOR TOTAL]]*Tabla3[[#This Row],[CANTIDAD ]]</f>
        <v>168300</v>
      </c>
      <c r="J501" s="250"/>
      <c r="K501" s="250"/>
      <c r="L501" s="250"/>
      <c r="M501" s="250"/>
      <c r="N501" s="250"/>
      <c r="O501" s="250"/>
      <c r="P501" s="240"/>
      <c r="R501" s="39">
        <f>MAX(Tabla3[[#This Row],[VALOR TOTAL]],Tabla3[[#This Row],[VALOR TOTAL ]])</f>
        <v>60000</v>
      </c>
      <c r="S501" s="39">
        <f>MIN(Tabla3[[#This Row],[VALOR TOTAL ]],Tabla3[[#This Row],[VALOR TOTAL]])</f>
        <v>56100</v>
      </c>
      <c r="T501" s="39">
        <f>AVERAGE(Tabla3[[#This Row],[VALOR TOTAL ]:[VALOR TOTAL]])</f>
        <v>44933.333333333336</v>
      </c>
    </row>
    <row r="502" spans="1:20" x14ac:dyDescent="0.2">
      <c r="A502" s="179" t="s">
        <v>710</v>
      </c>
      <c r="B502" s="46" t="s">
        <v>711</v>
      </c>
      <c r="C502" s="45" t="s">
        <v>14</v>
      </c>
      <c r="D502" s="178">
        <v>5</v>
      </c>
      <c r="E502" s="19">
        <v>25000</v>
      </c>
      <c r="F502" s="250">
        <f>Tabla3[[#This Row],[VALOR UNITARIO ]]*Tabla3[[#This Row],[CANTIDAD ]]</f>
        <v>125000</v>
      </c>
      <c r="G502" s="39">
        <v>29810.000000000004</v>
      </c>
      <c r="H502" s="39">
        <f>Tabla3[[#This Row],[VALOR UNITARIO]]*Tabla3[[#This Row],[CANTIDAD ]]</f>
        <v>149050.00000000003</v>
      </c>
      <c r="I502" s="250">
        <f>Tabla3[[#This Row],[VALOR TOTAL]]*Tabla3[[#This Row],[CANTIDAD ]]</f>
        <v>745250.00000000012</v>
      </c>
      <c r="J502" s="250"/>
      <c r="K502" s="250"/>
      <c r="L502" s="250"/>
      <c r="M502" s="250"/>
      <c r="N502" s="250"/>
      <c r="O502" s="250"/>
      <c r="P502" s="240"/>
      <c r="R502" s="39">
        <f>MAX(Tabla3[[#This Row],[VALOR TOTAL]],Tabla3[[#This Row],[VALOR TOTAL ]])</f>
        <v>149050.00000000003</v>
      </c>
      <c r="S502" s="39">
        <f>MIN(Tabla3[[#This Row],[VALOR TOTAL ]],Tabla3[[#This Row],[VALOR TOTAL]])</f>
        <v>125000</v>
      </c>
      <c r="T502" s="39">
        <f>AVERAGE(Tabla3[[#This Row],[VALOR TOTAL ]:[VALOR TOTAL]])</f>
        <v>101286.66666666667</v>
      </c>
    </row>
    <row r="503" spans="1:20" ht="24" x14ac:dyDescent="0.2">
      <c r="A503" s="20" t="s">
        <v>712</v>
      </c>
      <c r="B503" s="46" t="s">
        <v>713</v>
      </c>
      <c r="C503" s="45" t="s">
        <v>19</v>
      </c>
      <c r="D503" s="178">
        <v>3</v>
      </c>
      <c r="E503" s="19">
        <v>40000</v>
      </c>
      <c r="F503" s="250">
        <f>Tabla3[[#This Row],[VALOR UNITARIO ]]*Tabla3[[#This Row],[CANTIDAD ]]</f>
        <v>120000</v>
      </c>
      <c r="G503" s="39">
        <v>40700</v>
      </c>
      <c r="H503" s="39">
        <f>Tabla3[[#This Row],[VALOR UNITARIO]]*Tabla3[[#This Row],[CANTIDAD ]]</f>
        <v>122100</v>
      </c>
      <c r="I503" s="250">
        <f>Tabla3[[#This Row],[VALOR TOTAL]]*Tabla3[[#This Row],[CANTIDAD ]]</f>
        <v>366300</v>
      </c>
      <c r="J503" s="250"/>
      <c r="K503" s="250"/>
      <c r="L503" s="250"/>
      <c r="M503" s="250"/>
      <c r="N503" s="250"/>
      <c r="O503" s="250"/>
      <c r="P503" s="240"/>
      <c r="R503" s="39">
        <f>MAX(Tabla3[[#This Row],[VALOR TOTAL]],Tabla3[[#This Row],[VALOR TOTAL ]])</f>
        <v>122100</v>
      </c>
      <c r="S503" s="39">
        <f>MIN(Tabla3[[#This Row],[VALOR TOTAL ]],Tabla3[[#This Row],[VALOR TOTAL]])</f>
        <v>120000</v>
      </c>
      <c r="T503" s="39">
        <f>AVERAGE(Tabla3[[#This Row],[VALOR TOTAL ]:[VALOR TOTAL]])</f>
        <v>94266.666666666672</v>
      </c>
    </row>
    <row r="504" spans="1:20" x14ac:dyDescent="0.2">
      <c r="A504" s="179" t="s">
        <v>714</v>
      </c>
      <c r="B504" s="46" t="s">
        <v>715</v>
      </c>
      <c r="C504" s="45" t="s">
        <v>19</v>
      </c>
      <c r="D504" s="178">
        <v>3</v>
      </c>
      <c r="E504" s="19">
        <v>35000</v>
      </c>
      <c r="F504" s="250">
        <f>Tabla3[[#This Row],[VALOR UNITARIO ]]*Tabla3[[#This Row],[CANTIDAD ]]</f>
        <v>105000</v>
      </c>
      <c r="G504" s="39">
        <v>46200.000000000007</v>
      </c>
      <c r="H504" s="39">
        <f>Tabla3[[#This Row],[VALOR UNITARIO]]*Tabla3[[#This Row],[CANTIDAD ]]</f>
        <v>138600.00000000003</v>
      </c>
      <c r="I504" s="250">
        <f>Tabla3[[#This Row],[VALOR TOTAL]]*Tabla3[[#This Row],[CANTIDAD ]]</f>
        <v>415800.00000000012</v>
      </c>
      <c r="J504" s="250"/>
      <c r="K504" s="250"/>
      <c r="L504" s="250"/>
      <c r="M504" s="250"/>
      <c r="N504" s="250"/>
      <c r="O504" s="250"/>
      <c r="P504" s="240"/>
      <c r="R504" s="39">
        <f>MAX(Tabla3[[#This Row],[VALOR TOTAL]],Tabla3[[#This Row],[VALOR TOTAL ]])</f>
        <v>138600.00000000003</v>
      </c>
      <c r="S504" s="39">
        <f>MIN(Tabla3[[#This Row],[VALOR TOTAL ]],Tabla3[[#This Row],[VALOR TOTAL]])</f>
        <v>105000</v>
      </c>
      <c r="T504" s="39">
        <f>AVERAGE(Tabla3[[#This Row],[VALOR TOTAL ]:[VALOR TOTAL]])</f>
        <v>96600</v>
      </c>
    </row>
    <row r="505" spans="1:20" x14ac:dyDescent="0.2">
      <c r="A505" s="20" t="s">
        <v>716</v>
      </c>
      <c r="B505" s="66" t="s">
        <v>717</v>
      </c>
      <c r="C505" s="67" t="s">
        <v>19</v>
      </c>
      <c r="D505" s="181">
        <v>3</v>
      </c>
      <c r="E505" s="19">
        <v>50000</v>
      </c>
      <c r="F505" s="250">
        <f>Tabla3[[#This Row],[VALOR UNITARIO ]]*Tabla3[[#This Row],[CANTIDAD ]]</f>
        <v>150000</v>
      </c>
      <c r="G505" s="39">
        <v>18700</v>
      </c>
      <c r="H505" s="39">
        <f>Tabla3[[#This Row],[VALOR UNITARIO]]*Tabla3[[#This Row],[CANTIDAD ]]</f>
        <v>56100</v>
      </c>
      <c r="I505" s="250">
        <f>Tabla3[[#This Row],[VALOR TOTAL]]*Tabla3[[#This Row],[CANTIDAD ]]</f>
        <v>168300</v>
      </c>
      <c r="J505" s="250"/>
      <c r="K505" s="250"/>
      <c r="L505" s="250"/>
      <c r="M505" s="250"/>
      <c r="N505" s="250"/>
      <c r="O505" s="250"/>
      <c r="P505" s="240"/>
      <c r="R505" s="39">
        <f>MAX(Tabla3[[#This Row],[VALOR TOTAL]],Tabla3[[#This Row],[VALOR TOTAL ]])</f>
        <v>150000</v>
      </c>
      <c r="S505" s="39">
        <f>MIN(Tabla3[[#This Row],[VALOR TOTAL ]],Tabla3[[#This Row],[VALOR TOTAL]])</f>
        <v>56100</v>
      </c>
      <c r="T505" s="39">
        <f>AVERAGE(Tabla3[[#This Row],[VALOR TOTAL ]:[VALOR TOTAL]])</f>
        <v>74933.333333333328</v>
      </c>
    </row>
    <row r="506" spans="1:20" x14ac:dyDescent="0.2">
      <c r="A506" s="182" t="s">
        <v>718</v>
      </c>
      <c r="B506" s="8" t="s">
        <v>642</v>
      </c>
      <c r="C506" s="79"/>
      <c r="D506" s="177"/>
      <c r="E506" s="19"/>
      <c r="F506" s="250"/>
      <c r="G506" s="119"/>
      <c r="H506" s="39">
        <f>Tabla3[[#This Row],[VALOR UNITARIO]]*Tabla3[[#This Row],[CANTIDAD ]]</f>
        <v>0</v>
      </c>
      <c r="I506" s="250">
        <f>Tabla3[[#This Row],[VALOR TOTAL]]*Tabla3[[#This Row],[CANTIDAD ]]</f>
        <v>0</v>
      </c>
      <c r="J506" s="250"/>
      <c r="K506" s="250"/>
      <c r="L506" s="250"/>
      <c r="M506" s="250"/>
      <c r="N506" s="250"/>
      <c r="O506" s="250"/>
      <c r="P506" s="240"/>
      <c r="R506" s="39">
        <f>MAX(Tabla3[[#This Row],[VALOR TOTAL]],Tabla3[[#This Row],[VALOR TOTAL ]])</f>
        <v>0</v>
      </c>
      <c r="S506" s="39">
        <f>MIN(Tabla3[[#This Row],[VALOR TOTAL ]],Tabla3[[#This Row],[VALOR TOTAL]])</f>
        <v>0</v>
      </c>
      <c r="T506" s="39">
        <f>AVERAGE(Tabla3[[#This Row],[VALOR TOTAL ]:[VALOR TOTAL]])</f>
        <v>0</v>
      </c>
    </row>
    <row r="507" spans="1:20" x14ac:dyDescent="0.2">
      <c r="A507" s="20" t="s">
        <v>719</v>
      </c>
      <c r="B507" s="194" t="s">
        <v>720</v>
      </c>
      <c r="C507" s="200" t="s">
        <v>6</v>
      </c>
      <c r="D507" s="178">
        <v>6</v>
      </c>
      <c r="E507" s="19">
        <v>20000</v>
      </c>
      <c r="F507" s="250">
        <f>Tabla3[[#This Row],[VALOR UNITARIO ]]*Tabla3[[#This Row],[CANTIDAD ]]</f>
        <v>120000</v>
      </c>
      <c r="G507" s="39">
        <f>+(18740*1.3)</f>
        <v>24362</v>
      </c>
      <c r="H507" s="39">
        <f>Tabla3[[#This Row],[VALOR UNITARIO]]*Tabla3[[#This Row],[CANTIDAD ]]</f>
        <v>146172</v>
      </c>
      <c r="I507" s="250">
        <f>Tabla3[[#This Row],[VALOR TOTAL]]*Tabla3[[#This Row],[CANTIDAD ]]</f>
        <v>877032</v>
      </c>
      <c r="J507" s="250"/>
      <c r="K507" s="250"/>
      <c r="L507" s="250"/>
      <c r="M507" s="250"/>
      <c r="N507" s="250"/>
      <c r="O507" s="250"/>
      <c r="P507" s="240"/>
      <c r="R507" s="39">
        <f>MAX(Tabla3[[#This Row],[VALOR TOTAL]],Tabla3[[#This Row],[VALOR TOTAL ]])</f>
        <v>146172</v>
      </c>
      <c r="S507" s="39">
        <f>MIN(Tabla3[[#This Row],[VALOR TOTAL ]],Tabla3[[#This Row],[VALOR TOTAL]])</f>
        <v>120000</v>
      </c>
      <c r="T507" s="39">
        <f>AVERAGE(Tabla3[[#This Row],[VALOR TOTAL ]:[VALOR TOTAL]])</f>
        <v>96844.666666666672</v>
      </c>
    </row>
    <row r="508" spans="1:20" ht="24" x14ac:dyDescent="0.2">
      <c r="A508" s="179" t="s">
        <v>721</v>
      </c>
      <c r="B508" s="203" t="s">
        <v>722</v>
      </c>
      <c r="C508" s="204" t="s">
        <v>6</v>
      </c>
      <c r="D508" s="178">
        <v>6</v>
      </c>
      <c r="E508" s="19">
        <v>350000</v>
      </c>
      <c r="F508" s="250">
        <f>Tabla3[[#This Row],[VALOR UNITARIO ]]*Tabla3[[#This Row],[CANTIDAD ]]</f>
        <v>2100000</v>
      </c>
      <c r="G508" s="39">
        <f>369900*1.3</f>
        <v>480870</v>
      </c>
      <c r="H508" s="39">
        <f>Tabla3[[#This Row],[VALOR UNITARIO]]*Tabla3[[#This Row],[CANTIDAD ]]</f>
        <v>2885220</v>
      </c>
      <c r="I508" s="250">
        <f>Tabla3[[#This Row],[VALOR TOTAL]]*Tabla3[[#This Row],[CANTIDAD ]]</f>
        <v>17311320</v>
      </c>
      <c r="J508" s="250"/>
      <c r="K508" s="250"/>
      <c r="L508" s="250"/>
      <c r="M508" s="250"/>
      <c r="N508" s="250"/>
      <c r="O508" s="250"/>
      <c r="P508" s="240"/>
      <c r="R508" s="39">
        <f>MAX(Tabla3[[#This Row],[VALOR TOTAL]],Tabla3[[#This Row],[VALOR TOTAL ]])</f>
        <v>2885220</v>
      </c>
      <c r="S508" s="39">
        <f>MIN(Tabla3[[#This Row],[VALOR TOTAL ]],Tabla3[[#This Row],[VALOR TOTAL]])</f>
        <v>2100000</v>
      </c>
      <c r="T508" s="39">
        <f>AVERAGE(Tabla3[[#This Row],[VALOR TOTAL ]:[VALOR TOTAL]])</f>
        <v>1822030</v>
      </c>
    </row>
    <row r="509" spans="1:20" x14ac:dyDescent="0.2">
      <c r="A509" s="20" t="s">
        <v>723</v>
      </c>
      <c r="B509" s="194" t="s">
        <v>724</v>
      </c>
      <c r="C509" s="204"/>
      <c r="D509" s="178">
        <v>2</v>
      </c>
      <c r="E509" s="19">
        <v>30000</v>
      </c>
      <c r="F509" s="250">
        <f>Tabla3[[#This Row],[VALOR UNITARIO ]]*Tabla3[[#This Row],[CANTIDAD ]]</f>
        <v>60000</v>
      </c>
      <c r="G509" s="39">
        <v>41800</v>
      </c>
      <c r="H509" s="39">
        <f>Tabla3[[#This Row],[VALOR UNITARIO]]*Tabla3[[#This Row],[CANTIDAD ]]</f>
        <v>83600</v>
      </c>
      <c r="I509" s="250">
        <f>Tabla3[[#This Row],[VALOR TOTAL]]*Tabla3[[#This Row],[CANTIDAD ]]</f>
        <v>167200</v>
      </c>
      <c r="J509" s="250"/>
      <c r="K509" s="250"/>
      <c r="L509" s="250"/>
      <c r="M509" s="250"/>
      <c r="N509" s="250"/>
      <c r="O509" s="250"/>
      <c r="P509" s="240"/>
      <c r="R509" s="39">
        <f>MAX(Tabla3[[#This Row],[VALOR TOTAL]],Tabla3[[#This Row],[VALOR TOTAL ]])</f>
        <v>83600</v>
      </c>
      <c r="S509" s="39">
        <f>MIN(Tabla3[[#This Row],[VALOR TOTAL ]],Tabla3[[#This Row],[VALOR TOTAL]])</f>
        <v>60000</v>
      </c>
      <c r="T509" s="39">
        <f>AVERAGE(Tabla3[[#This Row],[VALOR TOTAL ]:[VALOR TOTAL]])</f>
        <v>61800</v>
      </c>
    </row>
    <row r="510" spans="1:20" x14ac:dyDescent="0.2">
      <c r="A510" s="179" t="s">
        <v>725</v>
      </c>
      <c r="B510" s="203" t="s">
        <v>726</v>
      </c>
      <c r="C510" s="204" t="s">
        <v>6</v>
      </c>
      <c r="D510" s="178">
        <v>2</v>
      </c>
      <c r="E510" s="19">
        <v>65000</v>
      </c>
      <c r="F510" s="250">
        <f>Tabla3[[#This Row],[VALOR UNITARIO ]]*Tabla3[[#This Row],[CANTIDAD ]]</f>
        <v>130000</v>
      </c>
      <c r="G510" s="39">
        <f>102830*1.3</f>
        <v>133679</v>
      </c>
      <c r="H510" s="39">
        <f>Tabla3[[#This Row],[VALOR UNITARIO]]*Tabla3[[#This Row],[CANTIDAD ]]</f>
        <v>267358</v>
      </c>
      <c r="I510" s="250">
        <f>Tabla3[[#This Row],[VALOR TOTAL]]*Tabla3[[#This Row],[CANTIDAD ]]</f>
        <v>534716</v>
      </c>
      <c r="J510" s="250"/>
      <c r="K510" s="250"/>
      <c r="L510" s="250"/>
      <c r="M510" s="250"/>
      <c r="N510" s="250"/>
      <c r="O510" s="250"/>
      <c r="P510" s="240"/>
      <c r="R510" s="39">
        <f>MAX(Tabla3[[#This Row],[VALOR TOTAL]],Tabla3[[#This Row],[VALOR TOTAL ]])</f>
        <v>267358</v>
      </c>
      <c r="S510" s="39">
        <f>MIN(Tabla3[[#This Row],[VALOR TOTAL ]],Tabla3[[#This Row],[VALOR TOTAL]])</f>
        <v>130000</v>
      </c>
      <c r="T510" s="39">
        <f>AVERAGE(Tabla3[[#This Row],[VALOR TOTAL ]:[VALOR TOTAL]])</f>
        <v>177012.33333333334</v>
      </c>
    </row>
    <row r="511" spans="1:20" ht="24" x14ac:dyDescent="0.2">
      <c r="A511" s="20" t="s">
        <v>727</v>
      </c>
      <c r="B511" s="203" t="s">
        <v>728</v>
      </c>
      <c r="C511" s="204" t="s">
        <v>6</v>
      </c>
      <c r="D511" s="178">
        <v>1</v>
      </c>
      <c r="E511" s="19">
        <v>850000</v>
      </c>
      <c r="F511" s="250">
        <f>Tabla3[[#This Row],[VALOR UNITARIO ]]*Tabla3[[#This Row],[CANTIDAD ]]</f>
        <v>850000</v>
      </c>
      <c r="G511" s="39">
        <f>170900*1.2</f>
        <v>205080</v>
      </c>
      <c r="H511" s="39">
        <f>Tabla3[[#This Row],[VALOR UNITARIO]]*Tabla3[[#This Row],[CANTIDAD ]]</f>
        <v>205080</v>
      </c>
      <c r="I511" s="250">
        <f>Tabla3[[#This Row],[VALOR TOTAL]]*Tabla3[[#This Row],[CANTIDAD ]]</f>
        <v>205080</v>
      </c>
      <c r="J511" s="250"/>
      <c r="K511" s="250"/>
      <c r="L511" s="250"/>
      <c r="M511" s="250"/>
      <c r="N511" s="250"/>
      <c r="O511" s="250"/>
      <c r="P511" s="240"/>
      <c r="R511" s="39">
        <f>MAX(Tabla3[[#This Row],[VALOR TOTAL]],Tabla3[[#This Row],[VALOR TOTAL ]])</f>
        <v>850000</v>
      </c>
      <c r="S511" s="39">
        <f>MIN(Tabla3[[#This Row],[VALOR TOTAL ]],Tabla3[[#This Row],[VALOR TOTAL]])</f>
        <v>205080</v>
      </c>
      <c r="T511" s="39">
        <f>AVERAGE(Tabla3[[#This Row],[VALOR TOTAL ]:[VALOR TOTAL]])</f>
        <v>420053.33333333331</v>
      </c>
    </row>
    <row r="512" spans="1:20" ht="24" x14ac:dyDescent="0.2">
      <c r="A512" s="179" t="s">
        <v>729</v>
      </c>
      <c r="B512" s="24" t="s">
        <v>61</v>
      </c>
      <c r="C512" s="22" t="s">
        <v>14</v>
      </c>
      <c r="D512" s="178">
        <v>5</v>
      </c>
      <c r="E512" s="19">
        <v>46000</v>
      </c>
      <c r="F512" s="250">
        <f>Tabla3[[#This Row],[VALOR UNITARIO ]]*Tabla3[[#This Row],[CANTIDAD ]]</f>
        <v>230000</v>
      </c>
      <c r="G512" s="39">
        <v>57837</v>
      </c>
      <c r="H512" s="39">
        <f>Tabla3[[#This Row],[VALOR UNITARIO]]*Tabla3[[#This Row],[CANTIDAD ]]</f>
        <v>289185</v>
      </c>
      <c r="I512" s="250">
        <f>Tabla3[[#This Row],[VALOR TOTAL]]*Tabla3[[#This Row],[CANTIDAD ]]</f>
        <v>1445925</v>
      </c>
      <c r="J512" s="250"/>
      <c r="K512" s="250"/>
      <c r="L512" s="250"/>
      <c r="M512" s="250"/>
      <c r="N512" s="250"/>
      <c r="O512" s="250"/>
      <c r="P512" s="240"/>
      <c r="R512" s="39">
        <f>MAX(Tabla3[[#This Row],[VALOR TOTAL]],Tabla3[[#This Row],[VALOR TOTAL ]])</f>
        <v>289185</v>
      </c>
      <c r="S512" s="39">
        <f>MIN(Tabla3[[#This Row],[VALOR TOTAL ]],Tabla3[[#This Row],[VALOR TOTAL]])</f>
        <v>230000</v>
      </c>
      <c r="T512" s="39">
        <f>AVERAGE(Tabla3[[#This Row],[VALOR TOTAL ]:[VALOR TOTAL]])</f>
        <v>192340.66666666666</v>
      </c>
    </row>
    <row r="513" spans="1:20" ht="24" x14ac:dyDescent="0.2">
      <c r="A513" s="20" t="s">
        <v>730</v>
      </c>
      <c r="B513" s="24" t="s">
        <v>731</v>
      </c>
      <c r="C513" s="22" t="s">
        <v>19</v>
      </c>
      <c r="D513" s="178">
        <v>12</v>
      </c>
      <c r="E513" s="19">
        <v>38000</v>
      </c>
      <c r="F513" s="250">
        <f>Tabla3[[#This Row],[VALOR UNITARIO ]]*Tabla3[[#This Row],[CANTIDAD ]]</f>
        <v>456000</v>
      </c>
      <c r="G513" s="39">
        <v>44980</v>
      </c>
      <c r="H513" s="39">
        <f>Tabla3[[#This Row],[VALOR UNITARIO]]*Tabla3[[#This Row],[CANTIDAD ]]</f>
        <v>539760</v>
      </c>
      <c r="I513" s="250">
        <f>Tabla3[[#This Row],[VALOR TOTAL]]*Tabla3[[#This Row],[CANTIDAD ]]</f>
        <v>6477120</v>
      </c>
      <c r="J513" s="250"/>
      <c r="K513" s="250"/>
      <c r="L513" s="250"/>
      <c r="M513" s="250"/>
      <c r="N513" s="250"/>
      <c r="O513" s="250"/>
      <c r="P513" s="240"/>
      <c r="R513" s="39">
        <f>MAX(Tabla3[[#This Row],[VALOR TOTAL]],Tabla3[[#This Row],[VALOR TOTAL ]])</f>
        <v>539760</v>
      </c>
      <c r="S513" s="39">
        <f>MIN(Tabla3[[#This Row],[VALOR TOTAL ]],Tabla3[[#This Row],[VALOR TOTAL]])</f>
        <v>456000</v>
      </c>
      <c r="T513" s="39">
        <f>AVERAGE(Tabla3[[#This Row],[VALOR TOTAL ]:[VALOR TOTAL]])</f>
        <v>346913.33333333331</v>
      </c>
    </row>
    <row r="514" spans="1:20" x14ac:dyDescent="0.2">
      <c r="A514" s="179" t="s">
        <v>732</v>
      </c>
      <c r="B514" s="24" t="s">
        <v>195</v>
      </c>
      <c r="C514" s="22" t="s">
        <v>19</v>
      </c>
      <c r="D514" s="178">
        <v>390</v>
      </c>
      <c r="E514" s="19">
        <v>7000</v>
      </c>
      <c r="F514" s="250">
        <f>Tabla3[[#This Row],[VALOR UNITARIO ]]*Tabla3[[#This Row],[CANTIDAD ]]</f>
        <v>2730000</v>
      </c>
      <c r="G514" s="39">
        <v>4200</v>
      </c>
      <c r="H514" s="39">
        <f>Tabla3[[#This Row],[VALOR UNITARIO]]*Tabla3[[#This Row],[CANTIDAD ]]</f>
        <v>1638000</v>
      </c>
      <c r="I514" s="250">
        <f>Tabla3[[#This Row],[VALOR TOTAL]]*Tabla3[[#This Row],[CANTIDAD ]]</f>
        <v>638820000</v>
      </c>
      <c r="J514" s="250"/>
      <c r="K514" s="250"/>
      <c r="L514" s="250"/>
      <c r="M514" s="250"/>
      <c r="N514" s="250"/>
      <c r="O514" s="250"/>
      <c r="P514" s="240"/>
      <c r="R514" s="39">
        <f>MAX(Tabla3[[#This Row],[VALOR TOTAL]],Tabla3[[#This Row],[VALOR TOTAL ]])</f>
        <v>2730000</v>
      </c>
      <c r="S514" s="39">
        <f>MIN(Tabla3[[#This Row],[VALOR TOTAL ]],Tabla3[[#This Row],[VALOR TOTAL]])</f>
        <v>1638000</v>
      </c>
      <c r="T514" s="39">
        <f>AVERAGE(Tabla3[[#This Row],[VALOR TOTAL ]:[VALOR TOTAL]])</f>
        <v>1457400</v>
      </c>
    </row>
    <row r="515" spans="1:20" x14ac:dyDescent="0.2">
      <c r="A515" s="182" t="s">
        <v>733</v>
      </c>
      <c r="B515" s="8" t="s">
        <v>734</v>
      </c>
      <c r="C515" s="35"/>
      <c r="D515" s="225"/>
      <c r="E515" s="19"/>
      <c r="F515" s="250">
        <f>Tabla3[[#This Row],[VALOR UNITARIO ]]*Tabla3[[#This Row],[CANTIDAD ]]</f>
        <v>0</v>
      </c>
      <c r="G515" s="119"/>
      <c r="H515" s="39">
        <f>Tabla3[[#This Row],[VALOR UNITARIO]]*Tabla3[[#This Row],[CANTIDAD ]]</f>
        <v>0</v>
      </c>
      <c r="I515" s="250">
        <f>Tabla3[[#This Row],[VALOR TOTAL]]*Tabla3[[#This Row],[CANTIDAD ]]</f>
        <v>0</v>
      </c>
      <c r="J515" s="250"/>
      <c r="K515" s="250"/>
      <c r="L515" s="250"/>
      <c r="M515" s="250"/>
      <c r="N515" s="250"/>
      <c r="O515" s="250"/>
      <c r="P515" s="240"/>
      <c r="R515" s="39">
        <f>MAX(Tabla3[[#This Row],[VALOR TOTAL]],Tabla3[[#This Row],[VALOR TOTAL ]])</f>
        <v>0</v>
      </c>
      <c r="S515" s="39">
        <f>MIN(Tabla3[[#This Row],[VALOR TOTAL ]],Tabla3[[#This Row],[VALOR TOTAL]])</f>
        <v>0</v>
      </c>
      <c r="T515" s="39">
        <f>AVERAGE(Tabla3[[#This Row],[VALOR TOTAL ]:[VALOR TOTAL]])</f>
        <v>0</v>
      </c>
    </row>
    <row r="516" spans="1:20" x14ac:dyDescent="0.2">
      <c r="A516" s="226" t="s">
        <v>735</v>
      </c>
      <c r="B516" s="24" t="s">
        <v>736</v>
      </c>
      <c r="C516" s="22" t="s">
        <v>19</v>
      </c>
      <c r="D516" s="174">
        <v>80</v>
      </c>
      <c r="E516" s="19">
        <v>17000</v>
      </c>
      <c r="F516" s="250">
        <f>Tabla3[[#This Row],[VALOR UNITARIO ]]*Tabla3[[#This Row],[CANTIDAD ]]</f>
        <v>1360000</v>
      </c>
      <c r="G516" s="39">
        <v>10000</v>
      </c>
      <c r="H516" s="39">
        <f>Tabla3[[#This Row],[VALOR UNITARIO]]*Tabla3[[#This Row],[CANTIDAD ]]</f>
        <v>800000</v>
      </c>
      <c r="I516" s="250">
        <f>Tabla3[[#This Row],[VALOR TOTAL]]*Tabla3[[#This Row],[CANTIDAD ]]</f>
        <v>64000000</v>
      </c>
      <c r="J516" s="250"/>
      <c r="K516" s="250"/>
      <c r="L516" s="250"/>
      <c r="M516" s="250"/>
      <c r="N516" s="250"/>
      <c r="O516" s="250"/>
      <c r="P516" s="240"/>
      <c r="R516" s="39">
        <f>MAX(Tabla3[[#This Row],[VALOR TOTAL]],Tabla3[[#This Row],[VALOR TOTAL ]])</f>
        <v>1360000</v>
      </c>
      <c r="S516" s="39">
        <f>MIN(Tabla3[[#This Row],[VALOR TOTAL ]],Tabla3[[#This Row],[VALOR TOTAL]])</f>
        <v>800000</v>
      </c>
      <c r="T516" s="39">
        <f>AVERAGE(Tabla3[[#This Row],[VALOR TOTAL ]:[VALOR TOTAL]])</f>
        <v>723333.33333333337</v>
      </c>
    </row>
    <row r="517" spans="1:20" x14ac:dyDescent="0.2">
      <c r="A517" s="179" t="s">
        <v>737</v>
      </c>
      <c r="B517" s="24" t="s">
        <v>738</v>
      </c>
      <c r="C517" s="22" t="s">
        <v>19</v>
      </c>
      <c r="D517" s="174">
        <v>80</v>
      </c>
      <c r="E517" s="19">
        <v>5000</v>
      </c>
      <c r="F517" s="250">
        <f>Tabla3[[#This Row],[VALOR UNITARIO ]]*Tabla3[[#This Row],[CANTIDAD ]]</f>
        <v>400000</v>
      </c>
      <c r="G517" s="266">
        <v>0</v>
      </c>
      <c r="H517" s="39">
        <f>Tabla3[[#This Row],[VALOR UNITARIO]]*Tabla3[[#This Row],[CANTIDAD ]]</f>
        <v>0</v>
      </c>
      <c r="I517" s="250">
        <f>Tabla3[[#This Row],[VALOR TOTAL]]*Tabla3[[#This Row],[CANTIDAD ]]</f>
        <v>0</v>
      </c>
      <c r="J517" s="250"/>
      <c r="K517" s="250"/>
      <c r="L517" s="250"/>
      <c r="M517" s="250"/>
      <c r="N517" s="250"/>
      <c r="O517" s="250"/>
      <c r="P517" s="240"/>
      <c r="R517" s="39">
        <f>MAX(Tabla3[[#This Row],[VALOR TOTAL]],Tabla3[[#This Row],[VALOR TOTAL ]])</f>
        <v>400000</v>
      </c>
      <c r="S517" s="39">
        <f>MIN(Tabla3[[#This Row],[VALOR TOTAL ]],Tabla3[[#This Row],[VALOR TOTAL]])</f>
        <v>0</v>
      </c>
      <c r="T517" s="39">
        <f>AVERAGE(Tabla3[[#This Row],[VALOR TOTAL ]:[VALOR TOTAL]])</f>
        <v>133333.33333333334</v>
      </c>
    </row>
    <row r="518" spans="1:20" ht="24" x14ac:dyDescent="0.2">
      <c r="A518" s="227" t="s">
        <v>739</v>
      </c>
      <c r="B518" s="48" t="s">
        <v>740</v>
      </c>
      <c r="C518" s="22" t="s">
        <v>19</v>
      </c>
      <c r="D518" s="174">
        <v>80</v>
      </c>
      <c r="E518" s="19">
        <v>20000</v>
      </c>
      <c r="F518" s="250">
        <f>Tabla3[[#This Row],[VALOR UNITARIO ]]*Tabla3[[#This Row],[CANTIDAD ]]</f>
        <v>1600000</v>
      </c>
      <c r="G518" s="266">
        <v>0</v>
      </c>
      <c r="H518" s="39">
        <f>Tabla3[[#This Row],[VALOR UNITARIO]]*Tabla3[[#This Row],[CANTIDAD ]]</f>
        <v>0</v>
      </c>
      <c r="I518" s="250">
        <f>Tabla3[[#This Row],[VALOR TOTAL]]*Tabla3[[#This Row],[CANTIDAD ]]</f>
        <v>0</v>
      </c>
      <c r="J518" s="250"/>
      <c r="K518" s="250"/>
      <c r="L518" s="250"/>
      <c r="M518" s="250"/>
      <c r="N518" s="250"/>
      <c r="O518" s="250"/>
      <c r="P518" s="240"/>
      <c r="R518" s="39">
        <f>MAX(Tabla3[[#This Row],[VALOR TOTAL]],Tabla3[[#This Row],[VALOR TOTAL ]])</f>
        <v>1600000</v>
      </c>
      <c r="S518" s="39">
        <f>MIN(Tabla3[[#This Row],[VALOR TOTAL ]],Tabla3[[#This Row],[VALOR TOTAL]])</f>
        <v>0</v>
      </c>
      <c r="T518" s="39">
        <f>AVERAGE(Tabla3[[#This Row],[VALOR TOTAL ]:[VALOR TOTAL]])</f>
        <v>533333.33333333337</v>
      </c>
    </row>
    <row r="519" spans="1:20" x14ac:dyDescent="0.2">
      <c r="A519" s="136"/>
      <c r="B519" s="161"/>
      <c r="C519" s="108" t="s">
        <v>196</v>
      </c>
      <c r="D519" s="109"/>
      <c r="F519" s="258">
        <f>SUM(F478:F518)</f>
        <v>122634000</v>
      </c>
      <c r="H519" s="39">
        <f>SUM(H478:H518)</f>
        <v>83525445</v>
      </c>
      <c r="I519" s="270">
        <f>Tabla3[[#This Row],[VALOR TOTAL]]*Tabla3[[#This Row],[CANTIDAD ]]</f>
        <v>0</v>
      </c>
      <c r="P519" s="240"/>
      <c r="R519" s="39"/>
      <c r="S519" s="39"/>
      <c r="T519" s="39"/>
    </row>
    <row r="520" spans="1:20" x14ac:dyDescent="0.2">
      <c r="A520" s="138"/>
      <c r="B520" s="163"/>
      <c r="C520" s="95" t="s">
        <v>197</v>
      </c>
      <c r="D520" s="96"/>
      <c r="E520" s="97">
        <v>0.25</v>
      </c>
      <c r="F520" s="255">
        <f>F519*Tabla3[[#This Row],[VALOR UNITARIO ]]</f>
        <v>30658500</v>
      </c>
      <c r="G520" s="249">
        <v>0.24</v>
      </c>
      <c r="H520" s="39">
        <f>H519*Tabla3[[#This Row],[VALOR UNITARIO]]</f>
        <v>20046106.800000001</v>
      </c>
      <c r="I520" s="271">
        <f>Tabla3[[#This Row],[VALOR TOTAL]]*Tabla3[[#This Row],[CANTIDAD ]]</f>
        <v>0</v>
      </c>
      <c r="J520" s="249"/>
      <c r="K520" s="249"/>
      <c r="L520" s="249"/>
      <c r="M520" s="249"/>
      <c r="N520" s="249"/>
      <c r="O520" s="249"/>
      <c r="P520" s="240"/>
      <c r="R520" s="39"/>
      <c r="S520" s="39"/>
      <c r="T520" s="39"/>
    </row>
    <row r="521" spans="1:20" x14ac:dyDescent="0.2">
      <c r="A521" s="138"/>
      <c r="B521" s="163"/>
      <c r="C521" s="95" t="s">
        <v>198</v>
      </c>
      <c r="D521" s="96"/>
      <c r="E521" s="97">
        <v>0.05</v>
      </c>
      <c r="F521" s="255">
        <f>F519*Tabla3[[#This Row],[VALOR UNITARIO ]]</f>
        <v>6131700</v>
      </c>
      <c r="G521" s="249">
        <v>0.01</v>
      </c>
      <c r="H521" s="39">
        <f>H519*Tabla3[[#This Row],[VALOR UNITARIO]]</f>
        <v>835254.45000000007</v>
      </c>
      <c r="I521" s="271">
        <f>Tabla3[[#This Row],[VALOR TOTAL]]*Tabla3[[#This Row],[CANTIDAD ]]</f>
        <v>0</v>
      </c>
      <c r="J521" s="249"/>
      <c r="K521" s="249"/>
      <c r="L521" s="249"/>
      <c r="M521" s="249"/>
      <c r="N521" s="249"/>
      <c r="O521" s="249"/>
      <c r="P521" s="240"/>
      <c r="R521" s="39"/>
      <c r="S521" s="39"/>
      <c r="T521" s="39"/>
    </row>
    <row r="522" spans="1:20" x14ac:dyDescent="0.2">
      <c r="A522" s="138"/>
      <c r="B522" s="163"/>
      <c r="C522" s="95" t="s">
        <v>199</v>
      </c>
      <c r="D522" s="96"/>
      <c r="E522" s="97">
        <v>0.02</v>
      </c>
      <c r="F522" s="255">
        <f>F519*Tabla3[[#This Row],[VALOR UNITARIO ]]</f>
        <v>2452680</v>
      </c>
      <c r="G522" s="249">
        <v>0.05</v>
      </c>
      <c r="H522" s="39">
        <f>H519*Tabla3[[#This Row],[VALOR UNITARIO]]</f>
        <v>4176272.25</v>
      </c>
      <c r="I522" s="271">
        <f>Tabla3[[#This Row],[VALOR TOTAL]]*Tabla3[[#This Row],[CANTIDAD ]]</f>
        <v>0</v>
      </c>
      <c r="J522" s="249"/>
      <c r="K522" s="249"/>
      <c r="L522" s="249"/>
      <c r="M522" s="249"/>
      <c r="N522" s="249"/>
      <c r="O522" s="249"/>
      <c r="P522" s="240"/>
      <c r="R522" s="39"/>
      <c r="S522" s="39"/>
      <c r="T522" s="39"/>
    </row>
    <row r="523" spans="1:20" x14ac:dyDescent="0.2">
      <c r="A523" s="138"/>
      <c r="B523" s="163"/>
      <c r="C523" s="95" t="s">
        <v>200</v>
      </c>
      <c r="D523" s="96"/>
      <c r="E523" s="97">
        <v>0.19</v>
      </c>
      <c r="F523" s="255">
        <f>F522*Tabla3[[#This Row],[VALOR UNITARIO ]]</f>
        <v>466009.2</v>
      </c>
      <c r="G523" s="249">
        <v>0.19</v>
      </c>
      <c r="H523" s="39">
        <f>H522*Tabla3[[#This Row],[VALOR UNITARIO]]</f>
        <v>793491.72750000004</v>
      </c>
      <c r="I523" s="271">
        <f>Tabla3[[#This Row],[VALOR TOTAL]]*Tabla3[[#This Row],[CANTIDAD ]]</f>
        <v>0</v>
      </c>
      <c r="J523" s="249"/>
      <c r="K523" s="249"/>
      <c r="L523" s="249"/>
      <c r="M523" s="249"/>
      <c r="N523" s="249"/>
      <c r="O523" s="249"/>
      <c r="P523" s="240"/>
      <c r="R523" s="39"/>
      <c r="S523" s="39"/>
      <c r="T523" s="39"/>
    </row>
    <row r="524" spans="1:20" x14ac:dyDescent="0.2">
      <c r="A524" s="221"/>
      <c r="B524" s="165"/>
      <c r="C524" s="91" t="s">
        <v>201</v>
      </c>
      <c r="D524" s="100"/>
      <c r="F524" s="258">
        <f>SUM(F519:F523)</f>
        <v>162342889.19999999</v>
      </c>
      <c r="H524" s="272">
        <f>SUM(H519:H523)</f>
        <v>109376570.22750001</v>
      </c>
      <c r="I524" s="270">
        <f>Tabla3[[#This Row],[VALOR TOTAL]]*Tabla3[[#This Row],[CANTIDAD ]]</f>
        <v>0</v>
      </c>
      <c r="P524" s="240"/>
      <c r="R524" s="272"/>
      <c r="S524" s="272"/>
      <c r="T524" s="272"/>
    </row>
    <row r="525" spans="1:20" x14ac:dyDescent="0.2">
      <c r="A525" s="101" t="s">
        <v>741</v>
      </c>
      <c r="B525" s="102" t="s">
        <v>742</v>
      </c>
      <c r="C525" s="228"/>
      <c r="D525" s="228"/>
      <c r="F525" s="254"/>
      <c r="H525" s="39"/>
      <c r="I525" s="270">
        <f>Tabla3[[#This Row],[VALOR TOTAL]]*Tabla3[[#This Row],[CANTIDAD ]]</f>
        <v>0</v>
      </c>
      <c r="P525" s="240"/>
      <c r="R525" s="39"/>
      <c r="S525" s="39"/>
      <c r="T525" s="39"/>
    </row>
    <row r="526" spans="1:20" x14ac:dyDescent="0.2">
      <c r="A526" s="209" t="s">
        <v>743</v>
      </c>
      <c r="B526" s="229" t="s">
        <v>744</v>
      </c>
      <c r="C526" s="230"/>
      <c r="D526" s="225"/>
      <c r="F526" s="254"/>
      <c r="H526" s="39"/>
      <c r="I526" s="270">
        <f>Tabla3[[#This Row],[VALOR TOTAL]]*Tabla3[[#This Row],[CANTIDAD ]]</f>
        <v>0</v>
      </c>
      <c r="P526" s="240"/>
      <c r="R526" s="39"/>
      <c r="S526" s="39"/>
      <c r="T526" s="39"/>
    </row>
    <row r="527" spans="1:20" ht="36" x14ac:dyDescent="0.2">
      <c r="A527" s="119" t="s">
        <v>745</v>
      </c>
      <c r="B527" s="48" t="s">
        <v>746</v>
      </c>
      <c r="C527" s="200" t="s">
        <v>19</v>
      </c>
      <c r="D527" s="178">
        <v>156</v>
      </c>
      <c r="E527" s="19">
        <v>145000</v>
      </c>
      <c r="F527" s="250">
        <f>Tabla3[[#This Row],[VALOR UNITARIO ]]*Tabla3[[#This Row],[CANTIDAD ]]</f>
        <v>22620000</v>
      </c>
      <c r="G527" s="39">
        <f>11810+G528+(80000/5)</f>
        <v>64150</v>
      </c>
      <c r="H527" s="39">
        <f>Tabla3[[#This Row],[VALOR UNITARIO]]*Tabla3[[#This Row],[CANTIDAD ]]</f>
        <v>10007400</v>
      </c>
      <c r="I527" s="250">
        <f>Tabla3[[#This Row],[VALOR TOTAL]]*Tabla3[[#This Row],[CANTIDAD ]]</f>
        <v>1561154400</v>
      </c>
      <c r="J527" s="250"/>
      <c r="K527" s="250"/>
      <c r="L527" s="250"/>
      <c r="M527" s="250"/>
      <c r="N527" s="250"/>
      <c r="O527" s="250"/>
      <c r="P527" s="240"/>
      <c r="R527" s="39">
        <f>MAX(Tabla3[[#This Row],[VALOR TOTAL]],Tabla3[[#This Row],[VALOR TOTAL ]])</f>
        <v>22620000</v>
      </c>
      <c r="S527" s="39">
        <f>MIN(Tabla3[[#This Row],[VALOR TOTAL ]],Tabla3[[#This Row],[VALOR TOTAL]])</f>
        <v>10007400</v>
      </c>
      <c r="T527" s="39">
        <f>AVERAGE(Tabla3[[#This Row],[VALOR TOTAL ]:[VALOR TOTAL]])</f>
        <v>10897183.333333334</v>
      </c>
    </row>
    <row r="528" spans="1:20" x14ac:dyDescent="0.2">
      <c r="A528" s="119" t="s">
        <v>747</v>
      </c>
      <c r="B528" s="24" t="s">
        <v>748</v>
      </c>
      <c r="C528" s="22" t="s">
        <v>19</v>
      </c>
      <c r="D528" s="178">
        <v>24</v>
      </c>
      <c r="E528" s="19">
        <v>45000</v>
      </c>
      <c r="F528" s="250">
        <f>Tabla3[[#This Row],[VALOR UNITARIO ]]*Tabla3[[#This Row],[CANTIDAD ]]</f>
        <v>1080000</v>
      </c>
      <c r="G528" s="39">
        <v>36340</v>
      </c>
      <c r="H528" s="39">
        <f>Tabla3[[#This Row],[VALOR UNITARIO]]*Tabla3[[#This Row],[CANTIDAD ]]</f>
        <v>872160</v>
      </c>
      <c r="I528" s="250">
        <f>Tabla3[[#This Row],[VALOR TOTAL]]*Tabla3[[#This Row],[CANTIDAD ]]</f>
        <v>20931840</v>
      </c>
      <c r="J528" s="250"/>
      <c r="K528" s="250"/>
      <c r="L528" s="250"/>
      <c r="M528" s="250"/>
      <c r="N528" s="250"/>
      <c r="O528" s="250"/>
      <c r="P528" s="240"/>
      <c r="R528" s="39">
        <f>MAX(Tabla3[[#This Row],[VALOR TOTAL]],Tabla3[[#This Row],[VALOR TOTAL ]])</f>
        <v>1080000</v>
      </c>
      <c r="S528" s="39">
        <f>MIN(Tabla3[[#This Row],[VALOR TOTAL ]],Tabla3[[#This Row],[VALOR TOTAL]])</f>
        <v>872160</v>
      </c>
      <c r="T528" s="39">
        <f>AVERAGE(Tabla3[[#This Row],[VALOR TOTAL ]:[VALOR TOTAL]])</f>
        <v>662833.33333333337</v>
      </c>
    </row>
    <row r="529" spans="1:20" ht="24" x14ac:dyDescent="0.2">
      <c r="A529" s="183" t="s">
        <v>749</v>
      </c>
      <c r="B529" s="48" t="s">
        <v>61</v>
      </c>
      <c r="C529" s="22" t="s">
        <v>14</v>
      </c>
      <c r="D529" s="231">
        <v>24</v>
      </c>
      <c r="E529" s="19">
        <v>46000</v>
      </c>
      <c r="F529" s="250">
        <f>Tabla3[[#This Row],[VALOR UNITARIO ]]*Tabla3[[#This Row],[CANTIDAD ]]</f>
        <v>1104000</v>
      </c>
      <c r="G529" s="39">
        <v>57837</v>
      </c>
      <c r="H529" s="39">
        <f>Tabla3[[#This Row],[VALOR UNITARIO]]*Tabla3[[#This Row],[CANTIDAD ]]</f>
        <v>1388088</v>
      </c>
      <c r="I529" s="250">
        <f>Tabla3[[#This Row],[VALOR TOTAL]]*Tabla3[[#This Row],[CANTIDAD ]]</f>
        <v>33314112</v>
      </c>
      <c r="J529" s="250"/>
      <c r="K529" s="250"/>
      <c r="L529" s="250"/>
      <c r="M529" s="250"/>
      <c r="N529" s="250"/>
      <c r="O529" s="250"/>
      <c r="P529" s="240"/>
      <c r="R529" s="39">
        <f>MAX(Tabla3[[#This Row],[VALOR TOTAL]],Tabla3[[#This Row],[VALOR TOTAL ]])</f>
        <v>1388088</v>
      </c>
      <c r="S529" s="39">
        <f>MIN(Tabla3[[#This Row],[VALOR TOTAL ]],Tabla3[[#This Row],[VALOR TOTAL]])</f>
        <v>1104000</v>
      </c>
      <c r="T529" s="39">
        <f>AVERAGE(Tabla3[[#This Row],[VALOR TOTAL ]:[VALOR TOTAL]])</f>
        <v>849975</v>
      </c>
    </row>
    <row r="530" spans="1:20" x14ac:dyDescent="0.2">
      <c r="A530" s="119" t="s">
        <v>752</v>
      </c>
      <c r="B530" s="232" t="s">
        <v>195</v>
      </c>
      <c r="C530" s="233" t="s">
        <v>19</v>
      </c>
      <c r="D530" s="178">
        <v>156</v>
      </c>
      <c r="E530" s="19">
        <v>7000</v>
      </c>
      <c r="F530" s="250">
        <f>Tabla3[[#This Row],[VALOR UNITARIO ]]*Tabla3[[#This Row],[CANTIDAD ]]</f>
        <v>1092000</v>
      </c>
      <c r="G530" s="39">
        <v>4200</v>
      </c>
      <c r="H530" s="39">
        <f>Tabla3[[#This Row],[VALOR UNITARIO]]*Tabla3[[#This Row],[CANTIDAD ]]</f>
        <v>655200</v>
      </c>
      <c r="I530" s="250">
        <f>Tabla3[[#This Row],[VALOR TOTAL]]*Tabla3[[#This Row],[CANTIDAD ]]</f>
        <v>102211200</v>
      </c>
      <c r="J530" s="250"/>
      <c r="K530" s="250"/>
      <c r="L530" s="250"/>
      <c r="M530" s="250"/>
      <c r="N530" s="250"/>
      <c r="O530" s="250"/>
      <c r="P530" s="240"/>
      <c r="R530" s="39">
        <f>MAX(Tabla3[[#This Row],[VALOR TOTAL]],Tabla3[[#This Row],[VALOR TOTAL ]])</f>
        <v>1092000</v>
      </c>
      <c r="S530" s="39">
        <f>MIN(Tabla3[[#This Row],[VALOR TOTAL ]],Tabla3[[#This Row],[VALOR TOTAL]])</f>
        <v>655200</v>
      </c>
      <c r="T530" s="39">
        <f>AVERAGE(Tabla3[[#This Row],[VALOR TOTAL ]:[VALOR TOTAL]])</f>
        <v>583800</v>
      </c>
    </row>
    <row r="531" spans="1:20" x14ac:dyDescent="0.2">
      <c r="A531" s="136"/>
      <c r="B531" s="234"/>
      <c r="C531" s="235" t="s">
        <v>196</v>
      </c>
      <c r="D531" s="236"/>
      <c r="F531" s="258">
        <f>SUM(F527:F530)</f>
        <v>25896000</v>
      </c>
      <c r="H531" s="39">
        <f>SUM(H527:H530)</f>
        <v>12922848</v>
      </c>
      <c r="I531" s="270">
        <f>Tabla3[[#This Row],[VALOR TOTAL]]*Tabla3[[#This Row],[CANTIDAD ]]</f>
        <v>0</v>
      </c>
      <c r="P531" s="240">
        <f>Tabla3[[#This Row],[VALOR UNITARIO ]]*Tabla3[[#This Row],[CANTIDAD ]]</f>
        <v>0</v>
      </c>
      <c r="R531" s="39"/>
      <c r="S531" s="39"/>
      <c r="T531" s="39"/>
    </row>
    <row r="532" spans="1:20" x14ac:dyDescent="0.2">
      <c r="A532" s="188"/>
      <c r="B532" s="163"/>
      <c r="C532" s="95" t="s">
        <v>197</v>
      </c>
      <c r="D532" s="96"/>
      <c r="E532" s="97">
        <v>0.35</v>
      </c>
      <c r="F532" s="255">
        <f>F531*Tabla3[[#This Row],[VALOR UNITARIO ]]</f>
        <v>9063600</v>
      </c>
      <c r="G532" s="249">
        <v>0.24</v>
      </c>
      <c r="H532" s="39">
        <f>H531*Tabla3[[#This Row],[VALOR UNITARIO]]</f>
        <v>3101483.52</v>
      </c>
      <c r="I532" s="271">
        <f>Tabla3[[#This Row],[VALOR TOTAL]]*Tabla3[[#This Row],[CANTIDAD ]]</f>
        <v>0</v>
      </c>
      <c r="J532" s="249"/>
      <c r="K532" s="249"/>
      <c r="L532" s="249"/>
      <c r="M532" s="249"/>
      <c r="N532" s="249"/>
      <c r="O532" s="249"/>
      <c r="P532" s="240">
        <f>Tabla3[[#This Row],[VALOR UNITARIO ]]*Tabla3[[#This Row],[CANTIDAD ]]</f>
        <v>0</v>
      </c>
      <c r="R532" s="39"/>
      <c r="S532" s="39"/>
      <c r="T532" s="39"/>
    </row>
    <row r="533" spans="1:20" x14ac:dyDescent="0.2">
      <c r="A533" s="138"/>
      <c r="B533" s="163"/>
      <c r="C533" s="95" t="s">
        <v>198</v>
      </c>
      <c r="D533" s="96"/>
      <c r="E533" s="97">
        <v>0.02</v>
      </c>
      <c r="F533" s="255">
        <f>F531*Tabla3[[#This Row],[VALOR UNITARIO ]]</f>
        <v>517920</v>
      </c>
      <c r="G533" s="249">
        <v>0.01</v>
      </c>
      <c r="H533" s="39">
        <f>H531*Tabla3[[#This Row],[VALOR UNITARIO]]</f>
        <v>129228.48</v>
      </c>
      <c r="I533" s="271">
        <f>Tabla3[[#This Row],[VALOR TOTAL]]*Tabla3[[#This Row],[CANTIDAD ]]</f>
        <v>0</v>
      </c>
      <c r="J533" s="249"/>
      <c r="K533" s="249"/>
      <c r="L533" s="249"/>
      <c r="M533" s="249"/>
      <c r="N533" s="249"/>
      <c r="O533" s="249"/>
      <c r="P533" s="240">
        <f>Tabla3[[#This Row],[VALOR UNITARIO ]]*Tabla3[[#This Row],[CANTIDAD ]]</f>
        <v>0</v>
      </c>
      <c r="R533" s="39"/>
      <c r="S533" s="39"/>
      <c r="T533" s="39"/>
    </row>
    <row r="534" spans="1:20" x14ac:dyDescent="0.2">
      <c r="A534" s="188"/>
      <c r="B534" s="163"/>
      <c r="C534" s="95" t="s">
        <v>199</v>
      </c>
      <c r="D534" s="96"/>
      <c r="E534" s="97">
        <v>0.05</v>
      </c>
      <c r="F534" s="255">
        <f>F531*Tabla3[[#This Row],[VALOR UNITARIO ]]</f>
        <v>1294800</v>
      </c>
      <c r="G534" s="249">
        <v>0.05</v>
      </c>
      <c r="H534" s="39">
        <f>H531*Tabla3[[#This Row],[VALOR UNITARIO]]</f>
        <v>646142.4</v>
      </c>
      <c r="I534" s="271">
        <f>Tabla3[[#This Row],[VALOR TOTAL]]*Tabla3[[#This Row],[CANTIDAD ]]</f>
        <v>0</v>
      </c>
      <c r="J534" s="249"/>
      <c r="K534" s="249"/>
      <c r="L534" s="249"/>
      <c r="M534" s="249"/>
      <c r="N534" s="249"/>
      <c r="O534" s="249"/>
      <c r="P534" s="240">
        <f>Tabla3[[#This Row],[VALOR UNITARIO ]]*Tabla3[[#This Row],[CANTIDAD ]]</f>
        <v>0</v>
      </c>
      <c r="R534" s="39"/>
      <c r="S534" s="39"/>
      <c r="T534" s="39"/>
    </row>
    <row r="535" spans="1:20" x14ac:dyDescent="0.2">
      <c r="A535" s="138"/>
      <c r="B535" s="163"/>
      <c r="C535" s="95" t="s">
        <v>200</v>
      </c>
      <c r="D535" s="96"/>
      <c r="E535" s="97">
        <v>0.19</v>
      </c>
      <c r="F535" s="255">
        <f>F534*Tabla3[[#This Row],[VALOR UNITARIO ]]</f>
        <v>246012</v>
      </c>
      <c r="G535" s="249">
        <v>0.19</v>
      </c>
      <c r="H535" s="39">
        <f>H534*Tabla3[[#This Row],[VALOR UNITARIO]]</f>
        <v>122767.05600000001</v>
      </c>
      <c r="I535" s="271">
        <f>Tabla3[[#This Row],[VALOR TOTAL]]*Tabla3[[#This Row],[CANTIDAD ]]</f>
        <v>0</v>
      </c>
      <c r="J535" s="249"/>
      <c r="K535" s="249"/>
      <c r="L535" s="249"/>
      <c r="M535" s="249"/>
      <c r="N535" s="249"/>
      <c r="O535" s="249"/>
      <c r="P535" s="240">
        <f>Tabla3[[#This Row],[VALOR UNITARIO ]]*Tabla3[[#This Row],[CANTIDAD ]]</f>
        <v>0</v>
      </c>
      <c r="R535" s="39"/>
      <c r="S535" s="39"/>
      <c r="T535" s="39"/>
    </row>
    <row r="536" spans="1:20" x14ac:dyDescent="0.2">
      <c r="A536" s="189"/>
      <c r="B536" s="165"/>
      <c r="C536" s="91" t="s">
        <v>201</v>
      </c>
      <c r="D536" s="100"/>
      <c r="F536" s="258">
        <f>SUM(F531:F535)</f>
        <v>37018332</v>
      </c>
      <c r="H536" s="272">
        <f>SUM(H531:H535)</f>
        <v>16922469.456</v>
      </c>
      <c r="I536" s="270">
        <f>Tabla3[[#This Row],[VALOR TOTAL]]*Tabla3[[#This Row],[CANTIDAD ]]</f>
        <v>0</v>
      </c>
      <c r="P536" s="240">
        <f>Tabla3[[#This Row],[VALOR UNITARIO ]]*Tabla3[[#This Row],[CANTIDAD ]]</f>
        <v>0</v>
      </c>
      <c r="R536" s="278">
        <f>SUM(R10:R530)</f>
        <v>1939488317.4519999</v>
      </c>
      <c r="S536" s="278">
        <f t="shared" ref="S536:T536" si="0">SUM(S10:S530)</f>
        <v>1001911758.3679999</v>
      </c>
      <c r="T536" s="278" t="e">
        <f t="shared" si="0"/>
        <v>#DIV/0!</v>
      </c>
    </row>
    <row r="537" spans="1:20" x14ac:dyDescent="0.2">
      <c r="A537" s="237"/>
      <c r="B537" s="237"/>
      <c r="C537" s="237"/>
      <c r="D537" s="237"/>
    </row>
    <row r="538" spans="1:20" x14ac:dyDescent="0.2">
      <c r="A538" s="237"/>
      <c r="B538" s="237"/>
      <c r="C538" s="1822" t="s">
        <v>750</v>
      </c>
      <c r="D538" s="1822"/>
      <c r="F538" s="259">
        <f>SUM(F112+F129+F203+F282+F360+F400+F436+F475+F524+F536)</f>
        <v>2486675184.0069995</v>
      </c>
      <c r="H538" s="259">
        <f>H112+H129+H203+H282+H360+H400+H436+H475+H524+H536</f>
        <v>1443320070.19929</v>
      </c>
      <c r="R538" s="259"/>
      <c r="S538" s="259"/>
      <c r="T538" s="259"/>
    </row>
    <row r="543" spans="1:20" x14ac:dyDescent="0.2">
      <c r="F543" s="254">
        <f>+F531+F519+F470+F431+F395+F355+F277+F198+F124+F107</f>
        <v>1839208346</v>
      </c>
      <c r="H543" s="254">
        <f>+H531+H519+H470+H431+H395+H355+H277+H198+H124+H107</f>
        <v>1102191729.8200002</v>
      </c>
    </row>
  </sheetData>
  <mergeCells count="14">
    <mergeCell ref="C538:D538"/>
    <mergeCell ref="A1:B1"/>
    <mergeCell ref="A2:D2"/>
    <mergeCell ref="A5:D5"/>
    <mergeCell ref="A6:D6"/>
    <mergeCell ref="A3:P4"/>
    <mergeCell ref="C1:P1"/>
    <mergeCell ref="G7:H7"/>
    <mergeCell ref="O7:P7"/>
    <mergeCell ref="E7:F7"/>
    <mergeCell ref="I7:J7"/>
    <mergeCell ref="K7:L7"/>
    <mergeCell ref="M7:N7"/>
    <mergeCell ref="A7:D7"/>
  </mergeCells>
  <pageMargins left="0.7" right="0.7" top="0.75" bottom="0.75" header="0.3" footer="0.3"/>
  <pageSetup paperSize="14" orientation="portrait" r:id="rId1"/>
  <ignoredErrors>
    <ignoredError sqref="D80:D81 D10:D77 D78:D79 D83:D530" calculatedColumn="1"/>
    <ignoredError sqref="H60:H62 R60:T60 F61:F62 R61:T61" unlockedFormula="1"/>
  </ignoredErrors>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C00000"/>
  </sheetPr>
  <dimension ref="A1:BH607"/>
  <sheetViews>
    <sheetView showGridLines="0" topLeftCell="A41" zoomScaleNormal="100" workbookViewId="0">
      <selection activeCell="I32" sqref="I32:J32"/>
    </sheetView>
  </sheetViews>
  <sheetFormatPr baseColWidth="10" defaultRowHeight="12.75" outlineLevelRow="1" outlineLevelCol="1" x14ac:dyDescent="0.2"/>
  <cols>
    <col min="1" max="1" width="8.28515625" style="336" bestFit="1" customWidth="1"/>
    <col min="2" max="2" width="55.28515625" style="336" customWidth="1"/>
    <col min="3" max="3" width="10.42578125" style="336" customWidth="1"/>
    <col min="4" max="4" width="22" style="336" customWidth="1"/>
    <col min="5" max="5" width="22" style="336" customWidth="1" outlineLevel="1"/>
    <col min="6" max="6" width="24.5703125" style="336" customWidth="1" outlineLevel="1"/>
    <col min="7" max="7" width="20.28515625" style="336" customWidth="1" outlineLevel="1"/>
    <col min="8" max="8" width="25.140625" style="336" customWidth="1" outlineLevel="1"/>
    <col min="9" max="9" width="17" style="336" customWidth="1" outlineLevel="1"/>
    <col min="10" max="10" width="20" style="336" customWidth="1" outlineLevel="1"/>
    <col min="11" max="11" width="3.7109375" style="1544" customWidth="1" outlineLevel="1"/>
    <col min="12" max="12" width="11.42578125" style="1293" customWidth="1" outlineLevel="1"/>
    <col min="13" max="13" width="58.7109375" style="336" customWidth="1" outlineLevel="1"/>
    <col min="14" max="14" width="13.42578125" style="337" customWidth="1" outlineLevel="1"/>
    <col min="15" max="15" width="22.42578125" style="337" customWidth="1" outlineLevel="1"/>
    <col min="16" max="17" width="22.42578125" style="336" bestFit="1" customWidth="1"/>
    <col min="18" max="18" width="19.140625" style="1544" bestFit="1" customWidth="1"/>
    <col min="19" max="19" width="11.42578125" style="1544"/>
    <col min="20" max="20" width="24.7109375" style="1544" bestFit="1" customWidth="1"/>
    <col min="21" max="21" width="11.42578125" style="1544"/>
    <col min="22" max="22" width="58.140625" style="1544" bestFit="1" customWidth="1"/>
    <col min="23" max="24" width="11.42578125" style="1544"/>
    <col min="25" max="26" width="18.140625" style="1544" bestFit="1" customWidth="1"/>
    <col min="27" max="60" width="11.42578125" style="1544"/>
    <col min="61" max="16384" width="11.42578125" style="336"/>
  </cols>
  <sheetData>
    <row r="1" spans="1:21" ht="23.25" x14ac:dyDescent="0.35">
      <c r="B1" s="1589" t="s">
        <v>1550</v>
      </c>
    </row>
    <row r="3" spans="1:21" ht="15" x14ac:dyDescent="0.25">
      <c r="B3" s="1864" t="s">
        <v>1362</v>
      </c>
      <c r="C3" s="1864"/>
      <c r="D3" s="1864"/>
      <c r="E3"/>
    </row>
    <row r="4" spans="1:21" ht="15" x14ac:dyDescent="0.25">
      <c r="A4" s="1576"/>
      <c r="B4" s="359" t="s">
        <v>1361</v>
      </c>
      <c r="C4" s="359" t="s">
        <v>1357</v>
      </c>
      <c r="D4" s="1295" t="s">
        <v>1365</v>
      </c>
      <c r="E4"/>
    </row>
    <row r="5" spans="1:21" x14ac:dyDescent="0.2">
      <c r="A5" s="337" t="s">
        <v>1542</v>
      </c>
      <c r="B5" s="1632" t="str">
        <f>+POE!B5</f>
        <v>Palacio de Justicia de Cali "PEDRO ELIAS SERRANO ABADIA</v>
      </c>
      <c r="C5" s="1283" t="s">
        <v>1358</v>
      </c>
      <c r="D5" s="1663">
        <f>+Q137</f>
        <v>616542413</v>
      </c>
      <c r="E5" s="1544"/>
      <c r="F5" s="1544"/>
      <c r="G5" s="1544"/>
      <c r="H5" s="1544"/>
      <c r="I5" s="1544"/>
      <c r="J5" s="1544"/>
      <c r="L5" s="1545"/>
      <c r="M5" s="1544"/>
      <c r="N5" s="1743"/>
      <c r="O5" s="1743"/>
      <c r="Q5" s="1560"/>
    </row>
    <row r="6" spans="1:21" x14ac:dyDescent="0.2">
      <c r="A6" s="337" t="s">
        <v>202</v>
      </c>
      <c r="B6" s="1632" t="str">
        <f>+POE!B6</f>
        <v>Juzgado Promiscuo Municipal de el Dovio -</v>
      </c>
      <c r="C6" s="1283" t="s">
        <v>1358</v>
      </c>
      <c r="D6" s="1663">
        <f>+Q156</f>
        <v>4769876</v>
      </c>
      <c r="E6" s="1544"/>
      <c r="F6" s="1544"/>
      <c r="G6" s="1544"/>
      <c r="H6" s="1544"/>
      <c r="I6" s="1544"/>
      <c r="J6" s="1544"/>
      <c r="L6" s="1545"/>
      <c r="M6" s="1544"/>
      <c r="N6" s="1743"/>
      <c r="O6" s="1743"/>
      <c r="Q6" s="1560"/>
    </row>
    <row r="7" spans="1:21" ht="25.5" x14ac:dyDescent="0.2">
      <c r="A7" s="337" t="s">
        <v>217</v>
      </c>
      <c r="B7" s="1632" t="str">
        <f>+POE!B7</f>
        <v>Palacio de Justicia "SIMON DAVID CARREJO BEJARANO" Palmira</v>
      </c>
      <c r="C7" s="1283" t="s">
        <v>1358</v>
      </c>
      <c r="D7" s="1663">
        <f>+Q231</f>
        <v>478239464</v>
      </c>
      <c r="E7" s="1544"/>
      <c r="F7" s="1544"/>
      <c r="G7" s="1544"/>
      <c r="H7" s="1544"/>
      <c r="I7" s="1544"/>
      <c r="J7" s="1544"/>
      <c r="L7" s="1545"/>
      <c r="M7" s="1544"/>
      <c r="N7" s="1743"/>
      <c r="O7" s="1743"/>
      <c r="Q7" s="1560"/>
    </row>
    <row r="8" spans="1:21" ht="15" x14ac:dyDescent="0.25">
      <c r="A8" s="337" t="s">
        <v>317</v>
      </c>
      <c r="B8" s="1632" t="str">
        <f>+POE!B8</f>
        <v>Sede de Familia de Palmira</v>
      </c>
      <c r="C8" s="1283" t="s">
        <v>1358</v>
      </c>
      <c r="D8" s="1663">
        <f>Q311</f>
        <v>77440566</v>
      </c>
      <c r="E8" s="1544"/>
      <c r="F8" s="1544"/>
      <c r="G8" s="1544"/>
      <c r="H8" s="1544"/>
      <c r="I8" s="1544"/>
      <c r="J8" s="1544"/>
      <c r="L8" s="1545"/>
      <c r="M8" s="1544"/>
      <c r="N8" s="1743"/>
      <c r="O8" s="1743"/>
      <c r="Q8" s="1560"/>
      <c r="R8"/>
      <c r="S8"/>
      <c r="T8"/>
      <c r="U8"/>
    </row>
    <row r="9" spans="1:21" ht="15" x14ac:dyDescent="0.25">
      <c r="A9" s="337" t="s">
        <v>1543</v>
      </c>
      <c r="B9" s="1632" t="str">
        <f>+POE!B9</f>
        <v>Palacio Nacional de Buenaventura</v>
      </c>
      <c r="C9" s="1283" t="s">
        <v>1358</v>
      </c>
      <c r="D9" s="1663">
        <f>+Q390</f>
        <v>378276488</v>
      </c>
      <c r="E9" s="1544"/>
      <c r="F9" s="1544"/>
      <c r="G9" s="1544"/>
      <c r="H9" s="1544"/>
      <c r="I9" s="1544"/>
      <c r="J9" s="1544"/>
      <c r="L9" s="1545"/>
      <c r="M9" s="1544"/>
      <c r="N9" s="1743"/>
      <c r="O9" s="1743"/>
      <c r="Q9" s="1560"/>
      <c r="R9"/>
      <c r="S9"/>
      <c r="T9"/>
      <c r="U9"/>
    </row>
    <row r="10" spans="1:21" ht="15" x14ac:dyDescent="0.25">
      <c r="A10" s="337" t="s">
        <v>524</v>
      </c>
      <c r="B10" s="1632" t="str">
        <f>+POE!B10</f>
        <v>Edificio de Transferencia de Buenaventura</v>
      </c>
      <c r="C10" s="1283" t="s">
        <v>1358</v>
      </c>
      <c r="D10" s="1663">
        <f>+Q431</f>
        <v>123813964</v>
      </c>
      <c r="E10" s="1544"/>
      <c r="F10" s="1544"/>
      <c r="G10" s="1544"/>
      <c r="H10" s="1544"/>
      <c r="I10" s="1544"/>
      <c r="J10" s="1544"/>
      <c r="L10" s="1545"/>
      <c r="M10" s="1544"/>
      <c r="N10" s="1743"/>
      <c r="O10" s="1743"/>
      <c r="Q10" s="1560"/>
      <c r="R10"/>
      <c r="S10"/>
      <c r="T10"/>
      <c r="U10"/>
    </row>
    <row r="11" spans="1:21" ht="15" x14ac:dyDescent="0.25">
      <c r="A11" s="337" t="s">
        <v>576</v>
      </c>
      <c r="B11" s="1632" t="str">
        <f>+POE!B11</f>
        <v xml:space="preserve">Juzgado Promiscuo Municipal de Obando </v>
      </c>
      <c r="C11" s="1283" t="s">
        <v>1358</v>
      </c>
      <c r="D11" s="1663">
        <f>+Q468</f>
        <v>22815097</v>
      </c>
      <c r="E11" s="1544"/>
      <c r="F11" s="1544"/>
      <c r="G11" s="1544"/>
      <c r="H11" s="1544"/>
      <c r="I11" s="1544"/>
      <c r="J11" s="1544"/>
      <c r="L11" s="1545"/>
      <c r="M11" s="1544"/>
      <c r="N11" s="1743"/>
      <c r="O11" s="1743"/>
      <c r="Q11" s="1560"/>
      <c r="R11"/>
      <c r="S11"/>
      <c r="T11"/>
      <c r="U11"/>
    </row>
    <row r="12" spans="1:21" ht="15" x14ac:dyDescent="0.25">
      <c r="A12" s="337" t="s">
        <v>616</v>
      </c>
      <c r="B12" s="1632" t="str">
        <f>+POE!B12</f>
        <v>Juzgado Promiscuo Municipal de San José del Palmar</v>
      </c>
      <c r="C12" s="1283" t="s">
        <v>1358</v>
      </c>
      <c r="D12" s="1663">
        <f>+Q508</f>
        <v>65105347</v>
      </c>
      <c r="E12" s="1544"/>
      <c r="F12" s="1544"/>
      <c r="G12" s="1544"/>
      <c r="H12" s="1544"/>
      <c r="I12" s="1544"/>
      <c r="J12" s="1544"/>
      <c r="L12" s="1545"/>
      <c r="M12" s="1544"/>
      <c r="N12" s="1743"/>
      <c r="O12" s="1743"/>
      <c r="Q12" s="1560"/>
      <c r="R12"/>
      <c r="S12"/>
      <c r="T12"/>
      <c r="U12"/>
    </row>
    <row r="13" spans="1:21" ht="15" x14ac:dyDescent="0.25">
      <c r="A13" s="337" t="s">
        <v>1626</v>
      </c>
      <c r="B13" s="1632" t="str">
        <f>+B510</f>
        <v>Palacio de Justicia "Oscar Lerma Trujillo" Roldanillo</v>
      </c>
      <c r="C13" s="1283" t="s">
        <v>1358</v>
      </c>
      <c r="D13" s="1663">
        <f>+Q558</f>
        <v>129542057</v>
      </c>
      <c r="E13" s="1544"/>
      <c r="F13" s="1567"/>
      <c r="G13" s="1544"/>
      <c r="H13" s="1544"/>
      <c r="I13" s="1544"/>
      <c r="J13" s="1544"/>
      <c r="L13" s="1545"/>
      <c r="M13" s="1544"/>
      <c r="N13" s="1743"/>
      <c r="O13" s="1743"/>
      <c r="Q13" s="1560"/>
      <c r="R13"/>
      <c r="S13"/>
      <c r="T13"/>
      <c r="U13"/>
    </row>
    <row r="14" spans="1:21" ht="15" x14ac:dyDescent="0.25">
      <c r="A14" s="337" t="s">
        <v>741</v>
      </c>
      <c r="B14" s="1632" t="str">
        <f>+POE!B13</f>
        <v>Palacio de Justicia de Tuluá</v>
      </c>
      <c r="C14" s="1283" t="s">
        <v>1358</v>
      </c>
      <c r="D14" s="1663">
        <f>+Q571</f>
        <v>24408113</v>
      </c>
      <c r="E14" s="1544"/>
      <c r="F14" s="1544"/>
      <c r="G14" s="1544"/>
      <c r="H14" s="1544"/>
      <c r="I14" s="1544"/>
      <c r="J14" s="1544"/>
      <c r="L14" s="1545"/>
      <c r="M14" s="1544"/>
      <c r="N14" s="1743"/>
      <c r="O14" s="1743"/>
      <c r="Q14" s="1560"/>
      <c r="R14"/>
      <c r="S14"/>
      <c r="T14"/>
      <c r="U14"/>
    </row>
    <row r="15" spans="1:21" ht="15" x14ac:dyDescent="0.25">
      <c r="A15" s="1576"/>
      <c r="B15" s="1757" t="s">
        <v>1363</v>
      </c>
      <c r="C15" s="1757"/>
      <c r="D15" s="1559">
        <f>SUM(D5:D14)</f>
        <v>1920953385</v>
      </c>
      <c r="Q15"/>
      <c r="R15"/>
      <c r="S15"/>
      <c r="T15"/>
      <c r="U15"/>
    </row>
    <row r="16" spans="1:21" ht="15" x14ac:dyDescent="0.25">
      <c r="B16" s="1759" t="str">
        <f>+'Análisis del AIU'!A21</f>
        <v xml:space="preserve">ADMINISTRACION </v>
      </c>
      <c r="C16" s="1754">
        <f>+'Análisis del AIU'!F5</f>
        <v>0.185</v>
      </c>
      <c r="D16" s="1750"/>
      <c r="E16" s="1560"/>
      <c r="P16"/>
      <c r="Q16"/>
      <c r="R16"/>
      <c r="S16"/>
      <c r="T16"/>
      <c r="U16"/>
    </row>
    <row r="17" spans="1:21" ht="15" x14ac:dyDescent="0.25">
      <c r="B17" s="1759" t="str">
        <f>+'Análisis del AIU'!A22</f>
        <v>IMPREVISTOS</v>
      </c>
      <c r="C17" s="1754">
        <f>+'Análisis del AIU'!F6</f>
        <v>0.02</v>
      </c>
      <c r="D17" s="1750"/>
      <c r="E17" s="1560"/>
      <c r="P17"/>
      <c r="Q17"/>
      <c r="R17"/>
      <c r="S17"/>
      <c r="T17"/>
      <c r="U17"/>
    </row>
    <row r="18" spans="1:21" ht="15" x14ac:dyDescent="0.25">
      <c r="B18" s="1759" t="str">
        <f>+'Análisis del AIU'!A23</f>
        <v>UTILIDAD</v>
      </c>
      <c r="C18" s="1754">
        <f>+'Análisis del AIU'!F7</f>
        <v>4.4999999999999998E-2</v>
      </c>
      <c r="D18" s="1750"/>
      <c r="E18" s="1560"/>
      <c r="P18"/>
      <c r="Q18"/>
      <c r="R18"/>
      <c r="S18"/>
      <c r="T18"/>
      <c r="U18"/>
    </row>
    <row r="19" spans="1:21" ht="15" x14ac:dyDescent="0.25">
      <c r="B19" s="1759" t="str">
        <f>+'Análisis del AIU'!A24</f>
        <v xml:space="preserve">IVA SOBRE UTILIDAD </v>
      </c>
      <c r="C19" s="1754">
        <f>+'Análisis del AIU'!F8</f>
        <v>0.19</v>
      </c>
      <c r="D19" s="1750"/>
      <c r="E19" s="1560"/>
      <c r="P19"/>
      <c r="Q19"/>
      <c r="R19"/>
      <c r="S19"/>
      <c r="T19"/>
      <c r="U19"/>
    </row>
    <row r="20" spans="1:21" ht="15" x14ac:dyDescent="0.25">
      <c r="B20" s="1755" t="s">
        <v>750</v>
      </c>
      <c r="C20" s="1755"/>
      <c r="D20" s="1758"/>
      <c r="E20" s="1661"/>
      <c r="P20"/>
      <c r="Q20"/>
      <c r="R20"/>
      <c r="S20"/>
      <c r="T20"/>
      <c r="U20"/>
    </row>
    <row r="21" spans="1:21" ht="15" hidden="1" x14ac:dyDescent="0.25">
      <c r="M21" s="1302" t="s">
        <v>1359</v>
      </c>
      <c r="N21" s="1303"/>
      <c r="O21" s="1561">
        <v>1300000000</v>
      </c>
      <c r="P21"/>
      <c r="Q21"/>
      <c r="R21"/>
      <c r="S21"/>
      <c r="T21"/>
      <c r="U21"/>
    </row>
    <row r="22" spans="1:21" ht="15.75" hidden="1" x14ac:dyDescent="0.25">
      <c r="M22" s="1300" t="s">
        <v>1360</v>
      </c>
      <c r="N22" s="1301"/>
      <c r="O22" s="1562">
        <f>+O21-D20</f>
        <v>1300000000</v>
      </c>
      <c r="P22"/>
      <c r="Q22"/>
      <c r="R22"/>
      <c r="S22"/>
      <c r="T22"/>
      <c r="U22"/>
    </row>
    <row r="23" spans="1:21" ht="15" x14ac:dyDescent="0.25">
      <c r="P23"/>
      <c r="Q23"/>
      <c r="R23"/>
      <c r="S23"/>
      <c r="T23"/>
      <c r="U23"/>
    </row>
    <row r="24" spans="1:21" ht="15" x14ac:dyDescent="0.25">
      <c r="P24"/>
      <c r="Q24"/>
      <c r="R24"/>
      <c r="S24"/>
      <c r="T24"/>
      <c r="U24"/>
    </row>
    <row r="25" spans="1:21" ht="15" x14ac:dyDescent="0.25">
      <c r="P25"/>
      <c r="Q25"/>
      <c r="R25"/>
      <c r="S25"/>
      <c r="T25"/>
      <c r="U25"/>
    </row>
    <row r="26" spans="1:21" ht="15" x14ac:dyDescent="0.25">
      <c r="P26"/>
      <c r="Q26"/>
      <c r="R26"/>
      <c r="S26"/>
      <c r="T26"/>
      <c r="U26"/>
    </row>
    <row r="27" spans="1:21" ht="65.25" customHeight="1" x14ac:dyDescent="0.25">
      <c r="A27" s="1543"/>
      <c r="B27" s="1832" t="s">
        <v>0</v>
      </c>
      <c r="C27" s="1832"/>
      <c r="D27" s="1832"/>
      <c r="E27" s="1832"/>
      <c r="F27" s="1832"/>
      <c r="G27" s="1832"/>
      <c r="H27" s="1832"/>
      <c r="I27" s="1832"/>
      <c r="J27" s="1832"/>
      <c r="K27" s="1832"/>
      <c r="L27" s="1832"/>
      <c r="M27" s="1832"/>
      <c r="N27" s="1832"/>
      <c r="O27" s="1832"/>
      <c r="P27" s="1832"/>
      <c r="Q27" s="1832"/>
      <c r="R27"/>
      <c r="S27"/>
      <c r="T27"/>
      <c r="U27"/>
    </row>
    <row r="28" spans="1:21" ht="15" customHeight="1" x14ac:dyDescent="0.2">
      <c r="A28" s="1832" t="s">
        <v>1</v>
      </c>
      <c r="B28" s="1832"/>
      <c r="C28" s="1832"/>
      <c r="D28" s="1832"/>
      <c r="E28" s="1832"/>
      <c r="F28" s="1832"/>
      <c r="G28" s="1832"/>
      <c r="H28" s="1832"/>
      <c r="I28" s="1832"/>
      <c r="J28" s="1832"/>
      <c r="K28" s="1832"/>
      <c r="L28" s="1832"/>
      <c r="M28" s="1832"/>
      <c r="N28" s="1832"/>
      <c r="O28" s="1832"/>
      <c r="P28" s="1832"/>
      <c r="Q28" s="1832"/>
    </row>
    <row r="29" spans="1:21" ht="24" customHeight="1" x14ac:dyDescent="0.2">
      <c r="A29" s="1856" t="s">
        <v>1463</v>
      </c>
      <c r="B29" s="1857"/>
      <c r="C29" s="1857"/>
      <c r="D29" s="1857"/>
      <c r="E29" s="1857"/>
      <c r="F29" s="1857"/>
      <c r="G29" s="1857"/>
      <c r="H29" s="1857"/>
      <c r="I29" s="1857"/>
      <c r="J29" s="1857"/>
      <c r="K29" s="1857"/>
      <c r="L29" s="1857"/>
      <c r="M29" s="1857"/>
      <c r="N29" s="1857"/>
      <c r="O29" s="1857"/>
      <c r="P29" s="1857"/>
      <c r="Q29" s="1857"/>
    </row>
    <row r="30" spans="1:21" ht="30.75" customHeight="1" x14ac:dyDescent="0.2">
      <c r="A30" s="1856"/>
      <c r="B30" s="1857"/>
      <c r="C30" s="1857"/>
      <c r="D30" s="1857"/>
      <c r="E30" s="1857"/>
      <c r="F30" s="1857"/>
      <c r="G30" s="1857"/>
      <c r="H30" s="1857"/>
      <c r="I30" s="1857"/>
      <c r="J30" s="1857"/>
      <c r="K30" s="1857"/>
      <c r="L30" s="1857"/>
      <c r="M30" s="1857"/>
      <c r="N30" s="1857"/>
      <c r="O30" s="1857"/>
      <c r="P30" s="1857"/>
      <c r="Q30" s="1857"/>
    </row>
    <row r="31" spans="1:21" ht="51" customHeight="1" thickBot="1" x14ac:dyDescent="0.3">
      <c r="A31" s="1858" t="s">
        <v>2</v>
      </c>
      <c r="B31" s="1858"/>
      <c r="C31" s="1804"/>
      <c r="D31" s="1804"/>
      <c r="E31" s="1805"/>
      <c r="F31" s="1805"/>
      <c r="G31" s="1805"/>
      <c r="H31" s="1805"/>
      <c r="I31" s="1804"/>
      <c r="J31" s="1804"/>
      <c r="L31" s="1298"/>
      <c r="M31"/>
      <c r="N31" s="422"/>
      <c r="O31" s="422"/>
      <c r="P31"/>
      <c r="Q31"/>
    </row>
    <row r="32" spans="1:21" ht="31.5" customHeight="1" thickBot="1" x14ac:dyDescent="0.3">
      <c r="A32" s="1809" t="s">
        <v>806</v>
      </c>
      <c r="B32" s="1854" t="s">
        <v>807</v>
      </c>
      <c r="C32" s="1854"/>
      <c r="D32" s="1859"/>
      <c r="E32" s="1860" t="s">
        <v>1633</v>
      </c>
      <c r="F32" s="1861"/>
      <c r="G32" s="1862" t="s">
        <v>1634</v>
      </c>
      <c r="H32" s="1863"/>
      <c r="I32" s="1851" t="s">
        <v>796</v>
      </c>
      <c r="J32" s="1852"/>
      <c r="K32"/>
      <c r="L32" s="1819" t="s">
        <v>806</v>
      </c>
      <c r="M32" s="1853" t="str">
        <f>+B32</f>
        <v>Palacio de Justicia de Cali "PEDRO ELIAS SERRANO ABADIA</v>
      </c>
      <c r="N32" s="1854"/>
      <c r="O32" s="1854"/>
      <c r="P32" s="1854"/>
      <c r="Q32" s="1855"/>
    </row>
    <row r="33" spans="1:60" s="1293" customFormat="1" ht="25.5" outlineLevel="1" x14ac:dyDescent="0.25">
      <c r="A33" s="1806" t="s">
        <v>4</v>
      </c>
      <c r="B33" s="1807" t="s">
        <v>5</v>
      </c>
      <c r="C33" s="1806" t="s">
        <v>6</v>
      </c>
      <c r="D33" s="1808" t="s">
        <v>7</v>
      </c>
      <c r="E33" s="1807" t="s">
        <v>8</v>
      </c>
      <c r="F33" s="1807" t="s">
        <v>771</v>
      </c>
      <c r="G33" s="1807" t="s">
        <v>772</v>
      </c>
      <c r="H33" s="1807" t="s">
        <v>9</v>
      </c>
      <c r="I33" s="1807" t="s">
        <v>1461</v>
      </c>
      <c r="J33" s="1806" t="s">
        <v>9</v>
      </c>
      <c r="K33"/>
      <c r="L33" s="1299" t="str">
        <f>+A33</f>
        <v>ITEM</v>
      </c>
      <c r="M33" s="424" t="str">
        <f>+B33</f>
        <v>DESCRIPCION</v>
      </c>
      <c r="N33" s="424" t="str">
        <f>+C33</f>
        <v>UND</v>
      </c>
      <c r="O33" s="424" t="str">
        <f>+D33</f>
        <v xml:space="preserve">CANTIDAD </v>
      </c>
      <c r="P33" s="424" t="s">
        <v>1628</v>
      </c>
      <c r="Q33" s="424" t="s">
        <v>9</v>
      </c>
      <c r="R33" s="1545"/>
      <c r="S33" s="1545"/>
      <c r="T33" s="1545"/>
      <c r="U33" s="1545"/>
      <c r="V33" s="1545"/>
      <c r="W33" s="1545"/>
      <c r="X33" s="1545"/>
      <c r="Y33" s="1545"/>
      <c r="Z33" s="1545"/>
      <c r="AA33" s="1545"/>
      <c r="AB33" s="1545"/>
      <c r="AC33" s="1545"/>
      <c r="AD33" s="1545"/>
      <c r="AE33" s="1545"/>
      <c r="AF33" s="1545"/>
      <c r="AG33" s="1545"/>
      <c r="AH33" s="1545"/>
      <c r="AI33" s="1545"/>
      <c r="AJ33" s="1545"/>
      <c r="AK33" s="1545"/>
      <c r="AL33" s="1545"/>
      <c r="AM33" s="1545"/>
      <c r="AN33" s="1545"/>
      <c r="AO33" s="1545"/>
      <c r="AP33" s="1545"/>
      <c r="AQ33" s="1545"/>
      <c r="AR33" s="1545"/>
      <c r="AS33" s="1545"/>
      <c r="AT33" s="1545"/>
      <c r="AU33" s="1545"/>
      <c r="AV33" s="1545"/>
      <c r="AW33" s="1545"/>
      <c r="AX33" s="1545"/>
      <c r="AY33" s="1545"/>
      <c r="AZ33" s="1545"/>
      <c r="BA33" s="1545"/>
      <c r="BB33" s="1545"/>
      <c r="BC33" s="1545"/>
      <c r="BD33" s="1545"/>
      <c r="BE33" s="1545"/>
      <c r="BF33" s="1545"/>
      <c r="BG33" s="1545"/>
      <c r="BH33" s="1545"/>
    </row>
    <row r="34" spans="1:60" s="1533" customFormat="1" ht="24.75" customHeight="1" outlineLevel="1" x14ac:dyDescent="0.25">
      <c r="A34" s="1527" t="s">
        <v>10</v>
      </c>
      <c r="B34" s="1528" t="s">
        <v>11</v>
      </c>
      <c r="C34" s="1527"/>
      <c r="D34" s="1529"/>
      <c r="E34" s="1530"/>
      <c r="F34" s="1531"/>
      <c r="G34" s="1530"/>
      <c r="H34" s="1531"/>
      <c r="I34" s="1532"/>
      <c r="J34" s="1527"/>
      <c r="K34"/>
      <c r="L34" s="1527" t="str">
        <f t="shared" ref="L34:L65" si="0">+A34</f>
        <v>A. 1</v>
      </c>
      <c r="M34" s="1836" t="str">
        <f t="shared" ref="M34:M65" si="1">+B34</f>
        <v xml:space="preserve">Reparación (filtraciones) rampa y anden ingreso calle 12 </v>
      </c>
      <c r="N34" s="1837"/>
      <c r="O34" s="1837"/>
      <c r="P34" s="1837"/>
      <c r="Q34" s="1838"/>
      <c r="R34" s="1544"/>
      <c r="S34" s="1544"/>
      <c r="T34" s="1544"/>
      <c r="U34" s="1544"/>
      <c r="V34" s="1544"/>
      <c r="W34" s="1544"/>
      <c r="X34" s="1544"/>
      <c r="Y34" s="1544"/>
      <c r="Z34" s="1544"/>
      <c r="AA34" s="1544"/>
      <c r="AB34" s="1544"/>
      <c r="AC34" s="1544"/>
      <c r="AD34" s="1544"/>
      <c r="AE34" s="1544"/>
      <c r="AF34" s="1544"/>
      <c r="AG34" s="1544"/>
      <c r="AH34" s="1544"/>
      <c r="AI34" s="1544"/>
      <c r="AJ34" s="1544"/>
      <c r="AK34" s="1544"/>
      <c r="AL34" s="1544"/>
      <c r="AM34" s="1544"/>
      <c r="AN34" s="1544"/>
      <c r="AO34" s="1544"/>
      <c r="AP34" s="1544"/>
      <c r="AQ34" s="1544"/>
      <c r="AR34" s="1544"/>
      <c r="AS34" s="1544"/>
      <c r="AT34" s="1544"/>
      <c r="AU34" s="1544"/>
      <c r="AV34" s="1544"/>
      <c r="AW34" s="1544"/>
      <c r="AX34" s="1544"/>
      <c r="AY34" s="1544"/>
      <c r="AZ34" s="1544"/>
      <c r="BA34" s="1544"/>
      <c r="BB34" s="1544"/>
      <c r="BC34" s="1544"/>
      <c r="BD34" s="1544"/>
      <c r="BE34" s="1544"/>
      <c r="BF34" s="1544"/>
      <c r="BG34" s="1544"/>
      <c r="BH34" s="1544"/>
    </row>
    <row r="35" spans="1:60" ht="25.5" outlineLevel="1" x14ac:dyDescent="0.25">
      <c r="A35" s="346" t="s">
        <v>12</v>
      </c>
      <c r="B35" s="347" t="s">
        <v>13</v>
      </c>
      <c r="C35" s="340" t="s">
        <v>14</v>
      </c>
      <c r="D35" s="348">
        <v>36</v>
      </c>
      <c r="E35" s="412">
        <v>40000</v>
      </c>
      <c r="F35" s="412">
        <f>+E35*D35</f>
        <v>1440000</v>
      </c>
      <c r="G35" s="1292">
        <v>27131</v>
      </c>
      <c r="H35" s="412">
        <f>+G35*D35</f>
        <v>976716</v>
      </c>
      <c r="I35" s="1285">
        <f>IFERROR(VLOOKUP(A35,'valores unit indexados'!$A$14:$O$197,15,FALSE),0)</f>
        <v>0</v>
      </c>
      <c r="J35" s="1292">
        <f t="shared" ref="J35:J98" si="2">+I35*D35</f>
        <v>0</v>
      </c>
      <c r="K35"/>
      <c r="L35" s="346" t="str">
        <f t="shared" si="0"/>
        <v>A. 1,1</v>
      </c>
      <c r="M35" s="347" t="str">
        <f t="shared" si="1"/>
        <v>Cerramiento en tela verde o polisombra (incluye postes de madera para soporte) altura: 2.10 mts.</v>
      </c>
      <c r="N35" s="340" t="str">
        <f t="shared" ref="N35:N47" si="3">+C35</f>
        <v>ML</v>
      </c>
      <c r="O35" s="348">
        <f t="shared" ref="O35:O47" si="4">+D35</f>
        <v>36</v>
      </c>
      <c r="P35" s="423">
        <f>VLOOKUP(L35,'selección precios unitario'!$A$5:$I$418,9,FALSE)</f>
        <v>27131</v>
      </c>
      <c r="Q35" s="423">
        <f>+P35*O35</f>
        <v>976716</v>
      </c>
    </row>
    <row r="36" spans="1:60" ht="25.5" outlineLevel="1" x14ac:dyDescent="0.25">
      <c r="A36" s="346" t="s">
        <v>15</v>
      </c>
      <c r="B36" s="347" t="s">
        <v>16</v>
      </c>
      <c r="C36" s="340" t="s">
        <v>6</v>
      </c>
      <c r="D36" s="348">
        <v>4</v>
      </c>
      <c r="E36" s="412">
        <v>120000</v>
      </c>
      <c r="F36" s="412">
        <f t="shared" ref="F36:F99" si="5">+E36*D36</f>
        <v>480000</v>
      </c>
      <c r="G36" s="1292">
        <v>165000</v>
      </c>
      <c r="H36" s="412">
        <f t="shared" ref="H36:H99" si="6">+G36*D36</f>
        <v>660000</v>
      </c>
      <c r="I36" s="1285">
        <f>IFERROR(VLOOKUP(A36,'valores unit indexados'!$A$14:$O$197,15,FALSE),0)</f>
        <v>0</v>
      </c>
      <c r="J36" s="1292">
        <f t="shared" si="2"/>
        <v>0</v>
      </c>
      <c r="K36"/>
      <c r="L36" s="346" t="str">
        <f t="shared" si="0"/>
        <v>A. 1,2</v>
      </c>
      <c r="M36" s="347" t="str">
        <f t="shared" si="1"/>
        <v>Desmonte y reinstalación de pasamanos metálico cuyas medidas son 130 cm de largo x 90 cm de alto</v>
      </c>
      <c r="N36" s="340" t="str">
        <f t="shared" si="3"/>
        <v>UND</v>
      </c>
      <c r="O36" s="348">
        <f t="shared" si="4"/>
        <v>4</v>
      </c>
      <c r="P36" s="423">
        <f>VLOOKUP(L36,'selección precios unitario'!$A$5:$I$418,9,FALSE)</f>
        <v>142500</v>
      </c>
      <c r="Q36" s="423">
        <f t="shared" ref="Q36:Q99" si="7">+P36*O36</f>
        <v>570000</v>
      </c>
    </row>
    <row r="37" spans="1:60" ht="25.5" outlineLevel="1" x14ac:dyDescent="0.25">
      <c r="A37" s="346" t="s">
        <v>17</v>
      </c>
      <c r="B37" s="347" t="s">
        <v>18</v>
      </c>
      <c r="C37" s="340" t="s">
        <v>19</v>
      </c>
      <c r="D37" s="348">
        <v>288</v>
      </c>
      <c r="E37" s="412">
        <v>30000</v>
      </c>
      <c r="F37" s="412">
        <f t="shared" si="5"/>
        <v>8640000</v>
      </c>
      <c r="G37" s="1292">
        <v>8450</v>
      </c>
      <c r="H37" s="412">
        <f t="shared" si="6"/>
        <v>2433600</v>
      </c>
      <c r="I37" s="1285">
        <f>IFERROR(VLOOKUP(A37,'valores unit indexados'!$A$14:$O$197,15,FALSE),0)</f>
        <v>0</v>
      </c>
      <c r="J37" s="1292">
        <f t="shared" si="2"/>
        <v>0</v>
      </c>
      <c r="K37"/>
      <c r="L37" s="346" t="str">
        <f t="shared" si="0"/>
        <v>A. 1,3</v>
      </c>
      <c r="M37" s="347" t="str">
        <f t="shared" si="1"/>
        <v>Demolición de piso existente (enchape tráfico alto), incluye retiro de escombros</v>
      </c>
      <c r="N37" s="340" t="str">
        <f t="shared" si="3"/>
        <v>M2</v>
      </c>
      <c r="O37" s="348">
        <f t="shared" si="4"/>
        <v>288</v>
      </c>
      <c r="P37" s="423">
        <f>VLOOKUP(L37,'selección precios unitario'!$A$5:$I$418,9,FALSE)</f>
        <v>19225</v>
      </c>
      <c r="Q37" s="423">
        <f t="shared" si="7"/>
        <v>5536800</v>
      </c>
    </row>
    <row r="38" spans="1:60" ht="15" outlineLevel="1" x14ac:dyDescent="0.25">
      <c r="A38" s="346" t="s">
        <v>20</v>
      </c>
      <c r="B38" s="347" t="s">
        <v>21</v>
      </c>
      <c r="C38" s="340" t="s">
        <v>19</v>
      </c>
      <c r="D38" s="348">
        <v>288</v>
      </c>
      <c r="E38" s="412">
        <v>20000</v>
      </c>
      <c r="F38" s="412">
        <f t="shared" si="5"/>
        <v>5760000</v>
      </c>
      <c r="G38" s="1292">
        <v>19500</v>
      </c>
      <c r="H38" s="412">
        <f t="shared" si="6"/>
        <v>5616000</v>
      </c>
      <c r="I38" s="1285">
        <f>IFERROR(VLOOKUP(A38,'valores unit indexados'!$A$14:$O$197,15,FALSE),0)</f>
        <v>14660</v>
      </c>
      <c r="J38" s="1292">
        <f t="shared" si="2"/>
        <v>4222080</v>
      </c>
      <c r="K38"/>
      <c r="L38" s="346" t="str">
        <f t="shared" si="0"/>
        <v>A. 1,4</v>
      </c>
      <c r="M38" s="347" t="str">
        <f t="shared" si="1"/>
        <v>Retiro de manto existente, incluye retiro de escombros</v>
      </c>
      <c r="N38" s="340" t="str">
        <f t="shared" si="3"/>
        <v>M2</v>
      </c>
      <c r="O38" s="348">
        <f t="shared" si="4"/>
        <v>288</v>
      </c>
      <c r="P38" s="423">
        <f>VLOOKUP(L38,'selección precios unitario'!$A$5:$I$418,9,FALSE)</f>
        <v>18053</v>
      </c>
      <c r="Q38" s="423">
        <f t="shared" si="7"/>
        <v>5199264</v>
      </c>
    </row>
    <row r="39" spans="1:60" ht="25.5" outlineLevel="1" x14ac:dyDescent="0.25">
      <c r="A39" s="346" t="s">
        <v>22</v>
      </c>
      <c r="B39" s="347" t="s">
        <v>23</v>
      </c>
      <c r="C39" s="340" t="s">
        <v>19</v>
      </c>
      <c r="D39" s="348">
        <v>288</v>
      </c>
      <c r="E39" s="379">
        <v>35000</v>
      </c>
      <c r="F39" s="412">
        <f t="shared" si="5"/>
        <v>10080000</v>
      </c>
      <c r="G39" s="1292">
        <v>3731</v>
      </c>
      <c r="H39" s="412">
        <f t="shared" si="6"/>
        <v>1074528</v>
      </c>
      <c r="I39" s="1285">
        <f>IFERROR(VLOOKUP(A39,'valores unit indexados'!$A$14:$O$197,15,FALSE),0)</f>
        <v>29150</v>
      </c>
      <c r="J39" s="1292">
        <f t="shared" si="2"/>
        <v>8395200</v>
      </c>
      <c r="K39"/>
      <c r="L39" s="346" t="str">
        <f t="shared" si="0"/>
        <v>A. 1,5</v>
      </c>
      <c r="M39" s="347" t="str">
        <f t="shared" si="1"/>
        <v>Lavada y destronque a máquina (para retirar material existente y preparación de superficie)</v>
      </c>
      <c r="N39" s="340" t="str">
        <f t="shared" si="3"/>
        <v>M2</v>
      </c>
      <c r="O39" s="348">
        <f t="shared" si="4"/>
        <v>288</v>
      </c>
      <c r="P39" s="423">
        <f>VLOOKUP(L39,'selección precios unitario'!$A$5:$I$418,9,FALSE)</f>
        <v>32075</v>
      </c>
      <c r="Q39" s="423">
        <f t="shared" si="7"/>
        <v>9237600</v>
      </c>
    </row>
    <row r="40" spans="1:60" ht="15" outlineLevel="1" x14ac:dyDescent="0.25">
      <c r="A40" s="346" t="s">
        <v>24</v>
      </c>
      <c r="B40" s="347" t="s">
        <v>25</v>
      </c>
      <c r="C40" s="340" t="s">
        <v>19</v>
      </c>
      <c r="D40" s="348">
        <v>288</v>
      </c>
      <c r="E40" s="379">
        <v>27000</v>
      </c>
      <c r="F40" s="412">
        <f t="shared" si="5"/>
        <v>7776000</v>
      </c>
      <c r="G40" s="1292">
        <v>4400</v>
      </c>
      <c r="H40" s="412">
        <f t="shared" si="6"/>
        <v>1267200</v>
      </c>
      <c r="I40" s="1285">
        <f>IFERROR(VLOOKUP(A40,'valores unit indexados'!$A$14:$O$197,15,FALSE),0)</f>
        <v>10612</v>
      </c>
      <c r="J40" s="1292">
        <f t="shared" si="2"/>
        <v>3056256</v>
      </c>
      <c r="K40"/>
      <c r="L40" s="346" t="str">
        <f t="shared" si="0"/>
        <v>A. 1,6</v>
      </c>
      <c r="M40" s="347" t="str">
        <f t="shared" si="1"/>
        <v>Demolición mortero existente  (incluye retiro de escombros)</v>
      </c>
      <c r="N40" s="340" t="str">
        <f t="shared" si="3"/>
        <v>M2</v>
      </c>
      <c r="O40" s="348">
        <f t="shared" si="4"/>
        <v>288</v>
      </c>
      <c r="P40" s="423">
        <f>VLOOKUP(L40,'selección precios unitario'!$A$5:$I$418,9,FALSE)</f>
        <v>10612</v>
      </c>
      <c r="Q40" s="423">
        <f t="shared" si="7"/>
        <v>3056256</v>
      </c>
    </row>
    <row r="41" spans="1:60" ht="25.5" outlineLevel="1" x14ac:dyDescent="0.25">
      <c r="A41" s="354" t="s">
        <v>26</v>
      </c>
      <c r="B41" s="347" t="s">
        <v>27</v>
      </c>
      <c r="C41" s="340" t="s">
        <v>19</v>
      </c>
      <c r="D41" s="348">
        <v>288</v>
      </c>
      <c r="E41" s="379">
        <v>75000</v>
      </c>
      <c r="F41" s="412">
        <f t="shared" si="5"/>
        <v>21600000</v>
      </c>
      <c r="G41" s="1292">
        <v>9230</v>
      </c>
      <c r="H41" s="412">
        <f t="shared" si="6"/>
        <v>2658240</v>
      </c>
      <c r="I41" s="1285">
        <f>IFERROR(VLOOKUP(A41,'valores unit indexados'!$A$14:$O$197,15,FALSE),0)</f>
        <v>0</v>
      </c>
      <c r="J41" s="1292">
        <f t="shared" si="2"/>
        <v>0</v>
      </c>
      <c r="K41"/>
      <c r="L41" s="354" t="str">
        <f t="shared" si="0"/>
        <v>A. 1,7</v>
      </c>
      <c r="M41" s="347" t="str">
        <f t="shared" si="1"/>
        <v>Suministro y aplicación de pintura sellante elongable autonivelante.</v>
      </c>
      <c r="N41" s="340" t="str">
        <f t="shared" si="3"/>
        <v>M2</v>
      </c>
      <c r="O41" s="348">
        <f t="shared" si="4"/>
        <v>288</v>
      </c>
      <c r="P41" s="423">
        <f>VLOOKUP(L41,'selección precios unitario'!$A$5:$I$418,9,FALSE)</f>
        <v>42115</v>
      </c>
      <c r="Q41" s="423">
        <f t="shared" si="7"/>
        <v>12129120</v>
      </c>
    </row>
    <row r="42" spans="1:60" ht="38.25" outlineLevel="1" x14ac:dyDescent="0.25">
      <c r="A42" s="346" t="s">
        <v>28</v>
      </c>
      <c r="B42" s="347" t="s">
        <v>29</v>
      </c>
      <c r="C42" s="340" t="s">
        <v>19</v>
      </c>
      <c r="D42" s="355">
        <v>288</v>
      </c>
      <c r="E42" s="379">
        <v>38000</v>
      </c>
      <c r="F42" s="412">
        <f t="shared" si="5"/>
        <v>10944000</v>
      </c>
      <c r="G42" s="1292">
        <v>32500</v>
      </c>
      <c r="H42" s="412">
        <f t="shared" si="6"/>
        <v>9360000</v>
      </c>
      <c r="I42" s="1285">
        <f>IFERROR(VLOOKUP(A42,'valores unit indexados'!$A$14:$O$197,15,FALSE),0)</f>
        <v>0</v>
      </c>
      <c r="J42" s="1292">
        <f t="shared" si="2"/>
        <v>0</v>
      </c>
      <c r="K42"/>
      <c r="L42" s="346" t="str">
        <f t="shared" si="0"/>
        <v>A. 1,8</v>
      </c>
      <c r="M42" s="347" t="str">
        <f t="shared" si="1"/>
        <v>Suministro y aplicación de mortero 1:3 con aditivo impermeabilizante espesor 4cm incluye media caña en mortero perimetral (superficie con pendiente) </v>
      </c>
      <c r="N42" s="340" t="str">
        <f t="shared" si="3"/>
        <v>M2</v>
      </c>
      <c r="O42" s="355">
        <f t="shared" si="4"/>
        <v>288</v>
      </c>
      <c r="P42" s="423">
        <f>VLOOKUP(L42,'selección precios unitario'!$A$5:$I$418,9,FALSE)</f>
        <v>35250</v>
      </c>
      <c r="Q42" s="423">
        <f t="shared" si="7"/>
        <v>10152000</v>
      </c>
    </row>
    <row r="43" spans="1:60" ht="51" outlineLevel="1" x14ac:dyDescent="0.25">
      <c r="A43" s="354" t="s">
        <v>30</v>
      </c>
      <c r="B43" s="347" t="s">
        <v>31</v>
      </c>
      <c r="C43" s="356" t="s">
        <v>19</v>
      </c>
      <c r="D43" s="348">
        <v>288</v>
      </c>
      <c r="E43" s="1292">
        <v>320000</v>
      </c>
      <c r="F43" s="412">
        <f t="shared" si="5"/>
        <v>92160000</v>
      </c>
      <c r="G43" s="1292">
        <v>128700</v>
      </c>
      <c r="H43" s="412">
        <f t="shared" si="6"/>
        <v>37065600</v>
      </c>
      <c r="I43" s="1285">
        <f>IFERROR(VLOOKUP(A43,'valores unit indexados'!$A$14:$O$197,15,FALSE),0)</f>
        <v>0</v>
      </c>
      <c r="J43" s="1292">
        <f t="shared" si="2"/>
        <v>0</v>
      </c>
      <c r="K43"/>
      <c r="L43" s="354" t="str">
        <f t="shared" si="0"/>
        <v>A. 1,9</v>
      </c>
      <c r="M43" s="347" t="str">
        <f t="shared" si="1"/>
        <v xml:space="preserve">Suministro e instalación de membrana liquida en poliuretano, con refuerzo en poliéster, acabado transitable para impermeabilización de losa de terraza, con remates perimetrales en media caña, Incluye cárcamos de desagüe. </v>
      </c>
      <c r="N43" s="356" t="str">
        <f t="shared" si="3"/>
        <v>M2</v>
      </c>
      <c r="O43" s="348">
        <f t="shared" si="4"/>
        <v>288</v>
      </c>
      <c r="P43" s="423">
        <f>VLOOKUP(L43,'selección precios unitario'!$A$5:$I$418,9,FALSE)</f>
        <v>224350</v>
      </c>
      <c r="Q43" s="423">
        <f t="shared" si="7"/>
        <v>64612800</v>
      </c>
    </row>
    <row r="44" spans="1:60" ht="51" outlineLevel="1" x14ac:dyDescent="0.25">
      <c r="A44" s="346" t="s">
        <v>32</v>
      </c>
      <c r="B44" s="357" t="s">
        <v>1464</v>
      </c>
      <c r="C44" s="340" t="s">
        <v>14</v>
      </c>
      <c r="D44" s="348">
        <v>410</v>
      </c>
      <c r="E44" s="379">
        <v>50000</v>
      </c>
      <c r="F44" s="412">
        <f t="shared" si="5"/>
        <v>20500000</v>
      </c>
      <c r="G44" s="1292">
        <v>52117</v>
      </c>
      <c r="H44" s="412">
        <f t="shared" si="6"/>
        <v>21367970</v>
      </c>
      <c r="I44" s="1285">
        <f>IFERROR(VLOOKUP(A44,'valores unit indexados'!$A$14:$O$197,15,FALSE),0)</f>
        <v>0</v>
      </c>
      <c r="J44" s="1292">
        <f t="shared" si="2"/>
        <v>0</v>
      </c>
      <c r="K44"/>
      <c r="L44" s="346" t="str">
        <f t="shared" si="0"/>
        <v>A. 1,10</v>
      </c>
      <c r="M44" s="357" t="str">
        <f t="shared" si="1"/>
        <v xml:space="preserve">Fabricación de borde de escalera en granito lavado  (Borde de escalera ancho 10 cm a lo largo de la huella y la contrahuella de 13 cm) incluye dilatación en bronce 5 mm
</v>
      </c>
      <c r="N44" s="340" t="str">
        <f t="shared" si="3"/>
        <v>ML</v>
      </c>
      <c r="O44" s="348">
        <f t="shared" si="4"/>
        <v>410</v>
      </c>
      <c r="P44" s="423">
        <f>VLOOKUP(L44,'selección precios unitario'!$A$5:$I$418,9,FALSE)</f>
        <v>51059</v>
      </c>
      <c r="Q44" s="423">
        <f t="shared" si="7"/>
        <v>20934190</v>
      </c>
    </row>
    <row r="45" spans="1:60" ht="25.5" outlineLevel="1" x14ac:dyDescent="0.25">
      <c r="A45" s="354" t="s">
        <v>34</v>
      </c>
      <c r="B45" s="1577" t="s">
        <v>35</v>
      </c>
      <c r="C45" s="356" t="s">
        <v>19</v>
      </c>
      <c r="D45" s="348">
        <v>288</v>
      </c>
      <c r="E45" s="379">
        <v>140000</v>
      </c>
      <c r="F45" s="412">
        <f t="shared" si="5"/>
        <v>40320000</v>
      </c>
      <c r="G45" s="412">
        <v>116903.6</v>
      </c>
      <c r="H45" s="412">
        <f t="shared" si="6"/>
        <v>33668236.800000004</v>
      </c>
      <c r="I45" s="1285">
        <f>IFERROR(VLOOKUP(A45,'valores unit indexados'!$A$14:$O$197,15,FALSE),0)</f>
        <v>0</v>
      </c>
      <c r="J45" s="1292">
        <f t="shared" si="2"/>
        <v>0</v>
      </c>
      <c r="K45"/>
      <c r="L45" s="354" t="str">
        <f t="shared" si="0"/>
        <v>A. 1,11</v>
      </c>
      <c r="M45" s="358" t="str">
        <f t="shared" si="1"/>
        <v xml:space="preserve">Suministro e instalación de enchape para piso exterior (tráfico alto, incluye junta de dilatación en aluminio) </v>
      </c>
      <c r="N45" s="356" t="str">
        <f t="shared" si="3"/>
        <v>M2</v>
      </c>
      <c r="O45" s="348">
        <f t="shared" si="4"/>
        <v>288</v>
      </c>
      <c r="P45" s="423">
        <f>VLOOKUP(L45,'selección precios unitario'!$A$5:$I$418,9,FALSE)</f>
        <v>128452</v>
      </c>
      <c r="Q45" s="423">
        <f t="shared" si="7"/>
        <v>36994176</v>
      </c>
    </row>
    <row r="46" spans="1:60" ht="25.5" outlineLevel="1" x14ac:dyDescent="0.25">
      <c r="A46" s="346" t="s">
        <v>36</v>
      </c>
      <c r="B46" s="358" t="s">
        <v>37</v>
      </c>
      <c r="C46" s="356" t="s">
        <v>14</v>
      </c>
      <c r="D46" s="348">
        <v>91</v>
      </c>
      <c r="E46" s="379">
        <v>35000</v>
      </c>
      <c r="F46" s="412">
        <f t="shared" si="5"/>
        <v>3185000</v>
      </c>
      <c r="G46" s="412">
        <v>18746</v>
      </c>
      <c r="H46" s="412">
        <f t="shared" si="6"/>
        <v>1705886</v>
      </c>
      <c r="I46" s="1285">
        <f>IFERROR(VLOOKUP(A46,'valores unit indexados'!$A$14:$O$197,15,FALSE),0)</f>
        <v>21193</v>
      </c>
      <c r="J46" s="1292">
        <f t="shared" si="2"/>
        <v>1928563</v>
      </c>
      <c r="K46"/>
      <c r="L46" s="346" t="str">
        <f t="shared" si="0"/>
        <v>A. 1,12</v>
      </c>
      <c r="M46" s="358" t="str">
        <f t="shared" si="1"/>
        <v xml:space="preserve">Suministro y fabricación guardaescoba en granito en media caña 10 cm </v>
      </c>
      <c r="N46" s="356" t="str">
        <f t="shared" si="3"/>
        <v>ML</v>
      </c>
      <c r="O46" s="348">
        <f t="shared" si="4"/>
        <v>91</v>
      </c>
      <c r="P46" s="423">
        <f>VLOOKUP(L46,'selección precios unitario'!$A$5:$I$418,9,FALSE)</f>
        <v>21193</v>
      </c>
      <c r="Q46" s="423">
        <f t="shared" si="7"/>
        <v>1928563</v>
      </c>
    </row>
    <row r="47" spans="1:60" ht="25.5" outlineLevel="1" x14ac:dyDescent="0.25">
      <c r="A47" s="354" t="s">
        <v>38</v>
      </c>
      <c r="B47" s="358" t="s">
        <v>1455</v>
      </c>
      <c r="C47" s="356" t="s">
        <v>14</v>
      </c>
      <c r="D47" s="348">
        <v>60</v>
      </c>
      <c r="E47" s="379">
        <v>40000</v>
      </c>
      <c r="F47" s="412">
        <f t="shared" si="5"/>
        <v>2400000</v>
      </c>
      <c r="G47" s="412">
        <v>17173</v>
      </c>
      <c r="H47" s="412">
        <f t="shared" si="6"/>
        <v>1030380</v>
      </c>
      <c r="I47" s="1285">
        <f>IFERROR(VLOOKUP(A47,'valores unit indexados'!$A$14:$O$197,15,FALSE),0)</f>
        <v>0</v>
      </c>
      <c r="J47" s="1292">
        <f t="shared" si="2"/>
        <v>0</v>
      </c>
      <c r="K47"/>
      <c r="L47" s="354" t="str">
        <f t="shared" si="0"/>
        <v>A. 1,13</v>
      </c>
      <c r="M47" s="358" t="str">
        <f t="shared" si="1"/>
        <v xml:space="preserve">Suministro y fabricación de cenefa piso en granito lavado  ancho 20 cm </v>
      </c>
      <c r="N47" s="356" t="str">
        <f t="shared" si="3"/>
        <v>ML</v>
      </c>
      <c r="O47" s="348">
        <f t="shared" si="4"/>
        <v>60</v>
      </c>
      <c r="P47" s="423">
        <f>VLOOKUP(L47,'selección precios unitario'!$A$5:$I$418,9,FALSE)</f>
        <v>28587</v>
      </c>
      <c r="Q47" s="423">
        <f t="shared" si="7"/>
        <v>1715220</v>
      </c>
    </row>
    <row r="48" spans="1:60" s="1533" customFormat="1" ht="24.75" customHeight="1" outlineLevel="1" x14ac:dyDescent="0.25">
      <c r="A48" s="1527" t="s">
        <v>40</v>
      </c>
      <c r="B48" s="1528" t="s">
        <v>41</v>
      </c>
      <c r="C48" s="1527"/>
      <c r="D48" s="1529"/>
      <c r="E48" s="1530"/>
      <c r="F48" s="1531">
        <f t="shared" si="5"/>
        <v>0</v>
      </c>
      <c r="G48" s="1530"/>
      <c r="H48" s="1531">
        <f t="shared" si="6"/>
        <v>0</v>
      </c>
      <c r="I48" s="1532"/>
      <c r="J48" s="1527"/>
      <c r="K48"/>
      <c r="L48" s="1527" t="str">
        <f t="shared" si="0"/>
        <v>A. 2</v>
      </c>
      <c r="M48" s="1836" t="str">
        <f t="shared" si="1"/>
        <v>Actividades para cubierta de la  terraza torre A - Fase C</v>
      </c>
      <c r="N48" s="1837"/>
      <c r="O48" s="1837"/>
      <c r="P48" s="1837"/>
      <c r="Q48" s="1838"/>
      <c r="R48" s="1544"/>
      <c r="S48" s="1544"/>
      <c r="T48" s="1544"/>
      <c r="U48" s="1544"/>
      <c r="V48" s="1544"/>
      <c r="W48" s="1544"/>
      <c r="X48" s="1544"/>
      <c r="Y48" s="1544"/>
      <c r="Z48" s="1544"/>
      <c r="AA48" s="1544"/>
      <c r="AB48" s="1544"/>
      <c r="AC48" s="1544"/>
      <c r="AD48" s="1544"/>
      <c r="AE48" s="1544"/>
      <c r="AF48" s="1544"/>
      <c r="AG48" s="1544"/>
      <c r="AH48" s="1544"/>
      <c r="AI48" s="1544"/>
      <c r="AJ48" s="1544"/>
      <c r="AK48" s="1544"/>
      <c r="AL48" s="1544"/>
      <c r="AM48" s="1544"/>
      <c r="AN48" s="1544"/>
      <c r="AO48" s="1544"/>
      <c r="AP48" s="1544"/>
      <c r="AQ48" s="1544"/>
      <c r="AR48" s="1544"/>
      <c r="AS48" s="1544"/>
      <c r="AT48" s="1544"/>
      <c r="AU48" s="1544"/>
      <c r="AV48" s="1544"/>
      <c r="AW48" s="1544"/>
      <c r="AX48" s="1544"/>
      <c r="AY48" s="1544"/>
      <c r="AZ48" s="1544"/>
      <c r="BA48" s="1544"/>
      <c r="BB48" s="1544"/>
      <c r="BC48" s="1544"/>
      <c r="BD48" s="1544"/>
      <c r="BE48" s="1544"/>
      <c r="BF48" s="1544"/>
      <c r="BG48" s="1544"/>
      <c r="BH48" s="1544"/>
    </row>
    <row r="49" spans="1:60" ht="25.5" outlineLevel="1" x14ac:dyDescent="0.25">
      <c r="A49" s="346" t="s">
        <v>42</v>
      </c>
      <c r="B49" s="360" t="s">
        <v>43</v>
      </c>
      <c r="C49" s="361" t="s">
        <v>6</v>
      </c>
      <c r="D49" s="348">
        <v>52</v>
      </c>
      <c r="E49" s="353">
        <v>66000</v>
      </c>
      <c r="F49" s="349">
        <f t="shared" si="5"/>
        <v>3432000</v>
      </c>
      <c r="G49" s="1292">
        <v>32500</v>
      </c>
      <c r="H49" s="349">
        <f t="shared" si="6"/>
        <v>1690000</v>
      </c>
      <c r="I49" s="1285">
        <f>IFERROR(VLOOKUP(A49,'valores unit indexados'!$A$14:$O$197,15,FALSE),0)</f>
        <v>64568</v>
      </c>
      <c r="J49" s="350">
        <f t="shared" si="2"/>
        <v>3357536</v>
      </c>
      <c r="K49"/>
      <c r="L49" s="346" t="str">
        <f t="shared" si="0"/>
        <v>A. 2,1</v>
      </c>
      <c r="M49" s="360" t="str">
        <f t="shared" si="1"/>
        <v>Suministro e instalación de bases en concreto de 20 cm x 20 cm fundidos sobre losa de terraza</v>
      </c>
      <c r="N49" s="361" t="str">
        <f t="shared" ref="N49:N62" si="8">+C49</f>
        <v>UND</v>
      </c>
      <c r="O49" s="348">
        <f t="shared" ref="O49:O62" si="9">+D49</f>
        <v>52</v>
      </c>
      <c r="P49" s="423">
        <f>VLOOKUP(L49,'selección precios unitario'!$A$5:$I$418,9,FALSE)</f>
        <v>65284</v>
      </c>
      <c r="Q49" s="423">
        <f t="shared" si="7"/>
        <v>3394768</v>
      </c>
    </row>
    <row r="50" spans="1:60" ht="63.75" outlineLevel="1" x14ac:dyDescent="0.25">
      <c r="A50" s="354" t="s">
        <v>44</v>
      </c>
      <c r="B50" s="358" t="s">
        <v>45</v>
      </c>
      <c r="C50" s="361" t="s">
        <v>6</v>
      </c>
      <c r="D50" s="348">
        <v>52</v>
      </c>
      <c r="E50" s="353">
        <v>66000</v>
      </c>
      <c r="F50" s="349">
        <f t="shared" si="5"/>
        <v>3432000</v>
      </c>
      <c r="G50" s="1292">
        <v>35581</v>
      </c>
      <c r="H50" s="349">
        <f t="shared" si="6"/>
        <v>1850212</v>
      </c>
      <c r="I50" s="1285">
        <f>IFERROR(VLOOKUP(A50,'valores unit indexados'!$A$14:$O$197,15,FALSE),0)</f>
        <v>64421</v>
      </c>
      <c r="J50" s="350">
        <f t="shared" si="2"/>
        <v>3349892</v>
      </c>
      <c r="K50"/>
      <c r="L50" s="354" t="str">
        <f t="shared" si="0"/>
        <v>A. 2,2</v>
      </c>
      <c r="M50" s="1821" t="str">
        <f t="shared" si="1"/>
        <v>Suministro e instalación de platina 3/8 cuyas medidas oscilan así: 10 cm x 15 cm y 15 cm x 15 cm, incluye materiales complementarios de conexión, acero, corte, soldadura, anclajes, cartelas, tornillos, varilla de 1/2 soldada para anclaje sobre bases de concreto.</v>
      </c>
      <c r="N50" s="361" t="str">
        <f t="shared" si="8"/>
        <v>UND</v>
      </c>
      <c r="O50" s="348">
        <f t="shared" si="9"/>
        <v>52</v>
      </c>
      <c r="P50" s="423">
        <f>VLOOKUP(L50,'selección precios unitario'!$A$5:$I$418,9,FALSE)</f>
        <v>65211</v>
      </c>
      <c r="Q50" s="423">
        <f t="shared" si="7"/>
        <v>3390972</v>
      </c>
    </row>
    <row r="51" spans="1:60" ht="25.5" outlineLevel="1" x14ac:dyDescent="0.25">
      <c r="A51" s="340" t="s">
        <v>46</v>
      </c>
      <c r="B51" s="358" t="s">
        <v>47</v>
      </c>
      <c r="C51" s="356" t="s">
        <v>14</v>
      </c>
      <c r="D51" s="348">
        <v>97</v>
      </c>
      <c r="E51" s="353">
        <v>118000</v>
      </c>
      <c r="F51" s="349">
        <f t="shared" si="5"/>
        <v>11446000</v>
      </c>
      <c r="G51" s="350">
        <v>132301</v>
      </c>
      <c r="H51" s="349">
        <f t="shared" si="6"/>
        <v>12833197</v>
      </c>
      <c r="I51" s="1285">
        <f>IFERROR(VLOOKUP(A51,'valores unit indexados'!$A$14:$O$197,15,FALSE),0)</f>
        <v>115095</v>
      </c>
      <c r="J51" s="350">
        <f t="shared" si="2"/>
        <v>11164215</v>
      </c>
      <c r="K51"/>
      <c r="L51" s="340" t="str">
        <f t="shared" si="0"/>
        <v>A. 2,3</v>
      </c>
      <c r="M51" s="358" t="str">
        <f t="shared" si="1"/>
        <v>Suministro e instalación de estructura metálica para cubierta en tubería 100 cm x 100 cm calibre 2 mm, incluye pintura 3 en 2</v>
      </c>
      <c r="N51" s="356" t="str">
        <f t="shared" si="8"/>
        <v>ML</v>
      </c>
      <c r="O51" s="348">
        <f t="shared" si="9"/>
        <v>97</v>
      </c>
      <c r="P51" s="423">
        <f>VLOOKUP(L51,'selección precios unitario'!$A$5:$I$418,9,FALSE)</f>
        <v>108965</v>
      </c>
      <c r="Q51" s="423">
        <f t="shared" si="7"/>
        <v>10569605</v>
      </c>
    </row>
    <row r="52" spans="1:60" ht="25.5" outlineLevel="1" x14ac:dyDescent="0.25">
      <c r="A52" s="354" t="s">
        <v>48</v>
      </c>
      <c r="B52" s="358" t="s">
        <v>49</v>
      </c>
      <c r="C52" s="356" t="s">
        <v>14</v>
      </c>
      <c r="D52" s="348">
        <v>212</v>
      </c>
      <c r="E52" s="353">
        <v>110000</v>
      </c>
      <c r="F52" s="349">
        <f t="shared" si="5"/>
        <v>23320000</v>
      </c>
      <c r="G52" s="350">
        <v>110500</v>
      </c>
      <c r="H52" s="349">
        <f t="shared" si="6"/>
        <v>23426000</v>
      </c>
      <c r="I52" s="1285">
        <f>IFERROR(VLOOKUP(A52,'valores unit indexados'!$A$14:$O$197,15,FALSE),0)</f>
        <v>106395</v>
      </c>
      <c r="J52" s="350">
        <f t="shared" si="2"/>
        <v>22555740</v>
      </c>
      <c r="K52"/>
      <c r="L52" s="354" t="str">
        <f t="shared" si="0"/>
        <v>A. 2,4</v>
      </c>
      <c r="M52" s="358" t="str">
        <f t="shared" si="1"/>
        <v>Suministro e instalación de estructura metálica para cubierta en tubería 100 cm x 50 cm calibre 2 mm, incluye pintura 3 en 1</v>
      </c>
      <c r="N52" s="356" t="str">
        <f t="shared" si="8"/>
        <v>ML</v>
      </c>
      <c r="O52" s="348">
        <f t="shared" si="9"/>
        <v>212</v>
      </c>
      <c r="P52" s="423">
        <f>VLOOKUP(L52,'selección precios unitario'!$A$5:$I$418,9,FALSE)</f>
        <v>108965</v>
      </c>
      <c r="Q52" s="423">
        <f t="shared" si="7"/>
        <v>23100580</v>
      </c>
    </row>
    <row r="53" spans="1:60" ht="38.25" outlineLevel="1" x14ac:dyDescent="0.25">
      <c r="A53" s="362" t="s">
        <v>50</v>
      </c>
      <c r="B53" s="358" t="s">
        <v>51</v>
      </c>
      <c r="C53" s="356" t="s">
        <v>14</v>
      </c>
      <c r="D53" s="348">
        <v>255</v>
      </c>
      <c r="E53" s="353">
        <v>100000</v>
      </c>
      <c r="F53" s="349">
        <f t="shared" si="5"/>
        <v>25500000</v>
      </c>
      <c r="G53" s="350">
        <v>104000</v>
      </c>
      <c r="H53" s="349">
        <f t="shared" si="6"/>
        <v>26520000</v>
      </c>
      <c r="I53" s="1285">
        <f>IFERROR(VLOOKUP(A53,'valores unit indexados'!$A$14:$O$197,15,FALSE),0)</f>
        <v>97346</v>
      </c>
      <c r="J53" s="350">
        <f t="shared" si="2"/>
        <v>24823230</v>
      </c>
      <c r="K53"/>
      <c r="L53" s="362" t="str">
        <f t="shared" si="0"/>
        <v>A. 2,5</v>
      </c>
      <c r="M53" s="358" t="str">
        <f t="shared" si="1"/>
        <v xml:space="preserve">Suministro e instalación de estructura metálica para cubierta en tubería 80 cm x 40 cm calibre 2 mm, incluye pintura 3 en 1 
</v>
      </c>
      <c r="N53" s="356" t="str">
        <f t="shared" si="8"/>
        <v>ML</v>
      </c>
      <c r="O53" s="348">
        <f t="shared" si="9"/>
        <v>255</v>
      </c>
      <c r="P53" s="423">
        <f>VLOOKUP(L53,'selección precios unitario'!$A$5:$I$418,9,FALSE)</f>
        <v>100449</v>
      </c>
      <c r="Q53" s="423">
        <f t="shared" si="7"/>
        <v>25614495</v>
      </c>
    </row>
    <row r="54" spans="1:60" ht="25.5" outlineLevel="1" x14ac:dyDescent="0.25">
      <c r="A54" s="354" t="s">
        <v>52</v>
      </c>
      <c r="B54" s="360" t="s">
        <v>53</v>
      </c>
      <c r="C54" s="361" t="s">
        <v>19</v>
      </c>
      <c r="D54" s="348">
        <v>330</v>
      </c>
      <c r="E54" s="353">
        <v>80000</v>
      </c>
      <c r="F54" s="349">
        <f t="shared" si="5"/>
        <v>26400000</v>
      </c>
      <c r="G54" s="350">
        <v>65949</v>
      </c>
      <c r="H54" s="349">
        <f t="shared" si="6"/>
        <v>21763170</v>
      </c>
      <c r="I54" s="1285">
        <f>IFERROR(VLOOKUP(A54,'valores unit indexados'!$A$14:$O$197,15,FALSE),0)</f>
        <v>77917</v>
      </c>
      <c r="J54" s="350">
        <f t="shared" si="2"/>
        <v>25712610</v>
      </c>
      <c r="K54"/>
      <c r="L54" s="354" t="str">
        <f t="shared" si="0"/>
        <v>A. 2,6</v>
      </c>
      <c r="M54" s="360" t="str">
        <f t="shared" si="1"/>
        <v>Suministro e instalación de teja upvc 2.5 mm, incluye tornillería para su correcta instalación sobre estructura metálica</v>
      </c>
      <c r="N54" s="361" t="str">
        <f t="shared" si="8"/>
        <v>M2</v>
      </c>
      <c r="O54" s="348">
        <f t="shared" si="9"/>
        <v>330</v>
      </c>
      <c r="P54" s="423">
        <f>VLOOKUP(L54,'selección precios unitario'!$A$5:$I$418,9,FALSE)</f>
        <v>74622</v>
      </c>
      <c r="Q54" s="423">
        <f t="shared" si="7"/>
        <v>24625260</v>
      </c>
    </row>
    <row r="55" spans="1:60" ht="25.5" outlineLevel="1" x14ac:dyDescent="0.25">
      <c r="A55" s="362" t="s">
        <v>54</v>
      </c>
      <c r="B55" s="358" t="s">
        <v>55</v>
      </c>
      <c r="C55" s="356" t="s">
        <v>14</v>
      </c>
      <c r="D55" s="348">
        <v>28</v>
      </c>
      <c r="E55" s="353">
        <v>92000</v>
      </c>
      <c r="F55" s="349">
        <f t="shared" si="5"/>
        <v>2576000</v>
      </c>
      <c r="G55" s="350">
        <v>72813</v>
      </c>
      <c r="H55" s="349">
        <f t="shared" si="6"/>
        <v>2038764</v>
      </c>
      <c r="I55" s="1285">
        <f>IFERROR(VLOOKUP(A55,'valores unit indexados'!$A$14:$O$197,15,FALSE),0)</f>
        <v>89336</v>
      </c>
      <c r="J55" s="350">
        <f t="shared" si="2"/>
        <v>2501408</v>
      </c>
      <c r="K55"/>
      <c r="L55" s="362" t="str">
        <f t="shared" si="0"/>
        <v>A. 2,7</v>
      </c>
      <c r="M55" s="358" t="str">
        <f t="shared" si="1"/>
        <v>Suministro e instalación de caballete para teja upvc 2.5 mm, incluye accesorios para su correcta instalación</v>
      </c>
      <c r="N55" s="356" t="str">
        <f t="shared" si="8"/>
        <v>ML</v>
      </c>
      <c r="O55" s="348">
        <f t="shared" si="9"/>
        <v>28</v>
      </c>
      <c r="P55" s="423">
        <f>VLOOKUP(L55,'selección precios unitario'!$A$5:$I$418,9,FALSE)</f>
        <v>84716</v>
      </c>
      <c r="Q55" s="423">
        <f t="shared" si="7"/>
        <v>2372048</v>
      </c>
    </row>
    <row r="56" spans="1:60" ht="25.5" outlineLevel="1" x14ac:dyDescent="0.25">
      <c r="A56" s="354" t="s">
        <v>56</v>
      </c>
      <c r="B56" s="358" t="s">
        <v>57</v>
      </c>
      <c r="C56" s="356" t="s">
        <v>14</v>
      </c>
      <c r="D56" s="348">
        <v>40</v>
      </c>
      <c r="E56" s="353">
        <v>94000</v>
      </c>
      <c r="F56" s="349">
        <f t="shared" si="5"/>
        <v>3760000</v>
      </c>
      <c r="G56" s="350">
        <v>113048</v>
      </c>
      <c r="H56" s="349">
        <f t="shared" si="6"/>
        <v>4521920</v>
      </c>
      <c r="I56" s="1285">
        <f>IFERROR(VLOOKUP(A56,'valores unit indexados'!$A$14:$O$197,15,FALSE),0)</f>
        <v>91145</v>
      </c>
      <c r="J56" s="350">
        <f t="shared" si="2"/>
        <v>3645800</v>
      </c>
      <c r="K56"/>
      <c r="L56" s="354" t="str">
        <f t="shared" si="0"/>
        <v>A. 2,8</v>
      </c>
      <c r="M56" s="358" t="str">
        <f t="shared" si="1"/>
        <v>Suministro e instalación de Canal en lamina galvanizada cal 22, incluye platina para soporte canal</v>
      </c>
      <c r="N56" s="356" t="str">
        <f t="shared" si="8"/>
        <v>ML</v>
      </c>
      <c r="O56" s="348">
        <f t="shared" si="9"/>
        <v>40</v>
      </c>
      <c r="P56" s="423">
        <f>VLOOKUP(L56,'selección precios unitario'!$A$5:$I$418,9,FALSE)</f>
        <v>92573</v>
      </c>
      <c r="Q56" s="423">
        <f t="shared" si="7"/>
        <v>3702920</v>
      </c>
    </row>
    <row r="57" spans="1:60" ht="15" outlineLevel="1" x14ac:dyDescent="0.25">
      <c r="A57" s="362" t="s">
        <v>58</v>
      </c>
      <c r="B57" s="358" t="s">
        <v>59</v>
      </c>
      <c r="C57" s="356" t="s">
        <v>14</v>
      </c>
      <c r="D57" s="348">
        <v>40</v>
      </c>
      <c r="E57" s="353">
        <v>16000</v>
      </c>
      <c r="F57" s="349">
        <f t="shared" si="5"/>
        <v>640000</v>
      </c>
      <c r="G57" s="350">
        <v>16848</v>
      </c>
      <c r="H57" s="349">
        <f t="shared" si="6"/>
        <v>673920</v>
      </c>
      <c r="I57" s="1285">
        <f>IFERROR(VLOOKUP(A57,'valores unit indexados'!$A$14:$O$197,15,FALSE),0)</f>
        <v>13382</v>
      </c>
      <c r="J57" s="350">
        <f t="shared" si="2"/>
        <v>535280</v>
      </c>
      <c r="K57"/>
      <c r="L57" s="362" t="str">
        <f t="shared" si="0"/>
        <v>A. 2,9</v>
      </c>
      <c r="M57" s="358" t="str">
        <f t="shared" si="1"/>
        <v>Corte de muro con pulidora</v>
      </c>
      <c r="N57" s="356" t="str">
        <f t="shared" si="8"/>
        <v>ML</v>
      </c>
      <c r="O57" s="348">
        <f t="shared" si="9"/>
        <v>40</v>
      </c>
      <c r="P57" s="423">
        <f>VLOOKUP(L57,'selección precios unitario'!$A$5:$I$418,9,FALSE)</f>
        <v>15410</v>
      </c>
      <c r="Q57" s="423">
        <f t="shared" si="7"/>
        <v>616400</v>
      </c>
    </row>
    <row r="58" spans="1:60" ht="25.5" outlineLevel="1" x14ac:dyDescent="0.25">
      <c r="A58" s="354" t="s">
        <v>60</v>
      </c>
      <c r="B58" s="358" t="s">
        <v>61</v>
      </c>
      <c r="C58" s="356" t="s">
        <v>14</v>
      </c>
      <c r="D58" s="348">
        <v>70</v>
      </c>
      <c r="E58" s="353">
        <v>46000</v>
      </c>
      <c r="F58" s="412">
        <f t="shared" si="5"/>
        <v>3220000</v>
      </c>
      <c r="G58" s="1292">
        <v>57837</v>
      </c>
      <c r="H58" s="412">
        <f t="shared" si="6"/>
        <v>4048590</v>
      </c>
      <c r="I58" s="1285">
        <f>IFERROR(VLOOKUP(A58,'valores unit indexados'!$A$14:$O$197,15,FALSE),0)</f>
        <v>0</v>
      </c>
      <c r="J58" s="350">
        <f t="shared" si="2"/>
        <v>0</v>
      </c>
      <c r="K58"/>
      <c r="L58" s="354" t="str">
        <f t="shared" si="0"/>
        <v>A. 2,10</v>
      </c>
      <c r="M58" s="358" t="str">
        <f t="shared" si="1"/>
        <v>Suministro e instalación de Solapa en lamina galvanizada Cal 24, incluye sellador sobre muro</v>
      </c>
      <c r="N58" s="356" t="str">
        <f t="shared" si="8"/>
        <v>ML</v>
      </c>
      <c r="O58" s="348">
        <f t="shared" si="9"/>
        <v>70</v>
      </c>
      <c r="P58" s="423">
        <f>VLOOKUP(L58,'selección precios unitario'!$A$5:$I$418,9,FALSE)</f>
        <v>51919</v>
      </c>
      <c r="Q58" s="423">
        <f t="shared" si="7"/>
        <v>3634330</v>
      </c>
    </row>
    <row r="59" spans="1:60" ht="15" outlineLevel="1" x14ac:dyDescent="0.25">
      <c r="A59" s="362" t="s">
        <v>62</v>
      </c>
      <c r="B59" s="358" t="s">
        <v>63</v>
      </c>
      <c r="C59" s="356" t="s">
        <v>6</v>
      </c>
      <c r="D59" s="348">
        <v>10</v>
      </c>
      <c r="E59" s="353">
        <v>27000</v>
      </c>
      <c r="F59" s="412">
        <f t="shared" si="5"/>
        <v>270000</v>
      </c>
      <c r="G59" s="1292">
        <v>6667.1</v>
      </c>
      <c r="H59" s="412">
        <f t="shared" si="6"/>
        <v>66671</v>
      </c>
      <c r="I59" s="1285">
        <f>IFERROR(VLOOKUP(A59,'valores unit indexados'!$A$14:$O$197,15,FALSE),0)</f>
        <v>26036</v>
      </c>
      <c r="J59" s="350">
        <f t="shared" si="2"/>
        <v>260360</v>
      </c>
      <c r="K59"/>
      <c r="L59" s="362" t="str">
        <f t="shared" si="0"/>
        <v>A. 2,11</v>
      </c>
      <c r="M59" s="358" t="str">
        <f t="shared" si="1"/>
        <v>Suministro e instalación de soscos para canal en 3"</v>
      </c>
      <c r="N59" s="356" t="str">
        <f t="shared" si="8"/>
        <v>UND</v>
      </c>
      <c r="O59" s="348">
        <f t="shared" si="9"/>
        <v>10</v>
      </c>
      <c r="P59" s="423">
        <f>VLOOKUP(L59,'selección precios unitario'!$A$5:$I$418,9,FALSE)</f>
        <v>26518</v>
      </c>
      <c r="Q59" s="423">
        <f t="shared" si="7"/>
        <v>265180</v>
      </c>
    </row>
    <row r="60" spans="1:60" ht="25.5" outlineLevel="1" x14ac:dyDescent="0.25">
      <c r="A60" s="354" t="s">
        <v>64</v>
      </c>
      <c r="B60" s="358" t="s">
        <v>65</v>
      </c>
      <c r="C60" s="356" t="s">
        <v>14</v>
      </c>
      <c r="D60" s="348">
        <v>80</v>
      </c>
      <c r="E60" s="353">
        <v>48000</v>
      </c>
      <c r="F60" s="412">
        <f t="shared" si="5"/>
        <v>3840000</v>
      </c>
      <c r="G60" s="1292">
        <v>36283</v>
      </c>
      <c r="H60" s="412">
        <f t="shared" si="6"/>
        <v>2902640</v>
      </c>
      <c r="I60" s="1285">
        <f>IFERROR(VLOOKUP(A60,'valores unit indexados'!$A$14:$O$197,15,FALSE),0)</f>
        <v>75401</v>
      </c>
      <c r="J60" s="350">
        <f t="shared" si="2"/>
        <v>6032080</v>
      </c>
      <c r="K60"/>
      <c r="L60" s="354" t="str">
        <f t="shared" si="0"/>
        <v>A. 2,12</v>
      </c>
      <c r="M60" s="358" t="str">
        <f t="shared" si="1"/>
        <v>Suministro e instalación tubería sanitaria de 4 " incluye accesorios.</v>
      </c>
      <c r="N60" s="356" t="str">
        <f t="shared" si="8"/>
        <v>ML</v>
      </c>
      <c r="O60" s="348">
        <f t="shared" si="9"/>
        <v>80</v>
      </c>
      <c r="P60" s="423">
        <f>VLOOKUP(L60,'selección precios unitario'!$A$5:$I$418,9,FALSE)</f>
        <v>42142</v>
      </c>
      <c r="Q60" s="423">
        <f t="shared" si="7"/>
        <v>3371360</v>
      </c>
    </row>
    <row r="61" spans="1:60" ht="15" outlineLevel="1" x14ac:dyDescent="0.25">
      <c r="A61" s="354" t="s">
        <v>66</v>
      </c>
      <c r="B61" s="358" t="s">
        <v>67</v>
      </c>
      <c r="C61" s="356" t="s">
        <v>14</v>
      </c>
      <c r="D61" s="348">
        <v>7</v>
      </c>
      <c r="E61" s="353">
        <v>145000</v>
      </c>
      <c r="F61" s="412">
        <f t="shared" si="5"/>
        <v>1015000</v>
      </c>
      <c r="G61" s="1292">
        <v>106490.8</v>
      </c>
      <c r="H61" s="412">
        <f t="shared" si="6"/>
        <v>745435.6</v>
      </c>
      <c r="I61" s="1285">
        <f>IFERROR(VLOOKUP(A61,'valores unit indexados'!$A$14:$O$197,15,FALSE),0)</f>
        <v>0</v>
      </c>
      <c r="J61" s="350">
        <f t="shared" si="2"/>
        <v>0</v>
      </c>
      <c r="K61"/>
      <c r="L61" s="354" t="str">
        <f t="shared" si="0"/>
        <v>A. 2,13</v>
      </c>
      <c r="M61" s="358" t="str">
        <f t="shared" si="1"/>
        <v>Suministro e instalación tubo de pasamanos de 2"</v>
      </c>
      <c r="N61" s="356" t="str">
        <f t="shared" si="8"/>
        <v>ML</v>
      </c>
      <c r="O61" s="348">
        <f t="shared" si="9"/>
        <v>7</v>
      </c>
      <c r="P61" s="423">
        <f>VLOOKUP(L61,'selección precios unitario'!$A$5:$I$418,9,FALSE)</f>
        <v>125745</v>
      </c>
      <c r="Q61" s="423">
        <f t="shared" si="7"/>
        <v>880215</v>
      </c>
    </row>
    <row r="62" spans="1:60" ht="51" outlineLevel="1" x14ac:dyDescent="0.25">
      <c r="A62" s="354" t="s">
        <v>68</v>
      </c>
      <c r="B62" s="358" t="s">
        <v>1465</v>
      </c>
      <c r="C62" s="356" t="s">
        <v>6</v>
      </c>
      <c r="D62" s="348">
        <v>1</v>
      </c>
      <c r="E62" s="350">
        <v>1200000</v>
      </c>
      <c r="F62" s="349">
        <f t="shared" si="5"/>
        <v>1200000</v>
      </c>
      <c r="G62" s="350">
        <v>550000</v>
      </c>
      <c r="H62" s="349">
        <f t="shared" si="6"/>
        <v>550000</v>
      </c>
      <c r="I62" s="1285">
        <f>IFERROR(VLOOKUP(A62,'valores unit indexados'!$A$14:$O$197,15,FALSE),0)</f>
        <v>0</v>
      </c>
      <c r="J62" s="350">
        <f t="shared" si="2"/>
        <v>0</v>
      </c>
      <c r="K62"/>
      <c r="L62" s="354" t="str">
        <f t="shared" si="0"/>
        <v>A. 2,14</v>
      </c>
      <c r="M62" s="358" t="str">
        <f t="shared" si="1"/>
        <v>Suministro e instalación pasarela o plataforma metálica en rejilla de acero con 2 pasos en cada extremo cuyas medidas son  80 cm ancho, 160cm de largo y 40 cm de latura, incluye  pasamanos</v>
      </c>
      <c r="N62" s="356" t="str">
        <f t="shared" si="8"/>
        <v>UND</v>
      </c>
      <c r="O62" s="348">
        <f t="shared" si="9"/>
        <v>1</v>
      </c>
      <c r="P62" s="423">
        <f>VLOOKUP(L62,'selección precios unitario'!$A$5:$I$418,9,FALSE)</f>
        <v>875000</v>
      </c>
      <c r="Q62" s="423">
        <f t="shared" si="7"/>
        <v>875000</v>
      </c>
    </row>
    <row r="63" spans="1:60" s="1533" customFormat="1" ht="24.75" customHeight="1" outlineLevel="1" x14ac:dyDescent="0.25">
      <c r="A63" s="1527" t="s">
        <v>69</v>
      </c>
      <c r="B63" s="1528" t="s">
        <v>70</v>
      </c>
      <c r="C63" s="1527"/>
      <c r="D63" s="1529"/>
      <c r="E63" s="1530"/>
      <c r="F63" s="1531">
        <f t="shared" si="5"/>
        <v>0</v>
      </c>
      <c r="G63" s="1530"/>
      <c r="H63" s="1531">
        <f t="shared" si="6"/>
        <v>0</v>
      </c>
      <c r="I63" s="1532"/>
      <c r="J63" s="1527"/>
      <c r="K63"/>
      <c r="L63" s="1527" t="str">
        <f t="shared" si="0"/>
        <v>A. 3</v>
      </c>
      <c r="M63" s="1836" t="str">
        <f t="shared" si="1"/>
        <v>Impermeabilización cubierta de cuartos técnicos terraza torre A</v>
      </c>
      <c r="N63" s="1837"/>
      <c r="O63" s="1837"/>
      <c r="P63" s="1837"/>
      <c r="Q63" s="1838"/>
      <c r="R63" s="1544"/>
      <c r="S63" s="1544"/>
      <c r="T63" s="1544"/>
      <c r="U63" s="1544"/>
      <c r="V63" s="1544"/>
      <c r="W63" s="1544"/>
      <c r="X63" s="1544"/>
      <c r="Y63" s="1544"/>
      <c r="Z63" s="1544"/>
      <c r="AA63" s="1544"/>
      <c r="AB63" s="1544"/>
      <c r="AC63" s="1544"/>
      <c r="AD63" s="1544"/>
      <c r="AE63" s="1544"/>
      <c r="AF63" s="1544"/>
      <c r="AG63" s="1544"/>
      <c r="AH63" s="1544"/>
      <c r="AI63" s="1544"/>
      <c r="AJ63" s="1544"/>
      <c r="AK63" s="1544"/>
      <c r="AL63" s="1544"/>
      <c r="AM63" s="1544"/>
      <c r="AN63" s="1544"/>
      <c r="AO63" s="1544"/>
      <c r="AP63" s="1544"/>
      <c r="AQ63" s="1544"/>
      <c r="AR63" s="1544"/>
      <c r="AS63" s="1544"/>
      <c r="AT63" s="1544"/>
      <c r="AU63" s="1544"/>
      <c r="AV63" s="1544"/>
      <c r="AW63" s="1544"/>
      <c r="AX63" s="1544"/>
      <c r="AY63" s="1544"/>
      <c r="AZ63" s="1544"/>
      <c r="BA63" s="1544"/>
      <c r="BB63" s="1544"/>
      <c r="BC63" s="1544"/>
      <c r="BD63" s="1544"/>
      <c r="BE63" s="1544"/>
      <c r="BF63" s="1544"/>
      <c r="BG63" s="1544"/>
      <c r="BH63" s="1544"/>
    </row>
    <row r="64" spans="1:60" ht="25.5" outlineLevel="1" x14ac:dyDescent="0.25">
      <c r="A64" s="340" t="s">
        <v>71</v>
      </c>
      <c r="B64" s="360" t="s">
        <v>72</v>
      </c>
      <c r="C64" s="363" t="s">
        <v>19</v>
      </c>
      <c r="D64" s="348">
        <v>191</v>
      </c>
      <c r="E64" s="379">
        <v>20000</v>
      </c>
      <c r="F64" s="412">
        <f t="shared" si="5"/>
        <v>3820000</v>
      </c>
      <c r="G64" s="412">
        <v>19500</v>
      </c>
      <c r="H64" s="349">
        <f t="shared" si="6"/>
        <v>3724500</v>
      </c>
      <c r="I64" s="1285">
        <f>IFERROR(VLOOKUP(A64,'valores unit indexados'!$A$14:$O$197,15,FALSE),0)</f>
        <v>14660</v>
      </c>
      <c r="J64" s="350">
        <f t="shared" si="2"/>
        <v>2800060</v>
      </c>
      <c r="K64"/>
      <c r="L64" s="340" t="str">
        <f t="shared" si="0"/>
        <v>A. 3,1</v>
      </c>
      <c r="M64" s="360" t="str">
        <f t="shared" si="1"/>
        <v xml:space="preserve">Retiro de manto existente, incluye retiro de escombros
</v>
      </c>
      <c r="N64" s="363" t="str">
        <f t="shared" ref="N64:O68" si="10">+C64</f>
        <v>M2</v>
      </c>
      <c r="O64" s="348">
        <f t="shared" si="10"/>
        <v>191</v>
      </c>
      <c r="P64" s="423">
        <f>VLOOKUP(L64,'selección precios unitario'!$A$5:$I$418,9,FALSE)</f>
        <v>18053</v>
      </c>
      <c r="Q64" s="423">
        <f t="shared" si="7"/>
        <v>3448123</v>
      </c>
    </row>
    <row r="65" spans="1:60" ht="25.5" outlineLevel="1" x14ac:dyDescent="0.25">
      <c r="A65" s="362" t="s">
        <v>73</v>
      </c>
      <c r="B65" s="364" t="s">
        <v>74</v>
      </c>
      <c r="C65" s="363" t="s">
        <v>19</v>
      </c>
      <c r="D65" s="348">
        <v>191</v>
      </c>
      <c r="E65" s="379">
        <v>35000</v>
      </c>
      <c r="F65" s="412">
        <f t="shared" si="5"/>
        <v>6685000</v>
      </c>
      <c r="G65" s="412">
        <v>3731</v>
      </c>
      <c r="H65" s="412">
        <f t="shared" si="6"/>
        <v>712621</v>
      </c>
      <c r="I65" s="1285">
        <f>IFERROR(VLOOKUP(A65,'valores unit indexados'!$A$14:$O$197,15,FALSE),0)</f>
        <v>29150</v>
      </c>
      <c r="J65" s="350">
        <f t="shared" si="2"/>
        <v>5567650</v>
      </c>
      <c r="K65"/>
      <c r="L65" s="362" t="str">
        <f t="shared" si="0"/>
        <v>A. 3,2</v>
      </c>
      <c r="M65" s="364" t="str">
        <f t="shared" si="1"/>
        <v>Lavada y destronque de terraza a máquina (para retirar material bituminoso, incluye retiro)</v>
      </c>
      <c r="N65" s="363" t="str">
        <f t="shared" si="10"/>
        <v>M2</v>
      </c>
      <c r="O65" s="348">
        <f t="shared" si="10"/>
        <v>191</v>
      </c>
      <c r="P65" s="423">
        <f>VLOOKUP(L65,'selección precios unitario'!$A$5:$I$418,9,FALSE)</f>
        <v>32075</v>
      </c>
      <c r="Q65" s="423">
        <f t="shared" si="7"/>
        <v>6126325</v>
      </c>
    </row>
    <row r="66" spans="1:60" ht="25.5" outlineLevel="1" x14ac:dyDescent="0.25">
      <c r="A66" s="340" t="s">
        <v>75</v>
      </c>
      <c r="B66" s="365" t="s">
        <v>76</v>
      </c>
      <c r="C66" s="366" t="s">
        <v>19</v>
      </c>
      <c r="D66" s="348">
        <v>51</v>
      </c>
      <c r="E66" s="379">
        <v>280000</v>
      </c>
      <c r="F66" s="412">
        <f t="shared" si="5"/>
        <v>14280000</v>
      </c>
      <c r="G66" s="412">
        <v>128700</v>
      </c>
      <c r="H66" s="412">
        <f t="shared" si="6"/>
        <v>6563700</v>
      </c>
      <c r="I66" s="1285">
        <f>IFERROR(VLOOKUP(A66,'valores unit indexados'!$A$14:$O$197,15,FALSE),0)</f>
        <v>227816</v>
      </c>
      <c r="J66" s="350">
        <f t="shared" si="2"/>
        <v>11618616</v>
      </c>
      <c r="K66"/>
      <c r="L66" s="340" t="str">
        <f t="shared" ref="L66:L97" si="11">+A66</f>
        <v>A. 3,3</v>
      </c>
      <c r="M66" s="365" t="str">
        <f t="shared" ref="M66:M97" si="12">+B66</f>
        <v>Suministro e instalación de membrana pvc (incluye perlines de fijación)</v>
      </c>
      <c r="N66" s="366" t="str">
        <f t="shared" si="10"/>
        <v>M2</v>
      </c>
      <c r="O66" s="348">
        <f t="shared" si="10"/>
        <v>51</v>
      </c>
      <c r="P66" s="423">
        <f>VLOOKUP(L66,'selección precios unitario'!$A$5:$I$418,9,FALSE)</f>
        <v>212172</v>
      </c>
      <c r="Q66" s="423">
        <f t="shared" si="7"/>
        <v>10820772</v>
      </c>
    </row>
    <row r="67" spans="1:60" ht="15" outlineLevel="1" x14ac:dyDescent="0.25">
      <c r="A67" s="362" t="s">
        <v>77</v>
      </c>
      <c r="B67" s="364" t="s">
        <v>78</v>
      </c>
      <c r="C67" s="363" t="s">
        <v>19</v>
      </c>
      <c r="D67" s="348">
        <v>140</v>
      </c>
      <c r="E67" s="379">
        <v>120000</v>
      </c>
      <c r="F67" s="412">
        <f t="shared" si="5"/>
        <v>16800000</v>
      </c>
      <c r="G67" s="412">
        <v>45981</v>
      </c>
      <c r="H67" s="412">
        <f t="shared" si="6"/>
        <v>6437340</v>
      </c>
      <c r="I67" s="1285">
        <f>IFERROR(VLOOKUP(A67,'valores unit indexados'!$A$14:$O$197,15,FALSE),0)</f>
        <v>0</v>
      </c>
      <c r="J67" s="350">
        <f t="shared" si="2"/>
        <v>0</v>
      </c>
      <c r="K67"/>
      <c r="L67" s="362" t="str">
        <f t="shared" si="11"/>
        <v>A. 3,4</v>
      </c>
      <c r="M67" s="364" t="str">
        <f t="shared" si="12"/>
        <v xml:space="preserve">Suministro e instalación de enchape antideslizante </v>
      </c>
      <c r="N67" s="363" t="str">
        <f t="shared" si="10"/>
        <v>M2</v>
      </c>
      <c r="O67" s="348">
        <f t="shared" si="10"/>
        <v>140</v>
      </c>
      <c r="P67" s="423">
        <f>VLOOKUP(L67,'selección precios unitario'!$A$5:$I$418,9,FALSE)</f>
        <v>82991</v>
      </c>
      <c r="Q67" s="423">
        <f t="shared" si="7"/>
        <v>11618740</v>
      </c>
    </row>
    <row r="68" spans="1:60" ht="38.25" outlineLevel="1" x14ac:dyDescent="0.25">
      <c r="A68" s="362" t="s">
        <v>79</v>
      </c>
      <c r="B68" s="347" t="s">
        <v>1466</v>
      </c>
      <c r="C68" s="340" t="s">
        <v>19</v>
      </c>
      <c r="D68" s="348">
        <v>140</v>
      </c>
      <c r="E68" s="379">
        <v>45000</v>
      </c>
      <c r="F68" s="412">
        <f t="shared" si="5"/>
        <v>6300000</v>
      </c>
      <c r="G68" s="412">
        <v>32500</v>
      </c>
      <c r="H68" s="349">
        <f t="shared" si="6"/>
        <v>4550000</v>
      </c>
      <c r="I68" s="1285">
        <f>IFERROR(VLOOKUP(A68,'valores unit indexados'!$A$14:$O$197,15,FALSE),0)</f>
        <v>0</v>
      </c>
      <c r="J68" s="350">
        <f t="shared" si="2"/>
        <v>0</v>
      </c>
      <c r="K68"/>
      <c r="L68" s="362" t="str">
        <f t="shared" si="11"/>
        <v>A. 3,5</v>
      </c>
      <c r="M68" s="347" t="str">
        <f t="shared" si="12"/>
        <v>Suministro y aplicación de mortero 1:3 con aditivo impermeabilizante espesor 5 cm con pendiente y terminación en cero.</v>
      </c>
      <c r="N68" s="340" t="str">
        <f t="shared" si="10"/>
        <v>M2</v>
      </c>
      <c r="O68" s="348">
        <f t="shared" si="10"/>
        <v>140</v>
      </c>
      <c r="P68" s="423">
        <f>VLOOKUP(L68,'selección precios unitario'!$A$5:$I$418,9,FALSE)</f>
        <v>38750</v>
      </c>
      <c r="Q68" s="423">
        <f t="shared" si="7"/>
        <v>5425000</v>
      </c>
    </row>
    <row r="69" spans="1:60" s="1533" customFormat="1" ht="24.75" customHeight="1" outlineLevel="1" x14ac:dyDescent="0.25">
      <c r="A69" s="1527" t="s">
        <v>81</v>
      </c>
      <c r="B69" s="1528" t="s">
        <v>82</v>
      </c>
      <c r="C69" s="1527"/>
      <c r="D69" s="1529"/>
      <c r="E69" s="1530"/>
      <c r="F69" s="1531">
        <f t="shared" si="5"/>
        <v>0</v>
      </c>
      <c r="G69" s="1530"/>
      <c r="H69" s="1531">
        <f t="shared" si="6"/>
        <v>0</v>
      </c>
      <c r="I69" s="1532"/>
      <c r="J69" s="1527"/>
      <c r="K69"/>
      <c r="L69" s="1527" t="str">
        <f t="shared" si="11"/>
        <v>A. 4</v>
      </c>
      <c r="M69" s="1836" t="str">
        <f t="shared" si="12"/>
        <v>Tratamiento de humedades en muros y cielos, incluye resane, estuco y pintura (gimnasio, despachos, cuartos técnicos terraza Torre A)</v>
      </c>
      <c r="N69" s="1837"/>
      <c r="O69" s="1837"/>
      <c r="P69" s="1837"/>
      <c r="Q69" s="1838"/>
      <c r="R69" s="1544"/>
      <c r="S69" s="1544"/>
      <c r="T69" s="1544"/>
      <c r="U69" s="1544"/>
      <c r="V69" s="1544"/>
      <c r="W69" s="1544"/>
      <c r="X69" s="1544"/>
      <c r="Y69" s="1544"/>
      <c r="Z69" s="1544"/>
      <c r="AA69" s="1544"/>
      <c r="AB69" s="1544"/>
      <c r="AC69" s="1544"/>
      <c r="AD69" s="1544"/>
      <c r="AE69" s="1544"/>
      <c r="AF69" s="1544"/>
      <c r="AG69" s="1544"/>
      <c r="AH69" s="1544"/>
      <c r="AI69" s="1544"/>
      <c r="AJ69" s="1544"/>
      <c r="AK69" s="1544"/>
      <c r="AL69" s="1544"/>
      <c r="AM69" s="1544"/>
      <c r="AN69" s="1544"/>
      <c r="AO69" s="1544"/>
      <c r="AP69" s="1544"/>
      <c r="AQ69" s="1544"/>
      <c r="AR69" s="1544"/>
      <c r="AS69" s="1544"/>
      <c r="AT69" s="1544"/>
      <c r="AU69" s="1544"/>
      <c r="AV69" s="1544"/>
      <c r="AW69" s="1544"/>
      <c r="AX69" s="1544"/>
      <c r="AY69" s="1544"/>
      <c r="AZ69" s="1544"/>
      <c r="BA69" s="1544"/>
      <c r="BB69" s="1544"/>
      <c r="BC69" s="1544"/>
      <c r="BD69" s="1544"/>
      <c r="BE69" s="1544"/>
      <c r="BF69" s="1544"/>
      <c r="BG69" s="1544"/>
      <c r="BH69" s="1544"/>
    </row>
    <row r="70" spans="1:60" ht="15" outlineLevel="1" x14ac:dyDescent="0.25">
      <c r="A70" s="354" t="s">
        <v>83</v>
      </c>
      <c r="B70" s="364" t="s">
        <v>84</v>
      </c>
      <c r="C70" s="367" t="s">
        <v>19</v>
      </c>
      <c r="D70" s="348">
        <v>247</v>
      </c>
      <c r="E70" s="379">
        <v>9000</v>
      </c>
      <c r="F70" s="412">
        <f t="shared" si="5"/>
        <v>2223000</v>
      </c>
      <c r="G70" s="412">
        <v>5200</v>
      </c>
      <c r="H70" s="349">
        <f t="shared" si="6"/>
        <v>1284400</v>
      </c>
      <c r="I70" s="1285">
        <f>IFERROR(VLOOKUP(A70,'valores unit indexados'!$A$14:$O$197,15,FALSE),0)</f>
        <v>6890</v>
      </c>
      <c r="J70" s="350">
        <f t="shared" si="2"/>
        <v>1701830</v>
      </c>
      <c r="K70"/>
      <c r="L70" s="354" t="str">
        <f t="shared" si="11"/>
        <v>A. 4,1</v>
      </c>
      <c r="M70" s="364" t="str">
        <f t="shared" si="12"/>
        <v xml:space="preserve">Rasqueteada de pintura y retiro de mortero en mal estado  </v>
      </c>
      <c r="N70" s="367" t="str">
        <f t="shared" ref="N70:N79" si="13">+C70</f>
        <v>M2</v>
      </c>
      <c r="O70" s="348">
        <f t="shared" ref="O70:O79" si="14">+D70</f>
        <v>247</v>
      </c>
      <c r="P70" s="423">
        <f>VLOOKUP(L70,'selección precios unitario'!$A$5:$I$418,9,FALSE)</f>
        <v>6630</v>
      </c>
      <c r="Q70" s="423">
        <f t="shared" si="7"/>
        <v>1637610</v>
      </c>
    </row>
    <row r="71" spans="1:60" ht="38.25" outlineLevel="1" x14ac:dyDescent="0.25">
      <c r="A71" s="346" t="s">
        <v>85</v>
      </c>
      <c r="B71" s="368" t="s">
        <v>86</v>
      </c>
      <c r="C71" s="367" t="s">
        <v>19</v>
      </c>
      <c r="D71" s="348">
        <v>247</v>
      </c>
      <c r="E71" s="379">
        <v>48000</v>
      </c>
      <c r="F71" s="412">
        <f t="shared" si="5"/>
        <v>11856000</v>
      </c>
      <c r="G71" s="412">
        <v>45500</v>
      </c>
      <c r="H71" s="349">
        <f t="shared" si="6"/>
        <v>11238500</v>
      </c>
      <c r="I71" s="1285">
        <f>IFERROR(VLOOKUP(A71,'valores unit indexados'!$A$14:$O$197,15,FALSE),0)</f>
        <v>41660</v>
      </c>
      <c r="J71" s="350">
        <f t="shared" si="2"/>
        <v>10290020</v>
      </c>
      <c r="K71"/>
      <c r="L71" s="346" t="str">
        <f t="shared" si="11"/>
        <v>A. 4,2</v>
      </c>
      <c r="M71" s="368" t="str">
        <f t="shared" si="12"/>
        <v xml:space="preserve">Suministro e instalación de recubrimiento cementoso (Recubrimiento a base de cemento, arena y aditivos especiales), impermeable para muros color blanco </v>
      </c>
      <c r="N71" s="367" t="str">
        <f t="shared" si="13"/>
        <v>M2</v>
      </c>
      <c r="O71" s="348">
        <f t="shared" si="14"/>
        <v>247</v>
      </c>
      <c r="P71" s="423">
        <f>VLOOKUP(L71,'selección precios unitario'!$A$5:$I$418,9,FALSE)</f>
        <v>45053</v>
      </c>
      <c r="Q71" s="423">
        <f t="shared" si="7"/>
        <v>11128091</v>
      </c>
    </row>
    <row r="72" spans="1:60" ht="15" outlineLevel="1" x14ac:dyDescent="0.25">
      <c r="A72" s="354" t="s">
        <v>87</v>
      </c>
      <c r="B72" s="368" t="s">
        <v>88</v>
      </c>
      <c r="C72" s="367" t="s">
        <v>19</v>
      </c>
      <c r="D72" s="348">
        <v>247</v>
      </c>
      <c r="E72" s="379">
        <v>28000</v>
      </c>
      <c r="F72" s="412">
        <f t="shared" si="5"/>
        <v>6916000</v>
      </c>
      <c r="G72" s="412">
        <v>11700</v>
      </c>
      <c r="H72" s="349">
        <f t="shared" si="6"/>
        <v>2889900</v>
      </c>
      <c r="I72" s="1285">
        <f>IFERROR(VLOOKUP(A72,'valores unit indexados'!$A$14:$O$197,15,FALSE),0)</f>
        <v>24610</v>
      </c>
      <c r="J72" s="350">
        <f t="shared" si="2"/>
        <v>6078670</v>
      </c>
      <c r="K72"/>
      <c r="L72" s="354" t="str">
        <f t="shared" si="11"/>
        <v>A. 4,3</v>
      </c>
      <c r="M72" s="368" t="str">
        <f t="shared" si="12"/>
        <v xml:space="preserve">Suministro y aplicación de estuco plástico </v>
      </c>
      <c r="N72" s="367" t="str">
        <f t="shared" si="13"/>
        <v>M2</v>
      </c>
      <c r="O72" s="348">
        <f t="shared" si="14"/>
        <v>247</v>
      </c>
      <c r="P72" s="423">
        <f>VLOOKUP(L72,'selección precios unitario'!$A$5:$I$418,9,FALSE)</f>
        <v>26305</v>
      </c>
      <c r="Q72" s="423">
        <f t="shared" si="7"/>
        <v>6497335</v>
      </c>
    </row>
    <row r="73" spans="1:60" ht="15" outlineLevel="1" x14ac:dyDescent="0.25">
      <c r="A73" s="346" t="s">
        <v>89</v>
      </c>
      <c r="B73" s="364" t="s">
        <v>90</v>
      </c>
      <c r="C73" s="367" t="s">
        <v>19</v>
      </c>
      <c r="D73" s="348">
        <v>353</v>
      </c>
      <c r="E73" s="379">
        <v>19000</v>
      </c>
      <c r="F73" s="412">
        <f t="shared" si="5"/>
        <v>6707000</v>
      </c>
      <c r="G73" s="412">
        <v>8710</v>
      </c>
      <c r="H73" s="349">
        <f t="shared" si="6"/>
        <v>3074630</v>
      </c>
      <c r="I73" s="1285">
        <f>IFERROR(VLOOKUP(A73,'valores unit indexados'!$A$14:$O$197,15,FALSE),0)</f>
        <v>0</v>
      </c>
      <c r="J73" s="350">
        <f t="shared" si="2"/>
        <v>0</v>
      </c>
      <c r="K73"/>
      <c r="L73" s="346" t="str">
        <f t="shared" si="11"/>
        <v>A. 4,4</v>
      </c>
      <c r="M73" s="364" t="str">
        <f t="shared" si="12"/>
        <v>Suministro y aplicación de vinilo tipo 1 (3 manos)</v>
      </c>
      <c r="N73" s="367" t="str">
        <f t="shared" si="13"/>
        <v>M2</v>
      </c>
      <c r="O73" s="348">
        <f t="shared" si="14"/>
        <v>353</v>
      </c>
      <c r="P73" s="423">
        <f>VLOOKUP(L73,'selección precios unitario'!$A$5:$I$418,9,FALSE)</f>
        <v>19000</v>
      </c>
      <c r="Q73" s="423">
        <f t="shared" si="7"/>
        <v>6707000</v>
      </c>
    </row>
    <row r="74" spans="1:60" ht="15" outlineLevel="1" x14ac:dyDescent="0.25">
      <c r="A74" s="354" t="s">
        <v>91</v>
      </c>
      <c r="B74" s="368" t="s">
        <v>92</v>
      </c>
      <c r="C74" s="367" t="s">
        <v>19</v>
      </c>
      <c r="D74" s="348">
        <v>67.16200000000002</v>
      </c>
      <c r="E74" s="379">
        <v>18000</v>
      </c>
      <c r="F74" s="412">
        <f t="shared" si="5"/>
        <v>1208916.0000000005</v>
      </c>
      <c r="G74" s="412">
        <v>8710</v>
      </c>
      <c r="H74" s="349">
        <f t="shared" si="6"/>
        <v>584981.02000000014</v>
      </c>
      <c r="I74" s="1285">
        <f>IFERROR(VLOOKUP(A74,'valores unit indexados'!$A$14:$O$197,15,FALSE),0)</f>
        <v>17005</v>
      </c>
      <c r="J74" s="350">
        <f t="shared" si="2"/>
        <v>1142089.8100000003</v>
      </c>
      <c r="K74"/>
      <c r="L74" s="354" t="str">
        <f t="shared" si="11"/>
        <v>A. 4,5</v>
      </c>
      <c r="M74" s="368" t="str">
        <f t="shared" si="12"/>
        <v>Suministro y aplicación de pintura en esmalte</v>
      </c>
      <c r="N74" s="367" t="str">
        <f t="shared" si="13"/>
        <v>M2</v>
      </c>
      <c r="O74" s="348">
        <f t="shared" si="14"/>
        <v>67.16200000000002</v>
      </c>
      <c r="P74" s="423">
        <f>VLOOKUP(L74,'selección precios unitario'!$A$5:$I$418,9,FALSE)</f>
        <v>17503</v>
      </c>
      <c r="Q74" s="423">
        <f>ROUND(P74*O74,0)</f>
        <v>1175536</v>
      </c>
    </row>
    <row r="75" spans="1:60" ht="15" outlineLevel="1" x14ac:dyDescent="0.25">
      <c r="A75" s="346" t="s">
        <v>93</v>
      </c>
      <c r="B75" s="364" t="s">
        <v>94</v>
      </c>
      <c r="C75" s="367" t="s">
        <v>19</v>
      </c>
      <c r="D75" s="348">
        <v>66</v>
      </c>
      <c r="E75" s="379">
        <v>17000</v>
      </c>
      <c r="F75" s="412">
        <f t="shared" si="5"/>
        <v>1122000</v>
      </c>
      <c r="G75" s="412">
        <v>8710</v>
      </c>
      <c r="H75" s="349">
        <f t="shared" si="6"/>
        <v>574860</v>
      </c>
      <c r="I75" s="1285">
        <f>IFERROR(VLOOKUP(A75,'valores unit indexados'!$A$14:$O$197,15,FALSE),0)</f>
        <v>0</v>
      </c>
      <c r="J75" s="350">
        <f t="shared" si="2"/>
        <v>0</v>
      </c>
      <c r="K75"/>
      <c r="L75" s="346" t="str">
        <f t="shared" si="11"/>
        <v>A. 4,6</v>
      </c>
      <c r="M75" s="364" t="str">
        <f t="shared" si="12"/>
        <v>Suministro y aplicación de pintura cielo vinilo tipo 1</v>
      </c>
      <c r="N75" s="367" t="str">
        <f t="shared" si="13"/>
        <v>M2</v>
      </c>
      <c r="O75" s="348">
        <f t="shared" si="14"/>
        <v>66</v>
      </c>
      <c r="P75" s="423">
        <f>VLOOKUP(L75,'selección precios unitario'!$A$5:$I$418,9,FALSE)</f>
        <v>17000</v>
      </c>
      <c r="Q75" s="423">
        <f t="shared" si="7"/>
        <v>1122000</v>
      </c>
    </row>
    <row r="76" spans="1:60" ht="15" outlineLevel="1" x14ac:dyDescent="0.25">
      <c r="A76" s="354" t="s">
        <v>95</v>
      </c>
      <c r="B76" s="364" t="s">
        <v>84</v>
      </c>
      <c r="C76" s="367" t="s">
        <v>14</v>
      </c>
      <c r="D76" s="348">
        <v>73</v>
      </c>
      <c r="E76" s="379">
        <v>7500</v>
      </c>
      <c r="F76" s="412">
        <f t="shared" si="5"/>
        <v>547500</v>
      </c>
      <c r="G76" s="412">
        <v>5200</v>
      </c>
      <c r="H76" s="349">
        <f t="shared" si="6"/>
        <v>379600</v>
      </c>
      <c r="I76" s="1285">
        <f>IFERROR(VLOOKUP(A76,'valores unit indexados'!$A$14:$O$197,15,FALSE),0)</f>
        <v>0</v>
      </c>
      <c r="J76" s="350">
        <f t="shared" si="2"/>
        <v>0</v>
      </c>
      <c r="K76"/>
      <c r="L76" s="354" t="str">
        <f t="shared" si="11"/>
        <v>A. 4,7</v>
      </c>
      <c r="M76" s="364" t="str">
        <f t="shared" si="12"/>
        <v xml:space="preserve">Rasqueteada de pintura y retiro de mortero en mal estado  </v>
      </c>
      <c r="N76" s="367" t="str">
        <f t="shared" si="13"/>
        <v>ML</v>
      </c>
      <c r="O76" s="348">
        <f t="shared" si="14"/>
        <v>73</v>
      </c>
      <c r="P76" s="423">
        <f>VLOOKUP(L76,'selección precios unitario'!$A$5:$I$418,9,FALSE)</f>
        <v>4700</v>
      </c>
      <c r="Q76" s="423">
        <f t="shared" si="7"/>
        <v>343100</v>
      </c>
    </row>
    <row r="77" spans="1:60" ht="15" outlineLevel="1" x14ac:dyDescent="0.25">
      <c r="A77" s="346" t="s">
        <v>96</v>
      </c>
      <c r="B77" s="368" t="s">
        <v>88</v>
      </c>
      <c r="C77" s="367" t="s">
        <v>14</v>
      </c>
      <c r="D77" s="348">
        <v>121</v>
      </c>
      <c r="E77" s="379">
        <v>16800</v>
      </c>
      <c r="F77" s="412">
        <f t="shared" si="5"/>
        <v>2032800</v>
      </c>
      <c r="G77" s="412">
        <v>11700</v>
      </c>
      <c r="H77" s="349">
        <f t="shared" si="6"/>
        <v>1415700</v>
      </c>
      <c r="I77" s="1285">
        <f>IFERROR(VLOOKUP(A77,'valores unit indexados'!$A$14:$O$197,15,FALSE),0)</f>
        <v>24610</v>
      </c>
      <c r="J77" s="350">
        <f t="shared" si="2"/>
        <v>2977810</v>
      </c>
      <c r="K77"/>
      <c r="L77" s="346" t="str">
        <f t="shared" si="11"/>
        <v>A. 4,8</v>
      </c>
      <c r="M77" s="368" t="str">
        <f t="shared" si="12"/>
        <v xml:space="preserve">Suministro y aplicación de estuco plástico </v>
      </c>
      <c r="N77" s="367" t="str">
        <f t="shared" si="13"/>
        <v>ML</v>
      </c>
      <c r="O77" s="348">
        <f t="shared" si="14"/>
        <v>121</v>
      </c>
      <c r="P77" s="423">
        <f>VLOOKUP(L77,'selección precios unitario'!$A$5:$I$418,9,FALSE)</f>
        <v>20705</v>
      </c>
      <c r="Q77" s="423">
        <f t="shared" si="7"/>
        <v>2505305</v>
      </c>
    </row>
    <row r="78" spans="1:60" ht="15" outlineLevel="1" x14ac:dyDescent="0.25">
      <c r="A78" s="354" t="s">
        <v>97</v>
      </c>
      <c r="B78" s="358" t="s">
        <v>98</v>
      </c>
      <c r="C78" s="356" t="s">
        <v>14</v>
      </c>
      <c r="D78" s="348">
        <v>121</v>
      </c>
      <c r="E78" s="379">
        <v>10200</v>
      </c>
      <c r="F78" s="412">
        <f t="shared" si="5"/>
        <v>1234200</v>
      </c>
      <c r="G78" s="412">
        <v>5200</v>
      </c>
      <c r="H78" s="349">
        <f t="shared" si="6"/>
        <v>629200</v>
      </c>
      <c r="I78" s="1285">
        <f>IFERROR(VLOOKUP(A78,'valores unit indexados'!$A$14:$O$197,15,FALSE),0)</f>
        <v>0</v>
      </c>
      <c r="J78" s="350">
        <f t="shared" si="2"/>
        <v>0</v>
      </c>
      <c r="K78"/>
      <c r="L78" s="354" t="str">
        <f t="shared" si="11"/>
        <v>A. 4,9</v>
      </c>
      <c r="M78" s="358" t="str">
        <f t="shared" si="12"/>
        <v>Suministro y aplicación de vinilo tipo 2 (3 manos)</v>
      </c>
      <c r="N78" s="356" t="str">
        <f t="shared" si="13"/>
        <v>ML</v>
      </c>
      <c r="O78" s="348">
        <f t="shared" si="14"/>
        <v>121</v>
      </c>
      <c r="P78" s="423">
        <f>VLOOKUP(L78,'selección precios unitario'!$A$5:$I$418,9,FALSE)</f>
        <v>6120</v>
      </c>
      <c r="Q78" s="423">
        <f t="shared" si="7"/>
        <v>740520</v>
      </c>
    </row>
    <row r="79" spans="1:60" ht="15" outlineLevel="1" x14ac:dyDescent="0.25">
      <c r="A79" s="346" t="s">
        <v>99</v>
      </c>
      <c r="B79" s="358" t="s">
        <v>92</v>
      </c>
      <c r="C79" s="356" t="s">
        <v>14</v>
      </c>
      <c r="D79" s="348">
        <v>73</v>
      </c>
      <c r="E79" s="379">
        <v>10800</v>
      </c>
      <c r="F79" s="412">
        <f t="shared" si="5"/>
        <v>788400</v>
      </c>
      <c r="G79" s="412">
        <v>5200</v>
      </c>
      <c r="H79" s="349">
        <f t="shared" si="6"/>
        <v>379600</v>
      </c>
      <c r="I79" s="1285">
        <f>IFERROR(VLOOKUP(A79,'valores unit indexados'!$A$14:$O$197,15,FALSE),0)</f>
        <v>0</v>
      </c>
      <c r="J79" s="350">
        <f t="shared" si="2"/>
        <v>0</v>
      </c>
      <c r="K79"/>
      <c r="L79" s="346" t="str">
        <f t="shared" si="11"/>
        <v>A. 4,10</v>
      </c>
      <c r="M79" s="358" t="str">
        <f t="shared" si="12"/>
        <v>Suministro y aplicación de pintura en esmalte</v>
      </c>
      <c r="N79" s="356" t="str">
        <f t="shared" si="13"/>
        <v>ML</v>
      </c>
      <c r="O79" s="348">
        <f t="shared" si="14"/>
        <v>73</v>
      </c>
      <c r="P79" s="423">
        <f>VLOOKUP(L79,'selección precios unitario'!$A$5:$I$418,9,FALSE)</f>
        <v>8000</v>
      </c>
      <c r="Q79" s="423">
        <f t="shared" si="7"/>
        <v>584000</v>
      </c>
    </row>
    <row r="80" spans="1:60" s="1533" customFormat="1" ht="24.75" customHeight="1" outlineLevel="1" x14ac:dyDescent="0.25">
      <c r="A80" s="1527" t="s">
        <v>100</v>
      </c>
      <c r="B80" s="1528" t="s">
        <v>1467</v>
      </c>
      <c r="C80" s="1527"/>
      <c r="D80" s="1529"/>
      <c r="E80" s="1530"/>
      <c r="F80" s="1531">
        <f t="shared" si="5"/>
        <v>0</v>
      </c>
      <c r="G80" s="1530"/>
      <c r="H80" s="1531">
        <f t="shared" si="6"/>
        <v>0</v>
      </c>
      <c r="I80" s="1532"/>
      <c r="J80" s="1527"/>
      <c r="K80"/>
      <c r="L80" s="1527" t="str">
        <f t="shared" si="11"/>
        <v>A. 5</v>
      </c>
      <c r="M80" s="1836" t="str">
        <f t="shared" si="12"/>
        <v>Divisiones en panel yeso - Instalaciones Eléctricas de voz y datos</v>
      </c>
      <c r="N80" s="1837"/>
      <c r="O80" s="1837"/>
      <c r="P80" s="1837"/>
      <c r="Q80" s="1838"/>
      <c r="R80" s="1544"/>
      <c r="S80" s="1544"/>
      <c r="T80" s="1544"/>
      <c r="U80" s="1544"/>
      <c r="V80" s="1544"/>
      <c r="W80" s="1544"/>
      <c r="X80" s="1544"/>
      <c r="Y80" s="1544"/>
      <c r="Z80" s="1544"/>
      <c r="AA80" s="1544"/>
      <c r="AB80" s="1544"/>
      <c r="AC80" s="1544"/>
      <c r="AD80" s="1544"/>
      <c r="AE80" s="1544"/>
      <c r="AF80" s="1544"/>
      <c r="AG80" s="1544"/>
      <c r="AH80" s="1544"/>
      <c r="AI80" s="1544"/>
      <c r="AJ80" s="1544"/>
      <c r="AK80" s="1544"/>
      <c r="AL80" s="1544"/>
      <c r="AM80" s="1544"/>
      <c r="AN80" s="1544"/>
      <c r="AO80" s="1544"/>
      <c r="AP80" s="1544"/>
      <c r="AQ80" s="1544"/>
      <c r="AR80" s="1544"/>
      <c r="AS80" s="1544"/>
      <c r="AT80" s="1544"/>
      <c r="AU80" s="1544"/>
      <c r="AV80" s="1544"/>
      <c r="AW80" s="1544"/>
      <c r="AX80" s="1544"/>
      <c r="AY80" s="1544"/>
      <c r="AZ80" s="1544"/>
      <c r="BA80" s="1544"/>
      <c r="BB80" s="1544"/>
      <c r="BC80" s="1544"/>
      <c r="BD80" s="1544"/>
      <c r="BE80" s="1544"/>
      <c r="BF80" s="1544"/>
      <c r="BG80" s="1544"/>
      <c r="BH80" s="1544"/>
    </row>
    <row r="81" spans="1:17" ht="25.5" outlineLevel="1" x14ac:dyDescent="0.25">
      <c r="A81" s="346" t="s">
        <v>102</v>
      </c>
      <c r="B81" s="358" t="s">
        <v>103</v>
      </c>
      <c r="C81" s="356" t="s">
        <v>19</v>
      </c>
      <c r="D81" s="348">
        <v>158</v>
      </c>
      <c r="E81" s="353">
        <v>130000</v>
      </c>
      <c r="F81" s="349">
        <f t="shared" si="5"/>
        <v>20540000</v>
      </c>
      <c r="G81" s="349">
        <v>122971.77200000001</v>
      </c>
      <c r="H81" s="349">
        <f t="shared" si="6"/>
        <v>19429539.976000004</v>
      </c>
      <c r="I81" s="1285">
        <f>IFERROR(VLOOKUP(A81,'valores unit indexados'!$A$14:$O$197,15,FALSE),0)</f>
        <v>113422</v>
      </c>
      <c r="J81" s="350">
        <f t="shared" si="2"/>
        <v>17920676</v>
      </c>
      <c r="K81"/>
      <c r="L81" s="346" t="str">
        <f t="shared" si="11"/>
        <v>A. 5,1</v>
      </c>
      <c r="M81" s="358" t="str">
        <f t="shared" si="12"/>
        <v>Suministro e instalación muro en perfilería de 90mm en panel yeso de 1/2 , doble cara insonorizado. Altura piso techo</v>
      </c>
      <c r="N81" s="356" t="str">
        <f t="shared" ref="N81:N106" si="15">+C81</f>
        <v>M2</v>
      </c>
      <c r="O81" s="348">
        <f t="shared" ref="O81:O106" si="16">+D81</f>
        <v>158</v>
      </c>
      <c r="P81" s="423">
        <f>VLOOKUP(L81,'selección precios unitario'!$A$5:$I$418,9,FALSE)</f>
        <v>122131</v>
      </c>
      <c r="Q81" s="423">
        <f t="shared" si="7"/>
        <v>19296698</v>
      </c>
    </row>
    <row r="82" spans="1:17" ht="15" outlineLevel="1" x14ac:dyDescent="0.25">
      <c r="A82" s="346" t="s">
        <v>104</v>
      </c>
      <c r="B82" s="347" t="s">
        <v>105</v>
      </c>
      <c r="C82" s="356" t="s">
        <v>14</v>
      </c>
      <c r="D82" s="348">
        <v>40</v>
      </c>
      <c r="E82" s="379">
        <v>50000</v>
      </c>
      <c r="F82" s="412">
        <f t="shared" si="5"/>
        <v>2000000</v>
      </c>
      <c r="G82" s="412">
        <v>111069.57400000001</v>
      </c>
      <c r="H82" s="349">
        <f t="shared" si="6"/>
        <v>4442782.96</v>
      </c>
      <c r="I82" s="1285">
        <f>IFERROR(VLOOKUP(A82,'valores unit indexados'!$A$14:$O$197,15,FALSE),0)</f>
        <v>41152</v>
      </c>
      <c r="J82" s="350">
        <f t="shared" si="2"/>
        <v>1646080</v>
      </c>
      <c r="K82"/>
      <c r="L82" s="346" t="str">
        <f t="shared" si="11"/>
        <v>A. 5,2</v>
      </c>
      <c r="M82" s="347" t="str">
        <f t="shared" si="12"/>
        <v>Suministro e instalación de alma en madera de 88mm</v>
      </c>
      <c r="N82" s="356" t="str">
        <f t="shared" si="15"/>
        <v>ML</v>
      </c>
      <c r="O82" s="348">
        <f t="shared" si="16"/>
        <v>40</v>
      </c>
      <c r="P82" s="423">
        <f>VLOOKUP(L82,'selección precios unitario'!$A$5:$I$418,9,FALSE)</f>
        <v>45576</v>
      </c>
      <c r="Q82" s="423">
        <f t="shared" si="7"/>
        <v>1823040</v>
      </c>
    </row>
    <row r="83" spans="1:17" ht="51" outlineLevel="1" x14ac:dyDescent="0.25">
      <c r="A83" s="346" t="s">
        <v>106</v>
      </c>
      <c r="B83" s="358" t="s">
        <v>1468</v>
      </c>
      <c r="C83" s="356" t="s">
        <v>14</v>
      </c>
      <c r="D83" s="348">
        <v>40</v>
      </c>
      <c r="E83" s="379">
        <v>78000</v>
      </c>
      <c r="F83" s="412">
        <f t="shared" si="5"/>
        <v>3120000</v>
      </c>
      <c r="G83" s="412">
        <v>76011.936000000002</v>
      </c>
      <c r="H83" s="349">
        <f t="shared" si="6"/>
        <v>3040477.44</v>
      </c>
      <c r="I83" s="1285">
        <f>IFERROR(VLOOKUP(A83,'valores unit indexados'!$A$14:$O$197,15,FALSE),0)</f>
        <v>46346</v>
      </c>
      <c r="J83" s="350">
        <f t="shared" si="2"/>
        <v>1853840</v>
      </c>
      <c r="K83"/>
      <c r="L83" s="346" t="str">
        <f t="shared" si="11"/>
        <v>A. 5,3</v>
      </c>
      <c r="M83" s="358" t="str">
        <f t="shared" si="12"/>
        <v>Suministro e instalación de cartera en panel yeso de 12 cm incluye filos, con estructura galvanizada base 9 cal.24 encintada, masillada y rematada, con acabado en pintura de vinilo</v>
      </c>
      <c r="N83" s="356" t="str">
        <f t="shared" si="15"/>
        <v>ML</v>
      </c>
      <c r="O83" s="348">
        <f t="shared" si="16"/>
        <v>40</v>
      </c>
      <c r="P83" s="423">
        <f>VLOOKUP(L83,'selección precios unitario'!$A$5:$I$418,9,FALSE)</f>
        <v>46346</v>
      </c>
      <c r="Q83" s="423">
        <f t="shared" si="7"/>
        <v>1853840</v>
      </c>
    </row>
    <row r="84" spans="1:17" ht="15" outlineLevel="1" x14ac:dyDescent="0.25">
      <c r="A84" s="346" t="s">
        <v>108</v>
      </c>
      <c r="B84" s="347" t="s">
        <v>109</v>
      </c>
      <c r="C84" s="356" t="s">
        <v>14</v>
      </c>
      <c r="D84" s="348">
        <v>60</v>
      </c>
      <c r="E84" s="412">
        <v>50000</v>
      </c>
      <c r="F84" s="412">
        <f t="shared" si="5"/>
        <v>3000000</v>
      </c>
      <c r="G84" s="1285">
        <v>17277</v>
      </c>
      <c r="H84" s="349">
        <f t="shared" si="6"/>
        <v>1036620</v>
      </c>
      <c r="I84" s="1285">
        <f>IFERROR(VLOOKUP(A84,'valores unit indexados'!$A$14:$O$197,15,FALSE),0)</f>
        <v>37101</v>
      </c>
      <c r="J84" s="350">
        <f t="shared" si="2"/>
        <v>2226060</v>
      </c>
      <c r="K84"/>
      <c r="L84" s="346" t="str">
        <f t="shared" si="11"/>
        <v>A. 5,4</v>
      </c>
      <c r="M84" s="347" t="str">
        <f t="shared" si="12"/>
        <v>Suministro e instalación de guarda escoba en pvc</v>
      </c>
      <c r="N84" s="356" t="str">
        <f t="shared" si="15"/>
        <v>ML</v>
      </c>
      <c r="O84" s="348">
        <f t="shared" si="16"/>
        <v>60</v>
      </c>
      <c r="P84" s="423">
        <f>VLOOKUP(L84,'selección precios unitario'!$A$5:$I$418,9,FALSE)</f>
        <v>37101</v>
      </c>
      <c r="Q84" s="423">
        <f t="shared" si="7"/>
        <v>2226060</v>
      </c>
    </row>
    <row r="85" spans="1:17" ht="51" outlineLevel="1" x14ac:dyDescent="0.25">
      <c r="A85" s="362" t="s">
        <v>110</v>
      </c>
      <c r="B85" s="358" t="s">
        <v>111</v>
      </c>
      <c r="C85" s="363" t="s">
        <v>6</v>
      </c>
      <c r="D85" s="369">
        <v>8</v>
      </c>
      <c r="E85" s="1291">
        <v>650000</v>
      </c>
      <c r="F85" s="412">
        <f t="shared" si="5"/>
        <v>5200000</v>
      </c>
      <c r="G85" s="412">
        <v>802118.24000000011</v>
      </c>
      <c r="H85" s="349">
        <f t="shared" si="6"/>
        <v>6416945.9200000009</v>
      </c>
      <c r="I85" s="1285">
        <f>IFERROR(VLOOKUP(A85,'valores unit indexados'!$A$14:$O$197,15,FALSE),0)</f>
        <v>579485</v>
      </c>
      <c r="J85" s="350">
        <f t="shared" si="2"/>
        <v>4635880</v>
      </c>
      <c r="K85"/>
      <c r="L85" s="362" t="str">
        <f t="shared" si="11"/>
        <v>A. 5,5</v>
      </c>
      <c r="M85" s="358" t="str">
        <f t="shared" si="12"/>
        <v>Suministro e instalación puerta entamborada (diseño similar a las existentes) cuyas medidas son de 80 cms de ancho x 200 cm alto, incluye marco y chapa, inmunización y pintura en Barniz</v>
      </c>
      <c r="N85" s="363" t="str">
        <f t="shared" si="15"/>
        <v>UND</v>
      </c>
      <c r="O85" s="369">
        <f t="shared" si="16"/>
        <v>8</v>
      </c>
      <c r="P85" s="423">
        <f>VLOOKUP(L85,'selección precios unitario'!$A$5:$I$418,9,FALSE)</f>
        <v>614743</v>
      </c>
      <c r="Q85" s="423">
        <f t="shared" si="7"/>
        <v>4917944</v>
      </c>
    </row>
    <row r="86" spans="1:17" ht="15" outlineLevel="1" x14ac:dyDescent="0.25">
      <c r="A86" s="362" t="s">
        <v>112</v>
      </c>
      <c r="B86" s="347" t="s">
        <v>871</v>
      </c>
      <c r="C86" s="356" t="s">
        <v>14</v>
      </c>
      <c r="D86" s="369">
        <v>1</v>
      </c>
      <c r="E86" s="1291">
        <v>55000</v>
      </c>
      <c r="F86" s="412">
        <f t="shared" si="5"/>
        <v>55000</v>
      </c>
      <c r="G86" s="412">
        <v>17979</v>
      </c>
      <c r="H86" s="349">
        <f t="shared" si="6"/>
        <v>17979</v>
      </c>
      <c r="I86" s="1285">
        <f>IFERROR(VLOOKUP(A86,'valores unit indexados'!$A$14:$O$197,15,FALSE),0)</f>
        <v>16829</v>
      </c>
      <c r="J86" s="350">
        <f t="shared" si="2"/>
        <v>16829</v>
      </c>
      <c r="K86"/>
      <c r="L86" s="362" t="str">
        <f t="shared" si="11"/>
        <v>A. 5,6</v>
      </c>
      <c r="M86" s="347" t="str">
        <f t="shared" si="12"/>
        <v>Suministro e instalación de guarda escoba en cerámica</v>
      </c>
      <c r="N86" s="356" t="str">
        <f t="shared" si="15"/>
        <v>ML</v>
      </c>
      <c r="O86" s="369">
        <f t="shared" si="16"/>
        <v>1</v>
      </c>
      <c r="P86" s="423">
        <f>VLOOKUP(L86,'selección precios unitario'!$A$5:$I$418,9,FALSE)</f>
        <v>17404</v>
      </c>
      <c r="Q86" s="423">
        <f t="shared" si="7"/>
        <v>17404</v>
      </c>
    </row>
    <row r="87" spans="1:17" ht="38.25" outlineLevel="1" x14ac:dyDescent="0.25">
      <c r="A87" s="362" t="s">
        <v>114</v>
      </c>
      <c r="B87" s="358" t="s">
        <v>115</v>
      </c>
      <c r="C87" s="356" t="s">
        <v>19</v>
      </c>
      <c r="D87" s="369">
        <v>16</v>
      </c>
      <c r="E87" s="1291">
        <v>80000</v>
      </c>
      <c r="F87" s="412">
        <f t="shared" si="5"/>
        <v>1280000</v>
      </c>
      <c r="G87" s="412">
        <v>47528</v>
      </c>
      <c r="H87" s="349">
        <f t="shared" si="6"/>
        <v>760448</v>
      </c>
      <c r="I87" s="1285">
        <f>IFERROR(VLOOKUP(A87,'valores unit indexados'!$A$14:$O$197,15,FALSE),0)</f>
        <v>0</v>
      </c>
      <c r="J87" s="350">
        <f t="shared" si="2"/>
        <v>0</v>
      </c>
      <c r="K87"/>
      <c r="L87" s="362" t="str">
        <f t="shared" si="11"/>
        <v>A. 5,7</v>
      </c>
      <c r="M87" s="358" t="str">
        <f t="shared" si="12"/>
        <v>Suministro e instalación de panel yeso de 1/2 , una cara, encintada, masillada y rematada, con acabado en pintura de vinilo</v>
      </c>
      <c r="N87" s="356" t="str">
        <f t="shared" si="15"/>
        <v>M2</v>
      </c>
      <c r="O87" s="369">
        <f t="shared" si="16"/>
        <v>16</v>
      </c>
      <c r="P87" s="423">
        <f>VLOOKUP(L87,'selección precios unitario'!$A$5:$I$418,9,FALSE)</f>
        <v>63764</v>
      </c>
      <c r="Q87" s="423">
        <f t="shared" si="7"/>
        <v>1020224</v>
      </c>
    </row>
    <row r="88" spans="1:17" ht="51" outlineLevel="1" x14ac:dyDescent="0.25">
      <c r="A88" s="354" t="s">
        <v>116</v>
      </c>
      <c r="B88" s="347" t="s">
        <v>117</v>
      </c>
      <c r="C88" s="363" t="s">
        <v>14</v>
      </c>
      <c r="D88" s="369">
        <v>139</v>
      </c>
      <c r="E88" s="1291">
        <v>75000</v>
      </c>
      <c r="F88" s="412">
        <f t="shared" si="5"/>
        <v>10425000</v>
      </c>
      <c r="G88" s="412">
        <v>31265</v>
      </c>
      <c r="H88" s="349">
        <f t="shared" si="6"/>
        <v>4345835</v>
      </c>
      <c r="I88" s="1285">
        <f>IFERROR(VLOOKUP(A88,'valores unit indexados'!$A$14:$O$197,15,FALSE),0)</f>
        <v>70329</v>
      </c>
      <c r="J88" s="350">
        <f t="shared" si="2"/>
        <v>9775731</v>
      </c>
      <c r="K88"/>
      <c r="L88" s="354" t="str">
        <f t="shared" si="11"/>
        <v>A. 5,8</v>
      </c>
      <c r="M88" s="347" t="str">
        <f t="shared" si="12"/>
        <v>Suministro e instalación Canaleta 100 mm x 45 mm Plástica con división. Blanco PVC auto extinguible y Resistente a impactos hasta de 1 kg, Humedad, Aceites y Químicos., con sus respectivos elementos de Certificado_RETIE_</v>
      </c>
      <c r="N88" s="363" t="str">
        <f t="shared" si="15"/>
        <v>ML</v>
      </c>
      <c r="O88" s="369">
        <f t="shared" si="16"/>
        <v>139</v>
      </c>
      <c r="P88" s="423">
        <f>VLOOKUP(L88,'selección precios unitario'!$A$5:$I$418,9,FALSE)</f>
        <v>72665</v>
      </c>
      <c r="Q88" s="423">
        <f t="shared" si="7"/>
        <v>10100435</v>
      </c>
    </row>
    <row r="89" spans="1:17" ht="38.25" outlineLevel="1" x14ac:dyDescent="0.25">
      <c r="A89" s="348" t="s">
        <v>118</v>
      </c>
      <c r="B89" s="358" t="s">
        <v>119</v>
      </c>
      <c r="C89" s="356" t="s">
        <v>6</v>
      </c>
      <c r="D89" s="369">
        <v>105</v>
      </c>
      <c r="E89" s="1291">
        <v>38000</v>
      </c>
      <c r="F89" s="412">
        <f t="shared" si="5"/>
        <v>3990000</v>
      </c>
      <c r="G89" s="412">
        <v>16263</v>
      </c>
      <c r="H89" s="349">
        <f t="shared" si="6"/>
        <v>1707615</v>
      </c>
      <c r="I89" s="1285">
        <f>IFERROR(VLOOKUP(A89,'valores unit indexados'!$A$14:$O$197,15,FALSE),0)</f>
        <v>31702</v>
      </c>
      <c r="J89" s="350">
        <f t="shared" si="2"/>
        <v>3328710</v>
      </c>
      <c r="K89"/>
      <c r="L89" s="348" t="str">
        <f t="shared" si="11"/>
        <v>A. 5,9</v>
      </c>
      <c r="M89" s="358" t="str">
        <f t="shared" si="12"/>
        <v xml:space="preserve">Suministro e instalación troquel para toma regulada, toma normal y toma de datos, incluye accesorios para su correcta instalación </v>
      </c>
      <c r="N89" s="356" t="str">
        <f t="shared" si="15"/>
        <v>UND</v>
      </c>
      <c r="O89" s="369">
        <f t="shared" si="16"/>
        <v>105</v>
      </c>
      <c r="P89" s="423">
        <f>VLOOKUP(L89,'selección precios unitario'!$A$5:$I$418,9,FALSE)</f>
        <v>34851</v>
      </c>
      <c r="Q89" s="423">
        <f t="shared" si="7"/>
        <v>3659355</v>
      </c>
    </row>
    <row r="90" spans="1:17" ht="25.5" outlineLevel="1" x14ac:dyDescent="0.25">
      <c r="A90" s="354" t="s">
        <v>120</v>
      </c>
      <c r="B90" s="358" t="s">
        <v>121</v>
      </c>
      <c r="C90" s="356" t="s">
        <v>14</v>
      </c>
      <c r="D90" s="369">
        <v>990</v>
      </c>
      <c r="E90" s="1291">
        <v>10550</v>
      </c>
      <c r="F90" s="412">
        <f t="shared" si="5"/>
        <v>10444500</v>
      </c>
      <c r="G90" s="412">
        <v>4732</v>
      </c>
      <c r="H90" s="349">
        <f t="shared" si="6"/>
        <v>4684680</v>
      </c>
      <c r="I90" s="1285">
        <f>IFERROR(VLOOKUP(A90,'valores unit indexados'!$A$14:$O$197,15,FALSE),0)</f>
        <v>10285</v>
      </c>
      <c r="J90" s="350">
        <f t="shared" si="2"/>
        <v>10182150</v>
      </c>
      <c r="K90"/>
      <c r="L90" s="354" t="str">
        <f t="shared" si="11"/>
        <v>A. 5,10</v>
      </c>
      <c r="M90" s="358" t="str">
        <f t="shared" si="12"/>
        <v>Suministro e instalación de cable UTP Categoría 6A libre de halógeno LSZH</v>
      </c>
      <c r="N90" s="356" t="str">
        <f t="shared" si="15"/>
        <v>ML</v>
      </c>
      <c r="O90" s="369">
        <f t="shared" si="16"/>
        <v>990</v>
      </c>
      <c r="P90" s="423">
        <f>VLOOKUP(L90,'selección precios unitario'!$A$5:$I$418,9,FALSE)</f>
        <v>10418</v>
      </c>
      <c r="Q90" s="423">
        <f t="shared" si="7"/>
        <v>10313820</v>
      </c>
    </row>
    <row r="91" spans="1:17" ht="51" outlineLevel="1" x14ac:dyDescent="0.25">
      <c r="A91" s="348" t="s">
        <v>122</v>
      </c>
      <c r="B91" s="358" t="s">
        <v>123</v>
      </c>
      <c r="C91" s="356" t="s">
        <v>6</v>
      </c>
      <c r="D91" s="369">
        <v>35</v>
      </c>
      <c r="E91" s="1291">
        <v>72000</v>
      </c>
      <c r="F91" s="412">
        <f t="shared" si="5"/>
        <v>2520000</v>
      </c>
      <c r="G91" s="412">
        <v>112086</v>
      </c>
      <c r="H91" s="349">
        <f t="shared" si="6"/>
        <v>3923010</v>
      </c>
      <c r="I91" s="1285">
        <f>IFERROR(VLOOKUP(A91,'valores unit indexados'!$A$14:$O$197,15,FALSE),0)</f>
        <v>70740</v>
      </c>
      <c r="J91" s="350">
        <f t="shared" si="2"/>
        <v>2475900</v>
      </c>
      <c r="K91"/>
      <c r="L91" s="348" t="str">
        <f t="shared" si="11"/>
        <v>A. 5,11</v>
      </c>
      <c r="M91" s="358" t="str">
        <f t="shared" si="12"/>
        <v>Suministro e instalación de toma hembra tipo jack rj 45 cat 6ª, utp, para puesto de trabajo o herraje. (incluye jacks rj45 cat. 6a amp, ponchada, maquillado y accesorios necesarios para su instalación)</v>
      </c>
      <c r="N91" s="356" t="str">
        <f t="shared" si="15"/>
        <v>UND</v>
      </c>
      <c r="O91" s="369">
        <f t="shared" si="16"/>
        <v>35</v>
      </c>
      <c r="P91" s="423">
        <f>VLOOKUP(L91,'selección precios unitario'!$A$5:$I$418,9,FALSE)</f>
        <v>71370</v>
      </c>
      <c r="Q91" s="423">
        <f t="shared" si="7"/>
        <v>2497950</v>
      </c>
    </row>
    <row r="92" spans="1:17" ht="25.5" outlineLevel="1" x14ac:dyDescent="0.25">
      <c r="A92" s="354" t="s">
        <v>124</v>
      </c>
      <c r="B92" s="358" t="s">
        <v>125</v>
      </c>
      <c r="C92" s="356" t="s">
        <v>6</v>
      </c>
      <c r="D92" s="369">
        <v>35</v>
      </c>
      <c r="E92" s="1291">
        <v>20000</v>
      </c>
      <c r="F92" s="412">
        <f t="shared" si="5"/>
        <v>700000</v>
      </c>
      <c r="G92" s="412">
        <v>33267</v>
      </c>
      <c r="H92" s="349">
        <f t="shared" si="6"/>
        <v>1164345</v>
      </c>
      <c r="I92" s="1285">
        <f>IFERROR(VLOOKUP(A92,'valores unit indexados'!$A$14:$O$197,15,FALSE),0)</f>
        <v>20219</v>
      </c>
      <c r="J92" s="350">
        <f t="shared" si="2"/>
        <v>707665</v>
      </c>
      <c r="K92"/>
      <c r="L92" s="354" t="str">
        <f t="shared" si="11"/>
        <v>A. 5,12</v>
      </c>
      <c r="M92" s="358" t="str">
        <f t="shared" si="12"/>
        <v>Suministro e instalación de faceplate de 1 salida (SOLO DATOS)</v>
      </c>
      <c r="N92" s="356" t="str">
        <f t="shared" si="15"/>
        <v>UND</v>
      </c>
      <c r="O92" s="369">
        <f t="shared" si="16"/>
        <v>35</v>
      </c>
      <c r="P92" s="423">
        <f>VLOOKUP(L92,'selección precios unitario'!$A$5:$I$418,9,FALSE)</f>
        <v>20110</v>
      </c>
      <c r="Q92" s="423">
        <f t="shared" si="7"/>
        <v>703850</v>
      </c>
    </row>
    <row r="93" spans="1:17" ht="51" outlineLevel="1" x14ac:dyDescent="0.25">
      <c r="A93" s="348" t="s">
        <v>126</v>
      </c>
      <c r="B93" s="358" t="s">
        <v>127</v>
      </c>
      <c r="C93" s="356" t="s">
        <v>6</v>
      </c>
      <c r="D93" s="369">
        <v>35</v>
      </c>
      <c r="E93" s="370">
        <v>120000</v>
      </c>
      <c r="F93" s="349">
        <f t="shared" si="5"/>
        <v>4200000</v>
      </c>
      <c r="G93" s="371">
        <v>0</v>
      </c>
      <c r="H93" s="349">
        <f t="shared" si="6"/>
        <v>0</v>
      </c>
      <c r="I93" s="1285">
        <f>IFERROR(VLOOKUP(A93,'valores unit indexados'!$A$14:$O$197,15,FALSE),0)</f>
        <v>120233</v>
      </c>
      <c r="J93" s="350">
        <f t="shared" si="2"/>
        <v>4208155</v>
      </c>
      <c r="K93"/>
      <c r="L93" s="348" t="str">
        <f t="shared" si="11"/>
        <v>A. 5,13</v>
      </c>
      <c r="M93" s="358" t="str">
        <f t="shared" si="12"/>
        <v>Suministro e instalación de salida eléctrica red regulada en puesto de trabajo con cable trenzado 3# 12 rojo, verde, blanco con aislamiento libre de halógeno, longitud de 1,5m incluye tomacorriente polo a tierra aislado</v>
      </c>
      <c r="N93" s="356" t="str">
        <f t="shared" si="15"/>
        <v>UND</v>
      </c>
      <c r="O93" s="369">
        <f t="shared" si="16"/>
        <v>35</v>
      </c>
      <c r="P93" s="423">
        <f>VLOOKUP(L93,'selección precios unitario'!$A$5:$I$418,9,FALSE)</f>
        <v>119473</v>
      </c>
      <c r="Q93" s="423">
        <f t="shared" si="7"/>
        <v>4181555</v>
      </c>
    </row>
    <row r="94" spans="1:17" ht="51" outlineLevel="1" x14ac:dyDescent="0.25">
      <c r="A94" s="354" t="s">
        <v>128</v>
      </c>
      <c r="B94" s="358" t="s">
        <v>129</v>
      </c>
      <c r="C94" s="356" t="s">
        <v>6</v>
      </c>
      <c r="D94" s="369">
        <v>35</v>
      </c>
      <c r="E94" s="370">
        <v>115000</v>
      </c>
      <c r="F94" s="349">
        <f t="shared" si="5"/>
        <v>4025000</v>
      </c>
      <c r="G94" s="371">
        <v>0</v>
      </c>
      <c r="H94" s="349">
        <f t="shared" si="6"/>
        <v>0</v>
      </c>
      <c r="I94" s="1285">
        <f>IFERROR(VLOOKUP(A94,'valores unit indexados'!$A$14:$O$197,15,FALSE),0)</f>
        <v>123946</v>
      </c>
      <c r="J94" s="350">
        <f t="shared" si="2"/>
        <v>4338110</v>
      </c>
      <c r="K94"/>
      <c r="L94" s="354" t="str">
        <f t="shared" si="11"/>
        <v>A. 5,14</v>
      </c>
      <c r="M94" s="358" t="str">
        <f t="shared" si="12"/>
        <v xml:space="preserve">Suministro e instalación de salida eléctrica red normal en puesto de trabajo con  cable trenzado 3# 12 azul, verde, blanco con aislamiento libre de halógeno,  longitud de 1,5m incluye tomacorriente polo a tierra </v>
      </c>
      <c r="N94" s="356" t="str">
        <f t="shared" si="15"/>
        <v>UND</v>
      </c>
      <c r="O94" s="369">
        <f t="shared" si="16"/>
        <v>35</v>
      </c>
      <c r="P94" s="423">
        <f>VLOOKUP(L94,'selección precios unitario'!$A$5:$I$418,9,FALSE)</f>
        <v>119473</v>
      </c>
      <c r="Q94" s="423">
        <f t="shared" si="7"/>
        <v>4181555</v>
      </c>
    </row>
    <row r="95" spans="1:17" ht="25.5" outlineLevel="1" x14ac:dyDescent="0.25">
      <c r="A95" s="348" t="s">
        <v>130</v>
      </c>
      <c r="B95" s="358" t="s">
        <v>131</v>
      </c>
      <c r="C95" s="356" t="s">
        <v>6</v>
      </c>
      <c r="D95" s="369">
        <v>5</v>
      </c>
      <c r="E95" s="1291">
        <v>95000</v>
      </c>
      <c r="F95" s="412">
        <f t="shared" si="5"/>
        <v>475000</v>
      </c>
      <c r="G95" s="412">
        <v>22000</v>
      </c>
      <c r="H95" s="349">
        <f t="shared" si="6"/>
        <v>110000</v>
      </c>
      <c r="I95" s="1285">
        <f>IFERROR(VLOOKUP(A95,'valores unit indexados'!$A$14:$O$197,15,FALSE),0)</f>
        <v>96760</v>
      </c>
      <c r="J95" s="350">
        <f t="shared" si="2"/>
        <v>483800</v>
      </c>
      <c r="K95"/>
      <c r="L95" s="348" t="str">
        <f t="shared" si="11"/>
        <v>A. 5,15</v>
      </c>
      <c r="M95" s="358" t="str">
        <f t="shared" si="12"/>
        <v>Suministro e instalación de interruptor sencillo incluye caja de sobreponer y salida de iluminación</v>
      </c>
      <c r="N95" s="356" t="str">
        <f t="shared" si="15"/>
        <v>UND</v>
      </c>
      <c r="O95" s="369">
        <f t="shared" si="16"/>
        <v>5</v>
      </c>
      <c r="P95" s="423">
        <f>VLOOKUP(L95,'selección precios unitario'!$A$5:$I$418,9,FALSE)</f>
        <v>95880</v>
      </c>
      <c r="Q95" s="423">
        <f t="shared" si="7"/>
        <v>479400</v>
      </c>
    </row>
    <row r="96" spans="1:17" ht="38.25" outlineLevel="1" x14ac:dyDescent="0.25">
      <c r="A96" s="354" t="s">
        <v>132</v>
      </c>
      <c r="B96" s="358" t="s">
        <v>133</v>
      </c>
      <c r="C96" s="356" t="s">
        <v>6</v>
      </c>
      <c r="D96" s="369">
        <v>20</v>
      </c>
      <c r="E96" s="1291">
        <v>115000</v>
      </c>
      <c r="F96" s="412">
        <f t="shared" si="5"/>
        <v>2300000</v>
      </c>
      <c r="G96" s="412">
        <v>80795</v>
      </c>
      <c r="H96" s="349">
        <f t="shared" si="6"/>
        <v>1615900</v>
      </c>
      <c r="I96" s="1285">
        <f>IFERROR(VLOOKUP(A96,'valores unit indexados'!$A$14:$O$197,15,FALSE),0)</f>
        <v>113729</v>
      </c>
      <c r="J96" s="350">
        <f t="shared" si="2"/>
        <v>2274580</v>
      </c>
      <c r="K96"/>
      <c r="L96" s="354" t="str">
        <f t="shared" si="11"/>
        <v>A. 5,16</v>
      </c>
      <c r="M96" s="358" t="str">
        <f t="shared" si="12"/>
        <v>Suministro e instalación de Lámpara panel led de sobreponer 24w 100 -240 - 1680Lm de 6,500 K - horas mínimas de vida útil 25,000</v>
      </c>
      <c r="N96" s="356" t="str">
        <f t="shared" si="15"/>
        <v>UND</v>
      </c>
      <c r="O96" s="369">
        <f t="shared" si="16"/>
        <v>20</v>
      </c>
      <c r="P96" s="423">
        <f>VLOOKUP(L96,'selección precios unitario'!$A$5:$I$418,9,FALSE)</f>
        <v>103175</v>
      </c>
      <c r="Q96" s="423">
        <f t="shared" si="7"/>
        <v>2063500</v>
      </c>
    </row>
    <row r="97" spans="1:60" ht="25.5" outlineLevel="1" x14ac:dyDescent="0.25">
      <c r="A97" s="348" t="s">
        <v>134</v>
      </c>
      <c r="B97" s="358" t="s">
        <v>135</v>
      </c>
      <c r="C97" s="356" t="s">
        <v>14</v>
      </c>
      <c r="D97" s="369">
        <v>20</v>
      </c>
      <c r="E97" s="1291">
        <v>17000</v>
      </c>
      <c r="F97" s="412">
        <f t="shared" si="5"/>
        <v>340000</v>
      </c>
      <c r="G97" s="412">
        <v>8736</v>
      </c>
      <c r="H97" s="349">
        <f t="shared" si="6"/>
        <v>174720</v>
      </c>
      <c r="I97" s="1285">
        <f>IFERROR(VLOOKUP(A97,'valores unit indexados'!$A$14:$O$197,15,FALSE),0)</f>
        <v>16536</v>
      </c>
      <c r="J97" s="350">
        <f t="shared" si="2"/>
        <v>330720</v>
      </c>
      <c r="K97"/>
      <c r="L97" s="348" t="str">
        <f t="shared" si="11"/>
        <v>A. 5,17</v>
      </c>
      <c r="M97" s="358" t="str">
        <f t="shared" si="12"/>
        <v>Suministro e instalación de cable trenzado 3#12 AWG para circuito normal o regulado</v>
      </c>
      <c r="N97" s="356" t="str">
        <f t="shared" si="15"/>
        <v>ML</v>
      </c>
      <c r="O97" s="369">
        <f t="shared" si="16"/>
        <v>20</v>
      </c>
      <c r="P97" s="423">
        <f>VLOOKUP(L97,'selección precios unitario'!$A$5:$I$418,9,FALSE)</f>
        <v>16768</v>
      </c>
      <c r="Q97" s="423">
        <f t="shared" si="7"/>
        <v>335360</v>
      </c>
    </row>
    <row r="98" spans="1:60" ht="15" outlineLevel="1" x14ac:dyDescent="0.25">
      <c r="A98" s="354" t="s">
        <v>136</v>
      </c>
      <c r="B98" s="358" t="s">
        <v>1469</v>
      </c>
      <c r="C98" s="356" t="s">
        <v>6</v>
      </c>
      <c r="D98" s="369">
        <v>35</v>
      </c>
      <c r="E98" s="1291">
        <v>38000</v>
      </c>
      <c r="F98" s="412">
        <f t="shared" si="5"/>
        <v>1330000</v>
      </c>
      <c r="G98" s="412">
        <v>12948</v>
      </c>
      <c r="H98" s="349">
        <f t="shared" si="6"/>
        <v>453180</v>
      </c>
      <c r="I98" s="1285">
        <f>IFERROR(VLOOKUP(A98,'valores unit indexados'!$A$14:$O$197,15,FALSE),0)</f>
        <v>34244</v>
      </c>
      <c r="J98" s="350">
        <f t="shared" si="2"/>
        <v>1198540</v>
      </c>
      <c r="K98"/>
      <c r="L98" s="354" t="str">
        <f t="shared" ref="L98:L131" si="17">+A98</f>
        <v>A. 5,18</v>
      </c>
      <c r="M98" s="358" t="str">
        <f t="shared" ref="M98:M131" si="18">+B98</f>
        <v>Suministro e instalación de patch cord 1.5mts CAT 6A</v>
      </c>
      <c r="N98" s="356" t="str">
        <f t="shared" si="15"/>
        <v>UND</v>
      </c>
      <c r="O98" s="369">
        <f t="shared" si="16"/>
        <v>35</v>
      </c>
      <c r="P98" s="423">
        <f>VLOOKUP(L98,'selección precios unitario'!$A$5:$I$418,9,FALSE)</f>
        <v>36122</v>
      </c>
      <c r="Q98" s="423">
        <f t="shared" si="7"/>
        <v>1264270</v>
      </c>
    </row>
    <row r="99" spans="1:60" ht="15" outlineLevel="1" x14ac:dyDescent="0.25">
      <c r="A99" s="348" t="s">
        <v>138</v>
      </c>
      <c r="B99" s="358" t="s">
        <v>1470</v>
      </c>
      <c r="C99" s="356" t="s">
        <v>6</v>
      </c>
      <c r="D99" s="369">
        <v>5</v>
      </c>
      <c r="E99" s="1291">
        <v>48000</v>
      </c>
      <c r="F99" s="412">
        <f t="shared" si="5"/>
        <v>240000</v>
      </c>
      <c r="G99" s="412">
        <v>16848</v>
      </c>
      <c r="H99" s="349">
        <f t="shared" si="6"/>
        <v>84240</v>
      </c>
      <c r="I99" s="1285">
        <f>IFERROR(VLOOKUP(A99,'valores unit indexados'!$A$14:$O$197,15,FALSE),0)</f>
        <v>46067</v>
      </c>
      <c r="J99" s="350">
        <f t="shared" ref="J99:J131" si="19">+I99*D99</f>
        <v>230335</v>
      </c>
      <c r="K99"/>
      <c r="L99" s="348" t="str">
        <f t="shared" si="17"/>
        <v>A. 5,19</v>
      </c>
      <c r="M99" s="358" t="str">
        <f t="shared" si="18"/>
        <v>Suministro e instalación de patch cord 3mts CAT 6A</v>
      </c>
      <c r="N99" s="356" t="str">
        <f t="shared" si="15"/>
        <v>UND</v>
      </c>
      <c r="O99" s="369">
        <f t="shared" si="16"/>
        <v>5</v>
      </c>
      <c r="P99" s="423">
        <f>VLOOKUP(L99,'selección precios unitario'!$A$5:$I$418,9,FALSE)</f>
        <v>47034</v>
      </c>
      <c r="Q99" s="423">
        <f t="shared" si="7"/>
        <v>235170</v>
      </c>
    </row>
    <row r="100" spans="1:60" ht="25.5" outlineLevel="1" x14ac:dyDescent="0.25">
      <c r="A100" s="354" t="s">
        <v>140</v>
      </c>
      <c r="B100" s="358" t="s">
        <v>141</v>
      </c>
      <c r="C100" s="356" t="s">
        <v>6</v>
      </c>
      <c r="D100" s="369">
        <v>1</v>
      </c>
      <c r="E100" s="1291">
        <v>3500000</v>
      </c>
      <c r="F100" s="412">
        <f t="shared" ref="F100:F131" si="20">+E100*D100</f>
        <v>3500000</v>
      </c>
      <c r="G100" s="412">
        <v>2570000</v>
      </c>
      <c r="H100" s="349">
        <f t="shared" ref="H100:H131" si="21">+G100*D100</f>
        <v>2570000</v>
      </c>
      <c r="I100" s="1285">
        <f>IFERROR(VLOOKUP(A100,'valores unit indexados'!$A$14:$O$197,15,FALSE),0)</f>
        <v>3045320</v>
      </c>
      <c r="J100" s="350">
        <f t="shared" si="19"/>
        <v>3045320</v>
      </c>
      <c r="K100"/>
      <c r="L100" s="354" t="str">
        <f t="shared" si="17"/>
        <v>A. 5,20</v>
      </c>
      <c r="M100" s="358" t="str">
        <f t="shared" si="18"/>
        <v>Suministro, instalación y configuración de Switch 24 puertos 10Base-T/100Base-T/1000Base-T</v>
      </c>
      <c r="N100" s="356" t="str">
        <f t="shared" si="15"/>
        <v>UND</v>
      </c>
      <c r="O100" s="369">
        <f t="shared" si="16"/>
        <v>1</v>
      </c>
      <c r="P100" s="423">
        <f>VLOOKUP(L100,'selección precios unitario'!$A$5:$I$418,9,FALSE)</f>
        <v>3035000</v>
      </c>
      <c r="Q100" s="423">
        <f t="shared" ref="Q100:Q131" si="22">+P100*O100</f>
        <v>3035000</v>
      </c>
    </row>
    <row r="101" spans="1:60" ht="25.5" outlineLevel="1" x14ac:dyDescent="0.25">
      <c r="A101" s="348" t="s">
        <v>142</v>
      </c>
      <c r="B101" s="358" t="s">
        <v>143</v>
      </c>
      <c r="C101" s="356" t="s">
        <v>6</v>
      </c>
      <c r="D101" s="369">
        <v>1</v>
      </c>
      <c r="E101" s="1291">
        <v>450000</v>
      </c>
      <c r="F101" s="412">
        <f t="shared" si="20"/>
        <v>450000</v>
      </c>
      <c r="G101" s="412">
        <v>225498</v>
      </c>
      <c r="H101" s="349">
        <f t="shared" si="21"/>
        <v>225498</v>
      </c>
      <c r="I101" s="1285">
        <f>IFERROR(VLOOKUP(A101,'valores unit indexados'!$A$14:$O$197,15,FALSE),0)</f>
        <v>0</v>
      </c>
      <c r="J101" s="350">
        <f t="shared" si="19"/>
        <v>0</v>
      </c>
      <c r="K101"/>
      <c r="L101" s="348" t="str">
        <f t="shared" si="17"/>
        <v>A. 5,21</v>
      </c>
      <c r="M101" s="358" t="str">
        <f t="shared" si="18"/>
        <v>Suministro e instalación de patch panel de 24 puertos cat. 6a (incluye elementos de fijación)</v>
      </c>
      <c r="N101" s="356" t="str">
        <f t="shared" si="15"/>
        <v>UND</v>
      </c>
      <c r="O101" s="369">
        <f t="shared" si="16"/>
        <v>1</v>
      </c>
      <c r="P101" s="423">
        <f>VLOOKUP(L101,'selección precios unitario'!$A$5:$I$418,9,FALSE)</f>
        <v>337749</v>
      </c>
      <c r="Q101" s="423">
        <f t="shared" si="22"/>
        <v>337749</v>
      </c>
    </row>
    <row r="102" spans="1:60" ht="25.5" outlineLevel="1" x14ac:dyDescent="0.25">
      <c r="A102" s="354" t="s">
        <v>144</v>
      </c>
      <c r="B102" s="368" t="s">
        <v>145</v>
      </c>
      <c r="C102" s="367" t="s">
        <v>19</v>
      </c>
      <c r="D102" s="369">
        <v>5</v>
      </c>
      <c r="E102" s="1291">
        <v>55000</v>
      </c>
      <c r="F102" s="412">
        <f t="shared" si="20"/>
        <v>275000</v>
      </c>
      <c r="G102" s="412">
        <v>9000</v>
      </c>
      <c r="H102" s="349">
        <f t="shared" si="21"/>
        <v>45000</v>
      </c>
      <c r="I102" s="1285">
        <f>IFERROR(VLOOKUP(A102,'valores unit indexados'!$A$14:$O$197,15,FALSE),0)</f>
        <v>18551</v>
      </c>
      <c r="J102" s="350">
        <f t="shared" si="19"/>
        <v>92755</v>
      </c>
      <c r="K102"/>
      <c r="L102" s="354" t="str">
        <f t="shared" si="17"/>
        <v>A. 5,22</v>
      </c>
      <c r="M102" s="368" t="str">
        <f t="shared" si="18"/>
        <v xml:space="preserve">Apertura de vano en muro de panel yeso, incluye retiro de material </v>
      </c>
      <c r="N102" s="367" t="str">
        <f t="shared" si="15"/>
        <v>M2</v>
      </c>
      <c r="O102" s="369">
        <f t="shared" si="16"/>
        <v>5</v>
      </c>
      <c r="P102" s="423">
        <f>VLOOKUP(L102,'selección precios unitario'!$A$5:$I$418,9,FALSE)</f>
        <v>18551</v>
      </c>
      <c r="Q102" s="423">
        <f t="shared" si="22"/>
        <v>92755</v>
      </c>
    </row>
    <row r="103" spans="1:60" ht="15" outlineLevel="1" x14ac:dyDescent="0.25">
      <c r="A103" s="354" t="s">
        <v>757</v>
      </c>
      <c r="B103" s="368" t="s">
        <v>1471</v>
      </c>
      <c r="C103" s="356" t="s">
        <v>14</v>
      </c>
      <c r="D103" s="369">
        <v>15</v>
      </c>
      <c r="E103" s="1573">
        <v>15700</v>
      </c>
      <c r="F103" s="412">
        <f t="shared" si="20"/>
        <v>235500</v>
      </c>
      <c r="G103" s="412">
        <v>25285</v>
      </c>
      <c r="H103" s="349">
        <f t="shared" si="21"/>
        <v>379275</v>
      </c>
      <c r="I103" s="1285">
        <f>IFERROR(VLOOKUP(A103,'valores unit indexados'!$A$14:$O$197,15,FALSE),0)</f>
        <v>0</v>
      </c>
      <c r="J103" s="350">
        <f t="shared" si="19"/>
        <v>0</v>
      </c>
      <c r="K103"/>
      <c r="L103" s="354" t="str">
        <f t="shared" si="17"/>
        <v>A. 5,23</v>
      </c>
      <c r="M103" s="368" t="str">
        <f t="shared" si="18"/>
        <v>Suministro e instalación de tubería SCH 40  1"</v>
      </c>
      <c r="N103" s="356" t="str">
        <f t="shared" si="15"/>
        <v>ML</v>
      </c>
      <c r="O103" s="369">
        <f t="shared" si="16"/>
        <v>15</v>
      </c>
      <c r="P103" s="423">
        <f>VLOOKUP(L103,'selección precios unitario'!$A$5:$I$418,9,FALSE)</f>
        <v>20493</v>
      </c>
      <c r="Q103" s="423">
        <f t="shared" si="22"/>
        <v>307395</v>
      </c>
    </row>
    <row r="104" spans="1:60" ht="15" outlineLevel="1" x14ac:dyDescent="0.25">
      <c r="A104" s="354" t="s">
        <v>758</v>
      </c>
      <c r="B104" s="368" t="s">
        <v>1472</v>
      </c>
      <c r="C104" s="356" t="s">
        <v>14</v>
      </c>
      <c r="D104" s="369">
        <v>15</v>
      </c>
      <c r="E104" s="1573">
        <v>37500</v>
      </c>
      <c r="F104" s="412">
        <f t="shared" si="20"/>
        <v>562500</v>
      </c>
      <c r="G104" s="412">
        <v>37362</v>
      </c>
      <c r="H104" s="349">
        <f t="shared" si="21"/>
        <v>560430</v>
      </c>
      <c r="I104" s="1285">
        <f>IFERROR(VLOOKUP(A104,'valores unit indexados'!$A$14:$O$197,15,FALSE),0)</f>
        <v>0</v>
      </c>
      <c r="J104" s="350">
        <f t="shared" si="19"/>
        <v>0</v>
      </c>
      <c r="K104"/>
      <c r="L104" s="354" t="str">
        <f t="shared" si="17"/>
        <v>A. 5,24</v>
      </c>
      <c r="M104" s="368" t="str">
        <f t="shared" si="18"/>
        <v>Suministro e instalación de tubería SCH 40  1 1/2"</v>
      </c>
      <c r="N104" s="356" t="str">
        <f t="shared" si="15"/>
        <v>ML</v>
      </c>
      <c r="O104" s="369">
        <f t="shared" si="16"/>
        <v>15</v>
      </c>
      <c r="P104" s="423">
        <f>VLOOKUP(L104,'selección precios unitario'!$A$5:$I$418,9,FALSE)</f>
        <v>37431</v>
      </c>
      <c r="Q104" s="423">
        <f t="shared" si="22"/>
        <v>561465</v>
      </c>
    </row>
    <row r="105" spans="1:60" ht="25.5" outlineLevel="1" x14ac:dyDescent="0.25">
      <c r="A105" s="354" t="s">
        <v>760</v>
      </c>
      <c r="B105" s="358" t="s">
        <v>759</v>
      </c>
      <c r="C105" s="356" t="s">
        <v>6</v>
      </c>
      <c r="D105" s="369">
        <v>4</v>
      </c>
      <c r="E105" s="1292">
        <v>1900000</v>
      </c>
      <c r="F105" s="412">
        <f t="shared" si="20"/>
        <v>7600000</v>
      </c>
      <c r="G105" s="412">
        <v>138660</v>
      </c>
      <c r="H105" s="349">
        <f t="shared" si="21"/>
        <v>554640</v>
      </c>
      <c r="I105" s="1285">
        <f>IFERROR(VLOOKUP(A105,'valores unit indexados'!$A$14:$O$197,15,FALSE),0)</f>
        <v>0</v>
      </c>
      <c r="J105" s="350">
        <f t="shared" si="19"/>
        <v>0</v>
      </c>
      <c r="K105"/>
      <c r="L105" s="354" t="str">
        <f t="shared" si="17"/>
        <v>A. 5,25</v>
      </c>
      <c r="M105" s="358" t="str">
        <f t="shared" si="18"/>
        <v>Suministro e instalación de vidrio templado incoloro de 8mm con perforaciones para dilatadores,  (ver imagen1)</v>
      </c>
      <c r="N105" s="356" t="str">
        <f t="shared" si="15"/>
        <v>UND</v>
      </c>
      <c r="O105" s="369">
        <f t="shared" si="16"/>
        <v>4</v>
      </c>
      <c r="P105" s="423">
        <f>VLOOKUP(L105,'selección precios unitario'!$A$5:$I$418,9,FALSE)</f>
        <v>138660</v>
      </c>
      <c r="Q105" s="423">
        <f t="shared" si="22"/>
        <v>554640</v>
      </c>
    </row>
    <row r="106" spans="1:60" ht="38.25" outlineLevel="1" x14ac:dyDescent="0.25">
      <c r="A106" s="354" t="s">
        <v>761</v>
      </c>
      <c r="B106" s="358" t="s">
        <v>409</v>
      </c>
      <c r="C106" s="356" t="s">
        <v>14</v>
      </c>
      <c r="D106" s="369">
        <v>10</v>
      </c>
      <c r="E106" s="1574">
        <v>290000</v>
      </c>
      <c r="F106" s="412">
        <f t="shared" si="20"/>
        <v>2900000</v>
      </c>
      <c r="G106" s="412">
        <v>700000</v>
      </c>
      <c r="H106" s="349">
        <f t="shared" si="21"/>
        <v>7000000</v>
      </c>
      <c r="I106" s="1285">
        <f>+'valores unit indexados'!O201</f>
        <v>226541</v>
      </c>
      <c r="J106" s="350">
        <f t="shared" si="19"/>
        <v>2265410</v>
      </c>
      <c r="K106"/>
      <c r="L106" s="354" t="str">
        <f t="shared" si="17"/>
        <v>A. 5,26</v>
      </c>
      <c r="M106" s="358" t="str">
        <f t="shared" si="18"/>
        <v>Suministro e instalación mesón o cubierta en aglomerado RH de 30mm, ancho de 50cm, incluye soportes de fijación (color miel hacer  aprobar)</v>
      </c>
      <c r="N106" s="356" t="str">
        <f t="shared" si="15"/>
        <v>ML</v>
      </c>
      <c r="O106" s="369">
        <f t="shared" si="16"/>
        <v>10</v>
      </c>
      <c r="P106" s="423">
        <f>VLOOKUP(L106,'selección precios unitario'!$A$5:$I$418,9,FALSE)</f>
        <v>243271</v>
      </c>
      <c r="Q106" s="423">
        <f t="shared" si="22"/>
        <v>2432710</v>
      </c>
    </row>
    <row r="107" spans="1:60" s="1533" customFormat="1" ht="24.75" customHeight="1" outlineLevel="1" x14ac:dyDescent="0.25">
      <c r="A107" s="1527" t="s">
        <v>146</v>
      </c>
      <c r="B107" s="1528" t="s">
        <v>147</v>
      </c>
      <c r="C107" s="1527"/>
      <c r="D107" s="1529"/>
      <c r="E107" s="1530"/>
      <c r="F107" s="1531">
        <f t="shared" si="20"/>
        <v>0</v>
      </c>
      <c r="G107" s="1530"/>
      <c r="H107" s="1531">
        <f t="shared" si="21"/>
        <v>0</v>
      </c>
      <c r="I107" s="1532"/>
      <c r="J107" s="1527"/>
      <c r="K107"/>
      <c r="L107" s="1527" t="str">
        <f t="shared" si="17"/>
        <v>A. 6</v>
      </c>
      <c r="M107" s="1836" t="str">
        <f t="shared" si="18"/>
        <v>Muro de Contención antiderrame</v>
      </c>
      <c r="N107" s="1837"/>
      <c r="O107" s="1837"/>
      <c r="P107" s="1837"/>
      <c r="Q107" s="1838"/>
      <c r="R107" s="1544"/>
      <c r="S107" s="1544"/>
      <c r="T107" s="1544"/>
      <c r="U107" s="1544"/>
      <c r="V107" s="1544"/>
      <c r="W107" s="1544"/>
      <c r="X107" s="1544"/>
      <c r="Y107" s="1544"/>
      <c r="Z107" s="1544"/>
      <c r="AA107" s="1544"/>
      <c r="AB107" s="1544"/>
      <c r="AC107" s="1544"/>
      <c r="AD107" s="1544"/>
      <c r="AE107" s="1544"/>
      <c r="AF107" s="1544"/>
      <c r="AG107" s="1544"/>
      <c r="AH107" s="1544"/>
      <c r="AI107" s="1544"/>
      <c r="AJ107" s="1544"/>
      <c r="AK107" s="1544"/>
      <c r="AL107" s="1544"/>
      <c r="AM107" s="1544"/>
      <c r="AN107" s="1544"/>
      <c r="AO107" s="1544"/>
      <c r="AP107" s="1544"/>
      <c r="AQ107" s="1544"/>
      <c r="AR107" s="1544"/>
      <c r="AS107" s="1544"/>
      <c r="AT107" s="1544"/>
      <c r="AU107" s="1544"/>
      <c r="AV107" s="1544"/>
      <c r="AW107" s="1544"/>
      <c r="AX107" s="1544"/>
      <c r="AY107" s="1544"/>
      <c r="AZ107" s="1544"/>
      <c r="BA107" s="1544"/>
      <c r="BB107" s="1544"/>
      <c r="BC107" s="1544"/>
      <c r="BD107" s="1544"/>
      <c r="BE107" s="1544"/>
      <c r="BF107" s="1544"/>
      <c r="BG107" s="1544"/>
      <c r="BH107" s="1544"/>
    </row>
    <row r="108" spans="1:60" ht="15" outlineLevel="1" x14ac:dyDescent="0.25">
      <c r="A108" s="348" t="s">
        <v>148</v>
      </c>
      <c r="B108" s="364" t="s">
        <v>1534</v>
      </c>
      <c r="C108" s="367" t="s">
        <v>150</v>
      </c>
      <c r="D108" s="369">
        <v>3</v>
      </c>
      <c r="E108" s="370">
        <v>180000</v>
      </c>
      <c r="F108" s="349">
        <f t="shared" si="20"/>
        <v>540000</v>
      </c>
      <c r="G108" s="412">
        <v>274603.33333333337</v>
      </c>
      <c r="H108" s="349">
        <f t="shared" si="21"/>
        <v>823810.00000000012</v>
      </c>
      <c r="I108" s="1285">
        <f>IFERROR(VLOOKUP(A108,'valores unit indexados'!$A$14:$O$197,15,FALSE),0)</f>
        <v>0</v>
      </c>
      <c r="J108" s="350">
        <f t="shared" si="19"/>
        <v>0</v>
      </c>
      <c r="K108"/>
      <c r="L108" s="348" t="str">
        <f t="shared" si="17"/>
        <v>A. 6,1</v>
      </c>
      <c r="M108" s="364" t="str">
        <f t="shared" si="18"/>
        <v>Demolición muro existente  incluye retiro</v>
      </c>
      <c r="N108" s="367" t="str">
        <f t="shared" ref="N108:N116" si="23">+C108</f>
        <v>M3</v>
      </c>
      <c r="O108" s="369">
        <f t="shared" ref="O108:O116" si="24">+D108</f>
        <v>3</v>
      </c>
      <c r="P108" s="423">
        <f>VLOOKUP(L108,'selección precios unitario'!$A$5:$I$418,9,FALSE)</f>
        <v>180000</v>
      </c>
      <c r="Q108" s="423">
        <f t="shared" si="22"/>
        <v>540000</v>
      </c>
    </row>
    <row r="109" spans="1:60" ht="25.5" outlineLevel="1" x14ac:dyDescent="0.25">
      <c r="A109" s="348" t="s">
        <v>151</v>
      </c>
      <c r="B109" s="347" t="s">
        <v>1473</v>
      </c>
      <c r="C109" s="340" t="s">
        <v>19</v>
      </c>
      <c r="D109" s="369">
        <v>17</v>
      </c>
      <c r="E109" s="1291">
        <v>320000</v>
      </c>
      <c r="F109" s="412">
        <f t="shared" si="20"/>
        <v>5440000</v>
      </c>
      <c r="G109" s="412">
        <v>82368</v>
      </c>
      <c r="H109" s="349">
        <f t="shared" si="21"/>
        <v>1400256</v>
      </c>
      <c r="I109" s="1285">
        <f>IFERROR(VLOOKUP(A109,'valores unit indexados'!$A$14:$O$197,15,FALSE),0)</f>
        <v>0</v>
      </c>
      <c r="J109" s="350">
        <f t="shared" si="19"/>
        <v>0</v>
      </c>
      <c r="K109"/>
      <c r="L109" s="348" t="str">
        <f t="shared" si="17"/>
        <v>A. 6,2</v>
      </c>
      <c r="M109" s="347" t="str">
        <f t="shared" si="18"/>
        <v>Fabricación muro en ladrillo estructural - altura 70 cm incluye viga, dovelas, grouting, ladrillo estructural 14x19x39 cm, mortero</v>
      </c>
      <c r="N109" s="340" t="str">
        <f t="shared" si="23"/>
        <v>M2</v>
      </c>
      <c r="O109" s="369">
        <f t="shared" si="24"/>
        <v>17</v>
      </c>
      <c r="P109" s="423">
        <f>VLOOKUP(L109,'selección precios unitario'!$A$5:$I$418,9,FALSE)</f>
        <v>320000</v>
      </c>
      <c r="Q109" s="423">
        <f t="shared" si="22"/>
        <v>5440000</v>
      </c>
    </row>
    <row r="110" spans="1:60" ht="25.5" outlineLevel="1" x14ac:dyDescent="0.25">
      <c r="A110" s="348" t="s">
        <v>153</v>
      </c>
      <c r="B110" s="358" t="s">
        <v>154</v>
      </c>
      <c r="C110" s="356" t="s">
        <v>14</v>
      </c>
      <c r="D110" s="369">
        <v>33</v>
      </c>
      <c r="E110" s="1291">
        <v>45000</v>
      </c>
      <c r="F110" s="412">
        <f t="shared" si="20"/>
        <v>1485000</v>
      </c>
      <c r="G110" s="412">
        <v>29133</v>
      </c>
      <c r="H110" s="349">
        <f t="shared" si="21"/>
        <v>961389</v>
      </c>
      <c r="I110" s="1285">
        <f>IFERROR(VLOOKUP(A110,'valores unit indexados'!$A$14:$O$197,15,FALSE),0)</f>
        <v>0</v>
      </c>
      <c r="J110" s="350">
        <f t="shared" si="19"/>
        <v>0</v>
      </c>
      <c r="K110"/>
      <c r="L110" s="348" t="str">
        <f t="shared" si="17"/>
        <v>A. 6,3</v>
      </c>
      <c r="M110" s="358" t="str">
        <f t="shared" si="18"/>
        <v xml:space="preserve">Suministro y fabricación guardaescoba en concreto en media caña 10 cm </v>
      </c>
      <c r="N110" s="356" t="str">
        <f t="shared" si="23"/>
        <v>ML</v>
      </c>
      <c r="O110" s="369">
        <f t="shared" si="24"/>
        <v>33</v>
      </c>
      <c r="P110" s="423">
        <f>VLOOKUP(L110,'selección precios unitario'!$A$5:$I$418,9,FALSE)</f>
        <v>37067</v>
      </c>
      <c r="Q110" s="423">
        <f t="shared" si="22"/>
        <v>1223211</v>
      </c>
    </row>
    <row r="111" spans="1:60" ht="15" outlineLevel="1" x14ac:dyDescent="0.25">
      <c r="A111" s="354" t="s">
        <v>155</v>
      </c>
      <c r="B111" s="358" t="s">
        <v>156</v>
      </c>
      <c r="C111" s="356" t="s">
        <v>19</v>
      </c>
      <c r="D111" s="369">
        <v>24</v>
      </c>
      <c r="E111" s="1291">
        <v>42000</v>
      </c>
      <c r="F111" s="412">
        <f t="shared" si="20"/>
        <v>1008000</v>
      </c>
      <c r="G111" s="412">
        <v>32500</v>
      </c>
      <c r="H111" s="349">
        <f t="shared" si="21"/>
        <v>780000</v>
      </c>
      <c r="I111" s="1285">
        <f>IFERROR(VLOOKUP(A111,'valores unit indexados'!$A$14:$O$197,15,FALSE),0)</f>
        <v>0</v>
      </c>
      <c r="J111" s="350">
        <f t="shared" si="19"/>
        <v>0</v>
      </c>
      <c r="K111"/>
      <c r="L111" s="354" t="str">
        <f t="shared" si="17"/>
        <v>A. 6,4</v>
      </c>
      <c r="M111" s="358" t="str">
        <f t="shared" si="18"/>
        <v>Suministro y aplicación de mortero 1:3 esmaltado</v>
      </c>
      <c r="N111" s="356" t="str">
        <f t="shared" si="23"/>
        <v>M2</v>
      </c>
      <c r="O111" s="369">
        <f t="shared" si="24"/>
        <v>24</v>
      </c>
      <c r="P111" s="423">
        <f>VLOOKUP(L111,'selección precios unitario'!$A$5:$I$418,9,FALSE)</f>
        <v>37250</v>
      </c>
      <c r="Q111" s="423">
        <f t="shared" si="22"/>
        <v>894000</v>
      </c>
    </row>
    <row r="112" spans="1:60" ht="15" outlineLevel="1" x14ac:dyDescent="0.25">
      <c r="A112" s="348" t="s">
        <v>157</v>
      </c>
      <c r="B112" s="358" t="s">
        <v>158</v>
      </c>
      <c r="C112" s="340" t="s">
        <v>14</v>
      </c>
      <c r="D112" s="369">
        <v>3</v>
      </c>
      <c r="E112" s="1291">
        <v>30000</v>
      </c>
      <c r="F112" s="412">
        <f t="shared" si="20"/>
        <v>90000</v>
      </c>
      <c r="G112" s="412">
        <v>16117.178000000002</v>
      </c>
      <c r="H112" s="349">
        <f t="shared" si="21"/>
        <v>48351.534000000007</v>
      </c>
      <c r="I112" s="1285">
        <f>IFERROR(VLOOKUP(A112,'valores unit indexados'!$A$14:$O$197,15,FALSE),0)</f>
        <v>13382</v>
      </c>
      <c r="J112" s="350">
        <f t="shared" si="19"/>
        <v>40146</v>
      </c>
      <c r="K112"/>
      <c r="L112" s="348" t="str">
        <f t="shared" si="17"/>
        <v>A. 6,5</v>
      </c>
      <c r="M112" s="358" t="str">
        <f t="shared" si="18"/>
        <v>Corte de concreto con pulidora y/o cortadora</v>
      </c>
      <c r="N112" s="340" t="str">
        <f t="shared" si="23"/>
        <v>ML</v>
      </c>
      <c r="O112" s="369">
        <f t="shared" si="24"/>
        <v>3</v>
      </c>
      <c r="P112" s="423">
        <f>VLOOKUP(L112,'selección precios unitario'!$A$5:$I$418,9,FALSE)</f>
        <v>14833</v>
      </c>
      <c r="Q112" s="423">
        <f t="shared" si="22"/>
        <v>44499</v>
      </c>
    </row>
    <row r="113" spans="1:60" ht="15" outlineLevel="1" x14ac:dyDescent="0.25">
      <c r="A113" s="348" t="s">
        <v>159</v>
      </c>
      <c r="B113" s="358" t="s">
        <v>160</v>
      </c>
      <c r="C113" s="356" t="s">
        <v>150</v>
      </c>
      <c r="D113" s="369">
        <v>1</v>
      </c>
      <c r="E113" s="1291">
        <v>120000</v>
      </c>
      <c r="F113" s="412">
        <f t="shared" si="20"/>
        <v>120000</v>
      </c>
      <c r="G113" s="412">
        <v>50000</v>
      </c>
      <c r="H113" s="349">
        <f t="shared" si="21"/>
        <v>50000</v>
      </c>
      <c r="I113" s="1285">
        <f>+'valores unit indexados'!O200</f>
        <v>33513</v>
      </c>
      <c r="J113" s="350">
        <f t="shared" si="19"/>
        <v>33513</v>
      </c>
      <c r="K113"/>
      <c r="L113" s="348" t="str">
        <f t="shared" si="17"/>
        <v>A. 6,6</v>
      </c>
      <c r="M113" s="358" t="str">
        <f t="shared" si="18"/>
        <v>excavación tierra  a mano 30 cm</v>
      </c>
      <c r="N113" s="356" t="str">
        <f t="shared" si="23"/>
        <v>M3</v>
      </c>
      <c r="O113" s="369">
        <f t="shared" si="24"/>
        <v>1</v>
      </c>
      <c r="P113" s="423">
        <f>VLOOKUP(L113,'selección precios unitario'!$A$5:$I$418,9,FALSE)</f>
        <v>41757</v>
      </c>
      <c r="Q113" s="423">
        <f t="shared" si="22"/>
        <v>41757</v>
      </c>
    </row>
    <row r="114" spans="1:60" ht="25.5" outlineLevel="1" x14ac:dyDescent="0.25">
      <c r="A114" s="348" t="s">
        <v>161</v>
      </c>
      <c r="B114" s="358" t="s">
        <v>1474</v>
      </c>
      <c r="C114" s="356" t="s">
        <v>14</v>
      </c>
      <c r="D114" s="369">
        <v>3</v>
      </c>
      <c r="E114" s="1291">
        <v>45000</v>
      </c>
      <c r="F114" s="412">
        <f t="shared" si="20"/>
        <v>135000</v>
      </c>
      <c r="G114" s="412">
        <v>75897.668000000005</v>
      </c>
      <c r="H114" s="349">
        <f t="shared" si="21"/>
        <v>227693.00400000002</v>
      </c>
      <c r="I114" s="1285">
        <f>IFERROR(VLOOKUP(A114,'valores unit indexados'!$A$14:$O$197,15,FALSE),0)</f>
        <v>75401</v>
      </c>
      <c r="J114" s="350">
        <f t="shared" si="19"/>
        <v>226203</v>
      </c>
      <c r="K114"/>
      <c r="L114" s="348" t="str">
        <f t="shared" si="17"/>
        <v>A. 6,7</v>
      </c>
      <c r="M114" s="358" t="str">
        <f t="shared" si="18"/>
        <v>Suministro e instalación tubería sanitaria PVC 4"  con sus respectivos accesorios</v>
      </c>
      <c r="N114" s="356" t="str">
        <f t="shared" si="23"/>
        <v>ML</v>
      </c>
      <c r="O114" s="369">
        <f t="shared" si="24"/>
        <v>3</v>
      </c>
      <c r="P114" s="423">
        <f>VLOOKUP(L114,'selección precios unitario'!$A$5:$I$418,9,FALSE)</f>
        <v>48692</v>
      </c>
      <c r="Q114" s="423">
        <f t="shared" si="22"/>
        <v>146076</v>
      </c>
    </row>
    <row r="115" spans="1:60" ht="25.5" outlineLevel="1" x14ac:dyDescent="0.25">
      <c r="A115" s="348" t="s">
        <v>163</v>
      </c>
      <c r="B115" s="358" t="s">
        <v>164</v>
      </c>
      <c r="C115" s="356" t="s">
        <v>19</v>
      </c>
      <c r="D115" s="369">
        <v>20</v>
      </c>
      <c r="E115" s="1291">
        <v>130000</v>
      </c>
      <c r="F115" s="412">
        <f t="shared" si="20"/>
        <v>2600000</v>
      </c>
      <c r="G115" s="412">
        <v>180000</v>
      </c>
      <c r="H115" s="349">
        <f t="shared" si="21"/>
        <v>3600000</v>
      </c>
      <c r="I115" s="1285">
        <f>IFERROR(VLOOKUP(A115,'valores unit indexados'!$A$14:$O$197,15,FALSE),0)</f>
        <v>0</v>
      </c>
      <c r="J115" s="350">
        <f t="shared" si="19"/>
        <v>0</v>
      </c>
      <c r="K115"/>
      <c r="L115" s="348" t="str">
        <f t="shared" si="17"/>
        <v>A. 6,8</v>
      </c>
      <c r="M115" s="358" t="str">
        <f t="shared" si="18"/>
        <v>Suministro e instalación muro en perfilería de 90mm en placa de RF espesor 12,7 mm , una cara, incluye estructura</v>
      </c>
      <c r="N115" s="356" t="str">
        <f t="shared" si="23"/>
        <v>M2</v>
      </c>
      <c r="O115" s="369">
        <f t="shared" si="24"/>
        <v>20</v>
      </c>
      <c r="P115" s="423">
        <f>VLOOKUP(L115,'selección precios unitario'!$A$5:$I$418,9,FALSE)</f>
        <v>155000</v>
      </c>
      <c r="Q115" s="423">
        <f t="shared" si="22"/>
        <v>3100000</v>
      </c>
    </row>
    <row r="116" spans="1:60" ht="15" outlineLevel="1" x14ac:dyDescent="0.25">
      <c r="A116" s="348" t="s">
        <v>165</v>
      </c>
      <c r="B116" s="358" t="s">
        <v>166</v>
      </c>
      <c r="C116" s="356" t="s">
        <v>150</v>
      </c>
      <c r="D116" s="369">
        <v>2</v>
      </c>
      <c r="E116" s="1291">
        <v>100000</v>
      </c>
      <c r="F116" s="412">
        <f t="shared" si="20"/>
        <v>200000</v>
      </c>
      <c r="G116" s="412">
        <v>81356</v>
      </c>
      <c r="H116" s="349">
        <f t="shared" si="21"/>
        <v>162712</v>
      </c>
      <c r="I116" s="1285">
        <f>IFERROR(VLOOKUP(A116,'valores unit indexados'!$A$14:$O$197,15,FALSE),0)</f>
        <v>77455</v>
      </c>
      <c r="J116" s="350">
        <f t="shared" si="19"/>
        <v>154910</v>
      </c>
      <c r="K116"/>
      <c r="L116" s="348" t="str">
        <f t="shared" si="17"/>
        <v>A. 6,9</v>
      </c>
      <c r="M116" s="358" t="str">
        <f t="shared" si="18"/>
        <v>Retiro escombros en Volqueta, a centro de acopio certificado</v>
      </c>
      <c r="N116" s="356" t="str">
        <f t="shared" si="23"/>
        <v>M3</v>
      </c>
      <c r="O116" s="369">
        <f t="shared" si="24"/>
        <v>2</v>
      </c>
      <c r="P116" s="423">
        <f>VLOOKUP(L116,'selección precios unitario'!$A$5:$I$418,9,FALSE)</f>
        <v>79406</v>
      </c>
      <c r="Q116" s="423">
        <f t="shared" si="22"/>
        <v>158812</v>
      </c>
    </row>
    <row r="117" spans="1:60" s="1533" customFormat="1" ht="24.75" customHeight="1" outlineLevel="1" x14ac:dyDescent="0.25">
      <c r="A117" s="1527" t="s">
        <v>167</v>
      </c>
      <c r="B117" s="1528" t="s">
        <v>168</v>
      </c>
      <c r="C117" s="1527"/>
      <c r="D117" s="1529"/>
      <c r="E117" s="1530"/>
      <c r="F117" s="1531">
        <f t="shared" si="20"/>
        <v>0</v>
      </c>
      <c r="G117" s="1530"/>
      <c r="H117" s="1531">
        <f t="shared" si="21"/>
        <v>0</v>
      </c>
      <c r="I117" s="1532"/>
      <c r="J117" s="1527"/>
      <c r="K117"/>
      <c r="L117" s="1527" t="str">
        <f t="shared" si="17"/>
        <v>A. 7</v>
      </c>
      <c r="M117" s="1836" t="str">
        <f t="shared" si="18"/>
        <v>Sellamiento de fisuras piso y muros</v>
      </c>
      <c r="N117" s="1837"/>
      <c r="O117" s="1837"/>
      <c r="P117" s="1837"/>
      <c r="Q117" s="1838"/>
      <c r="R117" s="1544"/>
      <c r="S117" s="1544"/>
      <c r="T117" s="1544"/>
      <c r="U117" s="1544"/>
      <c r="V117" s="1544"/>
      <c r="W117" s="1544"/>
      <c r="X117" s="1544"/>
      <c r="Y117" s="1544"/>
      <c r="Z117" s="1544"/>
      <c r="AA117" s="1544"/>
      <c r="AB117" s="1544"/>
      <c r="AC117" s="1544"/>
      <c r="AD117" s="1544"/>
      <c r="AE117" s="1544"/>
      <c r="AF117" s="1544"/>
      <c r="AG117" s="1544"/>
      <c r="AH117" s="1544"/>
      <c r="AI117" s="1544"/>
      <c r="AJ117" s="1544"/>
      <c r="AK117" s="1544"/>
      <c r="AL117" s="1544"/>
      <c r="AM117" s="1544"/>
      <c r="AN117" s="1544"/>
      <c r="AO117" s="1544"/>
      <c r="AP117" s="1544"/>
      <c r="AQ117" s="1544"/>
      <c r="AR117" s="1544"/>
      <c r="AS117" s="1544"/>
      <c r="AT117" s="1544"/>
      <c r="AU117" s="1544"/>
      <c r="AV117" s="1544"/>
      <c r="AW117" s="1544"/>
      <c r="AX117" s="1544"/>
      <c r="AY117" s="1544"/>
      <c r="AZ117" s="1544"/>
      <c r="BA117" s="1544"/>
      <c r="BB117" s="1544"/>
      <c r="BC117" s="1544"/>
      <c r="BD117" s="1544"/>
      <c r="BE117" s="1544"/>
      <c r="BF117" s="1544"/>
      <c r="BG117" s="1544"/>
      <c r="BH117" s="1544"/>
    </row>
    <row r="118" spans="1:60" ht="15" outlineLevel="1" x14ac:dyDescent="0.25">
      <c r="A118" s="374" t="s">
        <v>169</v>
      </c>
      <c r="B118" s="358" t="s">
        <v>158</v>
      </c>
      <c r="C118" s="340" t="s">
        <v>14</v>
      </c>
      <c r="D118" s="369">
        <v>220</v>
      </c>
      <c r="E118" s="370">
        <v>15000</v>
      </c>
      <c r="F118" s="349">
        <f t="shared" si="20"/>
        <v>3300000</v>
      </c>
      <c r="G118" s="349">
        <v>16117.178000000002</v>
      </c>
      <c r="H118" s="349">
        <f t="shared" si="21"/>
        <v>3545779.16</v>
      </c>
      <c r="I118" s="1285">
        <f>IFERROR(VLOOKUP(A118,'valores unit indexados'!$A$14:$O$197,15,FALSE),0)</f>
        <v>13382</v>
      </c>
      <c r="J118" s="350">
        <f t="shared" si="19"/>
        <v>2944040</v>
      </c>
      <c r="K118"/>
      <c r="L118" s="374" t="str">
        <f t="shared" si="17"/>
        <v>A. 7,1</v>
      </c>
      <c r="M118" s="358" t="str">
        <f t="shared" si="18"/>
        <v>Corte de concreto con pulidora y/o cortadora</v>
      </c>
      <c r="N118" s="340" t="str">
        <f t="shared" ref="N118:O121" si="25">+C118</f>
        <v>ML</v>
      </c>
      <c r="O118" s="369">
        <f t="shared" si="25"/>
        <v>220</v>
      </c>
      <c r="P118" s="423">
        <f>VLOOKUP(L118,'selección precios unitario'!$A$5:$I$418,9,FALSE)</f>
        <v>14833</v>
      </c>
      <c r="Q118" s="423">
        <f t="shared" si="22"/>
        <v>3263260</v>
      </c>
    </row>
    <row r="119" spans="1:60" ht="25.5" outlineLevel="1" x14ac:dyDescent="0.25">
      <c r="A119" s="348" t="s">
        <v>170</v>
      </c>
      <c r="B119" s="364" t="s">
        <v>1475</v>
      </c>
      <c r="C119" s="340" t="s">
        <v>14</v>
      </c>
      <c r="D119" s="369">
        <v>120</v>
      </c>
      <c r="E119" s="370">
        <v>40000</v>
      </c>
      <c r="F119" s="349">
        <f t="shared" si="20"/>
        <v>4800000</v>
      </c>
      <c r="G119" s="349">
        <v>31213</v>
      </c>
      <c r="H119" s="349">
        <f t="shared" si="21"/>
        <v>3745560</v>
      </c>
      <c r="I119" s="1285">
        <f>IFERROR(VLOOKUP(A119,'valores unit indexados'!$A$14:$O$197,15,FALSE),0)</f>
        <v>39615</v>
      </c>
      <c r="J119" s="350">
        <f t="shared" si="19"/>
        <v>4753800</v>
      </c>
      <c r="K119"/>
      <c r="L119" s="348" t="str">
        <f t="shared" si="17"/>
        <v>A. 7,2</v>
      </c>
      <c r="M119" s="364" t="str">
        <f t="shared" si="18"/>
        <v>suministro y aplicación de adhesivo  y sellador de juntas elástico para interior y exterior</v>
      </c>
      <c r="N119" s="340" t="str">
        <f t="shared" si="25"/>
        <v>ML</v>
      </c>
      <c r="O119" s="369">
        <f t="shared" si="25"/>
        <v>120</v>
      </c>
      <c r="P119" s="423">
        <f>VLOOKUP(L119,'selección precios unitario'!$A$5:$I$418,9,FALSE)</f>
        <v>36943</v>
      </c>
      <c r="Q119" s="423">
        <f t="shared" si="22"/>
        <v>4433160</v>
      </c>
    </row>
    <row r="120" spans="1:60" ht="15" outlineLevel="1" x14ac:dyDescent="0.25">
      <c r="A120" s="348" t="s">
        <v>172</v>
      </c>
      <c r="B120" s="347" t="s">
        <v>1476</v>
      </c>
      <c r="C120" s="340" t="s">
        <v>14</v>
      </c>
      <c r="D120" s="369">
        <v>100</v>
      </c>
      <c r="E120" s="370">
        <v>25000</v>
      </c>
      <c r="F120" s="349">
        <f t="shared" si="20"/>
        <v>2500000</v>
      </c>
      <c r="G120" s="352">
        <v>0</v>
      </c>
      <c r="H120" s="349">
        <f t="shared" si="21"/>
        <v>0</v>
      </c>
      <c r="I120" s="1285">
        <f>IFERROR(VLOOKUP(A120,'valores unit indexados'!$A$14:$O$197,15,FALSE),0)</f>
        <v>26415</v>
      </c>
      <c r="J120" s="350">
        <f t="shared" si="19"/>
        <v>2641500</v>
      </c>
      <c r="K120"/>
      <c r="L120" s="348" t="str">
        <f t="shared" si="17"/>
        <v>A. 7,3</v>
      </c>
      <c r="M120" s="347" t="str">
        <f t="shared" si="18"/>
        <v>Suministro e instalación de perfil o dilatación aluminio para piso</v>
      </c>
      <c r="N120" s="340" t="str">
        <f t="shared" si="25"/>
        <v>ML</v>
      </c>
      <c r="O120" s="369">
        <f t="shared" si="25"/>
        <v>100</v>
      </c>
      <c r="P120" s="423">
        <f>VLOOKUP(L120,'selección precios unitario'!$A$5:$I$418,9,FALSE)</f>
        <v>25708</v>
      </c>
      <c r="Q120" s="423">
        <f t="shared" si="22"/>
        <v>2570800</v>
      </c>
    </row>
    <row r="121" spans="1:60" ht="25.5" outlineLevel="1" x14ac:dyDescent="0.25">
      <c r="A121" s="348" t="s">
        <v>174</v>
      </c>
      <c r="B121" s="347" t="s">
        <v>1477</v>
      </c>
      <c r="C121" s="340" t="s">
        <v>14</v>
      </c>
      <c r="D121" s="369">
        <v>100</v>
      </c>
      <c r="E121" s="370">
        <v>9000</v>
      </c>
      <c r="F121" s="349">
        <f t="shared" si="20"/>
        <v>900000</v>
      </c>
      <c r="G121" s="349">
        <v>7969</v>
      </c>
      <c r="H121" s="349">
        <f t="shared" si="21"/>
        <v>796900</v>
      </c>
      <c r="I121" s="1285">
        <f>IFERROR(VLOOKUP(A121,'valores unit indexados'!$A$14:$O$197,15,FALSE),0)</f>
        <v>0</v>
      </c>
      <c r="J121" s="350">
        <f t="shared" si="19"/>
        <v>0</v>
      </c>
      <c r="K121"/>
      <c r="L121" s="348" t="str">
        <f t="shared" si="17"/>
        <v>A. 7,4</v>
      </c>
      <c r="M121" s="347" t="str">
        <f t="shared" si="18"/>
        <v>Suministro e instalación de dilatación  Z  plástica (junta de expansión drywall)</v>
      </c>
      <c r="N121" s="340" t="str">
        <f t="shared" si="25"/>
        <v>ML</v>
      </c>
      <c r="O121" s="369">
        <f t="shared" si="25"/>
        <v>100</v>
      </c>
      <c r="P121" s="423">
        <f>VLOOKUP(L121,'selección precios unitario'!$A$5:$I$418,9,FALSE)</f>
        <v>8485</v>
      </c>
      <c r="Q121" s="423">
        <f t="shared" si="22"/>
        <v>848500</v>
      </c>
    </row>
    <row r="122" spans="1:60" s="1533" customFormat="1" ht="24.75" customHeight="1" outlineLevel="1" x14ac:dyDescent="0.25">
      <c r="A122" s="1527" t="s">
        <v>176</v>
      </c>
      <c r="B122" s="1528" t="s">
        <v>177</v>
      </c>
      <c r="C122" s="1527"/>
      <c r="D122" s="1529"/>
      <c r="E122" s="1530"/>
      <c r="F122" s="1531">
        <f t="shared" si="20"/>
        <v>0</v>
      </c>
      <c r="G122" s="1530"/>
      <c r="H122" s="1531">
        <f t="shared" si="21"/>
        <v>0</v>
      </c>
      <c r="I122" s="1532"/>
      <c r="J122" s="1527"/>
      <c r="K122"/>
      <c r="L122" s="1527" t="str">
        <f t="shared" si="17"/>
        <v>A. 8</v>
      </c>
      <c r="M122" s="1836" t="str">
        <f t="shared" si="18"/>
        <v>Reparación de fachada flotante calle 10</v>
      </c>
      <c r="N122" s="1837"/>
      <c r="O122" s="1837"/>
      <c r="P122" s="1837"/>
      <c r="Q122" s="1838"/>
      <c r="R122" s="1544"/>
      <c r="S122" s="1544"/>
      <c r="T122" s="1544"/>
      <c r="U122" s="1544"/>
      <c r="V122" s="1544"/>
      <c r="W122" s="1544"/>
      <c r="X122" s="1544"/>
      <c r="Y122" s="1544"/>
      <c r="Z122" s="1544"/>
      <c r="AA122" s="1544"/>
      <c r="AB122" s="1544"/>
      <c r="AC122" s="1544"/>
      <c r="AD122" s="1544"/>
      <c r="AE122" s="1544"/>
      <c r="AF122" s="1544"/>
      <c r="AG122" s="1544"/>
      <c r="AH122" s="1544"/>
      <c r="AI122" s="1544"/>
      <c r="AJ122" s="1544"/>
      <c r="AK122" s="1544"/>
      <c r="AL122" s="1544"/>
      <c r="AM122" s="1544"/>
      <c r="AN122" s="1544"/>
      <c r="AO122" s="1544"/>
      <c r="AP122" s="1544"/>
      <c r="AQ122" s="1544"/>
      <c r="AR122" s="1544"/>
      <c r="AS122" s="1544"/>
      <c r="AT122" s="1544"/>
      <c r="AU122" s="1544"/>
      <c r="AV122" s="1544"/>
      <c r="AW122" s="1544"/>
      <c r="AX122" s="1544"/>
      <c r="AY122" s="1544"/>
      <c r="AZ122" s="1544"/>
      <c r="BA122" s="1544"/>
      <c r="BB122" s="1544"/>
      <c r="BC122" s="1544"/>
      <c r="BD122" s="1544"/>
      <c r="BE122" s="1544"/>
      <c r="BF122" s="1544"/>
      <c r="BG122" s="1544"/>
      <c r="BH122" s="1544"/>
    </row>
    <row r="123" spans="1:60" ht="15" outlineLevel="1" x14ac:dyDescent="0.25">
      <c r="A123" s="374" t="s">
        <v>178</v>
      </c>
      <c r="B123" s="358" t="s">
        <v>179</v>
      </c>
      <c r="C123" s="356" t="s">
        <v>14</v>
      </c>
      <c r="D123" s="369">
        <v>170</v>
      </c>
      <c r="E123" s="1291">
        <v>45000</v>
      </c>
      <c r="F123" s="349">
        <f t="shared" si="20"/>
        <v>7650000</v>
      </c>
      <c r="G123" s="349">
        <v>5512</v>
      </c>
      <c r="H123" s="349">
        <f t="shared" si="21"/>
        <v>937040</v>
      </c>
      <c r="I123" s="1285">
        <f>IFERROR(VLOOKUP(A123,'valores unit indexados'!$A$14:$O$197,15,FALSE),0)</f>
        <v>0</v>
      </c>
      <c r="J123" s="350">
        <f t="shared" si="19"/>
        <v>0</v>
      </c>
      <c r="K123"/>
      <c r="L123" s="374" t="str">
        <f t="shared" si="17"/>
        <v>A. 8,1</v>
      </c>
      <c r="M123" s="358" t="str">
        <f t="shared" si="18"/>
        <v>Desmonte de láminas metálicas en mal estado</v>
      </c>
      <c r="N123" s="356" t="str">
        <f t="shared" ref="N123:O126" si="26">+C123</f>
        <v>ML</v>
      </c>
      <c r="O123" s="369">
        <f t="shared" si="26"/>
        <v>170</v>
      </c>
      <c r="P123" s="423">
        <f>VLOOKUP(L123,'selección precios unitario'!$A$5:$I$418,9,FALSE)</f>
        <v>5512</v>
      </c>
      <c r="Q123" s="423">
        <f t="shared" si="22"/>
        <v>937040</v>
      </c>
    </row>
    <row r="124" spans="1:60" ht="15" outlineLevel="1" x14ac:dyDescent="0.25">
      <c r="A124" s="348" t="s">
        <v>180</v>
      </c>
      <c r="B124" s="358" t="s">
        <v>181</v>
      </c>
      <c r="C124" s="356" t="s">
        <v>14</v>
      </c>
      <c r="D124" s="369">
        <v>97</v>
      </c>
      <c r="E124" s="1291">
        <v>20000</v>
      </c>
      <c r="F124" s="349">
        <f t="shared" si="20"/>
        <v>1940000</v>
      </c>
      <c r="G124" s="349">
        <v>5500</v>
      </c>
      <c r="H124" s="349">
        <f t="shared" si="21"/>
        <v>533500</v>
      </c>
      <c r="I124" s="1285">
        <f>IFERROR(VLOOKUP(A124,'valores unit indexados'!$A$14:$O$197,15,FALSE),0)</f>
        <v>0</v>
      </c>
      <c r="J124" s="350">
        <f t="shared" si="19"/>
        <v>0</v>
      </c>
      <c r="K124"/>
      <c r="L124" s="348" t="str">
        <f t="shared" si="17"/>
        <v>A. 8,2</v>
      </c>
      <c r="M124" s="358" t="str">
        <f t="shared" si="18"/>
        <v>Desmonte de estructura metálica en mal estado</v>
      </c>
      <c r="N124" s="356" t="str">
        <f t="shared" si="26"/>
        <v>ML</v>
      </c>
      <c r="O124" s="369">
        <f t="shared" si="26"/>
        <v>97</v>
      </c>
      <c r="P124" s="423">
        <f>VLOOKUP(L124,'selección precios unitario'!$A$5:$I$418,9,FALSE)</f>
        <v>5500</v>
      </c>
      <c r="Q124" s="423">
        <f t="shared" si="22"/>
        <v>533500</v>
      </c>
    </row>
    <row r="125" spans="1:60" ht="25.5" outlineLevel="1" x14ac:dyDescent="0.25">
      <c r="A125" s="354" t="s">
        <v>182</v>
      </c>
      <c r="B125" s="358" t="s">
        <v>183</v>
      </c>
      <c r="C125" s="356" t="s">
        <v>19</v>
      </c>
      <c r="D125" s="369">
        <v>50</v>
      </c>
      <c r="E125" s="370">
        <v>280000</v>
      </c>
      <c r="F125" s="349">
        <f t="shared" si="20"/>
        <v>14000000</v>
      </c>
      <c r="G125" s="349">
        <v>700000</v>
      </c>
      <c r="H125" s="349">
        <f t="shared" si="21"/>
        <v>35000000</v>
      </c>
      <c r="I125" s="1285">
        <f>IFERROR(VLOOKUP(A125,'valores unit indexados'!$A$14:$O$197,15,FALSE),0)</f>
        <v>0</v>
      </c>
      <c r="J125" s="350">
        <f t="shared" si="19"/>
        <v>0</v>
      </c>
      <c r="K125"/>
      <c r="L125" s="354" t="str">
        <f t="shared" si="17"/>
        <v>A. 8,3</v>
      </c>
      <c r="M125" s="358" t="str">
        <f t="shared" si="18"/>
        <v>Suministro e instalación de lámina metálica perforada redonda 5mm calibre 3mm</v>
      </c>
      <c r="N125" s="356" t="str">
        <f t="shared" si="26"/>
        <v>M2</v>
      </c>
      <c r="O125" s="369">
        <f t="shared" si="26"/>
        <v>50</v>
      </c>
      <c r="P125" s="423">
        <f>VLOOKUP(L125,'selección precios unitario'!$A$5:$I$418,9,FALSE)</f>
        <v>490000</v>
      </c>
      <c r="Q125" s="423">
        <f t="shared" si="22"/>
        <v>24500000</v>
      </c>
    </row>
    <row r="126" spans="1:60" ht="25.5" outlineLevel="1" x14ac:dyDescent="0.25">
      <c r="A126" s="348" t="s">
        <v>184</v>
      </c>
      <c r="B126" s="358" t="s">
        <v>1478</v>
      </c>
      <c r="C126" s="356" t="s">
        <v>14</v>
      </c>
      <c r="D126" s="369">
        <v>112</v>
      </c>
      <c r="E126" s="370">
        <v>112000</v>
      </c>
      <c r="F126" s="349">
        <f t="shared" si="20"/>
        <v>12544000</v>
      </c>
      <c r="G126" s="349">
        <v>50000</v>
      </c>
      <c r="H126" s="349">
        <f t="shared" si="21"/>
        <v>5600000</v>
      </c>
      <c r="I126" s="1285">
        <f>IFERROR(VLOOKUP(A126,'valores unit indexados'!$A$14:$O$197,15,FALSE),0)</f>
        <v>0</v>
      </c>
      <c r="J126" s="350">
        <f t="shared" si="19"/>
        <v>0</v>
      </c>
      <c r="K126"/>
      <c r="L126" s="348" t="str">
        <f t="shared" si="17"/>
        <v>A. 8,4</v>
      </c>
      <c r="M126" s="358" t="str">
        <f t="shared" si="18"/>
        <v>Suministro e instalación de estructura o perfiles metálicos 50mm x 50mm x 3mm</v>
      </c>
      <c r="N126" s="356" t="str">
        <f t="shared" si="26"/>
        <v>ML</v>
      </c>
      <c r="O126" s="369">
        <f t="shared" si="26"/>
        <v>112</v>
      </c>
      <c r="P126" s="423">
        <f>VLOOKUP(L126,'selección precios unitario'!$A$5:$I$418,9,FALSE)</f>
        <v>81000</v>
      </c>
      <c r="Q126" s="423">
        <f t="shared" si="22"/>
        <v>9072000</v>
      </c>
    </row>
    <row r="127" spans="1:60" s="1533" customFormat="1" ht="24.75" customHeight="1" outlineLevel="1" x14ac:dyDescent="0.25">
      <c r="A127" s="1527" t="s">
        <v>186</v>
      </c>
      <c r="B127" s="1528" t="s">
        <v>187</v>
      </c>
      <c r="C127" s="1527"/>
      <c r="D127" s="1529"/>
      <c r="E127" s="1530"/>
      <c r="F127" s="1531">
        <f t="shared" si="20"/>
        <v>0</v>
      </c>
      <c r="G127" s="1530"/>
      <c r="H127" s="1531">
        <f t="shared" si="21"/>
        <v>0</v>
      </c>
      <c r="I127" s="1532"/>
      <c r="J127" s="1527"/>
      <c r="K127"/>
      <c r="L127" s="1527" t="str">
        <f t="shared" si="17"/>
        <v>A. 9</v>
      </c>
      <c r="M127" s="1836" t="str">
        <f t="shared" si="18"/>
        <v xml:space="preserve">Impermeabilización piso de cuarto de residuos sólidos </v>
      </c>
      <c r="N127" s="1837"/>
      <c r="O127" s="1837"/>
      <c r="P127" s="1837"/>
      <c r="Q127" s="1838"/>
      <c r="R127" s="1544"/>
      <c r="S127" s="1544"/>
      <c r="T127" s="1544"/>
      <c r="U127" s="1544"/>
      <c r="V127" s="1544"/>
      <c r="W127" s="1544"/>
      <c r="X127" s="1544"/>
      <c r="Y127" s="1544"/>
      <c r="Z127" s="1544"/>
      <c r="AA127" s="1544"/>
      <c r="AB127" s="1544"/>
      <c r="AC127" s="1544"/>
      <c r="AD127" s="1544"/>
      <c r="AE127" s="1544"/>
      <c r="AF127" s="1544"/>
      <c r="AG127" s="1544"/>
      <c r="AH127" s="1544"/>
      <c r="AI127" s="1544"/>
      <c r="AJ127" s="1544"/>
      <c r="AK127" s="1544"/>
      <c r="AL127" s="1544"/>
      <c r="AM127" s="1544"/>
      <c r="AN127" s="1544"/>
      <c r="AO127" s="1544"/>
      <c r="AP127" s="1544"/>
      <c r="AQ127" s="1544"/>
      <c r="AR127" s="1544"/>
      <c r="AS127" s="1544"/>
      <c r="AT127" s="1544"/>
      <c r="AU127" s="1544"/>
      <c r="AV127" s="1544"/>
      <c r="AW127" s="1544"/>
      <c r="AX127" s="1544"/>
      <c r="AY127" s="1544"/>
      <c r="AZ127" s="1544"/>
      <c r="BA127" s="1544"/>
      <c r="BB127" s="1544"/>
      <c r="BC127" s="1544"/>
      <c r="BD127" s="1544"/>
      <c r="BE127" s="1544"/>
      <c r="BF127" s="1544"/>
      <c r="BG127" s="1544"/>
      <c r="BH127" s="1544"/>
    </row>
    <row r="128" spans="1:60" ht="25.5" outlineLevel="1" x14ac:dyDescent="0.25">
      <c r="A128" s="354" t="s">
        <v>188</v>
      </c>
      <c r="B128" s="364" t="s">
        <v>189</v>
      </c>
      <c r="C128" s="363" t="s">
        <v>19</v>
      </c>
      <c r="D128" s="369">
        <v>41</v>
      </c>
      <c r="E128" s="370">
        <v>25000</v>
      </c>
      <c r="F128" s="349">
        <f t="shared" si="20"/>
        <v>1025000</v>
      </c>
      <c r="G128" s="372">
        <v>0</v>
      </c>
      <c r="H128" s="349">
        <f t="shared" si="21"/>
        <v>0</v>
      </c>
      <c r="I128" s="1285">
        <f>IFERROR(VLOOKUP(A128,'valores unit indexados'!$A$14:$O$197,15,FALSE),0)</f>
        <v>0</v>
      </c>
      <c r="J128" s="350">
        <f t="shared" si="19"/>
        <v>0</v>
      </c>
      <c r="K128"/>
      <c r="L128" s="354" t="str">
        <f t="shared" si="17"/>
        <v>A. 9,1</v>
      </c>
      <c r="M128" s="364" t="str">
        <f t="shared" si="18"/>
        <v xml:space="preserve">Retiro de pintura epoxica existente con cloruro de metileno
</v>
      </c>
      <c r="N128" s="363" t="str">
        <f>+C128</f>
        <v>M2</v>
      </c>
      <c r="O128" s="369">
        <f>+D128</f>
        <v>41</v>
      </c>
      <c r="P128" s="423">
        <f>VLOOKUP(L128,'selección precios unitario'!$A$5:$I$418,9,FALSE)</f>
        <v>25000</v>
      </c>
      <c r="Q128" s="423">
        <f t="shared" si="22"/>
        <v>1025000</v>
      </c>
    </row>
    <row r="129" spans="1:18" ht="25.5" outlineLevel="1" x14ac:dyDescent="0.25">
      <c r="A129" s="348" t="s">
        <v>190</v>
      </c>
      <c r="B129" s="358" t="s">
        <v>191</v>
      </c>
      <c r="C129" s="356" t="s">
        <v>19</v>
      </c>
      <c r="D129" s="369">
        <v>41</v>
      </c>
      <c r="E129" s="370">
        <v>35000</v>
      </c>
      <c r="F129" s="349">
        <f t="shared" si="20"/>
        <v>1435000</v>
      </c>
      <c r="G129" s="412">
        <v>3731</v>
      </c>
      <c r="H129" s="349">
        <f t="shared" si="21"/>
        <v>152971</v>
      </c>
      <c r="I129" s="1285">
        <f>IFERROR(VLOOKUP(A129,'valores unit indexados'!$A$14:$O$197,15,FALSE),0)</f>
        <v>29150</v>
      </c>
      <c r="J129" s="350">
        <f t="shared" si="19"/>
        <v>1195150</v>
      </c>
      <c r="K129"/>
      <c r="L129" s="348" t="str">
        <f t="shared" si="17"/>
        <v>A. 9,2</v>
      </c>
      <c r="M129" s="358" t="str">
        <f t="shared" si="18"/>
        <v>lavada y destronque a máquina (para retirar material existente y preparación de superficie) </v>
      </c>
      <c r="N129" s="356" t="str">
        <f t="shared" ref="N129:O131" si="27">+C129</f>
        <v>M2</v>
      </c>
      <c r="O129" s="369">
        <f t="shared" si="27"/>
        <v>41</v>
      </c>
      <c r="P129" s="423">
        <f>VLOOKUP(L129,'selección precios unitario'!$A$5:$I$418,9,FALSE)</f>
        <v>32075</v>
      </c>
      <c r="Q129" s="423">
        <f t="shared" si="22"/>
        <v>1315075</v>
      </c>
    </row>
    <row r="130" spans="1:18" ht="25.5" outlineLevel="1" x14ac:dyDescent="0.25">
      <c r="A130" s="354" t="s">
        <v>192</v>
      </c>
      <c r="B130" s="364" t="s">
        <v>193</v>
      </c>
      <c r="C130" s="363" t="s">
        <v>19</v>
      </c>
      <c r="D130" s="369">
        <v>41</v>
      </c>
      <c r="E130" s="370">
        <v>65000</v>
      </c>
      <c r="F130" s="349">
        <f t="shared" si="20"/>
        <v>2665000</v>
      </c>
      <c r="G130" s="412">
        <v>20000</v>
      </c>
      <c r="H130" s="349">
        <f t="shared" si="21"/>
        <v>820000</v>
      </c>
      <c r="I130" s="1285">
        <f>IFERROR(VLOOKUP(A130,'valores unit indexados'!$A$14:$O$197,15,FALSE),0)</f>
        <v>0</v>
      </c>
      <c r="J130" s="350">
        <f t="shared" si="19"/>
        <v>0</v>
      </c>
      <c r="K130"/>
      <c r="L130" s="354" t="str">
        <f t="shared" si="17"/>
        <v>A. 9,3</v>
      </c>
      <c r="M130" s="364" t="str">
        <f t="shared" si="18"/>
        <v>Suministro y aplicación de pintura epoxica para piso con acabado en barniz (2 capas de pintura epoxica)</v>
      </c>
      <c r="N130" s="363" t="str">
        <f t="shared" si="27"/>
        <v>M2</v>
      </c>
      <c r="O130" s="369">
        <f t="shared" si="27"/>
        <v>41</v>
      </c>
      <c r="P130" s="423">
        <f>VLOOKUP(L130,'selección precios unitario'!$A$5:$I$418,9,FALSE)</f>
        <v>42500</v>
      </c>
      <c r="Q130" s="423">
        <f t="shared" si="22"/>
        <v>1742500</v>
      </c>
    </row>
    <row r="131" spans="1:18" ht="15.75" outlineLevel="1" thickBot="1" x14ac:dyDescent="0.3">
      <c r="A131" s="348" t="s">
        <v>194</v>
      </c>
      <c r="B131" s="347" t="s">
        <v>195</v>
      </c>
      <c r="C131" s="340" t="s">
        <v>19</v>
      </c>
      <c r="D131" s="369">
        <v>41</v>
      </c>
      <c r="E131" s="370">
        <v>7000</v>
      </c>
      <c r="F131" s="349">
        <f t="shared" si="20"/>
        <v>287000</v>
      </c>
      <c r="G131" s="349">
        <v>4200</v>
      </c>
      <c r="H131" s="349">
        <f t="shared" si="21"/>
        <v>172200</v>
      </c>
      <c r="I131" s="1285">
        <f>IFERROR(VLOOKUP(A131,'valores unit indexados'!$A$14:$O$197,15,FALSE),0)</f>
        <v>5300</v>
      </c>
      <c r="J131" s="350">
        <f t="shared" si="19"/>
        <v>217300</v>
      </c>
      <c r="K131"/>
      <c r="L131" s="348" t="str">
        <f t="shared" si="17"/>
        <v>A. 9,4</v>
      </c>
      <c r="M131" s="347" t="str">
        <f t="shared" si="18"/>
        <v>Aseo general.</v>
      </c>
      <c r="N131" s="340" t="str">
        <f t="shared" si="27"/>
        <v>M2</v>
      </c>
      <c r="O131" s="369">
        <f t="shared" si="27"/>
        <v>41</v>
      </c>
      <c r="P131" s="423">
        <f>VLOOKUP(L131,'selección precios unitario'!$A$5:$I$418,9,FALSE)</f>
        <v>5500</v>
      </c>
      <c r="Q131" s="423">
        <f t="shared" si="22"/>
        <v>225500</v>
      </c>
    </row>
    <row r="132" spans="1:18" ht="15.75" thickBot="1" x14ac:dyDescent="0.3">
      <c r="A132"/>
      <c r="B132"/>
      <c r="C132" s="1712" t="s">
        <v>196</v>
      </c>
      <c r="D132" s="1775"/>
      <c r="E132" s="1714"/>
      <c r="F132" s="1715">
        <f>SUM(F34:F131)</f>
        <v>574228316</v>
      </c>
      <c r="G132" s="1716"/>
      <c r="H132" s="1715">
        <f>SUM(H34:H131)</f>
        <v>391055731.41400003</v>
      </c>
      <c r="I132" s="1717"/>
      <c r="J132" s="1722">
        <f>SUM(J35:J131)</f>
        <v>249160803.81</v>
      </c>
      <c r="K132"/>
      <c r="L132" s="1777"/>
      <c r="M132" s="1721"/>
      <c r="N132" s="1839" t="str">
        <f t="shared" ref="N132:N137" si="28">+C132</f>
        <v>COSTO DIRECTO</v>
      </c>
      <c r="O132" s="1840"/>
      <c r="P132" s="1841"/>
      <c r="Q132" s="1722">
        <f>SUM(Q34:Q131)</f>
        <v>489883129</v>
      </c>
    </row>
    <row r="133" spans="1:18" ht="15" x14ac:dyDescent="0.25">
      <c r="A133"/>
      <c r="B133"/>
      <c r="C133" s="1773" t="s">
        <v>197</v>
      </c>
      <c r="D133" s="1774"/>
      <c r="E133" s="1708">
        <v>0.3</v>
      </c>
      <c r="F133" s="1709">
        <f>+$F$132*E133</f>
        <v>172268494.79999998</v>
      </c>
      <c r="G133" s="1708">
        <v>0.24</v>
      </c>
      <c r="H133" s="1709">
        <f>+$H$132*G133</f>
        <v>93853375.539360002</v>
      </c>
      <c r="I133" s="1708">
        <v>0</v>
      </c>
      <c r="J133" s="1709">
        <f>+$J$132*I133</f>
        <v>0</v>
      </c>
      <c r="K133"/>
      <c r="L133" s="1298"/>
      <c r="M133" s="1645"/>
      <c r="N133" s="1845" t="str">
        <f t="shared" si="28"/>
        <v xml:space="preserve">ADMINISTRACION </v>
      </c>
      <c r="O133" s="1846"/>
      <c r="P133" s="1710">
        <v>0.185</v>
      </c>
      <c r="Q133" s="1711">
        <f>ROUND(P133*$Q$132,0)</f>
        <v>90628379</v>
      </c>
    </row>
    <row r="134" spans="1:18" ht="15" x14ac:dyDescent="0.25">
      <c r="A134"/>
      <c r="B134"/>
      <c r="C134" s="1769" t="s">
        <v>198</v>
      </c>
      <c r="D134" s="1770"/>
      <c r="E134" s="375">
        <v>0.02</v>
      </c>
      <c r="F134" s="376">
        <f>+$F$132*E134</f>
        <v>11484566.32</v>
      </c>
      <c r="G134" s="375">
        <v>0.01</v>
      </c>
      <c r="H134" s="376">
        <f t="shared" ref="H134:H135" si="29">+$H$132*G134</f>
        <v>3910557.3141400004</v>
      </c>
      <c r="I134" s="375">
        <v>0</v>
      </c>
      <c r="J134" s="376">
        <f>+$J$132*I134</f>
        <v>0</v>
      </c>
      <c r="K134"/>
      <c r="L134" s="1298"/>
      <c r="M134" s="1645"/>
      <c r="N134" s="1847" t="str">
        <f t="shared" si="28"/>
        <v xml:space="preserve">IMPREVISTO </v>
      </c>
      <c r="O134" s="1848"/>
      <c r="P134" s="1296">
        <v>0.02</v>
      </c>
      <c r="Q134" s="1711">
        <f t="shared" ref="Q134:Q135" si="30">ROUND(P134*$Q$132,0)</f>
        <v>9797663</v>
      </c>
    </row>
    <row r="135" spans="1:18" ht="15" x14ac:dyDescent="0.25">
      <c r="A135"/>
      <c r="B135"/>
      <c r="C135" s="1769" t="s">
        <v>199</v>
      </c>
      <c r="D135" s="1770"/>
      <c r="E135" s="375">
        <v>0.05</v>
      </c>
      <c r="F135" s="376">
        <f>+$F$132*E135</f>
        <v>28711415.800000001</v>
      </c>
      <c r="G135" s="375">
        <v>0.05</v>
      </c>
      <c r="H135" s="376">
        <f t="shared" si="29"/>
        <v>19552786.570700001</v>
      </c>
      <c r="I135" s="375">
        <v>0</v>
      </c>
      <c r="J135" s="376">
        <f>+$J$132*I135</f>
        <v>0</v>
      </c>
      <c r="K135"/>
      <c r="L135" s="1298"/>
      <c r="M135" s="1645"/>
      <c r="N135" s="1847" t="str">
        <f t="shared" si="28"/>
        <v>UTILIDAD</v>
      </c>
      <c r="O135" s="1848"/>
      <c r="P135" s="1296">
        <v>4.4999999999999998E-2</v>
      </c>
      <c r="Q135" s="1711">
        <f t="shared" si="30"/>
        <v>22044741</v>
      </c>
    </row>
    <row r="136" spans="1:18" ht="15.75" thickBot="1" x14ac:dyDescent="0.3">
      <c r="A136"/>
      <c r="B136"/>
      <c r="C136" s="1771" t="s">
        <v>200</v>
      </c>
      <c r="D136" s="1772"/>
      <c r="E136" s="1725">
        <v>0.19</v>
      </c>
      <c r="F136" s="1726">
        <f>+$F$135*E136</f>
        <v>5455169.0020000003</v>
      </c>
      <c r="G136" s="1725">
        <v>0.19</v>
      </c>
      <c r="H136" s="1726">
        <f>+$H$135*G136</f>
        <v>3715029.4484330001</v>
      </c>
      <c r="I136" s="1725">
        <v>0</v>
      </c>
      <c r="J136" s="1726">
        <f>+$J$135*I136</f>
        <v>0</v>
      </c>
      <c r="K136"/>
      <c r="L136" s="1298"/>
      <c r="M136" s="1645"/>
      <c r="N136" s="1849" t="str">
        <f t="shared" si="28"/>
        <v xml:space="preserve">IVA SOBRE UTILIDAD </v>
      </c>
      <c r="O136" s="1850"/>
      <c r="P136" s="1727">
        <v>0.19</v>
      </c>
      <c r="Q136" s="1711">
        <f>ROUND(P136*$Q$135,0)</f>
        <v>4188501</v>
      </c>
    </row>
    <row r="137" spans="1:18" ht="15.75" thickBot="1" x14ac:dyDescent="0.3">
      <c r="A137"/>
      <c r="B137"/>
      <c r="C137" s="1728" t="s">
        <v>201</v>
      </c>
      <c r="D137" s="1729"/>
      <c r="E137" s="1730"/>
      <c r="F137" s="1731">
        <f>SUM(F132:F136)</f>
        <v>792147961.92199993</v>
      </c>
      <c r="G137" s="1730"/>
      <c r="H137" s="1731">
        <f>SUM(H132:H136)</f>
        <v>512087480.28663301</v>
      </c>
      <c r="I137" s="1732"/>
      <c r="J137" s="1779">
        <f>SUM(J132:J136)</f>
        <v>249160803.81</v>
      </c>
      <c r="K137"/>
      <c r="L137" s="1777"/>
      <c r="M137" s="1721"/>
      <c r="N137" s="1842" t="str">
        <f t="shared" si="28"/>
        <v xml:space="preserve">VALOR TOTAL INCLUIDO AIU E IVA </v>
      </c>
      <c r="O137" s="1843"/>
      <c r="P137" s="1844"/>
      <c r="Q137" s="1733">
        <f>SUM(Q132:Q136)</f>
        <v>616542413</v>
      </c>
    </row>
    <row r="138" spans="1:18" ht="15.75" thickBot="1" x14ac:dyDescent="0.3">
      <c r="K138"/>
      <c r="N138"/>
      <c r="O138"/>
      <c r="P138"/>
      <c r="Q138"/>
      <c r="R138" s="1548"/>
    </row>
    <row r="139" spans="1:18" ht="15.75" customHeight="1" thickBot="1" x14ac:dyDescent="0.3">
      <c r="A139" s="1801" t="s">
        <v>202</v>
      </c>
      <c r="B139" s="1802" t="s">
        <v>1631</v>
      </c>
      <c r="C139" s="1802"/>
      <c r="D139" s="1802"/>
      <c r="E139" s="1802"/>
      <c r="F139" s="1802"/>
      <c r="G139" s="1802"/>
      <c r="H139" s="1802">
        <v>0</v>
      </c>
      <c r="I139" s="1802"/>
      <c r="J139" s="1818"/>
      <c r="K139"/>
      <c r="L139" s="1819" t="str">
        <f t="shared" ref="L139:L150" si="31">+A139</f>
        <v>B</v>
      </c>
      <c r="M139" s="1853" t="str">
        <f>+B139</f>
        <v xml:space="preserve">Juzgado Promiscuo Municipal de el Dovio </v>
      </c>
      <c r="N139" s="1854"/>
      <c r="O139" s="1854"/>
      <c r="P139" s="1854"/>
      <c r="Q139" s="1855"/>
    </row>
    <row r="140" spans="1:18" ht="15" outlineLevel="1" x14ac:dyDescent="0.25">
      <c r="A140" s="1810" t="s">
        <v>204</v>
      </c>
      <c r="B140" s="1811" t="s">
        <v>21</v>
      </c>
      <c r="C140" s="1812" t="s">
        <v>19</v>
      </c>
      <c r="D140" s="1813">
        <v>6</v>
      </c>
      <c r="E140" s="1814">
        <v>60000</v>
      </c>
      <c r="F140" s="1814">
        <f>+E140*D140</f>
        <v>360000</v>
      </c>
      <c r="G140" s="1815">
        <v>19500</v>
      </c>
      <c r="H140" s="1816">
        <f>+G140*D140</f>
        <v>117000</v>
      </c>
      <c r="I140" s="1817">
        <f>IFERROR(VLOOKUP(A140,'valores unit indexados'!$A$14:$O$197,15,FALSE),0)</f>
        <v>14660</v>
      </c>
      <c r="J140" s="1816">
        <f t="shared" ref="J140:J150" si="32">+I140*D140</f>
        <v>87960</v>
      </c>
      <c r="K140"/>
      <c r="L140" s="354" t="str">
        <f t="shared" si="31"/>
        <v>B. 1,1</v>
      </c>
      <c r="M140" s="347" t="str">
        <f t="shared" ref="M140:M150" si="33">+B140</f>
        <v>Retiro de manto existente, incluye retiro de escombros</v>
      </c>
      <c r="N140" s="340" t="str">
        <f t="shared" ref="N140:N150" si="34">+C140</f>
        <v>M2</v>
      </c>
      <c r="O140" s="348">
        <f t="shared" ref="O140:O150" si="35">+D140</f>
        <v>6</v>
      </c>
      <c r="P140" s="423">
        <f>VLOOKUP(L140,'selección precios unitario'!$A$5:$I$418,9,FALSE)</f>
        <v>17080</v>
      </c>
      <c r="Q140" s="423">
        <f t="shared" ref="Q140:Q149" si="36">+P140*O140</f>
        <v>102480</v>
      </c>
    </row>
    <row r="141" spans="1:18" ht="15" outlineLevel="1" x14ac:dyDescent="0.25">
      <c r="A141" s="354" t="s">
        <v>205</v>
      </c>
      <c r="B141" s="347" t="s">
        <v>206</v>
      </c>
      <c r="C141" s="340" t="s">
        <v>19</v>
      </c>
      <c r="D141" s="348">
        <v>6</v>
      </c>
      <c r="E141" s="379">
        <v>90000</v>
      </c>
      <c r="F141" s="379">
        <f t="shared" ref="F141:F149" si="37">+E141*D141</f>
        <v>540000</v>
      </c>
      <c r="G141" s="412">
        <v>3731</v>
      </c>
      <c r="H141" s="349">
        <f t="shared" ref="H141:H149" si="38">+G141*D141</f>
        <v>22386</v>
      </c>
      <c r="I141" s="1285">
        <f>IFERROR(VLOOKUP(A141,'valores unit indexados'!$A$14:$O$197,15,FALSE),0)</f>
        <v>29150</v>
      </c>
      <c r="J141" s="349">
        <f t="shared" si="32"/>
        <v>174900</v>
      </c>
      <c r="K141"/>
      <c r="L141" s="354" t="str">
        <f t="shared" si="31"/>
        <v>B. 1,2</v>
      </c>
      <c r="M141" s="347" t="str">
        <f t="shared" si="33"/>
        <v>Lavada y destronque a máquina (para retirar material existente)</v>
      </c>
      <c r="N141" s="340" t="str">
        <f t="shared" si="34"/>
        <v>M2</v>
      </c>
      <c r="O141" s="348">
        <f t="shared" si="35"/>
        <v>6</v>
      </c>
      <c r="P141" s="423">
        <f>VLOOKUP(L141,'selección precios unitario'!$A$5:$I$418,9,FALSE)</f>
        <v>32075</v>
      </c>
      <c r="Q141" s="423">
        <f t="shared" si="36"/>
        <v>192450</v>
      </c>
    </row>
    <row r="142" spans="1:18" ht="25.5" outlineLevel="1" x14ac:dyDescent="0.25">
      <c r="A142" s="346" t="s">
        <v>207</v>
      </c>
      <c r="B142" s="347" t="s">
        <v>208</v>
      </c>
      <c r="C142" s="340" t="s">
        <v>19</v>
      </c>
      <c r="D142" s="348">
        <v>6</v>
      </c>
      <c r="E142" s="379">
        <v>75000</v>
      </c>
      <c r="F142" s="379">
        <f t="shared" si="37"/>
        <v>450000</v>
      </c>
      <c r="G142" s="412">
        <v>32500</v>
      </c>
      <c r="H142" s="349">
        <f t="shared" si="38"/>
        <v>195000</v>
      </c>
      <c r="I142" s="1285">
        <f>IFERROR(VLOOKUP(A142,'valores unit indexados'!$A$14:$O$197,15,FALSE),0)</f>
        <v>0</v>
      </c>
      <c r="J142" s="349">
        <f t="shared" si="32"/>
        <v>0</v>
      </c>
      <c r="K142"/>
      <c r="L142" s="346" t="str">
        <f t="shared" si="31"/>
        <v>B. 1,3</v>
      </c>
      <c r="M142" s="347" t="str">
        <f t="shared" si="33"/>
        <v>Suministro y aplicación de mortero 1:3 con aditivo impermeabilizante espesor 4cm (superficie con pendiente)</v>
      </c>
      <c r="N142" s="340" t="str">
        <f t="shared" si="34"/>
        <v>M2</v>
      </c>
      <c r="O142" s="348">
        <f t="shared" si="35"/>
        <v>6</v>
      </c>
      <c r="P142" s="423">
        <f>VLOOKUP(L142,'selección precios unitario'!$A$5:$I$418,9,FALSE)</f>
        <v>35250</v>
      </c>
      <c r="Q142" s="423">
        <f t="shared" si="36"/>
        <v>211500</v>
      </c>
    </row>
    <row r="143" spans="1:18" ht="25.5" outlineLevel="1" x14ac:dyDescent="0.25">
      <c r="A143" s="354" t="s">
        <v>209</v>
      </c>
      <c r="B143" s="365" t="s">
        <v>76</v>
      </c>
      <c r="C143" s="366" t="s">
        <v>19</v>
      </c>
      <c r="D143" s="348">
        <v>6</v>
      </c>
      <c r="E143" s="379">
        <v>280000</v>
      </c>
      <c r="F143" s="379">
        <f t="shared" si="37"/>
        <v>1680000</v>
      </c>
      <c r="G143" s="412">
        <v>128700</v>
      </c>
      <c r="H143" s="349">
        <f t="shared" si="38"/>
        <v>772200</v>
      </c>
      <c r="I143" s="1285">
        <f>IFERROR(VLOOKUP(A143,'valores unit indexados'!$A$14:$O$197,15,FALSE),0)</f>
        <v>227816</v>
      </c>
      <c r="J143" s="349">
        <f t="shared" si="32"/>
        <v>1366896</v>
      </c>
      <c r="K143"/>
      <c r="L143" s="354" t="str">
        <f t="shared" si="31"/>
        <v>B. 1,4</v>
      </c>
      <c r="M143" s="365" t="str">
        <f t="shared" si="33"/>
        <v>Suministro e instalación de membrana pvc (incluye perlines de fijación)</v>
      </c>
      <c r="N143" s="366" t="str">
        <f t="shared" si="34"/>
        <v>M2</v>
      </c>
      <c r="O143" s="348">
        <f t="shared" si="35"/>
        <v>6</v>
      </c>
      <c r="P143" s="423">
        <f>VLOOKUP(L143,'selección precios unitario'!$A$5:$I$418,9,FALSE)</f>
        <v>212172</v>
      </c>
      <c r="Q143" s="423">
        <f t="shared" si="36"/>
        <v>1273032</v>
      </c>
    </row>
    <row r="144" spans="1:18" ht="15" outlineLevel="1" x14ac:dyDescent="0.25">
      <c r="A144" s="346" t="s">
        <v>210</v>
      </c>
      <c r="B144" s="347" t="s">
        <v>211</v>
      </c>
      <c r="C144" s="367" t="s">
        <v>19</v>
      </c>
      <c r="D144" s="348">
        <v>20</v>
      </c>
      <c r="E144" s="379">
        <v>15000</v>
      </c>
      <c r="F144" s="379">
        <f t="shared" si="37"/>
        <v>300000</v>
      </c>
      <c r="G144" s="412">
        <v>4000</v>
      </c>
      <c r="H144" s="349">
        <f t="shared" si="38"/>
        <v>80000</v>
      </c>
      <c r="I144" s="1285">
        <f>IFERROR(VLOOKUP(A144,'valores unit indexados'!$A$14:$O$197,15,FALSE),0)</f>
        <v>8445</v>
      </c>
      <c r="J144" s="349">
        <f t="shared" si="32"/>
        <v>168900</v>
      </c>
      <c r="K144"/>
      <c r="L144" s="346" t="str">
        <f t="shared" si="31"/>
        <v>B. 1,5</v>
      </c>
      <c r="M144" s="347" t="str">
        <f t="shared" si="33"/>
        <v>Rasqueteada de Pintura</v>
      </c>
      <c r="N144" s="367" t="str">
        <f t="shared" si="34"/>
        <v>M2</v>
      </c>
      <c r="O144" s="348">
        <f t="shared" si="35"/>
        <v>20</v>
      </c>
      <c r="P144" s="423">
        <f>VLOOKUP(L144,'selección precios unitario'!$A$5:$I$418,9,FALSE)</f>
        <v>6630</v>
      </c>
      <c r="Q144" s="423">
        <f t="shared" si="36"/>
        <v>132600</v>
      </c>
    </row>
    <row r="145" spans="1:60" ht="38.25" outlineLevel="1" x14ac:dyDescent="0.25">
      <c r="A145" s="354" t="s">
        <v>212</v>
      </c>
      <c r="B145" s="368" t="s">
        <v>86</v>
      </c>
      <c r="C145" s="340" t="s">
        <v>19</v>
      </c>
      <c r="D145" s="348">
        <v>3</v>
      </c>
      <c r="E145" s="379">
        <v>140000</v>
      </c>
      <c r="F145" s="379">
        <f t="shared" si="37"/>
        <v>420000</v>
      </c>
      <c r="G145" s="412">
        <v>45500</v>
      </c>
      <c r="H145" s="349">
        <f t="shared" si="38"/>
        <v>136500</v>
      </c>
      <c r="I145" s="1285">
        <f>IFERROR(VLOOKUP(A145,'valores unit indexados'!$A$14:$O$197,15,FALSE),0)</f>
        <v>41660</v>
      </c>
      <c r="J145" s="349">
        <f t="shared" si="32"/>
        <v>124980</v>
      </c>
      <c r="K145"/>
      <c r="L145" s="354" t="str">
        <f t="shared" si="31"/>
        <v>B. 1,6</v>
      </c>
      <c r="M145" s="368" t="str">
        <f t="shared" si="33"/>
        <v xml:space="preserve">Suministro e instalación de recubrimiento cementoso (Recubrimiento a base de cemento, arena y aditivos especiales), impermeable para muros color blanco </v>
      </c>
      <c r="N145" s="340" t="str">
        <f t="shared" si="34"/>
        <v>M2</v>
      </c>
      <c r="O145" s="348">
        <f t="shared" si="35"/>
        <v>3</v>
      </c>
      <c r="P145" s="423">
        <f>VLOOKUP(L145,'selección precios unitario'!$A$5:$I$418,9,FALSE)</f>
        <v>45053</v>
      </c>
      <c r="Q145" s="423">
        <f t="shared" si="36"/>
        <v>135159</v>
      </c>
    </row>
    <row r="146" spans="1:60" ht="15" outlineLevel="1" x14ac:dyDescent="0.25">
      <c r="A146" s="346" t="s">
        <v>213</v>
      </c>
      <c r="B146" s="347" t="s">
        <v>88</v>
      </c>
      <c r="C146" s="367" t="s">
        <v>19</v>
      </c>
      <c r="D146" s="348">
        <v>20</v>
      </c>
      <c r="E146" s="379">
        <v>35000</v>
      </c>
      <c r="F146" s="379">
        <f t="shared" si="37"/>
        <v>700000</v>
      </c>
      <c r="G146" s="412">
        <v>11700</v>
      </c>
      <c r="H146" s="349">
        <f t="shared" si="38"/>
        <v>234000</v>
      </c>
      <c r="I146" s="1285">
        <f>IFERROR(VLOOKUP(A146,'valores unit indexados'!$A$14:$O$197,15,FALSE),0)</f>
        <v>24610</v>
      </c>
      <c r="J146" s="349">
        <f t="shared" si="32"/>
        <v>492200</v>
      </c>
      <c r="K146"/>
      <c r="L146" s="346" t="str">
        <f t="shared" si="31"/>
        <v>B. 1,7</v>
      </c>
      <c r="M146" s="347" t="str">
        <f t="shared" si="33"/>
        <v xml:space="preserve">Suministro y aplicación de estuco plástico </v>
      </c>
      <c r="N146" s="367" t="str">
        <f t="shared" si="34"/>
        <v>M2</v>
      </c>
      <c r="O146" s="348">
        <f t="shared" si="35"/>
        <v>20</v>
      </c>
      <c r="P146" s="423">
        <f>VLOOKUP(L146,'selección precios unitario'!$A$5:$I$418,9,FALSE)</f>
        <v>26305</v>
      </c>
      <c r="Q146" s="423">
        <f t="shared" si="36"/>
        <v>526100</v>
      </c>
    </row>
    <row r="147" spans="1:60" ht="15" outlineLevel="1" x14ac:dyDescent="0.25">
      <c r="A147" s="354" t="s">
        <v>214</v>
      </c>
      <c r="B147" s="347" t="s">
        <v>98</v>
      </c>
      <c r="C147" s="367" t="s">
        <v>19</v>
      </c>
      <c r="D147" s="348">
        <v>20</v>
      </c>
      <c r="E147" s="379">
        <v>25000</v>
      </c>
      <c r="F147" s="379">
        <f t="shared" si="37"/>
        <v>500000</v>
      </c>
      <c r="G147" s="412">
        <v>8710</v>
      </c>
      <c r="H147" s="349">
        <f t="shared" si="38"/>
        <v>174200</v>
      </c>
      <c r="I147" s="1285">
        <f>IFERROR(VLOOKUP(A147,'valores unit indexados'!$A$14:$O$197,15,FALSE),0)</f>
        <v>0</v>
      </c>
      <c r="J147" s="349">
        <f t="shared" si="32"/>
        <v>0</v>
      </c>
      <c r="K147"/>
      <c r="L147" s="354" t="str">
        <f t="shared" si="31"/>
        <v>B. 1,8</v>
      </c>
      <c r="M147" s="347" t="str">
        <f t="shared" si="33"/>
        <v>Suministro y aplicación de vinilo tipo 2 (3 manos)</v>
      </c>
      <c r="N147" s="367" t="str">
        <f t="shared" si="34"/>
        <v>M2</v>
      </c>
      <c r="O147" s="348">
        <f t="shared" si="35"/>
        <v>20</v>
      </c>
      <c r="P147" s="423">
        <f>VLOOKUP(L147,'selección precios unitario'!$A$5:$I$418,9,FALSE)</f>
        <v>19000</v>
      </c>
      <c r="Q147" s="423">
        <f t="shared" si="36"/>
        <v>380000</v>
      </c>
    </row>
    <row r="148" spans="1:60" ht="15" outlineLevel="1" x14ac:dyDescent="0.25">
      <c r="A148" s="340" t="s">
        <v>215</v>
      </c>
      <c r="B148" s="347" t="s">
        <v>92</v>
      </c>
      <c r="C148" s="367" t="s">
        <v>19</v>
      </c>
      <c r="D148" s="348">
        <v>4</v>
      </c>
      <c r="E148" s="379">
        <v>25000</v>
      </c>
      <c r="F148" s="379">
        <f t="shared" si="37"/>
        <v>100000</v>
      </c>
      <c r="G148" s="412">
        <v>8710</v>
      </c>
      <c r="H148" s="349">
        <f t="shared" si="38"/>
        <v>34840</v>
      </c>
      <c r="I148" s="1285">
        <f>IFERROR(VLOOKUP(A148,'valores unit indexados'!$A$14:$O$197,15,FALSE),0)</f>
        <v>17005</v>
      </c>
      <c r="J148" s="349">
        <f t="shared" si="32"/>
        <v>68020</v>
      </c>
      <c r="K148"/>
      <c r="L148" s="340" t="str">
        <f t="shared" si="31"/>
        <v>B. 1,9</v>
      </c>
      <c r="M148" s="347" t="str">
        <f t="shared" si="33"/>
        <v>Suministro y aplicación de pintura en esmalte</v>
      </c>
      <c r="N148" s="367" t="str">
        <f t="shared" si="34"/>
        <v>M2</v>
      </c>
      <c r="O148" s="348">
        <f t="shared" si="35"/>
        <v>4</v>
      </c>
      <c r="P148" s="423">
        <f>VLOOKUP(L148,'selección precios unitario'!$A$5:$I$418,9,FALSE)</f>
        <v>17503</v>
      </c>
      <c r="Q148" s="423">
        <f t="shared" si="36"/>
        <v>70012</v>
      </c>
    </row>
    <row r="149" spans="1:60" ht="15" outlineLevel="1" x14ac:dyDescent="0.25">
      <c r="A149" s="340" t="s">
        <v>216</v>
      </c>
      <c r="B149" s="347" t="s">
        <v>195</v>
      </c>
      <c r="C149" s="340" t="s">
        <v>19</v>
      </c>
      <c r="D149" s="348">
        <v>21</v>
      </c>
      <c r="E149" s="379">
        <v>10000</v>
      </c>
      <c r="F149" s="379">
        <f t="shared" si="37"/>
        <v>210000</v>
      </c>
      <c r="G149" s="412">
        <v>4200</v>
      </c>
      <c r="H149" s="349">
        <f t="shared" si="38"/>
        <v>88200</v>
      </c>
      <c r="I149" s="1285">
        <f>IFERROR(VLOOKUP(A149,'valores unit indexados'!$A$14:$O$197,15,FALSE),0)</f>
        <v>5300</v>
      </c>
      <c r="J149" s="349">
        <f t="shared" si="32"/>
        <v>111300</v>
      </c>
      <c r="K149"/>
      <c r="L149" s="340" t="str">
        <f t="shared" si="31"/>
        <v>B. 1,10</v>
      </c>
      <c r="M149" s="347" t="str">
        <f t="shared" si="33"/>
        <v>Aseo general.</v>
      </c>
      <c r="N149" s="340" t="str">
        <f t="shared" si="34"/>
        <v>M2</v>
      </c>
      <c r="O149" s="348">
        <f t="shared" si="35"/>
        <v>21</v>
      </c>
      <c r="P149" s="423">
        <f>VLOOKUP(L149,'selección precios unitario'!$A$5:$I$418,9,FALSE)</f>
        <v>5500</v>
      </c>
      <c r="Q149" s="423">
        <f t="shared" si="36"/>
        <v>115500</v>
      </c>
    </row>
    <row r="150" spans="1:60" ht="26.25" outlineLevel="1" thickBot="1" x14ac:dyDescent="0.3">
      <c r="A150" s="1283" t="s">
        <v>1630</v>
      </c>
      <c r="B150" s="1820" t="s">
        <v>13</v>
      </c>
      <c r="C150" s="1283" t="s">
        <v>14</v>
      </c>
      <c r="D150" s="1764">
        <v>24</v>
      </c>
      <c r="E150" s="412">
        <v>40000</v>
      </c>
      <c r="F150" s="412">
        <f>+E150*D150</f>
        <v>960000</v>
      </c>
      <c r="G150" s="1292">
        <v>27131</v>
      </c>
      <c r="H150" s="412">
        <f>+G150*D150</f>
        <v>651144</v>
      </c>
      <c r="I150" s="1285">
        <f>IFERROR(VLOOKUP(A150,'valores unit indexados'!$A$14:$O$197,15,FALSE),0)</f>
        <v>0</v>
      </c>
      <c r="J150" s="1292">
        <f t="shared" si="32"/>
        <v>0</v>
      </c>
      <c r="K150" s="1548"/>
      <c r="L150" s="1766" t="str">
        <f t="shared" si="31"/>
        <v>B. 1,11</v>
      </c>
      <c r="M150" s="1820" t="str">
        <f t="shared" si="33"/>
        <v>Cerramiento en tela verde o polisombra (incluye postes de madera para soporte) altura: 2.10 mts.</v>
      </c>
      <c r="N150" s="1283" t="str">
        <f t="shared" si="34"/>
        <v>ML</v>
      </c>
      <c r="O150" s="1764">
        <f t="shared" si="35"/>
        <v>24</v>
      </c>
      <c r="P150" s="1552">
        <f>+P35</f>
        <v>27131</v>
      </c>
      <c r="Q150" s="1552">
        <f>+P150*O150</f>
        <v>651144</v>
      </c>
    </row>
    <row r="151" spans="1:60" ht="15.75" thickBot="1" x14ac:dyDescent="0.3">
      <c r="A151"/>
      <c r="B151"/>
      <c r="C151" s="1712" t="s">
        <v>196</v>
      </c>
      <c r="D151" s="1775"/>
      <c r="E151" s="1714"/>
      <c r="F151" s="1715">
        <f>SUM(F140:F149)</f>
        <v>5260000</v>
      </c>
      <c r="G151" s="1716"/>
      <c r="H151" s="1715">
        <f>SUM(H140:H149)</f>
        <v>1854326</v>
      </c>
      <c r="I151" s="1717"/>
      <c r="J151" s="1722">
        <f>SUM(J140:J150)</f>
        <v>2595156</v>
      </c>
      <c r="K151"/>
      <c r="L151" s="1777"/>
      <c r="M151" s="1721"/>
      <c r="N151" s="1839" t="str">
        <f t="shared" ref="N151:N156" si="39">+C151</f>
        <v>COSTO DIRECTO</v>
      </c>
      <c r="O151" s="1840"/>
      <c r="P151" s="1841"/>
      <c r="Q151" s="1722">
        <f>SUM(Q140:Q150)</f>
        <v>3789977</v>
      </c>
    </row>
    <row r="152" spans="1:60" ht="15" x14ac:dyDescent="0.25">
      <c r="A152"/>
      <c r="B152"/>
      <c r="C152" s="1773" t="s">
        <v>197</v>
      </c>
      <c r="D152" s="1774"/>
      <c r="E152" s="1708">
        <v>0.3</v>
      </c>
      <c r="F152" s="1709">
        <f>+F$151*E152</f>
        <v>1578000</v>
      </c>
      <c r="G152" s="1708">
        <v>0.24</v>
      </c>
      <c r="H152" s="1709">
        <f>+H$151*G152</f>
        <v>445038.24</v>
      </c>
      <c r="I152" s="1708">
        <f>+V709</f>
        <v>0</v>
      </c>
      <c r="J152" s="1709">
        <f>+J$151*I152</f>
        <v>0</v>
      </c>
      <c r="K152"/>
      <c r="L152" s="1298"/>
      <c r="M152" s="1645"/>
      <c r="N152" s="1845" t="str">
        <f t="shared" si="39"/>
        <v xml:space="preserve">ADMINISTRACION </v>
      </c>
      <c r="O152" s="1846"/>
      <c r="P152" s="1710">
        <f>P133</f>
        <v>0.185</v>
      </c>
      <c r="Q152" s="1711">
        <f>ROUND(P152*$Q$151,0)</f>
        <v>701146</v>
      </c>
    </row>
    <row r="153" spans="1:60" ht="15" x14ac:dyDescent="0.25">
      <c r="A153"/>
      <c r="B153"/>
      <c r="C153" s="1769" t="s">
        <v>198</v>
      </c>
      <c r="D153" s="1770"/>
      <c r="E153" s="375">
        <v>0.02</v>
      </c>
      <c r="F153" s="376">
        <f t="shared" ref="F153:H154" si="40">+F$151*E153</f>
        <v>105200</v>
      </c>
      <c r="G153" s="375">
        <v>0.01</v>
      </c>
      <c r="H153" s="376">
        <f t="shared" si="40"/>
        <v>18543.260000000002</v>
      </c>
      <c r="I153" s="375">
        <f>+V710</f>
        <v>0</v>
      </c>
      <c r="J153" s="376">
        <f t="shared" ref="J153:J154" si="41">+J$151*I153</f>
        <v>0</v>
      </c>
      <c r="K153"/>
      <c r="L153" s="1298"/>
      <c r="M153" s="1645"/>
      <c r="N153" s="1847" t="str">
        <f t="shared" si="39"/>
        <v xml:space="preserve">IMPREVISTO </v>
      </c>
      <c r="O153" s="1848"/>
      <c r="P153" s="1296">
        <f>P134</f>
        <v>0.02</v>
      </c>
      <c r="Q153" s="1711">
        <f t="shared" ref="Q153:Q154" si="42">ROUND(P153*$Q$151,0)</f>
        <v>75800</v>
      </c>
    </row>
    <row r="154" spans="1:60" ht="15" x14ac:dyDescent="0.25">
      <c r="A154"/>
      <c r="B154"/>
      <c r="C154" s="1769" t="s">
        <v>199</v>
      </c>
      <c r="D154" s="1770"/>
      <c r="E154" s="375">
        <v>0.05</v>
      </c>
      <c r="F154" s="376">
        <f t="shared" si="40"/>
        <v>263000</v>
      </c>
      <c r="G154" s="375">
        <v>0.05</v>
      </c>
      <c r="H154" s="376">
        <f t="shared" si="40"/>
        <v>92716.3</v>
      </c>
      <c r="I154" s="375">
        <f>+V711</f>
        <v>0</v>
      </c>
      <c r="J154" s="376">
        <f t="shared" si="41"/>
        <v>0</v>
      </c>
      <c r="K154"/>
      <c r="L154" s="1298"/>
      <c r="M154" s="1645"/>
      <c r="N154" s="1847" t="str">
        <f t="shared" si="39"/>
        <v>UTILIDAD</v>
      </c>
      <c r="O154" s="1848"/>
      <c r="P154" s="1296">
        <f>P135</f>
        <v>4.4999999999999998E-2</v>
      </c>
      <c r="Q154" s="1711">
        <f t="shared" si="42"/>
        <v>170549</v>
      </c>
    </row>
    <row r="155" spans="1:60" ht="15.75" thickBot="1" x14ac:dyDescent="0.3">
      <c r="A155"/>
      <c r="B155"/>
      <c r="C155" s="1771" t="s">
        <v>200</v>
      </c>
      <c r="D155" s="1772"/>
      <c r="E155" s="1725">
        <v>0.19</v>
      </c>
      <c r="F155" s="1726">
        <f>+F$154*E155</f>
        <v>49970</v>
      </c>
      <c r="G155" s="1725">
        <v>0.19</v>
      </c>
      <c r="H155" s="1726">
        <f>+H$154*G155</f>
        <v>17616.097000000002</v>
      </c>
      <c r="I155" s="1725">
        <f>+V712</f>
        <v>0</v>
      </c>
      <c r="J155" s="1726">
        <f>+J$154*I155</f>
        <v>0</v>
      </c>
      <c r="K155"/>
      <c r="L155" s="1298"/>
      <c r="M155" s="1645"/>
      <c r="N155" s="1849" t="str">
        <f t="shared" si="39"/>
        <v xml:space="preserve">IVA SOBRE UTILIDAD </v>
      </c>
      <c r="O155" s="1850"/>
      <c r="P155" s="1727">
        <f>P136</f>
        <v>0.19</v>
      </c>
      <c r="Q155" s="1711">
        <f>ROUND(P155*$Q$154,0)</f>
        <v>32404</v>
      </c>
    </row>
    <row r="156" spans="1:60" ht="15.75" thickBot="1" x14ac:dyDescent="0.3">
      <c r="A156"/>
      <c r="B156"/>
      <c r="C156" s="1728" t="s">
        <v>201</v>
      </c>
      <c r="D156" s="1729"/>
      <c r="E156" s="1730"/>
      <c r="F156" s="1731">
        <f>SUM(F151:F155)</f>
        <v>7256170</v>
      </c>
      <c r="G156" s="1730"/>
      <c r="H156" s="1731">
        <f>SUM(H151:H155)</f>
        <v>2428239.8969999999</v>
      </c>
      <c r="I156" s="1732"/>
      <c r="J156" s="1779">
        <f>SUM(J151:J155)</f>
        <v>2595156</v>
      </c>
      <c r="K156"/>
      <c r="L156" s="1777"/>
      <c r="M156" s="1721"/>
      <c r="N156" s="1842" t="str">
        <f t="shared" si="39"/>
        <v xml:space="preserve">VALOR TOTAL INCLUIDO AIU E IVA </v>
      </c>
      <c r="O156" s="1843"/>
      <c r="P156" s="1844"/>
      <c r="Q156" s="1733">
        <f>SUM(Q151:Q155)</f>
        <v>4769876</v>
      </c>
    </row>
    <row r="157" spans="1:60" ht="15.75" thickBot="1" x14ac:dyDescent="0.3">
      <c r="K157"/>
      <c r="N157"/>
      <c r="O157"/>
      <c r="P157"/>
      <c r="Q157"/>
      <c r="R157" s="1548"/>
    </row>
    <row r="158" spans="1:60" ht="15.75" customHeight="1" thickBot="1" x14ac:dyDescent="0.3">
      <c r="A158" s="1801" t="s">
        <v>217</v>
      </c>
      <c r="B158" s="1802" t="s">
        <v>1531</v>
      </c>
      <c r="C158" s="1802"/>
      <c r="D158" s="1802"/>
      <c r="E158" s="1802"/>
      <c r="F158" s="1802"/>
      <c r="G158" s="1802"/>
      <c r="H158" s="1802"/>
      <c r="I158" s="1802"/>
      <c r="J158" s="1818"/>
      <c r="K158"/>
      <c r="L158" s="1819" t="str">
        <f t="shared" ref="L158:L189" si="43">+A158</f>
        <v>C</v>
      </c>
      <c r="M158" s="1853" t="str">
        <f>+B158</f>
        <v>Palacio de Justicia "SIMON DAVID CARREJO BEJARANO" Palmira</v>
      </c>
      <c r="N158" s="1854"/>
      <c r="O158" s="1854"/>
      <c r="P158" s="1854"/>
      <c r="Q158" s="1855"/>
    </row>
    <row r="159" spans="1:60" s="1533" customFormat="1" ht="24.75" customHeight="1" outlineLevel="1" x14ac:dyDescent="0.25">
      <c r="A159" s="1527" t="s">
        <v>219</v>
      </c>
      <c r="B159" s="1528" t="s">
        <v>220</v>
      </c>
      <c r="C159" s="1527"/>
      <c r="D159" s="1529"/>
      <c r="E159" s="1530"/>
      <c r="F159" s="1531"/>
      <c r="G159" s="1530"/>
      <c r="H159" s="1531"/>
      <c r="I159" s="1532"/>
      <c r="J159" s="1527"/>
      <c r="K159"/>
      <c r="L159" s="1527" t="str">
        <f t="shared" si="43"/>
        <v>C. 1</v>
      </c>
      <c r="M159" s="1836" t="str">
        <f t="shared" ref="M159:M189" si="44">+B159</f>
        <v xml:space="preserve">Reparaciones y Tratamiento de humedades externas </v>
      </c>
      <c r="N159" s="1837"/>
      <c r="O159" s="1837"/>
      <c r="P159" s="1837"/>
      <c r="Q159" s="1838"/>
      <c r="R159" s="1544"/>
      <c r="S159" s="1544"/>
      <c r="T159" s="1544"/>
      <c r="U159" s="1544"/>
      <c r="V159" s="1544"/>
      <c r="W159" s="1544"/>
      <c r="X159" s="1544"/>
      <c r="Y159" s="1544"/>
      <c r="Z159" s="1544"/>
      <c r="AA159" s="1544"/>
      <c r="AB159" s="1544"/>
      <c r="AC159" s="1544"/>
      <c r="AD159" s="1544"/>
      <c r="AE159" s="1544"/>
      <c r="AF159" s="1544"/>
      <c r="AG159" s="1544"/>
      <c r="AH159" s="1544"/>
      <c r="AI159" s="1544"/>
      <c r="AJ159" s="1544"/>
      <c r="AK159" s="1544"/>
      <c r="AL159" s="1544"/>
      <c r="AM159" s="1544"/>
      <c r="AN159" s="1544"/>
      <c r="AO159" s="1544"/>
      <c r="AP159" s="1544"/>
      <c r="AQ159" s="1544"/>
      <c r="AR159" s="1544"/>
      <c r="AS159" s="1544"/>
      <c r="AT159" s="1544"/>
      <c r="AU159" s="1544"/>
      <c r="AV159" s="1544"/>
      <c r="AW159" s="1544"/>
      <c r="AX159" s="1544"/>
      <c r="AY159" s="1544"/>
      <c r="AZ159" s="1544"/>
      <c r="BA159" s="1544"/>
      <c r="BB159" s="1544"/>
      <c r="BC159" s="1544"/>
      <c r="BD159" s="1544"/>
      <c r="BE159" s="1544"/>
      <c r="BF159" s="1544"/>
      <c r="BG159" s="1544"/>
      <c r="BH159" s="1544"/>
    </row>
    <row r="160" spans="1:60" ht="38.25" outlineLevel="1" x14ac:dyDescent="0.25">
      <c r="A160" s="346" t="s">
        <v>221</v>
      </c>
      <c r="B160" s="347" t="s">
        <v>222</v>
      </c>
      <c r="C160" s="340" t="s">
        <v>14</v>
      </c>
      <c r="D160" s="348">
        <v>47</v>
      </c>
      <c r="E160" s="353">
        <v>135500</v>
      </c>
      <c r="F160" s="353">
        <f>+E160*D160</f>
        <v>6368500</v>
      </c>
      <c r="G160" s="387">
        <v>0</v>
      </c>
      <c r="H160" s="353">
        <f>+G160*D160</f>
        <v>0</v>
      </c>
      <c r="I160" s="1285">
        <f>IFERROR(VLOOKUP(A160,'valores unit indexados'!$A$14:$O$197,15,FALSE),0)</f>
        <v>226947</v>
      </c>
      <c r="J160" s="349">
        <f t="shared" ref="J160:J223" si="45">+I160*D160</f>
        <v>10666509</v>
      </c>
      <c r="K160"/>
      <c r="L160" s="346" t="str">
        <f t="shared" si="43"/>
        <v>C. 1,1</v>
      </c>
      <c r="M160" s="347" t="str">
        <f t="shared" si="44"/>
        <v>Pasarela cercada que permita la circulación de vehículos, y contenga, (soporte) la caída de materiales de la obra al espacio público (ancho mínimo de 2 metros)</v>
      </c>
      <c r="N160" s="340" t="str">
        <f t="shared" ref="N160:O165" si="46">+C160</f>
        <v>ML</v>
      </c>
      <c r="O160" s="348">
        <f t="shared" si="46"/>
        <v>47</v>
      </c>
      <c r="P160" s="423">
        <f>VLOOKUP(L160,'selección precios unitario'!$A$5:$I$418,9,FALSE)</f>
        <v>226947</v>
      </c>
      <c r="Q160" s="423">
        <f t="shared" ref="Q160:Q192" si="47">+P160*O160</f>
        <v>10666509</v>
      </c>
    </row>
    <row r="161" spans="1:60" ht="25.5" outlineLevel="1" x14ac:dyDescent="0.25">
      <c r="A161" s="381" t="s">
        <v>223</v>
      </c>
      <c r="B161" s="347" t="s">
        <v>224</v>
      </c>
      <c r="C161" s="340" t="s">
        <v>19</v>
      </c>
      <c r="D161" s="348">
        <v>47</v>
      </c>
      <c r="E161" s="353">
        <v>12500</v>
      </c>
      <c r="F161" s="353">
        <f t="shared" ref="F161:F224" si="48">+E161*D161</f>
        <v>587500</v>
      </c>
      <c r="G161" s="412">
        <v>5000</v>
      </c>
      <c r="H161" s="353">
        <f t="shared" ref="H161:H224" si="49">+G161*D161</f>
        <v>235000</v>
      </c>
      <c r="I161" s="1285">
        <f>IFERROR(VLOOKUP(A161,'valores unit indexados'!$A$14:$O$197,15,FALSE),0)</f>
        <v>16681</v>
      </c>
      <c r="J161" s="349">
        <f t="shared" si="45"/>
        <v>784007</v>
      </c>
      <c r="K161"/>
      <c r="L161" s="381" t="str">
        <f t="shared" si="43"/>
        <v>C. 1,2</v>
      </c>
      <c r="M161" s="347" t="str">
        <f t="shared" si="44"/>
        <v xml:space="preserve">Malla sombra, elemento de protección perimetral para mitigar el riesgo de caída de herramientas o materiales.  </v>
      </c>
      <c r="N161" s="340" t="str">
        <f t="shared" si="46"/>
        <v>M2</v>
      </c>
      <c r="O161" s="348">
        <f t="shared" si="46"/>
        <v>47</v>
      </c>
      <c r="P161" s="423">
        <f>VLOOKUP(L161,'selección precios unitario'!$A$5:$I$418,9,FALSE)</f>
        <v>16681</v>
      </c>
      <c r="Q161" s="423">
        <f t="shared" si="47"/>
        <v>784007</v>
      </c>
    </row>
    <row r="162" spans="1:60" ht="15" outlineLevel="1" x14ac:dyDescent="0.25">
      <c r="A162" s="346" t="s">
        <v>225</v>
      </c>
      <c r="B162" s="347" t="s">
        <v>226</v>
      </c>
      <c r="C162" s="340" t="s">
        <v>19</v>
      </c>
      <c r="D162" s="348">
        <v>1037</v>
      </c>
      <c r="E162" s="353">
        <v>17000</v>
      </c>
      <c r="F162" s="353">
        <f t="shared" si="48"/>
        <v>17629000</v>
      </c>
      <c r="G162" s="349">
        <v>2392</v>
      </c>
      <c r="H162" s="353">
        <f t="shared" si="49"/>
        <v>2480504</v>
      </c>
      <c r="I162" s="1285">
        <f>IFERROR(VLOOKUP(A162,'valores unit indexados'!$A$14:$O$197,15,FALSE),0)</f>
        <v>0</v>
      </c>
      <c r="J162" s="349">
        <f t="shared" si="45"/>
        <v>0</v>
      </c>
      <c r="K162"/>
      <c r="L162" s="346" t="str">
        <f t="shared" si="43"/>
        <v>C. 1,3</v>
      </c>
      <c r="M162" s="347" t="str">
        <f t="shared" si="44"/>
        <v>Lijada con maquina pulidora (piedra esmeril)</v>
      </c>
      <c r="N162" s="340" t="str">
        <f t="shared" si="46"/>
        <v>M2</v>
      </c>
      <c r="O162" s="348">
        <f t="shared" si="46"/>
        <v>1037</v>
      </c>
      <c r="P162" s="423">
        <f>VLOOKUP(L162,'selección precios unitario'!$A$5:$I$418,9,FALSE)</f>
        <v>9696</v>
      </c>
      <c r="Q162" s="423">
        <f t="shared" si="47"/>
        <v>10054752</v>
      </c>
    </row>
    <row r="163" spans="1:60" ht="25.5" outlineLevel="1" x14ac:dyDescent="0.25">
      <c r="A163" s="354" t="s">
        <v>227</v>
      </c>
      <c r="B163" s="347" t="s">
        <v>228</v>
      </c>
      <c r="C163" s="340" t="s">
        <v>19</v>
      </c>
      <c r="D163" s="348">
        <v>1234</v>
      </c>
      <c r="E163" s="353">
        <v>14000</v>
      </c>
      <c r="F163" s="353">
        <f t="shared" si="48"/>
        <v>17276000</v>
      </c>
      <c r="G163" s="349">
        <v>3913</v>
      </c>
      <c r="H163" s="353">
        <f t="shared" si="49"/>
        <v>4828642</v>
      </c>
      <c r="I163" s="1285">
        <f>IFERROR(VLOOKUP(A163,'valores unit indexados'!$A$14:$O$197,15,FALSE),0)</f>
        <v>0</v>
      </c>
      <c r="J163" s="349">
        <f t="shared" si="45"/>
        <v>0</v>
      </c>
      <c r="K163"/>
      <c r="L163" s="354" t="str">
        <f t="shared" si="43"/>
        <v>C. 1,4</v>
      </c>
      <c r="M163" s="347" t="str">
        <f t="shared" si="44"/>
        <v>Lavado  de la fachada con hidrolavadora, incluye ventaneria y piedra.</v>
      </c>
      <c r="N163" s="340" t="str">
        <f t="shared" si="46"/>
        <v>M2</v>
      </c>
      <c r="O163" s="348">
        <f t="shared" si="46"/>
        <v>1234</v>
      </c>
      <c r="P163" s="423">
        <f>VLOOKUP(L163,'selección precios unitario'!$A$5:$I$418,9,FALSE)</f>
        <v>8957</v>
      </c>
      <c r="Q163" s="423">
        <f t="shared" si="47"/>
        <v>11052938</v>
      </c>
    </row>
    <row r="164" spans="1:60" ht="25.5" outlineLevel="1" x14ac:dyDescent="0.25">
      <c r="A164" s="354" t="s">
        <v>229</v>
      </c>
      <c r="B164" s="347" t="s">
        <v>230</v>
      </c>
      <c r="C164" s="340" t="s">
        <v>19</v>
      </c>
      <c r="D164" s="348">
        <v>1037</v>
      </c>
      <c r="E164" s="353">
        <v>45000</v>
      </c>
      <c r="F164" s="353">
        <f t="shared" si="48"/>
        <v>46665000</v>
      </c>
      <c r="G164" s="387">
        <v>0</v>
      </c>
      <c r="H164" s="353">
        <f t="shared" si="49"/>
        <v>0</v>
      </c>
      <c r="I164" s="1285">
        <f>IFERROR(VLOOKUP(A164,'valores unit indexados'!$A$14:$O$197,15,FALSE),0)</f>
        <v>0</v>
      </c>
      <c r="J164" s="349">
        <f t="shared" si="45"/>
        <v>0</v>
      </c>
      <c r="K164"/>
      <c r="L164" s="354" t="str">
        <f t="shared" si="43"/>
        <v>C. 1,5</v>
      </c>
      <c r="M164" s="347" t="str">
        <f t="shared" si="44"/>
        <v>Suministro y aplicación de hidrofugo-(protección de penetración de agua sobre piedra, 2 manos)</v>
      </c>
      <c r="N164" s="340" t="str">
        <f t="shared" si="46"/>
        <v>M2</v>
      </c>
      <c r="O164" s="348">
        <f t="shared" si="46"/>
        <v>1037</v>
      </c>
      <c r="P164" s="423">
        <f>VLOOKUP(L164,'selección precios unitario'!$A$5:$I$418,9,FALSE)</f>
        <v>45000</v>
      </c>
      <c r="Q164" s="423">
        <f t="shared" si="47"/>
        <v>46665000</v>
      </c>
    </row>
    <row r="165" spans="1:60" ht="25.5" outlineLevel="1" x14ac:dyDescent="0.25">
      <c r="A165" s="354" t="s">
        <v>231</v>
      </c>
      <c r="B165" s="347" t="s">
        <v>232</v>
      </c>
      <c r="C165" s="356" t="s">
        <v>14</v>
      </c>
      <c r="D165" s="348">
        <v>117</v>
      </c>
      <c r="E165" s="353">
        <v>38000</v>
      </c>
      <c r="F165" s="353">
        <f t="shared" si="48"/>
        <v>4446000</v>
      </c>
      <c r="G165" s="349">
        <v>10257</v>
      </c>
      <c r="H165" s="353">
        <f t="shared" si="49"/>
        <v>1200069</v>
      </c>
      <c r="I165" s="1285">
        <f>IFERROR(VLOOKUP(A165,'valores unit indexados'!$A$14:$O$197,15,FALSE),0)</f>
        <v>0</v>
      </c>
      <c r="J165" s="349">
        <f t="shared" si="45"/>
        <v>0</v>
      </c>
      <c r="K165"/>
      <c r="L165" s="354" t="str">
        <f t="shared" si="43"/>
        <v>C. 1,6</v>
      </c>
      <c r="M165" s="347" t="str">
        <f t="shared" si="44"/>
        <v>Suministro e instalación de ángulo en aluminio anoloc de 1/2, (gotero en ventana)</v>
      </c>
      <c r="N165" s="356" t="str">
        <f t="shared" si="46"/>
        <v>ML</v>
      </c>
      <c r="O165" s="348">
        <f t="shared" si="46"/>
        <v>117</v>
      </c>
      <c r="P165" s="423">
        <f>VLOOKUP(L165,'selección precios unitario'!$A$5:$I$418,9,FALSE)</f>
        <v>24129</v>
      </c>
      <c r="Q165" s="423">
        <f t="shared" si="47"/>
        <v>2823093</v>
      </c>
    </row>
    <row r="166" spans="1:60" s="1533" customFormat="1" ht="24.75" customHeight="1" outlineLevel="1" x14ac:dyDescent="0.25">
      <c r="A166" s="1527" t="s">
        <v>233</v>
      </c>
      <c r="B166" s="1528" t="s">
        <v>234</v>
      </c>
      <c r="C166" s="1527"/>
      <c r="D166" s="1529"/>
      <c r="E166" s="1530"/>
      <c r="F166" s="1531">
        <f t="shared" si="48"/>
        <v>0</v>
      </c>
      <c r="G166" s="1530"/>
      <c r="H166" s="1531">
        <f t="shared" si="49"/>
        <v>0</v>
      </c>
      <c r="I166" s="1532">
        <f>IFERROR(VLOOKUP(A166,'valores unit indexados'!$A$14:$O$197,15,FALSE),0)</f>
        <v>0</v>
      </c>
      <c r="J166" s="1527">
        <f t="shared" si="45"/>
        <v>0</v>
      </c>
      <c r="K166"/>
      <c r="L166" s="1527" t="str">
        <f t="shared" si="43"/>
        <v>C. 2</v>
      </c>
      <c r="M166" s="1836" t="str">
        <f t="shared" si="44"/>
        <v xml:space="preserve">Reparaciones y Tratamiento de humedades internas </v>
      </c>
      <c r="N166" s="1837"/>
      <c r="O166" s="1837"/>
      <c r="P166" s="1837"/>
      <c r="Q166" s="1838"/>
      <c r="R166" s="1544"/>
      <c r="S166" s="1544"/>
      <c r="T166" s="1544"/>
      <c r="U166" s="1544"/>
      <c r="V166" s="1544"/>
      <c r="W166" s="1544"/>
      <c r="X166" s="1544"/>
      <c r="Y166" s="1544"/>
      <c r="Z166" s="1544"/>
      <c r="AA166" s="1544"/>
      <c r="AB166" s="1544"/>
      <c r="AC166" s="1544"/>
      <c r="AD166" s="1544"/>
      <c r="AE166" s="1544"/>
      <c r="AF166" s="1544"/>
      <c r="AG166" s="1544"/>
      <c r="AH166" s="1544"/>
      <c r="AI166" s="1544"/>
      <c r="AJ166" s="1544"/>
      <c r="AK166" s="1544"/>
      <c r="AL166" s="1544"/>
      <c r="AM166" s="1544"/>
      <c r="AN166" s="1544"/>
      <c r="AO166" s="1544"/>
      <c r="AP166" s="1544"/>
      <c r="AQ166" s="1544"/>
      <c r="AR166" s="1544"/>
      <c r="AS166" s="1544"/>
      <c r="AT166" s="1544"/>
      <c r="AU166" s="1544"/>
      <c r="AV166" s="1544"/>
      <c r="AW166" s="1544"/>
      <c r="AX166" s="1544"/>
      <c r="AY166" s="1544"/>
      <c r="AZ166" s="1544"/>
      <c r="BA166" s="1544"/>
      <c r="BB166" s="1544"/>
      <c r="BC166" s="1544"/>
      <c r="BD166" s="1544"/>
      <c r="BE166" s="1544"/>
      <c r="BF166" s="1544"/>
      <c r="BG166" s="1544"/>
      <c r="BH166" s="1544"/>
    </row>
    <row r="167" spans="1:60" ht="15" outlineLevel="1" x14ac:dyDescent="0.25">
      <c r="A167" s="381" t="s">
        <v>235</v>
      </c>
      <c r="B167" s="364" t="s">
        <v>84</v>
      </c>
      <c r="C167" s="367" t="s">
        <v>19</v>
      </c>
      <c r="D167" s="381">
        <v>179</v>
      </c>
      <c r="E167" s="353">
        <v>9000</v>
      </c>
      <c r="F167" s="353">
        <f t="shared" si="48"/>
        <v>1611000</v>
      </c>
      <c r="G167" s="349">
        <v>5200</v>
      </c>
      <c r="H167" s="353">
        <f t="shared" si="49"/>
        <v>930800</v>
      </c>
      <c r="I167" s="1285">
        <f>IFERROR(VLOOKUP(A167,'valores unit indexados'!$A$14:$O$197,15,FALSE),0)</f>
        <v>6890</v>
      </c>
      <c r="J167" s="349">
        <f t="shared" si="45"/>
        <v>1233310</v>
      </c>
      <c r="K167"/>
      <c r="L167" s="381" t="str">
        <f t="shared" si="43"/>
        <v>C. 2,1</v>
      </c>
      <c r="M167" s="364" t="str">
        <f t="shared" si="44"/>
        <v xml:space="preserve">Rasqueteada de pintura y retiro de mortero en mal estado  </v>
      </c>
      <c r="N167" s="367" t="str">
        <f t="shared" ref="N167:N179" si="50">+C167</f>
        <v>M2</v>
      </c>
      <c r="O167" s="381">
        <f t="shared" ref="O167:O179" si="51">+D167</f>
        <v>179</v>
      </c>
      <c r="P167" s="423">
        <f>VLOOKUP(L167,'selección precios unitario'!$A$5:$I$418,9,FALSE)</f>
        <v>6630</v>
      </c>
      <c r="Q167" s="423">
        <f t="shared" si="47"/>
        <v>1186770</v>
      </c>
    </row>
    <row r="168" spans="1:60" ht="38.25" outlineLevel="1" x14ac:dyDescent="0.25">
      <c r="A168" s="346" t="s">
        <v>236</v>
      </c>
      <c r="B168" s="368" t="s">
        <v>86</v>
      </c>
      <c r="C168" s="367" t="s">
        <v>19</v>
      </c>
      <c r="D168" s="348">
        <v>90</v>
      </c>
      <c r="E168" s="353">
        <v>48000</v>
      </c>
      <c r="F168" s="353">
        <f t="shared" si="48"/>
        <v>4320000</v>
      </c>
      <c r="G168" s="349">
        <v>45500</v>
      </c>
      <c r="H168" s="353">
        <f t="shared" si="49"/>
        <v>4095000</v>
      </c>
      <c r="I168" s="1285">
        <f>IFERROR(VLOOKUP(A168,'valores unit indexados'!$A$14:$O$197,15,FALSE),0)</f>
        <v>43614</v>
      </c>
      <c r="J168" s="349">
        <f t="shared" si="45"/>
        <v>3925260</v>
      </c>
      <c r="K168"/>
      <c r="L168" s="346" t="str">
        <f t="shared" si="43"/>
        <v>C. 2,2</v>
      </c>
      <c r="M168" s="368" t="str">
        <f t="shared" si="44"/>
        <v xml:space="preserve">Suministro e instalación de recubrimiento cementoso (Recubrimiento a base de cemento, arena y aditivos especiales), impermeable para muros color blanco </v>
      </c>
      <c r="N168" s="367" t="str">
        <f t="shared" si="50"/>
        <v>M2</v>
      </c>
      <c r="O168" s="348">
        <f t="shared" si="51"/>
        <v>90</v>
      </c>
      <c r="P168" s="423">
        <f>VLOOKUP(L168,'selección precios unitario'!$A$5:$I$418,9,FALSE)</f>
        <v>45053</v>
      </c>
      <c r="Q168" s="423">
        <f t="shared" si="47"/>
        <v>4054770</v>
      </c>
    </row>
    <row r="169" spans="1:60" ht="15" outlineLevel="1" x14ac:dyDescent="0.25">
      <c r="A169" s="367" t="s">
        <v>237</v>
      </c>
      <c r="B169" s="368" t="s">
        <v>88</v>
      </c>
      <c r="C169" s="367" t="s">
        <v>19</v>
      </c>
      <c r="D169" s="348">
        <v>149</v>
      </c>
      <c r="E169" s="353">
        <v>28000</v>
      </c>
      <c r="F169" s="353">
        <f t="shared" si="48"/>
        <v>4172000</v>
      </c>
      <c r="G169" s="412">
        <v>11700</v>
      </c>
      <c r="H169" s="353">
        <f t="shared" si="49"/>
        <v>1743300</v>
      </c>
      <c r="I169" s="1285">
        <f>IFERROR(VLOOKUP(A169,'valores unit indexados'!$A$14:$O$197,15,FALSE),0)</f>
        <v>24610</v>
      </c>
      <c r="J169" s="349">
        <f t="shared" si="45"/>
        <v>3666890</v>
      </c>
      <c r="K169"/>
      <c r="L169" s="367" t="str">
        <f t="shared" si="43"/>
        <v>C. 2,3</v>
      </c>
      <c r="M169" s="368" t="str">
        <f t="shared" si="44"/>
        <v xml:space="preserve">Suministro y aplicación de estuco plástico </v>
      </c>
      <c r="N169" s="367" t="str">
        <f t="shared" si="50"/>
        <v>M2</v>
      </c>
      <c r="O169" s="348">
        <f t="shared" si="51"/>
        <v>149</v>
      </c>
      <c r="P169" s="423">
        <f>VLOOKUP(L169,'selección precios unitario'!$A$5:$I$418,9,FALSE)</f>
        <v>26305</v>
      </c>
      <c r="Q169" s="423">
        <f t="shared" si="47"/>
        <v>3919445</v>
      </c>
    </row>
    <row r="170" spans="1:60" ht="15" outlineLevel="1" x14ac:dyDescent="0.25">
      <c r="A170" s="346" t="s">
        <v>238</v>
      </c>
      <c r="B170" s="364" t="s">
        <v>90</v>
      </c>
      <c r="C170" s="367" t="s">
        <v>19</v>
      </c>
      <c r="D170" s="348">
        <v>298</v>
      </c>
      <c r="E170" s="353">
        <v>19000</v>
      </c>
      <c r="F170" s="353">
        <f t="shared" si="48"/>
        <v>5662000</v>
      </c>
      <c r="G170" s="412">
        <v>8710</v>
      </c>
      <c r="H170" s="353">
        <f t="shared" si="49"/>
        <v>2595580</v>
      </c>
      <c r="I170" s="1285">
        <f>IFERROR(VLOOKUP(A170,'valores unit indexados'!$A$14:$O$197,15,FALSE),0)</f>
        <v>0</v>
      </c>
      <c r="J170" s="349">
        <f t="shared" si="45"/>
        <v>0</v>
      </c>
      <c r="K170"/>
      <c r="L170" s="346" t="str">
        <f t="shared" si="43"/>
        <v>C. 2,4</v>
      </c>
      <c r="M170" s="364" t="str">
        <f t="shared" si="44"/>
        <v>Suministro y aplicación de vinilo tipo 1 (3 manos)</v>
      </c>
      <c r="N170" s="367" t="str">
        <f t="shared" si="50"/>
        <v>M2</v>
      </c>
      <c r="O170" s="348">
        <f t="shared" si="51"/>
        <v>298</v>
      </c>
      <c r="P170" s="423">
        <f>VLOOKUP(L170,'selección precios unitario'!$A$5:$I$418,9,FALSE)</f>
        <v>19000</v>
      </c>
      <c r="Q170" s="423">
        <f t="shared" si="47"/>
        <v>5662000</v>
      </c>
    </row>
    <row r="171" spans="1:60" ht="15" outlineLevel="1" x14ac:dyDescent="0.25">
      <c r="A171" s="367" t="s">
        <v>239</v>
      </c>
      <c r="B171" s="368" t="s">
        <v>92</v>
      </c>
      <c r="C171" s="367" t="s">
        <v>19</v>
      </c>
      <c r="D171" s="348">
        <v>60</v>
      </c>
      <c r="E171" s="353">
        <v>18000</v>
      </c>
      <c r="F171" s="353">
        <f t="shared" si="48"/>
        <v>1080000</v>
      </c>
      <c r="G171" s="412">
        <v>8710</v>
      </c>
      <c r="H171" s="353">
        <f t="shared" si="49"/>
        <v>522600</v>
      </c>
      <c r="I171" s="1285">
        <f>IFERROR(VLOOKUP(A171,'valores unit indexados'!$A$14:$O$197,15,FALSE),0)</f>
        <v>17005</v>
      </c>
      <c r="J171" s="349">
        <f t="shared" si="45"/>
        <v>1020300</v>
      </c>
      <c r="K171"/>
      <c r="L171" s="367" t="str">
        <f t="shared" si="43"/>
        <v>C. 2,5</v>
      </c>
      <c r="M171" s="368" t="str">
        <f t="shared" si="44"/>
        <v>Suministro y aplicación de pintura en esmalte</v>
      </c>
      <c r="N171" s="367" t="str">
        <f t="shared" si="50"/>
        <v>M2</v>
      </c>
      <c r="O171" s="348">
        <f t="shared" si="51"/>
        <v>60</v>
      </c>
      <c r="P171" s="423">
        <f>VLOOKUP(L171,'selección precios unitario'!$A$5:$I$418,9,FALSE)</f>
        <v>17503</v>
      </c>
      <c r="Q171" s="423">
        <f t="shared" si="47"/>
        <v>1050180</v>
      </c>
    </row>
    <row r="172" spans="1:60" ht="15" outlineLevel="1" x14ac:dyDescent="0.25">
      <c r="A172" s="367" t="s">
        <v>240</v>
      </c>
      <c r="B172" s="364" t="s">
        <v>94</v>
      </c>
      <c r="C172" s="367" t="s">
        <v>19</v>
      </c>
      <c r="D172" s="348">
        <v>56</v>
      </c>
      <c r="E172" s="353">
        <v>17000</v>
      </c>
      <c r="F172" s="353">
        <f t="shared" si="48"/>
        <v>952000</v>
      </c>
      <c r="G172" s="412">
        <v>8710</v>
      </c>
      <c r="H172" s="353">
        <f t="shared" si="49"/>
        <v>487760</v>
      </c>
      <c r="I172" s="1285">
        <f>IFERROR(VLOOKUP(A172,'valores unit indexados'!$A$14:$O$197,15,FALSE),0)</f>
        <v>0</v>
      </c>
      <c r="J172" s="349">
        <f t="shared" si="45"/>
        <v>0</v>
      </c>
      <c r="K172"/>
      <c r="L172" s="367" t="str">
        <f t="shared" si="43"/>
        <v>C. 2,6</v>
      </c>
      <c r="M172" s="364" t="str">
        <f t="shared" si="44"/>
        <v>Suministro y aplicación de pintura cielo vinilo tipo 1</v>
      </c>
      <c r="N172" s="367" t="str">
        <f t="shared" si="50"/>
        <v>M2</v>
      </c>
      <c r="O172" s="348">
        <f t="shared" si="51"/>
        <v>56</v>
      </c>
      <c r="P172" s="423">
        <f>VLOOKUP(L172,'selección precios unitario'!$A$5:$I$418,9,FALSE)</f>
        <v>17000</v>
      </c>
      <c r="Q172" s="423">
        <f t="shared" si="47"/>
        <v>952000</v>
      </c>
    </row>
    <row r="173" spans="1:60" ht="15" outlineLevel="1" x14ac:dyDescent="0.25">
      <c r="A173" s="367" t="s">
        <v>241</v>
      </c>
      <c r="B173" s="364" t="s">
        <v>84</v>
      </c>
      <c r="C173" s="367" t="s">
        <v>14</v>
      </c>
      <c r="D173" s="348">
        <v>149</v>
      </c>
      <c r="E173" s="353">
        <v>5400</v>
      </c>
      <c r="F173" s="353">
        <f t="shared" si="48"/>
        <v>804600</v>
      </c>
      <c r="G173" s="349">
        <v>5200</v>
      </c>
      <c r="H173" s="353">
        <f t="shared" si="49"/>
        <v>774800</v>
      </c>
      <c r="I173" s="1285">
        <f>IFERROR(VLOOKUP(A173,'valores unit indexados'!$A$14:$O$197,15,FALSE),0)</f>
        <v>0</v>
      </c>
      <c r="J173" s="349">
        <f t="shared" si="45"/>
        <v>0</v>
      </c>
      <c r="K173"/>
      <c r="L173" s="367" t="str">
        <f t="shared" si="43"/>
        <v>C. 2,7</v>
      </c>
      <c r="M173" s="364" t="str">
        <f t="shared" si="44"/>
        <v xml:space="preserve">Rasqueteada de pintura y retiro de mortero en mal estado  </v>
      </c>
      <c r="N173" s="367" t="str">
        <f t="shared" si="50"/>
        <v>ML</v>
      </c>
      <c r="O173" s="348">
        <f t="shared" si="51"/>
        <v>149</v>
      </c>
      <c r="P173" s="423">
        <f>VLOOKUP(L173,'selección precios unitario'!$A$5:$I$418,9,FALSE)</f>
        <v>4700</v>
      </c>
      <c r="Q173" s="423">
        <f t="shared" si="47"/>
        <v>700300</v>
      </c>
    </row>
    <row r="174" spans="1:60" ht="38.25" outlineLevel="1" x14ac:dyDescent="0.25">
      <c r="A174" s="367" t="s">
        <v>242</v>
      </c>
      <c r="B174" s="368" t="s">
        <v>86</v>
      </c>
      <c r="C174" s="367" t="s">
        <v>14</v>
      </c>
      <c r="D174" s="348">
        <v>74</v>
      </c>
      <c r="E174" s="353">
        <v>28800</v>
      </c>
      <c r="F174" s="353">
        <f t="shared" si="48"/>
        <v>2131200</v>
      </c>
      <c r="G174" s="349">
        <v>6500</v>
      </c>
      <c r="H174" s="353">
        <f t="shared" si="49"/>
        <v>481000</v>
      </c>
      <c r="I174" s="1285">
        <f>IFERROR(VLOOKUP(A174,'valores unit indexados'!$A$14:$O$197,15,FALSE),0)</f>
        <v>0</v>
      </c>
      <c r="J174" s="349">
        <f t="shared" si="45"/>
        <v>0</v>
      </c>
      <c r="K174"/>
      <c r="L174" s="367" t="str">
        <f t="shared" si="43"/>
        <v>C. 2,8</v>
      </c>
      <c r="M174" s="368" t="str">
        <f t="shared" si="44"/>
        <v xml:space="preserve">Suministro e instalación de recubrimiento cementoso (Recubrimiento a base de cemento, arena y aditivos especiales), impermeable para muros color blanco </v>
      </c>
      <c r="N174" s="367" t="str">
        <f t="shared" si="50"/>
        <v>ML</v>
      </c>
      <c r="O174" s="348">
        <f t="shared" si="51"/>
        <v>74</v>
      </c>
      <c r="P174" s="423">
        <f>VLOOKUP(L174,'selección precios unitario'!$A$5:$I$418,9,FALSE)</f>
        <v>17650</v>
      </c>
      <c r="Q174" s="423">
        <f t="shared" si="47"/>
        <v>1306100</v>
      </c>
    </row>
    <row r="175" spans="1:60" ht="15" outlineLevel="1" x14ac:dyDescent="0.25">
      <c r="A175" s="367" t="s">
        <v>243</v>
      </c>
      <c r="B175" s="368" t="s">
        <v>88</v>
      </c>
      <c r="C175" s="367" t="s">
        <v>14</v>
      </c>
      <c r="D175" s="348">
        <v>124</v>
      </c>
      <c r="E175" s="353">
        <v>16800</v>
      </c>
      <c r="F175" s="353">
        <f t="shared" si="48"/>
        <v>2083200</v>
      </c>
      <c r="G175" s="349">
        <v>11700</v>
      </c>
      <c r="H175" s="353">
        <f t="shared" si="49"/>
        <v>1450800</v>
      </c>
      <c r="I175" s="1285">
        <f>IFERROR(VLOOKUP(A175,'valores unit indexados'!$A$14:$O$197,15,FALSE),0)</f>
        <v>24610</v>
      </c>
      <c r="J175" s="349">
        <f t="shared" si="45"/>
        <v>3051640</v>
      </c>
      <c r="K175"/>
      <c r="L175" s="367" t="str">
        <f t="shared" si="43"/>
        <v>C. 2,9</v>
      </c>
      <c r="M175" s="368" t="str">
        <f t="shared" si="44"/>
        <v xml:space="preserve">Suministro y aplicación de estuco plástico </v>
      </c>
      <c r="N175" s="367" t="str">
        <f t="shared" si="50"/>
        <v>ML</v>
      </c>
      <c r="O175" s="348">
        <f t="shared" si="51"/>
        <v>124</v>
      </c>
      <c r="P175" s="423">
        <f>VLOOKUP(L175,'selección precios unitario'!$A$5:$I$418,9,FALSE)</f>
        <v>20705</v>
      </c>
      <c r="Q175" s="423">
        <f t="shared" si="47"/>
        <v>2567420</v>
      </c>
    </row>
    <row r="176" spans="1:60" ht="15" outlineLevel="1" x14ac:dyDescent="0.25">
      <c r="A176" s="367" t="s">
        <v>244</v>
      </c>
      <c r="B176" s="368" t="s">
        <v>98</v>
      </c>
      <c r="C176" s="367" t="s">
        <v>14</v>
      </c>
      <c r="D176" s="348">
        <v>248</v>
      </c>
      <c r="E176" s="353">
        <v>6120</v>
      </c>
      <c r="F176" s="353">
        <f t="shared" si="48"/>
        <v>1517760</v>
      </c>
      <c r="G176" s="349">
        <v>5200</v>
      </c>
      <c r="H176" s="353">
        <f t="shared" si="49"/>
        <v>1289600</v>
      </c>
      <c r="I176" s="1285">
        <f>IFERROR(VLOOKUP(A176,'valores unit indexados'!$A$14:$O$197,15,FALSE),0)</f>
        <v>0</v>
      </c>
      <c r="J176" s="349">
        <f t="shared" si="45"/>
        <v>0</v>
      </c>
      <c r="K176"/>
      <c r="L176" s="367" t="str">
        <f t="shared" si="43"/>
        <v>C. 2,10</v>
      </c>
      <c r="M176" s="368" t="str">
        <f t="shared" si="44"/>
        <v>Suministro y aplicación de vinilo tipo 2 (3 manos)</v>
      </c>
      <c r="N176" s="367" t="str">
        <f t="shared" si="50"/>
        <v>ML</v>
      </c>
      <c r="O176" s="348">
        <f t="shared" si="51"/>
        <v>248</v>
      </c>
      <c r="P176" s="423">
        <f>VLOOKUP(L176,'selección precios unitario'!$A$5:$I$418,9,FALSE)</f>
        <v>6120</v>
      </c>
      <c r="Q176" s="423">
        <f t="shared" si="47"/>
        <v>1517760</v>
      </c>
      <c r="S176" s="1544">
        <f>97000/25</f>
        <v>3880</v>
      </c>
    </row>
    <row r="177" spans="1:60" ht="15" outlineLevel="1" x14ac:dyDescent="0.25">
      <c r="A177" s="367" t="s">
        <v>245</v>
      </c>
      <c r="B177" s="368" t="s">
        <v>92</v>
      </c>
      <c r="C177" s="367" t="s">
        <v>14</v>
      </c>
      <c r="D177" s="348">
        <v>50</v>
      </c>
      <c r="E177" s="353">
        <v>10800</v>
      </c>
      <c r="F177" s="353">
        <f t="shared" si="48"/>
        <v>540000</v>
      </c>
      <c r="G177" s="412">
        <v>5200</v>
      </c>
      <c r="H177" s="353">
        <f t="shared" si="49"/>
        <v>260000</v>
      </c>
      <c r="I177" s="1285">
        <f>IFERROR(VLOOKUP(A177,'valores unit indexados'!$A$14:$O$197,15,FALSE),0)</f>
        <v>0</v>
      </c>
      <c r="J177" s="349">
        <f t="shared" si="45"/>
        <v>0</v>
      </c>
      <c r="K177"/>
      <c r="L177" s="367" t="str">
        <f t="shared" si="43"/>
        <v>C. 2,11</v>
      </c>
      <c r="M177" s="368" t="str">
        <f t="shared" si="44"/>
        <v>Suministro y aplicación de pintura en esmalte</v>
      </c>
      <c r="N177" s="367" t="str">
        <f t="shared" si="50"/>
        <v>ML</v>
      </c>
      <c r="O177" s="348">
        <f t="shared" si="51"/>
        <v>50</v>
      </c>
      <c r="P177" s="423">
        <f>VLOOKUP(L177,'selección precios unitario'!$A$5:$I$418,9,FALSE)</f>
        <v>8000</v>
      </c>
      <c r="Q177" s="423">
        <f t="shared" si="47"/>
        <v>400000</v>
      </c>
    </row>
    <row r="178" spans="1:60" ht="25.5" outlineLevel="1" x14ac:dyDescent="0.25">
      <c r="A178" s="367" t="s">
        <v>246</v>
      </c>
      <c r="B178" s="358" t="s">
        <v>247</v>
      </c>
      <c r="C178" s="356" t="s">
        <v>14</v>
      </c>
      <c r="D178" s="348">
        <v>384</v>
      </c>
      <c r="E178" s="353">
        <v>14400</v>
      </c>
      <c r="F178" s="353">
        <f t="shared" si="48"/>
        <v>5529600</v>
      </c>
      <c r="G178" s="412">
        <v>13000</v>
      </c>
      <c r="H178" s="353">
        <f t="shared" si="49"/>
        <v>4992000</v>
      </c>
      <c r="I178" s="1285">
        <f>IFERROR(VLOOKUP(A178,'valores unit indexados'!$A$14:$O$197,15,FALSE),0)</f>
        <v>0</v>
      </c>
      <c r="J178" s="349">
        <f t="shared" si="45"/>
        <v>0</v>
      </c>
      <c r="K178"/>
      <c r="L178" s="367" t="str">
        <f t="shared" si="43"/>
        <v>C. 2,12</v>
      </c>
      <c r="M178" s="358" t="str">
        <f t="shared" si="44"/>
        <v>Suministro y aplicación de pintura para fachada en acrílico a dos manos (muro terraza)</v>
      </c>
      <c r="N178" s="356" t="str">
        <f t="shared" si="50"/>
        <v>ML</v>
      </c>
      <c r="O178" s="348">
        <f t="shared" si="51"/>
        <v>384</v>
      </c>
      <c r="P178" s="423">
        <f>VLOOKUP(L178,'selección precios unitario'!$A$5:$I$418,9,FALSE)</f>
        <v>13700</v>
      </c>
      <c r="Q178" s="423">
        <f t="shared" si="47"/>
        <v>5260800</v>
      </c>
    </row>
    <row r="179" spans="1:60" ht="25.5" outlineLevel="1" x14ac:dyDescent="0.25">
      <c r="A179" s="367" t="s">
        <v>248</v>
      </c>
      <c r="B179" s="358" t="s">
        <v>249</v>
      </c>
      <c r="C179" s="356" t="s">
        <v>19</v>
      </c>
      <c r="D179" s="348">
        <v>230</v>
      </c>
      <c r="E179" s="353">
        <v>24000</v>
      </c>
      <c r="F179" s="353">
        <f t="shared" si="48"/>
        <v>5520000</v>
      </c>
      <c r="G179" s="349">
        <v>13000</v>
      </c>
      <c r="H179" s="353">
        <f t="shared" si="49"/>
        <v>2990000</v>
      </c>
      <c r="I179" s="1285">
        <f>IFERROR(VLOOKUP(A179,'valores unit indexados'!$A$14:$O$197,15,FALSE),0)</f>
        <v>0</v>
      </c>
      <c r="J179" s="349">
        <f t="shared" si="45"/>
        <v>0</v>
      </c>
      <c r="K179"/>
      <c r="L179" s="367" t="str">
        <f t="shared" si="43"/>
        <v>C. 2,13</v>
      </c>
      <c r="M179" s="358" t="str">
        <f t="shared" si="44"/>
        <v>Suministro y aplicación de pintura para fachada en acrílico a 3 manos (muro terraza)</v>
      </c>
      <c r="N179" s="356" t="str">
        <f t="shared" si="50"/>
        <v>M2</v>
      </c>
      <c r="O179" s="348">
        <f t="shared" si="51"/>
        <v>230</v>
      </c>
      <c r="P179" s="423">
        <f>VLOOKUP(L179,'selección precios unitario'!$A$5:$I$418,9,FALSE)</f>
        <v>18500</v>
      </c>
      <c r="Q179" s="423">
        <f t="shared" si="47"/>
        <v>4255000</v>
      </c>
    </row>
    <row r="180" spans="1:60" s="1533" customFormat="1" ht="24.75" customHeight="1" outlineLevel="1" x14ac:dyDescent="0.25">
      <c r="A180" s="1527" t="s">
        <v>250</v>
      </c>
      <c r="B180" s="1528" t="s">
        <v>1479</v>
      </c>
      <c r="C180" s="1527"/>
      <c r="D180" s="1529"/>
      <c r="E180" s="1530"/>
      <c r="F180" s="1531">
        <f t="shared" si="48"/>
        <v>0</v>
      </c>
      <c r="G180" s="1530"/>
      <c r="H180" s="1531">
        <f t="shared" si="49"/>
        <v>0</v>
      </c>
      <c r="I180" s="1532"/>
      <c r="J180" s="1527"/>
      <c r="K180"/>
      <c r="L180" s="1527" t="str">
        <f t="shared" si="43"/>
        <v>C.3</v>
      </c>
      <c r="M180" s="1836" t="str">
        <f t="shared" si="44"/>
        <v xml:space="preserve">Puerta garaje </v>
      </c>
      <c r="N180" s="1837"/>
      <c r="O180" s="1837"/>
      <c r="P180" s="1837"/>
      <c r="Q180" s="1838"/>
      <c r="R180" s="1544"/>
      <c r="S180" s="1544"/>
      <c r="T180" s="1544"/>
      <c r="U180" s="1544"/>
      <c r="V180" s="1544"/>
      <c r="W180" s="1544"/>
      <c r="X180" s="1544"/>
      <c r="Y180" s="1544"/>
      <c r="Z180" s="1544"/>
      <c r="AA180" s="1544"/>
      <c r="AB180" s="1544"/>
      <c r="AC180" s="1544"/>
      <c r="AD180" s="1544"/>
      <c r="AE180" s="1544"/>
      <c r="AF180" s="1544"/>
      <c r="AG180" s="1544"/>
      <c r="AH180" s="1544"/>
      <c r="AI180" s="1544"/>
      <c r="AJ180" s="1544"/>
      <c r="AK180" s="1544"/>
      <c r="AL180" s="1544"/>
      <c r="AM180" s="1544"/>
      <c r="AN180" s="1544"/>
      <c r="AO180" s="1544"/>
      <c r="AP180" s="1544"/>
      <c r="AQ180" s="1544"/>
      <c r="AR180" s="1544"/>
      <c r="AS180" s="1544"/>
      <c r="AT180" s="1544"/>
      <c r="AU180" s="1544"/>
      <c r="AV180" s="1544"/>
      <c r="AW180" s="1544"/>
      <c r="AX180" s="1544"/>
      <c r="AY180" s="1544"/>
      <c r="AZ180" s="1544"/>
      <c r="BA180" s="1544"/>
      <c r="BB180" s="1544"/>
      <c r="BC180" s="1544"/>
      <c r="BD180" s="1544"/>
      <c r="BE180" s="1544"/>
      <c r="BF180" s="1544"/>
      <c r="BG180" s="1544"/>
      <c r="BH180" s="1544"/>
    </row>
    <row r="181" spans="1:60" ht="25.5" outlineLevel="1" x14ac:dyDescent="0.25">
      <c r="A181" s="346" t="s">
        <v>252</v>
      </c>
      <c r="B181" s="368" t="s">
        <v>1480</v>
      </c>
      <c r="C181" s="356" t="s">
        <v>6</v>
      </c>
      <c r="D181" s="348">
        <v>1</v>
      </c>
      <c r="E181" s="379">
        <v>550000</v>
      </c>
      <c r="F181" s="353">
        <f t="shared" si="48"/>
        <v>550000</v>
      </c>
      <c r="G181" s="349">
        <v>400000</v>
      </c>
      <c r="H181" s="353">
        <f t="shared" si="49"/>
        <v>400000</v>
      </c>
      <c r="I181" s="1285">
        <f>IFERROR(VLOOKUP(A181,'valores unit indexados'!$A$14:$O$197,15,FALSE),0)</f>
        <v>0</v>
      </c>
      <c r="J181" s="349">
        <f t="shared" si="45"/>
        <v>0</v>
      </c>
      <c r="K181"/>
      <c r="L181" s="346" t="str">
        <f t="shared" si="43"/>
        <v>C. 3,1</v>
      </c>
      <c r="M181" s="368" t="str">
        <f t="shared" si="44"/>
        <v>Desmonte puerta eléctrica existente 320 cm x 270 cm(incluye motor)</v>
      </c>
      <c r="N181" s="356" t="str">
        <f>+C181</f>
        <v>UND</v>
      </c>
      <c r="O181" s="348">
        <f>+D181</f>
        <v>1</v>
      </c>
      <c r="P181" s="423">
        <f>VLOOKUP(L181,'selección precios unitario'!$A$5:$I$418,9,FALSE)</f>
        <v>400000</v>
      </c>
      <c r="Q181" s="423">
        <f t="shared" si="47"/>
        <v>400000</v>
      </c>
    </row>
    <row r="182" spans="1:60" ht="25.5" outlineLevel="1" x14ac:dyDescent="0.25">
      <c r="A182" s="346" t="s">
        <v>254</v>
      </c>
      <c r="B182" s="391" t="s">
        <v>1481</v>
      </c>
      <c r="C182" s="367" t="s">
        <v>6</v>
      </c>
      <c r="D182" s="367">
        <v>1</v>
      </c>
      <c r="E182" s="379">
        <v>7500000</v>
      </c>
      <c r="F182" s="353">
        <f t="shared" si="48"/>
        <v>7500000</v>
      </c>
      <c r="G182" s="349">
        <v>4500000</v>
      </c>
      <c r="H182" s="353">
        <f t="shared" si="49"/>
        <v>4500000</v>
      </c>
      <c r="I182" s="1285">
        <f>IFERROR(VLOOKUP(A182,'valores unit indexados'!$A$14:$O$197,15,FALSE),0)</f>
        <v>0</v>
      </c>
      <c r="J182" s="349">
        <f t="shared" si="45"/>
        <v>0</v>
      </c>
      <c r="K182"/>
      <c r="L182" s="346" t="str">
        <f t="shared" si="43"/>
        <v>C. 3,2</v>
      </c>
      <c r="M182" s="391" t="str">
        <f t="shared" si="44"/>
        <v>suministro e instalación de puerta eléctrica de 320 cm de ancho x 270 cm de alto (Incluye motor)</v>
      </c>
      <c r="N182" s="367" t="str">
        <f>+C182</f>
        <v>UND</v>
      </c>
      <c r="O182" s="367">
        <f>+D182</f>
        <v>1</v>
      </c>
      <c r="P182" s="423">
        <f>VLOOKUP(L182,'selección precios unitario'!$A$5:$I$418,9,FALSE)</f>
        <v>6000000</v>
      </c>
      <c r="Q182" s="423">
        <f t="shared" si="47"/>
        <v>6000000</v>
      </c>
    </row>
    <row r="183" spans="1:60" s="1533" customFormat="1" ht="24.75" customHeight="1" outlineLevel="1" x14ac:dyDescent="0.25">
      <c r="A183" s="1527" t="s">
        <v>256</v>
      </c>
      <c r="B183" s="1528" t="s">
        <v>257</v>
      </c>
      <c r="C183" s="1527"/>
      <c r="D183" s="1529"/>
      <c r="E183" s="1530"/>
      <c r="F183" s="1531">
        <f t="shared" si="48"/>
        <v>0</v>
      </c>
      <c r="G183" s="1530"/>
      <c r="H183" s="1531">
        <f t="shared" si="49"/>
        <v>0</v>
      </c>
      <c r="I183" s="1532"/>
      <c r="J183" s="1527"/>
      <c r="K183"/>
      <c r="L183" s="1527" t="str">
        <f t="shared" si="43"/>
        <v>C.4</v>
      </c>
      <c r="M183" s="1836" t="str">
        <f t="shared" si="44"/>
        <v>Impermeabilización Terraza-  materas</v>
      </c>
      <c r="N183" s="1837"/>
      <c r="O183" s="1837"/>
      <c r="P183" s="1837"/>
      <c r="Q183" s="1838"/>
      <c r="R183" s="1544"/>
      <c r="S183" s="1544"/>
      <c r="T183" s="1544"/>
      <c r="U183" s="1544"/>
      <c r="V183" s="1544"/>
      <c r="W183" s="1544"/>
      <c r="X183" s="1544"/>
      <c r="Y183" s="1544"/>
      <c r="Z183" s="1544"/>
      <c r="AA183" s="1544"/>
      <c r="AB183" s="1544"/>
      <c r="AC183" s="1544"/>
      <c r="AD183" s="1544"/>
      <c r="AE183" s="1544"/>
      <c r="AF183" s="1544"/>
      <c r="AG183" s="1544"/>
      <c r="AH183" s="1544"/>
      <c r="AI183" s="1544"/>
      <c r="AJ183" s="1544"/>
      <c r="AK183" s="1544"/>
      <c r="AL183" s="1544"/>
      <c r="AM183" s="1544"/>
      <c r="AN183" s="1544"/>
      <c r="AO183" s="1544"/>
      <c r="AP183" s="1544"/>
      <c r="AQ183" s="1544"/>
      <c r="AR183" s="1544"/>
      <c r="AS183" s="1544"/>
      <c r="AT183" s="1544"/>
      <c r="AU183" s="1544"/>
      <c r="AV183" s="1544"/>
      <c r="AW183" s="1544"/>
      <c r="AX183" s="1544"/>
      <c r="AY183" s="1544"/>
      <c r="AZ183" s="1544"/>
      <c r="BA183" s="1544"/>
      <c r="BB183" s="1544"/>
      <c r="BC183" s="1544"/>
      <c r="BD183" s="1544"/>
      <c r="BE183" s="1544"/>
      <c r="BF183" s="1544"/>
      <c r="BG183" s="1544"/>
      <c r="BH183" s="1544"/>
    </row>
    <row r="184" spans="1:60" ht="15" outlineLevel="1" x14ac:dyDescent="0.25">
      <c r="A184" s="346" t="s">
        <v>258</v>
      </c>
      <c r="B184" s="347" t="s">
        <v>21</v>
      </c>
      <c r="C184" s="340" t="s">
        <v>19</v>
      </c>
      <c r="D184" s="348">
        <v>86</v>
      </c>
      <c r="E184" s="353">
        <v>20000</v>
      </c>
      <c r="F184" s="353">
        <f t="shared" si="48"/>
        <v>1720000</v>
      </c>
      <c r="G184" s="349">
        <v>19500</v>
      </c>
      <c r="H184" s="353">
        <f t="shared" si="49"/>
        <v>1677000</v>
      </c>
      <c r="I184" s="1285">
        <f>IFERROR(VLOOKUP(A184,'valores unit indexados'!$A$14:$O$197,15,FALSE),0)</f>
        <v>14660</v>
      </c>
      <c r="J184" s="349">
        <f t="shared" si="45"/>
        <v>1260760</v>
      </c>
      <c r="K184"/>
      <c r="L184" s="346" t="str">
        <f t="shared" si="43"/>
        <v>C. 4,1</v>
      </c>
      <c r="M184" s="347" t="str">
        <f t="shared" si="44"/>
        <v>Retiro de manto existente, incluye retiro de escombros</v>
      </c>
      <c r="N184" s="340" t="str">
        <f t="shared" ref="N184:O188" si="52">+C184</f>
        <v>M2</v>
      </c>
      <c r="O184" s="348">
        <f t="shared" si="52"/>
        <v>86</v>
      </c>
      <c r="P184" s="423">
        <f>VLOOKUP(L184,'selección precios unitario'!$A$5:$I$418,9,FALSE)</f>
        <v>18053</v>
      </c>
      <c r="Q184" s="423">
        <f t="shared" si="47"/>
        <v>1552558</v>
      </c>
    </row>
    <row r="185" spans="1:60" ht="25.5" outlineLevel="1" x14ac:dyDescent="0.25">
      <c r="A185" s="346" t="s">
        <v>259</v>
      </c>
      <c r="B185" s="358" t="s">
        <v>23</v>
      </c>
      <c r="C185" s="356" t="s">
        <v>19</v>
      </c>
      <c r="D185" s="348">
        <v>86</v>
      </c>
      <c r="E185" s="379">
        <v>35000</v>
      </c>
      <c r="F185" s="379">
        <f t="shared" si="48"/>
        <v>3010000</v>
      </c>
      <c r="G185" s="412">
        <v>3731</v>
      </c>
      <c r="H185" s="353">
        <f t="shared" si="49"/>
        <v>320866</v>
      </c>
      <c r="I185" s="1285">
        <f>IFERROR(VLOOKUP(A185,'valores unit indexados'!$A$14:$O$197,15,FALSE),0)</f>
        <v>29150</v>
      </c>
      <c r="J185" s="349">
        <f t="shared" si="45"/>
        <v>2506900</v>
      </c>
      <c r="K185"/>
      <c r="L185" s="346" t="str">
        <f t="shared" si="43"/>
        <v>C. 4,2</v>
      </c>
      <c r="M185" s="358" t="str">
        <f t="shared" si="44"/>
        <v>Lavada y destronque a máquina (para retirar material existente y preparación de superficie)</v>
      </c>
      <c r="N185" s="356" t="str">
        <f t="shared" si="52"/>
        <v>M2</v>
      </c>
      <c r="O185" s="348">
        <f t="shared" si="52"/>
        <v>86</v>
      </c>
      <c r="P185" s="423">
        <f>VLOOKUP(L185,'selección precios unitario'!$A$5:$I$418,9,FALSE)</f>
        <v>32075</v>
      </c>
      <c r="Q185" s="423">
        <f t="shared" si="47"/>
        <v>2758450</v>
      </c>
    </row>
    <row r="186" spans="1:60" ht="38.25" outlineLevel="1" x14ac:dyDescent="0.25">
      <c r="A186" s="346" t="s">
        <v>260</v>
      </c>
      <c r="B186" s="358" t="s">
        <v>29</v>
      </c>
      <c r="C186" s="356" t="s">
        <v>19</v>
      </c>
      <c r="D186" s="348">
        <v>86</v>
      </c>
      <c r="E186" s="379">
        <v>38000</v>
      </c>
      <c r="F186" s="379">
        <f t="shared" si="48"/>
        <v>3268000</v>
      </c>
      <c r="G186" s="412">
        <v>32500</v>
      </c>
      <c r="H186" s="353">
        <f t="shared" si="49"/>
        <v>2795000</v>
      </c>
      <c r="I186" s="1285">
        <f>IFERROR(VLOOKUP(A186,'valores unit indexados'!$A$14:$O$197,15,FALSE),0)</f>
        <v>0</v>
      </c>
      <c r="J186" s="349">
        <f t="shared" si="45"/>
        <v>0</v>
      </c>
      <c r="K186"/>
      <c r="L186" s="346" t="str">
        <f t="shared" si="43"/>
        <v>C. 4,3</v>
      </c>
      <c r="M186" s="358" t="str">
        <f t="shared" si="44"/>
        <v>Suministro y aplicación de mortero 1:3 con aditivo impermeabilizante espesor 4cm incluye media caña en mortero perimetral (superficie con pendiente) </v>
      </c>
      <c r="N186" s="356" t="str">
        <f t="shared" si="52"/>
        <v>M2</v>
      </c>
      <c r="O186" s="348">
        <f t="shared" si="52"/>
        <v>86</v>
      </c>
      <c r="P186" s="423">
        <f>VLOOKUP(L186,'selección precios unitario'!$A$5:$I$418,9,FALSE)</f>
        <v>35250</v>
      </c>
      <c r="Q186" s="423">
        <f t="shared" si="47"/>
        <v>3031500</v>
      </c>
    </row>
    <row r="187" spans="1:60" ht="38.25" outlineLevel="1" x14ac:dyDescent="0.25">
      <c r="A187" s="346" t="s">
        <v>261</v>
      </c>
      <c r="B187" s="358" t="s">
        <v>262</v>
      </c>
      <c r="C187" s="356" t="s">
        <v>19</v>
      </c>
      <c r="D187" s="348">
        <v>86</v>
      </c>
      <c r="E187" s="379">
        <v>280000</v>
      </c>
      <c r="F187" s="379">
        <f t="shared" si="48"/>
        <v>24080000</v>
      </c>
      <c r="G187" s="412">
        <v>128700</v>
      </c>
      <c r="H187" s="353">
        <f t="shared" si="49"/>
        <v>11068200</v>
      </c>
      <c r="I187" s="1285">
        <f>IFERROR(VLOOKUP(A187,'valores unit indexados'!$A$14:$O$197,15,FALSE),0)</f>
        <v>0</v>
      </c>
      <c r="J187" s="349">
        <f t="shared" si="45"/>
        <v>0</v>
      </c>
      <c r="K187"/>
      <c r="L187" s="346" t="str">
        <f t="shared" si="43"/>
        <v>C. 4,4</v>
      </c>
      <c r="M187" s="358" t="str">
        <f t="shared" si="44"/>
        <v>Suministro e instalación de membrana líquida impermeabilizante para cubiertas y terrazas, con base en tecnología poliuretano acrílico base agua mejorado.</v>
      </c>
      <c r="N187" s="356" t="str">
        <f t="shared" si="52"/>
        <v>M2</v>
      </c>
      <c r="O187" s="348">
        <f t="shared" si="52"/>
        <v>86</v>
      </c>
      <c r="P187" s="423">
        <f>VLOOKUP(L187,'selección precios unitario'!$A$5:$I$418,9,FALSE)</f>
        <v>224350</v>
      </c>
      <c r="Q187" s="423">
        <f t="shared" si="47"/>
        <v>19294100</v>
      </c>
    </row>
    <row r="188" spans="1:60" ht="25.5" outlineLevel="1" x14ac:dyDescent="0.25">
      <c r="A188" s="346" t="s">
        <v>263</v>
      </c>
      <c r="B188" s="347" t="s">
        <v>1482</v>
      </c>
      <c r="C188" s="340" t="s">
        <v>19</v>
      </c>
      <c r="D188" s="348">
        <v>1516</v>
      </c>
      <c r="E188" s="379">
        <v>135000</v>
      </c>
      <c r="F188" s="379">
        <f t="shared" si="48"/>
        <v>204660000</v>
      </c>
      <c r="G188" s="412">
        <v>60000</v>
      </c>
      <c r="H188" s="353">
        <f t="shared" si="49"/>
        <v>90960000</v>
      </c>
      <c r="I188" s="1285">
        <f>IFERROR(VLOOKUP(A188,'valores unit indexados'!$A$14:$O$197,15,FALSE),0)</f>
        <v>0</v>
      </c>
      <c r="J188" s="349">
        <f t="shared" si="45"/>
        <v>0</v>
      </c>
      <c r="K188"/>
      <c r="L188" s="346" t="str">
        <f t="shared" si="43"/>
        <v>C. 4,5</v>
      </c>
      <c r="M188" s="347" t="str">
        <f t="shared" si="44"/>
        <v xml:space="preserve">Suministro e instalación de césped sintético de 13 mm para uso exterior </v>
      </c>
      <c r="N188" s="340" t="str">
        <f t="shared" si="52"/>
        <v>M2</v>
      </c>
      <c r="O188" s="348">
        <f t="shared" si="52"/>
        <v>1516</v>
      </c>
      <c r="P188" s="423">
        <f>VLOOKUP(L188,'selección precios unitario'!$A$5:$I$418,9,FALSE)</f>
        <v>77870</v>
      </c>
      <c r="Q188" s="423">
        <f t="shared" si="47"/>
        <v>118050920</v>
      </c>
    </row>
    <row r="189" spans="1:60" s="1533" customFormat="1" ht="24.75" customHeight="1" outlineLevel="1" x14ac:dyDescent="0.25">
      <c r="A189" s="1527" t="s">
        <v>265</v>
      </c>
      <c r="B189" s="1528" t="s">
        <v>1467</v>
      </c>
      <c r="C189" s="1527"/>
      <c r="D189" s="1529"/>
      <c r="E189" s="1530"/>
      <c r="F189" s="1531">
        <f t="shared" si="48"/>
        <v>0</v>
      </c>
      <c r="G189" s="1530"/>
      <c r="H189" s="1531">
        <f t="shared" si="49"/>
        <v>0</v>
      </c>
      <c r="I189" s="1532"/>
      <c r="J189" s="1527"/>
      <c r="K189"/>
      <c r="L189" s="1527" t="str">
        <f t="shared" si="43"/>
        <v>C. 5</v>
      </c>
      <c r="M189" s="1836" t="str">
        <f t="shared" si="44"/>
        <v>Divisiones en panel yeso - Instalaciones Eléctricas de voz y datos</v>
      </c>
      <c r="N189" s="1837"/>
      <c r="O189" s="1837"/>
      <c r="P189" s="1837"/>
      <c r="Q189" s="1838"/>
      <c r="R189" s="1544"/>
      <c r="S189" s="1544"/>
      <c r="T189" s="1544"/>
      <c r="U189" s="1544"/>
      <c r="V189" s="1544"/>
      <c r="W189" s="1544"/>
      <c r="X189" s="1544"/>
      <c r="Y189" s="1544"/>
      <c r="Z189" s="1544"/>
      <c r="AA189" s="1544"/>
      <c r="AB189" s="1544"/>
      <c r="AC189" s="1544"/>
      <c r="AD189" s="1544"/>
      <c r="AE189" s="1544"/>
      <c r="AF189" s="1544"/>
      <c r="AG189" s="1544"/>
      <c r="AH189" s="1544"/>
      <c r="AI189" s="1544"/>
      <c r="AJ189" s="1544"/>
      <c r="AK189" s="1544"/>
      <c r="AL189" s="1544"/>
      <c r="AM189" s="1544"/>
      <c r="AN189" s="1544"/>
      <c r="AO189" s="1544"/>
      <c r="AP189" s="1544"/>
      <c r="AQ189" s="1544"/>
      <c r="AR189" s="1544"/>
      <c r="AS189" s="1544"/>
      <c r="AT189" s="1544"/>
      <c r="AU189" s="1544"/>
      <c r="AV189" s="1544"/>
      <c r="AW189" s="1544"/>
      <c r="AX189" s="1544"/>
      <c r="AY189" s="1544"/>
      <c r="AZ189" s="1544"/>
      <c r="BA189" s="1544"/>
      <c r="BB189" s="1544"/>
      <c r="BC189" s="1544"/>
      <c r="BD189" s="1544"/>
      <c r="BE189" s="1544"/>
      <c r="BF189" s="1544"/>
      <c r="BG189" s="1544"/>
      <c r="BH189" s="1544"/>
    </row>
    <row r="190" spans="1:60" ht="25.5" outlineLevel="1" x14ac:dyDescent="0.25">
      <c r="A190" s="346" t="s">
        <v>266</v>
      </c>
      <c r="B190" s="358" t="s">
        <v>103</v>
      </c>
      <c r="C190" s="356" t="s">
        <v>19</v>
      </c>
      <c r="D190" s="348">
        <v>24</v>
      </c>
      <c r="E190" s="353">
        <v>130000</v>
      </c>
      <c r="F190" s="353">
        <f t="shared" si="48"/>
        <v>3120000</v>
      </c>
      <c r="G190" s="349">
        <v>122971.77200000001</v>
      </c>
      <c r="H190" s="353">
        <f t="shared" si="49"/>
        <v>2951322.5280000004</v>
      </c>
      <c r="I190" s="1285">
        <f>IFERROR(VLOOKUP(A190,'valores unit indexados'!$A$14:$O$197,15,FALSE),0)</f>
        <v>113422</v>
      </c>
      <c r="J190" s="349">
        <f t="shared" si="45"/>
        <v>2722128</v>
      </c>
      <c r="K190"/>
      <c r="L190" s="346" t="str">
        <f t="shared" ref="L190:L225" si="53">+A190</f>
        <v>C. 5,1</v>
      </c>
      <c r="M190" s="358" t="str">
        <f t="shared" ref="M190:M225" si="54">+B190</f>
        <v>Suministro e instalación muro en perfilería de 90mm en panel yeso de 1/2 , doble cara insonorizado. Altura piso techo</v>
      </c>
      <c r="N190" s="356" t="str">
        <f t="shared" ref="N190:N208" si="55">+C190</f>
        <v>M2</v>
      </c>
      <c r="O190" s="348">
        <f t="shared" ref="O190:O208" si="56">+D190</f>
        <v>24</v>
      </c>
      <c r="P190" s="423">
        <f>VLOOKUP(L190,'selección precios unitario'!$A$5:$I$418,9,FALSE)</f>
        <v>122131</v>
      </c>
      <c r="Q190" s="423">
        <f t="shared" si="47"/>
        <v>2931144</v>
      </c>
    </row>
    <row r="191" spans="1:60" ht="15" outlineLevel="1" x14ac:dyDescent="0.25">
      <c r="A191" s="346" t="s">
        <v>267</v>
      </c>
      <c r="B191" s="347" t="s">
        <v>105</v>
      </c>
      <c r="C191" s="356" t="s">
        <v>14</v>
      </c>
      <c r="D191" s="348">
        <v>15</v>
      </c>
      <c r="E191" s="353">
        <v>50000</v>
      </c>
      <c r="F191" s="353">
        <f t="shared" si="48"/>
        <v>750000</v>
      </c>
      <c r="G191" s="412">
        <v>111069.57400000001</v>
      </c>
      <c r="H191" s="353">
        <f t="shared" si="49"/>
        <v>1666043.61</v>
      </c>
      <c r="I191" s="1285">
        <f>IFERROR(VLOOKUP(A191,'valores unit indexados'!$A$14:$O$197,15,FALSE),0)</f>
        <v>41152</v>
      </c>
      <c r="J191" s="349">
        <f t="shared" si="45"/>
        <v>617280</v>
      </c>
      <c r="K191"/>
      <c r="L191" s="346" t="str">
        <f t="shared" si="53"/>
        <v>C. 5,2</v>
      </c>
      <c r="M191" s="347" t="str">
        <f t="shared" si="54"/>
        <v>Suministro e instalación de alma en madera de 88mm</v>
      </c>
      <c r="N191" s="356" t="str">
        <f t="shared" si="55"/>
        <v>ML</v>
      </c>
      <c r="O191" s="348">
        <f t="shared" si="56"/>
        <v>15</v>
      </c>
      <c r="P191" s="423">
        <f>VLOOKUP(L191,'selección precios unitario'!$A$5:$I$418,9,FALSE)</f>
        <v>45576</v>
      </c>
      <c r="Q191" s="423">
        <f t="shared" si="47"/>
        <v>683640</v>
      </c>
    </row>
    <row r="192" spans="1:60" ht="51" outlineLevel="1" x14ac:dyDescent="0.25">
      <c r="A192" s="346" t="s">
        <v>268</v>
      </c>
      <c r="B192" s="358" t="s">
        <v>1468</v>
      </c>
      <c r="C192" s="356" t="s">
        <v>14</v>
      </c>
      <c r="D192" s="348">
        <v>15</v>
      </c>
      <c r="E192" s="353">
        <v>78000</v>
      </c>
      <c r="F192" s="353">
        <f t="shared" si="48"/>
        <v>1170000</v>
      </c>
      <c r="G192" s="349">
        <v>76011.936000000002</v>
      </c>
      <c r="H192" s="353">
        <f t="shared" si="49"/>
        <v>1140179.04</v>
      </c>
      <c r="I192" s="1285">
        <f>IFERROR(VLOOKUP(A192,'valores unit indexados'!$A$14:$O$197,15,FALSE),0)</f>
        <v>46346</v>
      </c>
      <c r="J192" s="349">
        <f t="shared" si="45"/>
        <v>695190</v>
      </c>
      <c r="K192"/>
      <c r="L192" s="346" t="str">
        <f t="shared" si="53"/>
        <v>C. 5,3</v>
      </c>
      <c r="M192" s="358" t="str">
        <f t="shared" si="54"/>
        <v>Suministro e instalación de cartera en panel yeso de 12 cm incluye filos, con estructura galvanizada base 9 cal.24 encintada, masillada y rematada, con acabado en pintura de vinilo</v>
      </c>
      <c r="N192" s="356" t="str">
        <f t="shared" si="55"/>
        <v>ML</v>
      </c>
      <c r="O192" s="348">
        <f t="shared" si="56"/>
        <v>15</v>
      </c>
      <c r="P192" s="423">
        <f>VLOOKUP(L192,'selección precios unitario'!$A$5:$I$418,9,FALSE)</f>
        <v>46346</v>
      </c>
      <c r="Q192" s="423">
        <f t="shared" si="47"/>
        <v>695190</v>
      </c>
    </row>
    <row r="193" spans="1:17" ht="15" outlineLevel="1" x14ac:dyDescent="0.25">
      <c r="A193" s="346" t="s">
        <v>269</v>
      </c>
      <c r="B193" s="347" t="s">
        <v>109</v>
      </c>
      <c r="C193" s="356" t="s">
        <v>14</v>
      </c>
      <c r="D193" s="348">
        <v>9.39</v>
      </c>
      <c r="E193" s="353">
        <v>50000</v>
      </c>
      <c r="F193" s="353">
        <f t="shared" si="48"/>
        <v>469500</v>
      </c>
      <c r="G193" s="412">
        <v>17277</v>
      </c>
      <c r="H193" s="353">
        <f t="shared" si="49"/>
        <v>162231.03</v>
      </c>
      <c r="I193" s="1285">
        <f>IFERROR(VLOOKUP(A193,'valores unit indexados'!$A$14:$O$197,15,FALSE),0)</f>
        <v>37101</v>
      </c>
      <c r="J193" s="349">
        <f t="shared" si="45"/>
        <v>348378.39</v>
      </c>
      <c r="K193"/>
      <c r="L193" s="346" t="str">
        <f t="shared" si="53"/>
        <v>C. 5,4</v>
      </c>
      <c r="M193" s="347" t="str">
        <f t="shared" si="54"/>
        <v>Suministro e instalación de guarda escoba en pvc</v>
      </c>
      <c r="N193" s="356" t="str">
        <f t="shared" si="55"/>
        <v>ML</v>
      </c>
      <c r="O193" s="348">
        <f t="shared" si="56"/>
        <v>9.39</v>
      </c>
      <c r="P193" s="423">
        <f>VLOOKUP(L193,'selección precios unitario'!$A$5:$I$418,9,FALSE)</f>
        <v>37101</v>
      </c>
      <c r="Q193" s="423">
        <f>ROUND(P193*O193,0)</f>
        <v>348378</v>
      </c>
    </row>
    <row r="194" spans="1:17" ht="51" outlineLevel="1" x14ac:dyDescent="0.25">
      <c r="A194" s="346" t="s">
        <v>270</v>
      </c>
      <c r="B194" s="396" t="s">
        <v>111</v>
      </c>
      <c r="C194" s="363" t="s">
        <v>6</v>
      </c>
      <c r="D194" s="369">
        <v>3</v>
      </c>
      <c r="E194" s="353">
        <v>650000</v>
      </c>
      <c r="F194" s="353">
        <f t="shared" si="48"/>
        <v>1950000</v>
      </c>
      <c r="G194" s="412">
        <v>802118.24000000011</v>
      </c>
      <c r="H194" s="353">
        <f t="shared" si="49"/>
        <v>2406354.7200000002</v>
      </c>
      <c r="I194" s="1285">
        <f>IFERROR(VLOOKUP(A194,'valores unit indexados'!$A$14:$O$197,15,FALSE),0)</f>
        <v>579485</v>
      </c>
      <c r="J194" s="349">
        <f t="shared" si="45"/>
        <v>1738455</v>
      </c>
      <c r="K194"/>
      <c r="L194" s="346" t="str">
        <f t="shared" si="53"/>
        <v>C. 5,5</v>
      </c>
      <c r="M194" s="396" t="str">
        <f t="shared" si="54"/>
        <v>Suministro e instalación puerta entamborada (diseño similar a las existentes) cuyas medidas son de 80 cms de ancho x 200 cm alto, incluye marco y chapa, inmunización y pintura en Barniz</v>
      </c>
      <c r="N194" s="363" t="str">
        <f t="shared" si="55"/>
        <v>UND</v>
      </c>
      <c r="O194" s="369">
        <f t="shared" si="56"/>
        <v>3</v>
      </c>
      <c r="P194" s="423">
        <f>VLOOKUP(L194,'selección precios unitario'!$A$5:$I$418,9,FALSE)</f>
        <v>614743</v>
      </c>
      <c r="Q194" s="423">
        <f>ROUND(P194*O194,0)</f>
        <v>1844229</v>
      </c>
    </row>
    <row r="195" spans="1:17" ht="51" outlineLevel="1" x14ac:dyDescent="0.25">
      <c r="A195" s="346" t="s">
        <v>271</v>
      </c>
      <c r="B195" s="347" t="s">
        <v>117</v>
      </c>
      <c r="C195" s="363" t="s">
        <v>14</v>
      </c>
      <c r="D195" s="369">
        <v>54</v>
      </c>
      <c r="E195" s="353">
        <v>75000</v>
      </c>
      <c r="F195" s="353">
        <f t="shared" si="48"/>
        <v>4050000</v>
      </c>
      <c r="G195" s="412">
        <v>31265</v>
      </c>
      <c r="H195" s="353">
        <f t="shared" si="49"/>
        <v>1688310</v>
      </c>
      <c r="I195" s="1285">
        <f>IFERROR(VLOOKUP(A195,'valores unit indexados'!$A$14:$O$197,15,FALSE),0)</f>
        <v>70329</v>
      </c>
      <c r="J195" s="349">
        <f t="shared" si="45"/>
        <v>3797766</v>
      </c>
      <c r="K195"/>
      <c r="L195" s="346" t="str">
        <f t="shared" si="53"/>
        <v>C. 5,6</v>
      </c>
      <c r="M195" s="347" t="str">
        <f t="shared" si="54"/>
        <v>Suministro e instalación Canaleta 100 mm x 45 mm Plástica con división. Blanco PVC auto extinguible y Resistente a impactos hasta de 1 kg, Humedad, Aceites y Químicos., con sus respectivos elementos de Certificado_RETIE_</v>
      </c>
      <c r="N195" s="363" t="str">
        <f t="shared" si="55"/>
        <v>ML</v>
      </c>
      <c r="O195" s="369">
        <f t="shared" si="56"/>
        <v>54</v>
      </c>
      <c r="P195" s="423">
        <f>VLOOKUP(L195,'selección precios unitario'!$A$5:$I$418,9,FALSE)</f>
        <v>72665</v>
      </c>
      <c r="Q195" s="423">
        <f t="shared" ref="Q195:Q225" si="57">ROUND(P195*O195,0)</f>
        <v>3923910</v>
      </c>
    </row>
    <row r="196" spans="1:17" ht="38.25" outlineLevel="1" x14ac:dyDescent="0.25">
      <c r="A196" s="346" t="s">
        <v>272</v>
      </c>
      <c r="B196" s="358" t="s">
        <v>119</v>
      </c>
      <c r="C196" s="363" t="s">
        <v>6</v>
      </c>
      <c r="D196" s="369">
        <v>48</v>
      </c>
      <c r="E196" s="353">
        <v>38000</v>
      </c>
      <c r="F196" s="353">
        <f t="shared" si="48"/>
        <v>1824000</v>
      </c>
      <c r="G196" s="412">
        <v>16263</v>
      </c>
      <c r="H196" s="353">
        <f t="shared" si="49"/>
        <v>780624</v>
      </c>
      <c r="I196" s="1285">
        <f>IFERROR(VLOOKUP(A196,'valores unit indexados'!$A$14:$O$197,15,FALSE),0)</f>
        <v>31702</v>
      </c>
      <c r="J196" s="349">
        <f t="shared" si="45"/>
        <v>1521696</v>
      </c>
      <c r="K196"/>
      <c r="L196" s="346" t="str">
        <f t="shared" si="53"/>
        <v>C. 5,7</v>
      </c>
      <c r="M196" s="358" t="str">
        <f t="shared" si="54"/>
        <v xml:space="preserve">Suministro e instalación troquel para toma regulada, toma normal y toma de datos, incluye accesorios para su correcta instalación </v>
      </c>
      <c r="N196" s="363" t="str">
        <f t="shared" si="55"/>
        <v>UND</v>
      </c>
      <c r="O196" s="369">
        <f t="shared" si="56"/>
        <v>48</v>
      </c>
      <c r="P196" s="423">
        <f>VLOOKUP(L196,'selección precios unitario'!$A$5:$I$418,9,FALSE)</f>
        <v>34851</v>
      </c>
      <c r="Q196" s="423">
        <f t="shared" si="57"/>
        <v>1672848</v>
      </c>
    </row>
    <row r="197" spans="1:17" ht="25.5" outlineLevel="1" x14ac:dyDescent="0.25">
      <c r="A197" s="346" t="s">
        <v>273</v>
      </c>
      <c r="B197" s="347" t="s">
        <v>121</v>
      </c>
      <c r="C197" s="363" t="s">
        <v>14</v>
      </c>
      <c r="D197" s="369">
        <v>375</v>
      </c>
      <c r="E197" s="353">
        <v>10550</v>
      </c>
      <c r="F197" s="353">
        <f t="shared" si="48"/>
        <v>3956250</v>
      </c>
      <c r="G197" s="412">
        <v>4732</v>
      </c>
      <c r="H197" s="353">
        <f t="shared" si="49"/>
        <v>1774500</v>
      </c>
      <c r="I197" s="1285">
        <f>IFERROR(VLOOKUP(A197,'valores unit indexados'!$A$14:$O$197,15,FALSE),0)</f>
        <v>10285</v>
      </c>
      <c r="J197" s="349">
        <f t="shared" si="45"/>
        <v>3856875</v>
      </c>
      <c r="K197"/>
      <c r="L197" s="346" t="str">
        <f t="shared" si="53"/>
        <v>C. 5,8</v>
      </c>
      <c r="M197" s="347" t="str">
        <f t="shared" si="54"/>
        <v>Suministro e instalación de cable UTP Categoría 6A libre de halógeno LSZH</v>
      </c>
      <c r="N197" s="363" t="str">
        <f t="shared" si="55"/>
        <v>ML</v>
      </c>
      <c r="O197" s="369">
        <f t="shared" si="56"/>
        <v>375</v>
      </c>
      <c r="P197" s="423">
        <f>VLOOKUP(L197,'selección precios unitario'!$A$5:$I$418,9,FALSE)</f>
        <v>10418</v>
      </c>
      <c r="Q197" s="423">
        <f t="shared" si="57"/>
        <v>3906750</v>
      </c>
    </row>
    <row r="198" spans="1:17" ht="51" outlineLevel="1" x14ac:dyDescent="0.25">
      <c r="A198" s="346" t="s">
        <v>274</v>
      </c>
      <c r="B198" s="396" t="s">
        <v>123</v>
      </c>
      <c r="C198" s="363" t="s">
        <v>6</v>
      </c>
      <c r="D198" s="369">
        <v>18</v>
      </c>
      <c r="E198" s="353">
        <v>72000</v>
      </c>
      <c r="F198" s="353">
        <f t="shared" si="48"/>
        <v>1296000</v>
      </c>
      <c r="G198" s="412">
        <v>112086</v>
      </c>
      <c r="H198" s="353">
        <f t="shared" si="49"/>
        <v>2017548</v>
      </c>
      <c r="I198" s="1285">
        <f>IFERROR(VLOOKUP(A198,'valores unit indexados'!$A$14:$O$197,15,FALSE),0)</f>
        <v>70740</v>
      </c>
      <c r="J198" s="349">
        <f t="shared" si="45"/>
        <v>1273320</v>
      </c>
      <c r="K198"/>
      <c r="L198" s="346" t="str">
        <f t="shared" si="53"/>
        <v>C. 5,9</v>
      </c>
      <c r="M198" s="396" t="str">
        <f t="shared" si="54"/>
        <v>Suministro e instalación de toma hembra tipo jack rj 45 cat 6ª, utp, para puesto de trabajo o herraje. (incluye jacks rj45 cat. 6a amp, ponchada, maquillado y accesorios necesarios para su instalación)</v>
      </c>
      <c r="N198" s="363" t="str">
        <f t="shared" si="55"/>
        <v>UND</v>
      </c>
      <c r="O198" s="369">
        <f t="shared" si="56"/>
        <v>18</v>
      </c>
      <c r="P198" s="423">
        <f>VLOOKUP(L198,'selección precios unitario'!$A$5:$I$418,9,FALSE)</f>
        <v>71370</v>
      </c>
      <c r="Q198" s="423">
        <f t="shared" si="57"/>
        <v>1284660</v>
      </c>
    </row>
    <row r="199" spans="1:17" ht="25.5" outlineLevel="1" x14ac:dyDescent="0.25">
      <c r="A199" s="346" t="s">
        <v>275</v>
      </c>
      <c r="B199" s="347" t="s">
        <v>125</v>
      </c>
      <c r="C199" s="363" t="s">
        <v>6</v>
      </c>
      <c r="D199" s="369">
        <v>18</v>
      </c>
      <c r="E199" s="353">
        <v>20000</v>
      </c>
      <c r="F199" s="353">
        <f t="shared" si="48"/>
        <v>360000</v>
      </c>
      <c r="G199" s="349">
        <v>33267</v>
      </c>
      <c r="H199" s="353">
        <f t="shared" si="49"/>
        <v>598806</v>
      </c>
      <c r="I199" s="1285">
        <f>IFERROR(VLOOKUP(A199,'valores unit indexados'!$A$14:$O$197,15,FALSE),0)</f>
        <v>20219</v>
      </c>
      <c r="J199" s="349">
        <f t="shared" si="45"/>
        <v>363942</v>
      </c>
      <c r="K199"/>
      <c r="L199" s="346" t="str">
        <f t="shared" si="53"/>
        <v>C. 5,10</v>
      </c>
      <c r="M199" s="347" t="str">
        <f t="shared" si="54"/>
        <v>Suministro e instalación de faceplate de 1 salida (SOLO DATOS)</v>
      </c>
      <c r="N199" s="363" t="str">
        <f t="shared" si="55"/>
        <v>UND</v>
      </c>
      <c r="O199" s="369">
        <f t="shared" si="56"/>
        <v>18</v>
      </c>
      <c r="P199" s="423">
        <f>VLOOKUP(L199,'selección precios unitario'!$A$5:$I$418,9,FALSE)</f>
        <v>20110</v>
      </c>
      <c r="Q199" s="423">
        <f t="shared" si="57"/>
        <v>361980</v>
      </c>
    </row>
    <row r="200" spans="1:17" ht="51" outlineLevel="1" x14ac:dyDescent="0.25">
      <c r="A200" s="346" t="s">
        <v>276</v>
      </c>
      <c r="B200" s="396" t="s">
        <v>127</v>
      </c>
      <c r="C200" s="363" t="s">
        <v>6</v>
      </c>
      <c r="D200" s="369">
        <v>18</v>
      </c>
      <c r="E200" s="353">
        <v>120000</v>
      </c>
      <c r="F200" s="353">
        <f t="shared" si="48"/>
        <v>2160000</v>
      </c>
      <c r="G200" s="371">
        <v>0</v>
      </c>
      <c r="H200" s="353">
        <f t="shared" si="49"/>
        <v>0</v>
      </c>
      <c r="I200" s="1285">
        <f>IFERROR(VLOOKUP(A200,'valores unit indexados'!$A$14:$O$197,15,FALSE),0)</f>
        <v>120233</v>
      </c>
      <c r="J200" s="349">
        <f t="shared" si="45"/>
        <v>2164194</v>
      </c>
      <c r="K200"/>
      <c r="L200" s="346" t="str">
        <f t="shared" si="53"/>
        <v>C. 5,11</v>
      </c>
      <c r="M200" s="396" t="str">
        <f t="shared" si="54"/>
        <v>Suministro e instalación de salida eléctrica red regulada en puesto de trabajo con cable trenzado 3# 12 rojo, verde, blanco con aislamiento libre de halógeno, longitud de 1,5m incluye tomacorriente polo a tierra aislado</v>
      </c>
      <c r="N200" s="363" t="str">
        <f t="shared" si="55"/>
        <v>UND</v>
      </c>
      <c r="O200" s="369">
        <f t="shared" si="56"/>
        <v>18</v>
      </c>
      <c r="P200" s="423">
        <f>VLOOKUP(L200,'selección precios unitario'!$A$5:$I$418,9,FALSE)</f>
        <v>119473</v>
      </c>
      <c r="Q200" s="423">
        <f t="shared" si="57"/>
        <v>2150514</v>
      </c>
    </row>
    <row r="201" spans="1:17" ht="51" outlineLevel="1" x14ac:dyDescent="0.25">
      <c r="A201" s="346" t="s">
        <v>277</v>
      </c>
      <c r="B201" s="396" t="s">
        <v>129</v>
      </c>
      <c r="C201" s="363" t="s">
        <v>6</v>
      </c>
      <c r="D201" s="369">
        <v>18</v>
      </c>
      <c r="E201" s="353">
        <v>115000</v>
      </c>
      <c r="F201" s="353">
        <f t="shared" si="48"/>
        <v>2070000</v>
      </c>
      <c r="G201" s="371">
        <v>0</v>
      </c>
      <c r="H201" s="353">
        <f t="shared" si="49"/>
        <v>0</v>
      </c>
      <c r="I201" s="1285">
        <f>IFERROR(VLOOKUP(A201,'valores unit indexados'!$A$14:$O$197,15,FALSE),0)</f>
        <v>123946</v>
      </c>
      <c r="J201" s="349">
        <f t="shared" si="45"/>
        <v>2231028</v>
      </c>
      <c r="K201"/>
      <c r="L201" s="346" t="str">
        <f t="shared" si="53"/>
        <v>C. 5,12</v>
      </c>
      <c r="M201" s="396" t="str">
        <f t="shared" si="54"/>
        <v xml:space="preserve">Suministro e instalación de salida eléctrica red normal en puesto de trabajo con  cable trenzado 3# 12 azul, verde, blanco con aislamiento libre de halógeno,  longitud de 1,5m incluye tomacorriente polo a tierra </v>
      </c>
      <c r="N201" s="363" t="str">
        <f t="shared" si="55"/>
        <v>UND</v>
      </c>
      <c r="O201" s="369">
        <f t="shared" si="56"/>
        <v>18</v>
      </c>
      <c r="P201" s="423">
        <f>VLOOKUP(L201,'selección precios unitario'!$A$5:$I$418,9,FALSE)</f>
        <v>119473</v>
      </c>
      <c r="Q201" s="423">
        <f t="shared" si="57"/>
        <v>2150514</v>
      </c>
    </row>
    <row r="202" spans="1:17" ht="25.5" outlineLevel="1" x14ac:dyDescent="0.25">
      <c r="A202" s="346" t="s">
        <v>278</v>
      </c>
      <c r="B202" s="347" t="s">
        <v>279</v>
      </c>
      <c r="C202" s="363" t="s">
        <v>6</v>
      </c>
      <c r="D202" s="369">
        <v>3</v>
      </c>
      <c r="E202" s="353">
        <v>95000</v>
      </c>
      <c r="F202" s="353">
        <f t="shared" si="48"/>
        <v>285000</v>
      </c>
      <c r="G202" s="412">
        <v>22000</v>
      </c>
      <c r="H202" s="353">
        <f t="shared" si="49"/>
        <v>66000</v>
      </c>
      <c r="I202" s="1285">
        <f>IFERROR(VLOOKUP(A202,'valores unit indexados'!$A$14:$O$197,15,FALSE),0)</f>
        <v>96760</v>
      </c>
      <c r="J202" s="349">
        <f t="shared" si="45"/>
        <v>290280</v>
      </c>
      <c r="K202"/>
      <c r="L202" s="346" t="str">
        <f t="shared" si="53"/>
        <v>C. 5,13</v>
      </c>
      <c r="M202" s="347" t="str">
        <f t="shared" si="54"/>
        <v xml:space="preserve">Suministro e instalación de interruptor sencillo incluye caja de sobreponer y salida </v>
      </c>
      <c r="N202" s="363" t="str">
        <f t="shared" si="55"/>
        <v>UND</v>
      </c>
      <c r="O202" s="369">
        <f t="shared" si="56"/>
        <v>3</v>
      </c>
      <c r="P202" s="423">
        <f>VLOOKUP(L202,'selección precios unitario'!$A$5:$I$418,9,FALSE)</f>
        <v>95880</v>
      </c>
      <c r="Q202" s="423">
        <f t="shared" si="57"/>
        <v>287640</v>
      </c>
    </row>
    <row r="203" spans="1:17" ht="38.25" outlineLevel="1" x14ac:dyDescent="0.25">
      <c r="A203" s="346" t="s">
        <v>280</v>
      </c>
      <c r="B203" s="347" t="s">
        <v>133</v>
      </c>
      <c r="C203" s="363" t="s">
        <v>6</v>
      </c>
      <c r="D203" s="369">
        <v>12</v>
      </c>
      <c r="E203" s="353">
        <v>115000</v>
      </c>
      <c r="F203" s="353">
        <f t="shared" si="48"/>
        <v>1380000</v>
      </c>
      <c r="G203" s="412">
        <v>80795</v>
      </c>
      <c r="H203" s="353">
        <f t="shared" si="49"/>
        <v>969540</v>
      </c>
      <c r="I203" s="1285">
        <f>IFERROR(VLOOKUP(A203,'valores unit indexados'!$A$14:$O$197,15,FALSE),0)</f>
        <v>142064</v>
      </c>
      <c r="J203" s="349">
        <f t="shared" si="45"/>
        <v>1704768</v>
      </c>
      <c r="K203"/>
      <c r="L203" s="346" t="str">
        <f t="shared" si="53"/>
        <v>C. 5,14</v>
      </c>
      <c r="M203" s="347" t="str">
        <f t="shared" si="54"/>
        <v>Suministro e instalación de Lámpara panel led de sobreponer 24w 100 -240 - 1680Lm de 6,500 K - horas mínimas de vida útil 25,000</v>
      </c>
      <c r="N203" s="363" t="str">
        <f t="shared" si="55"/>
        <v>UND</v>
      </c>
      <c r="O203" s="369">
        <f t="shared" si="56"/>
        <v>12</v>
      </c>
      <c r="P203" s="423">
        <f>VLOOKUP(L203,'selección precios unitario'!$A$5:$I$418,9,FALSE)</f>
        <v>103175</v>
      </c>
      <c r="Q203" s="423">
        <f t="shared" si="57"/>
        <v>1238100</v>
      </c>
    </row>
    <row r="204" spans="1:17" ht="25.5" outlineLevel="1" x14ac:dyDescent="0.25">
      <c r="A204" s="346" t="s">
        <v>281</v>
      </c>
      <c r="B204" s="347" t="s">
        <v>135</v>
      </c>
      <c r="C204" s="363" t="s">
        <v>14</v>
      </c>
      <c r="D204" s="369">
        <v>20</v>
      </c>
      <c r="E204" s="353">
        <v>17000</v>
      </c>
      <c r="F204" s="353">
        <f t="shared" si="48"/>
        <v>340000</v>
      </c>
      <c r="G204" s="412">
        <v>8736</v>
      </c>
      <c r="H204" s="353">
        <f t="shared" si="49"/>
        <v>174720</v>
      </c>
      <c r="I204" s="1285">
        <f>IFERROR(VLOOKUP(A204,'valores unit indexados'!$A$14:$O$197,15,FALSE),0)</f>
        <v>16536</v>
      </c>
      <c r="J204" s="349">
        <f t="shared" si="45"/>
        <v>330720</v>
      </c>
      <c r="K204"/>
      <c r="L204" s="346" t="str">
        <f t="shared" si="53"/>
        <v>C. 5,15</v>
      </c>
      <c r="M204" s="347" t="str">
        <f t="shared" si="54"/>
        <v>Suministro e instalación de cable trenzado 3#12 AWG para circuito normal o regulado</v>
      </c>
      <c r="N204" s="363" t="str">
        <f t="shared" si="55"/>
        <v>ML</v>
      </c>
      <c r="O204" s="369">
        <f t="shared" si="56"/>
        <v>20</v>
      </c>
      <c r="P204" s="423">
        <f>VLOOKUP(L204,'selección precios unitario'!$A$5:$I$418,9,FALSE)</f>
        <v>16768</v>
      </c>
      <c r="Q204" s="423">
        <f t="shared" si="57"/>
        <v>335360</v>
      </c>
    </row>
    <row r="205" spans="1:17" ht="15" outlineLevel="1" x14ac:dyDescent="0.25">
      <c r="A205" s="346" t="s">
        <v>282</v>
      </c>
      <c r="B205" s="397" t="s">
        <v>1469</v>
      </c>
      <c r="C205" s="363" t="s">
        <v>6</v>
      </c>
      <c r="D205" s="369">
        <v>18</v>
      </c>
      <c r="E205" s="353">
        <v>38000</v>
      </c>
      <c r="F205" s="353">
        <f t="shared" si="48"/>
        <v>684000</v>
      </c>
      <c r="G205" s="412">
        <v>12948</v>
      </c>
      <c r="H205" s="353">
        <f t="shared" si="49"/>
        <v>233064</v>
      </c>
      <c r="I205" s="1285">
        <f>IFERROR(VLOOKUP(A205,'valores unit indexados'!$A$14:$O$197,15,FALSE),0)</f>
        <v>34244</v>
      </c>
      <c r="J205" s="349">
        <f t="shared" si="45"/>
        <v>616392</v>
      </c>
      <c r="K205"/>
      <c r="L205" s="346" t="str">
        <f t="shared" si="53"/>
        <v>C. 5,16</v>
      </c>
      <c r="M205" s="397" t="str">
        <f t="shared" si="54"/>
        <v>Suministro e instalación de patch cord 1.5mts CAT 6A</v>
      </c>
      <c r="N205" s="363" t="str">
        <f t="shared" si="55"/>
        <v>UND</v>
      </c>
      <c r="O205" s="369">
        <f t="shared" si="56"/>
        <v>18</v>
      </c>
      <c r="P205" s="423">
        <f>VLOOKUP(L205,'selección precios unitario'!$A$5:$I$418,9,FALSE)</f>
        <v>36122</v>
      </c>
      <c r="Q205" s="423">
        <f t="shared" si="57"/>
        <v>650196</v>
      </c>
    </row>
    <row r="206" spans="1:17" ht="15" outlineLevel="1" x14ac:dyDescent="0.25">
      <c r="A206" s="346" t="s">
        <v>283</v>
      </c>
      <c r="B206" s="397" t="s">
        <v>1470</v>
      </c>
      <c r="C206" s="363" t="s">
        <v>6</v>
      </c>
      <c r="D206" s="369">
        <v>3</v>
      </c>
      <c r="E206" s="353">
        <v>48000</v>
      </c>
      <c r="F206" s="353">
        <f t="shared" si="48"/>
        <v>144000</v>
      </c>
      <c r="G206" s="412">
        <v>16848</v>
      </c>
      <c r="H206" s="353">
        <f t="shared" si="49"/>
        <v>50544</v>
      </c>
      <c r="I206" s="1285">
        <f>IFERROR(VLOOKUP(A206,'valores unit indexados'!$A$14:$O$197,15,FALSE),0)</f>
        <v>46067</v>
      </c>
      <c r="J206" s="349">
        <f t="shared" si="45"/>
        <v>138201</v>
      </c>
      <c r="K206"/>
      <c r="L206" s="346" t="str">
        <f t="shared" si="53"/>
        <v>C. 5,17</v>
      </c>
      <c r="M206" s="397" t="str">
        <f t="shared" si="54"/>
        <v>Suministro e instalación de patch cord 3mts CAT 6A</v>
      </c>
      <c r="N206" s="363" t="str">
        <f t="shared" si="55"/>
        <v>UND</v>
      </c>
      <c r="O206" s="369">
        <f t="shared" si="56"/>
        <v>3</v>
      </c>
      <c r="P206" s="423">
        <f>VLOOKUP(L206,'selección precios unitario'!$A$5:$I$418,9,FALSE)</f>
        <v>47034</v>
      </c>
      <c r="Q206" s="423">
        <f t="shared" si="57"/>
        <v>141102</v>
      </c>
    </row>
    <row r="207" spans="1:17" ht="25.5" outlineLevel="1" x14ac:dyDescent="0.25">
      <c r="A207" s="346" t="s">
        <v>284</v>
      </c>
      <c r="B207" s="364" t="s">
        <v>141</v>
      </c>
      <c r="C207" s="363" t="s">
        <v>6</v>
      </c>
      <c r="D207" s="369">
        <v>1</v>
      </c>
      <c r="E207" s="353">
        <v>3500000</v>
      </c>
      <c r="F207" s="353">
        <f t="shared" si="48"/>
        <v>3500000</v>
      </c>
      <c r="G207" s="349">
        <v>2570460</v>
      </c>
      <c r="H207" s="353">
        <f t="shared" si="49"/>
        <v>2570460</v>
      </c>
      <c r="I207" s="1285">
        <f>IFERROR(VLOOKUP(A207,'valores unit indexados'!$A$14:$O$197,15,FALSE),0)</f>
        <v>3045320</v>
      </c>
      <c r="J207" s="349">
        <f t="shared" si="45"/>
        <v>3045320</v>
      </c>
      <c r="K207"/>
      <c r="L207" s="346" t="str">
        <f t="shared" si="53"/>
        <v>C. 5,18</v>
      </c>
      <c r="M207" s="364" t="str">
        <f t="shared" si="54"/>
        <v>Suministro, instalación y configuración de Switch 24 puertos 10Base-T/100Base-T/1000Base-T</v>
      </c>
      <c r="N207" s="363" t="str">
        <f t="shared" si="55"/>
        <v>UND</v>
      </c>
      <c r="O207" s="369">
        <f t="shared" si="56"/>
        <v>1</v>
      </c>
      <c r="P207" s="423">
        <f>VLOOKUP(L207,'selección precios unitario'!$A$5:$I$418,9,FALSE)</f>
        <v>3035230</v>
      </c>
      <c r="Q207" s="423">
        <f t="shared" si="57"/>
        <v>3035230</v>
      </c>
    </row>
    <row r="208" spans="1:17" ht="25.5" outlineLevel="1" x14ac:dyDescent="0.25">
      <c r="A208" s="346" t="s">
        <v>285</v>
      </c>
      <c r="B208" s="398" t="s">
        <v>286</v>
      </c>
      <c r="C208" s="363" t="s">
        <v>6</v>
      </c>
      <c r="D208" s="369">
        <v>1</v>
      </c>
      <c r="E208" s="353">
        <v>450000</v>
      </c>
      <c r="F208" s="353">
        <f t="shared" si="48"/>
        <v>450000</v>
      </c>
      <c r="G208" s="349">
        <v>225498</v>
      </c>
      <c r="H208" s="353">
        <f t="shared" si="49"/>
        <v>225498</v>
      </c>
      <c r="I208" s="1285">
        <f>IFERROR(VLOOKUP(A208,'valores unit indexados'!$A$14:$O$197,15,FALSE),0)</f>
        <v>0</v>
      </c>
      <c r="J208" s="349">
        <f t="shared" si="45"/>
        <v>0</v>
      </c>
      <c r="K208"/>
      <c r="L208" s="346" t="str">
        <f t="shared" si="53"/>
        <v>C. 5,19</v>
      </c>
      <c r="M208" s="398" t="str">
        <f t="shared" si="54"/>
        <v>Suministro e instalación de patch panel de 24 puestos cat. 6a (incluye elementos de fijación)</v>
      </c>
      <c r="N208" s="363" t="str">
        <f t="shared" si="55"/>
        <v>UND</v>
      </c>
      <c r="O208" s="369">
        <f t="shared" si="56"/>
        <v>1</v>
      </c>
      <c r="P208" s="423">
        <f>VLOOKUP(L208,'selección precios unitario'!$A$5:$I$418,9,FALSE)</f>
        <v>337749</v>
      </c>
      <c r="Q208" s="423">
        <f t="shared" si="57"/>
        <v>337749</v>
      </c>
    </row>
    <row r="209" spans="1:60" s="1533" customFormat="1" ht="24.75" customHeight="1" outlineLevel="1" x14ac:dyDescent="0.25">
      <c r="A209" s="1527" t="s">
        <v>287</v>
      </c>
      <c r="B209" s="1528" t="s">
        <v>288</v>
      </c>
      <c r="C209" s="1527"/>
      <c r="D209" s="1529"/>
      <c r="E209" s="1530"/>
      <c r="F209" s="1531">
        <f t="shared" si="48"/>
        <v>0</v>
      </c>
      <c r="G209" s="1530"/>
      <c r="H209" s="1531">
        <f t="shared" si="49"/>
        <v>0</v>
      </c>
      <c r="I209" s="1532"/>
      <c r="J209" s="1527"/>
      <c r="K209"/>
      <c r="L209" s="1527" t="str">
        <f t="shared" si="53"/>
        <v>C. 6</v>
      </c>
      <c r="M209" s="1836" t="str">
        <f t="shared" si="54"/>
        <v>Mantenimiento de rejas metálicas incluye limpieza de suciedad y oxido, reparación o reemplazo de partes dañadas, aplicación de anticorrosivo y pintura en poliuretano</v>
      </c>
      <c r="N209" s="1837"/>
      <c r="O209" s="1837"/>
      <c r="P209" s="1837"/>
      <c r="Q209" s="1838"/>
      <c r="R209" s="1544"/>
      <c r="S209" s="1544"/>
      <c r="T209" s="1544"/>
      <c r="U209" s="1544"/>
      <c r="V209" s="1544"/>
      <c r="W209" s="1544"/>
      <c r="X209" s="1544"/>
      <c r="Y209" s="1544"/>
      <c r="Z209" s="1544"/>
      <c r="AA209" s="1544"/>
      <c r="AB209" s="1544"/>
      <c r="AC209" s="1544"/>
      <c r="AD209" s="1544"/>
      <c r="AE209" s="1544"/>
      <c r="AF209" s="1544"/>
      <c r="AG209" s="1544"/>
      <c r="AH209" s="1544"/>
      <c r="AI209" s="1544"/>
      <c r="AJ209" s="1544"/>
      <c r="AK209" s="1544"/>
      <c r="AL209" s="1544"/>
      <c r="AM209" s="1544"/>
      <c r="AN209" s="1544"/>
      <c r="AO209" s="1544"/>
      <c r="AP209" s="1544"/>
      <c r="AQ209" s="1544"/>
      <c r="AR209" s="1544"/>
      <c r="AS209" s="1544"/>
      <c r="AT209" s="1544"/>
      <c r="AU209" s="1544"/>
      <c r="AV209" s="1544"/>
      <c r="AW209" s="1544"/>
      <c r="AX209" s="1544"/>
      <c r="AY209" s="1544"/>
      <c r="AZ209" s="1544"/>
      <c r="BA209" s="1544"/>
      <c r="BB209" s="1544"/>
      <c r="BC209" s="1544"/>
      <c r="BD209" s="1544"/>
      <c r="BE209" s="1544"/>
      <c r="BF209" s="1544"/>
      <c r="BG209" s="1544"/>
      <c r="BH209" s="1544"/>
    </row>
    <row r="210" spans="1:60" ht="25.5" outlineLevel="1" x14ac:dyDescent="0.25">
      <c r="A210" s="346" t="s">
        <v>289</v>
      </c>
      <c r="B210" s="347" t="s">
        <v>290</v>
      </c>
      <c r="C210" s="356" t="s">
        <v>19</v>
      </c>
      <c r="D210" s="348">
        <v>225</v>
      </c>
      <c r="E210" s="379">
        <v>45000</v>
      </c>
      <c r="F210" s="353">
        <f t="shared" si="48"/>
        <v>10125000</v>
      </c>
      <c r="G210" s="349">
        <v>4000</v>
      </c>
      <c r="H210" s="353">
        <f t="shared" si="49"/>
        <v>900000</v>
      </c>
      <c r="I210" s="1285">
        <f>IFERROR(VLOOKUP(A210,'valores unit indexados'!$A$14:$O$197,15,FALSE),0)</f>
        <v>0</v>
      </c>
      <c r="J210" s="349">
        <f t="shared" si="45"/>
        <v>0</v>
      </c>
      <c r="K210"/>
      <c r="L210" s="346" t="str">
        <f t="shared" si="53"/>
        <v>C. 6,1</v>
      </c>
      <c r="M210" s="347" t="str">
        <f t="shared" si="54"/>
        <v>Lavada de rejas existentes, incluye retiro de oxido, residuos, lijada y masillado.</v>
      </c>
      <c r="N210" s="356" t="str">
        <f>+C210</f>
        <v>M2</v>
      </c>
      <c r="O210" s="348">
        <f>+D210</f>
        <v>225</v>
      </c>
      <c r="P210" s="423">
        <f>VLOOKUP(L210,'selección precios unitario'!$A$5:$I$418,9,FALSE)</f>
        <v>24500</v>
      </c>
      <c r="Q210" s="423">
        <f t="shared" si="57"/>
        <v>5512500</v>
      </c>
    </row>
    <row r="211" spans="1:60" ht="25.5" outlineLevel="1" x14ac:dyDescent="0.25">
      <c r="A211" s="346" t="s">
        <v>291</v>
      </c>
      <c r="B211" s="347" t="s">
        <v>292</v>
      </c>
      <c r="C211" s="356" t="s">
        <v>19</v>
      </c>
      <c r="D211" s="348">
        <v>225</v>
      </c>
      <c r="E211" s="379">
        <v>35000</v>
      </c>
      <c r="F211" s="353">
        <f t="shared" si="48"/>
        <v>7875000</v>
      </c>
      <c r="G211" s="349">
        <v>8710</v>
      </c>
      <c r="H211" s="353">
        <f t="shared" si="49"/>
        <v>1959750</v>
      </c>
      <c r="I211" s="1285">
        <f>IFERROR(VLOOKUP(A211,'valores unit indexados'!$A$14:$O$197,15,FALSE),0)</f>
        <v>0</v>
      </c>
      <c r="J211" s="349">
        <f t="shared" si="45"/>
        <v>0</v>
      </c>
      <c r="K211"/>
      <c r="L211" s="346" t="str">
        <f t="shared" si="53"/>
        <v>C. 6,2</v>
      </c>
      <c r="M211" s="347" t="str">
        <f t="shared" si="54"/>
        <v>Suministro y aplicación de pintura anticorrosiva aplicación de pintura en esmalte (2 capas)</v>
      </c>
      <c r="N211" s="356" t="str">
        <f>+C211</f>
        <v>M2</v>
      </c>
      <c r="O211" s="348">
        <f>+D211</f>
        <v>225</v>
      </c>
      <c r="P211" s="423">
        <f>VLOOKUP(L211,'selección precios unitario'!$A$5:$I$418,9,FALSE)</f>
        <v>21855</v>
      </c>
      <c r="Q211" s="423">
        <f t="shared" si="57"/>
        <v>4917375</v>
      </c>
    </row>
    <row r="212" spans="1:60" s="1533" customFormat="1" ht="24.75" customHeight="1" outlineLevel="1" x14ac:dyDescent="0.25">
      <c r="A212" s="1527" t="s">
        <v>293</v>
      </c>
      <c r="B212" s="1528" t="s">
        <v>1528</v>
      </c>
      <c r="C212" s="1527"/>
      <c r="D212" s="1529"/>
      <c r="E212" s="1530"/>
      <c r="F212" s="1531">
        <f t="shared" si="48"/>
        <v>0</v>
      </c>
      <c r="G212" s="1530"/>
      <c r="H212" s="1531">
        <f t="shared" si="49"/>
        <v>0</v>
      </c>
      <c r="I212" s="1532"/>
      <c r="J212" s="1527"/>
      <c r="K212"/>
      <c r="L212" s="1527" t="str">
        <f t="shared" si="53"/>
        <v>C. 7</v>
      </c>
      <c r="M212" s="1836" t="str">
        <f t="shared" si="54"/>
        <v xml:space="preserve">Otros </v>
      </c>
      <c r="N212" s="1837"/>
      <c r="O212" s="1837"/>
      <c r="P212" s="1837"/>
      <c r="Q212" s="1838"/>
      <c r="R212" s="1544"/>
      <c r="S212" s="1544"/>
      <c r="T212" s="1544"/>
      <c r="U212" s="1544"/>
      <c r="V212" s="1544"/>
      <c r="W212" s="1544"/>
      <c r="X212" s="1544"/>
      <c r="Y212" s="1544"/>
      <c r="Z212" s="1544"/>
      <c r="AA212" s="1544"/>
      <c r="AB212" s="1544"/>
      <c r="AC212" s="1544"/>
      <c r="AD212" s="1544"/>
      <c r="AE212" s="1544"/>
      <c r="AF212" s="1544"/>
      <c r="AG212" s="1544"/>
      <c r="AH212" s="1544"/>
      <c r="AI212" s="1544"/>
      <c r="AJ212" s="1544"/>
      <c r="AK212" s="1544"/>
      <c r="AL212" s="1544"/>
      <c r="AM212" s="1544"/>
      <c r="AN212" s="1544"/>
      <c r="AO212" s="1544"/>
      <c r="AP212" s="1544"/>
      <c r="AQ212" s="1544"/>
      <c r="AR212" s="1544"/>
      <c r="AS212" s="1544"/>
      <c r="AT212" s="1544"/>
      <c r="AU212" s="1544"/>
      <c r="AV212" s="1544"/>
      <c r="AW212" s="1544"/>
      <c r="AX212" s="1544"/>
      <c r="AY212" s="1544"/>
      <c r="AZ212" s="1544"/>
      <c r="BA212" s="1544"/>
      <c r="BB212" s="1544"/>
      <c r="BC212" s="1544"/>
      <c r="BD212" s="1544"/>
      <c r="BE212" s="1544"/>
      <c r="BF212" s="1544"/>
      <c r="BG212" s="1544"/>
      <c r="BH212" s="1544"/>
    </row>
    <row r="213" spans="1:60" ht="38.25" outlineLevel="1" x14ac:dyDescent="0.25">
      <c r="A213" s="346" t="s">
        <v>295</v>
      </c>
      <c r="B213" s="358" t="s">
        <v>296</v>
      </c>
      <c r="C213" s="356" t="s">
        <v>6</v>
      </c>
      <c r="D213" s="348">
        <v>1</v>
      </c>
      <c r="E213" s="379">
        <v>850000</v>
      </c>
      <c r="F213" s="353">
        <f t="shared" si="48"/>
        <v>850000</v>
      </c>
      <c r="G213" s="349">
        <v>1000000</v>
      </c>
      <c r="H213" s="353">
        <f t="shared" si="49"/>
        <v>1000000</v>
      </c>
      <c r="I213" s="1285">
        <f>IFERROR(VLOOKUP(A213,'valores unit indexados'!$A$14:$O$197,15,FALSE),0)</f>
        <v>0</v>
      </c>
      <c r="J213" s="349">
        <f t="shared" si="45"/>
        <v>0</v>
      </c>
      <c r="K213"/>
      <c r="L213" s="346" t="str">
        <f t="shared" si="53"/>
        <v>C. 7,1</v>
      </c>
      <c r="M213" s="358" t="str">
        <f t="shared" si="54"/>
        <v>Suministro e instalación de puerta en madera con marco metálico cuyas medidas son 96 cm x 197 cm,  incluye marco, pintura y cerradura</v>
      </c>
      <c r="N213" s="356" t="str">
        <f t="shared" ref="N213:O218" si="58">+C213</f>
        <v>UND</v>
      </c>
      <c r="O213" s="348">
        <f t="shared" si="58"/>
        <v>1</v>
      </c>
      <c r="P213" s="423">
        <f>VLOOKUP(L213,'selección precios unitario'!$A$5:$I$418,9,FALSE)</f>
        <v>925000</v>
      </c>
      <c r="Q213" s="423">
        <f t="shared" si="57"/>
        <v>925000</v>
      </c>
    </row>
    <row r="214" spans="1:60" ht="25.5" outlineLevel="1" x14ac:dyDescent="0.25">
      <c r="A214" s="346" t="s">
        <v>297</v>
      </c>
      <c r="B214" s="358" t="s">
        <v>298</v>
      </c>
      <c r="C214" s="356" t="s">
        <v>14</v>
      </c>
      <c r="D214" s="348">
        <v>486.00000000000006</v>
      </c>
      <c r="E214" s="353">
        <v>25000</v>
      </c>
      <c r="F214" s="353">
        <f t="shared" si="48"/>
        <v>12150000.000000002</v>
      </c>
      <c r="G214" s="349">
        <v>31213</v>
      </c>
      <c r="H214" s="353">
        <f t="shared" si="49"/>
        <v>15169518.000000002</v>
      </c>
      <c r="I214" s="1285">
        <f>IFERROR(VLOOKUP(A214,'valores unit indexados'!$A$14:$O$197,15,FALSE),0)</f>
        <v>0</v>
      </c>
      <c r="J214" s="349">
        <f t="shared" si="45"/>
        <v>0</v>
      </c>
      <c r="K214"/>
      <c r="L214" s="346" t="str">
        <f t="shared" si="53"/>
        <v>C. 7,2</v>
      </c>
      <c r="M214" s="358" t="str">
        <f t="shared" si="54"/>
        <v>Suministro e instalación de sellador para uso exterior (para ventanas)</v>
      </c>
      <c r="N214" s="356" t="str">
        <f t="shared" si="58"/>
        <v>ML</v>
      </c>
      <c r="O214" s="348">
        <f t="shared" si="58"/>
        <v>486.00000000000006</v>
      </c>
      <c r="P214" s="423">
        <f>VLOOKUP(L214,'selección precios unitario'!$A$5:$I$418,9,FALSE)</f>
        <v>28107</v>
      </c>
      <c r="Q214" s="423">
        <f t="shared" si="57"/>
        <v>13660002</v>
      </c>
    </row>
    <row r="215" spans="1:60" ht="15" outlineLevel="1" x14ac:dyDescent="0.25">
      <c r="A215" s="346" t="s">
        <v>299</v>
      </c>
      <c r="B215" s="358" t="s">
        <v>1483</v>
      </c>
      <c r="C215" s="356" t="s">
        <v>6</v>
      </c>
      <c r="D215" s="348">
        <v>6</v>
      </c>
      <c r="E215" s="353">
        <v>50000</v>
      </c>
      <c r="F215" s="353">
        <f t="shared" si="48"/>
        <v>300000</v>
      </c>
      <c r="G215" s="349">
        <v>41800</v>
      </c>
      <c r="H215" s="353">
        <f t="shared" si="49"/>
        <v>250800</v>
      </c>
      <c r="I215" s="1285">
        <f>IFERROR(VLOOKUP(A215,'valores unit indexados'!$A$14:$O$197,15,FALSE),0)</f>
        <v>0</v>
      </c>
      <c r="J215" s="349">
        <f t="shared" si="45"/>
        <v>0</v>
      </c>
      <c r="K215"/>
      <c r="L215" s="346" t="str">
        <f t="shared" si="53"/>
        <v>C. 7,3</v>
      </c>
      <c r="M215" s="358" t="str">
        <f t="shared" si="54"/>
        <v>Desmonte orinal existente incluye tubería de desagüe</v>
      </c>
      <c r="N215" s="356" t="str">
        <f t="shared" si="58"/>
        <v>UND</v>
      </c>
      <c r="O215" s="348">
        <f t="shared" si="58"/>
        <v>6</v>
      </c>
      <c r="P215" s="423">
        <f>VLOOKUP(L215,'selección precios unitario'!$A$5:$I$418,9,FALSE)</f>
        <v>45900</v>
      </c>
      <c r="Q215" s="423">
        <f t="shared" si="57"/>
        <v>275400</v>
      </c>
    </row>
    <row r="216" spans="1:60" ht="15" outlineLevel="1" x14ac:dyDescent="0.25">
      <c r="A216" s="346" t="s">
        <v>301</v>
      </c>
      <c r="B216" s="358" t="s">
        <v>1484</v>
      </c>
      <c r="C216" s="356" t="s">
        <v>6</v>
      </c>
      <c r="D216" s="348">
        <v>6</v>
      </c>
      <c r="E216" s="379">
        <v>500000</v>
      </c>
      <c r="F216" s="353">
        <f t="shared" si="48"/>
        <v>3000000</v>
      </c>
      <c r="G216" s="349">
        <v>325000</v>
      </c>
      <c r="H216" s="353">
        <f t="shared" si="49"/>
        <v>1950000</v>
      </c>
      <c r="I216" s="1285">
        <f>IFERROR(VLOOKUP(A216,'valores unit indexados'!$A$14:$O$197,15,FALSE),0)</f>
        <v>0</v>
      </c>
      <c r="J216" s="349">
        <f t="shared" si="45"/>
        <v>0</v>
      </c>
      <c r="K216"/>
      <c r="L216" s="346" t="str">
        <f t="shared" si="53"/>
        <v>C. 7,4</v>
      </c>
      <c r="M216" s="358" t="str">
        <f t="shared" si="54"/>
        <v>Suministro e instalación de orinal incluye la tubería de desagüe</v>
      </c>
      <c r="N216" s="356" t="str">
        <f t="shared" si="58"/>
        <v>UND</v>
      </c>
      <c r="O216" s="348">
        <f t="shared" si="58"/>
        <v>6</v>
      </c>
      <c r="P216" s="423">
        <f>VLOOKUP(L216,'selección precios unitario'!$A$5:$I$418,9,FALSE)</f>
        <v>412500</v>
      </c>
      <c r="Q216" s="423">
        <f t="shared" si="57"/>
        <v>2475000</v>
      </c>
    </row>
    <row r="217" spans="1:60" ht="25.5" outlineLevel="1" x14ac:dyDescent="0.25">
      <c r="A217" s="346" t="s">
        <v>303</v>
      </c>
      <c r="B217" s="347" t="s">
        <v>304</v>
      </c>
      <c r="C217" s="340" t="s">
        <v>14</v>
      </c>
      <c r="D217" s="348">
        <v>3</v>
      </c>
      <c r="E217" s="353">
        <v>40000</v>
      </c>
      <c r="F217" s="353">
        <f t="shared" si="48"/>
        <v>120000</v>
      </c>
      <c r="G217" s="349">
        <v>36283</v>
      </c>
      <c r="H217" s="353">
        <f t="shared" si="49"/>
        <v>108849</v>
      </c>
      <c r="I217" s="1285">
        <f>+'valores unit indexados'!N198</f>
        <v>38658.06</v>
      </c>
      <c r="J217" s="349">
        <f t="shared" si="45"/>
        <v>115974.18</v>
      </c>
      <c r="K217"/>
      <c r="L217" s="346" t="str">
        <f t="shared" si="53"/>
        <v>C. 7,5</v>
      </c>
      <c r="M217" s="347" t="str">
        <f t="shared" si="54"/>
        <v xml:space="preserve">Suministro e instalación de tubería sanitaria de 2" incluye accesorios para su correcta instalación y elementos de fijación </v>
      </c>
      <c r="N217" s="340" t="str">
        <f t="shared" si="58"/>
        <v>ML</v>
      </c>
      <c r="O217" s="348">
        <f t="shared" si="58"/>
        <v>3</v>
      </c>
      <c r="P217" s="423">
        <f>VLOOKUP(L217,'selección precios unitario'!$A$5:$I$418,9,FALSE)</f>
        <v>38314</v>
      </c>
      <c r="Q217" s="423">
        <f t="shared" si="57"/>
        <v>114942</v>
      </c>
    </row>
    <row r="218" spans="1:60" ht="15" outlineLevel="1" x14ac:dyDescent="0.25">
      <c r="A218" s="346" t="s">
        <v>305</v>
      </c>
      <c r="B218" s="358" t="s">
        <v>195</v>
      </c>
      <c r="C218" s="356" t="s">
        <v>19</v>
      </c>
      <c r="D218" s="348">
        <v>1148</v>
      </c>
      <c r="E218" s="379">
        <v>7000</v>
      </c>
      <c r="F218" s="353">
        <f t="shared" si="48"/>
        <v>8036000</v>
      </c>
      <c r="G218" s="349">
        <v>4200</v>
      </c>
      <c r="H218" s="353">
        <f t="shared" si="49"/>
        <v>4821600</v>
      </c>
      <c r="I218" s="1285">
        <f>IFERROR(VLOOKUP(A218,'valores unit indexados'!$A$14:$O$197,15,FALSE),0)</f>
        <v>5300</v>
      </c>
      <c r="J218" s="349">
        <f t="shared" si="45"/>
        <v>6084400</v>
      </c>
      <c r="K218"/>
      <c r="L218" s="346" t="str">
        <f t="shared" si="53"/>
        <v>C. 7,6</v>
      </c>
      <c r="M218" s="358" t="str">
        <f t="shared" si="54"/>
        <v>Aseo general.</v>
      </c>
      <c r="N218" s="356" t="str">
        <f t="shared" si="58"/>
        <v>M2</v>
      </c>
      <c r="O218" s="348">
        <f t="shared" si="58"/>
        <v>1148</v>
      </c>
      <c r="P218" s="423">
        <f>VLOOKUP(L218,'selección precios unitario'!$A$5:$I$418,9,FALSE)</f>
        <v>5500</v>
      </c>
      <c r="Q218" s="423">
        <f t="shared" si="57"/>
        <v>6314000</v>
      </c>
    </row>
    <row r="219" spans="1:60" s="1533" customFormat="1" ht="24.75" customHeight="1" outlineLevel="1" x14ac:dyDescent="0.25">
      <c r="A219" s="1527" t="s">
        <v>306</v>
      </c>
      <c r="B219" s="1528" t="s">
        <v>307</v>
      </c>
      <c r="C219" s="1527"/>
      <c r="D219" s="1529"/>
      <c r="E219" s="1530"/>
      <c r="F219" s="1531">
        <f t="shared" si="48"/>
        <v>0</v>
      </c>
      <c r="G219" s="1530"/>
      <c r="H219" s="1531">
        <f t="shared" si="49"/>
        <v>0</v>
      </c>
      <c r="I219" s="1532"/>
      <c r="J219" s="1527"/>
      <c r="K219"/>
      <c r="L219" s="1527" t="str">
        <f t="shared" si="53"/>
        <v>C. 8</v>
      </c>
      <c r="M219" s="1836" t="str">
        <f t="shared" si="54"/>
        <v>Teja upvc</v>
      </c>
      <c r="N219" s="1837"/>
      <c r="O219" s="1837"/>
      <c r="P219" s="1837"/>
      <c r="Q219" s="1838"/>
      <c r="R219" s="1544"/>
      <c r="S219" s="1544"/>
      <c r="T219" s="1544"/>
      <c r="U219" s="1544"/>
      <c r="V219" s="1544"/>
      <c r="W219" s="1544"/>
      <c r="X219" s="1544"/>
      <c r="Y219" s="1544"/>
      <c r="Z219" s="1544"/>
      <c r="AA219" s="1544"/>
      <c r="AB219" s="1544"/>
      <c r="AC219" s="1544"/>
      <c r="AD219" s="1544"/>
      <c r="AE219" s="1544"/>
      <c r="AF219" s="1544"/>
      <c r="AG219" s="1544"/>
      <c r="AH219" s="1544"/>
      <c r="AI219" s="1544"/>
      <c r="AJ219" s="1544"/>
      <c r="AK219" s="1544"/>
      <c r="AL219" s="1544"/>
      <c r="AM219" s="1544"/>
      <c r="AN219" s="1544"/>
      <c r="AO219" s="1544"/>
      <c r="AP219" s="1544"/>
      <c r="AQ219" s="1544"/>
      <c r="AR219" s="1544"/>
      <c r="AS219" s="1544"/>
      <c r="AT219" s="1544"/>
      <c r="AU219" s="1544"/>
      <c r="AV219" s="1544"/>
      <c r="AW219" s="1544"/>
      <c r="AX219" s="1544"/>
      <c r="AY219" s="1544"/>
      <c r="AZ219" s="1544"/>
      <c r="BA219" s="1544"/>
      <c r="BB219" s="1544"/>
      <c r="BC219" s="1544"/>
      <c r="BD219" s="1544"/>
      <c r="BE219" s="1544"/>
      <c r="BF219" s="1544"/>
      <c r="BG219" s="1544"/>
      <c r="BH219" s="1544"/>
    </row>
    <row r="220" spans="1:60" ht="25.5" outlineLevel="1" x14ac:dyDescent="0.25">
      <c r="A220" s="346" t="s">
        <v>308</v>
      </c>
      <c r="B220" s="358" t="s">
        <v>309</v>
      </c>
      <c r="C220" s="356" t="s">
        <v>19</v>
      </c>
      <c r="D220" s="348">
        <v>175</v>
      </c>
      <c r="E220" s="353">
        <v>12000</v>
      </c>
      <c r="F220" s="353">
        <f t="shared" si="48"/>
        <v>2100000</v>
      </c>
      <c r="G220" s="349">
        <v>7046</v>
      </c>
      <c r="H220" s="353">
        <f t="shared" si="49"/>
        <v>1233050</v>
      </c>
      <c r="I220" s="1285">
        <f>IFERROR(VLOOKUP(A220,'valores unit indexados'!$A$14:$O$197,15,FALSE),0)</f>
        <v>0</v>
      </c>
      <c r="J220" s="349">
        <f t="shared" si="45"/>
        <v>0</v>
      </c>
      <c r="K220"/>
      <c r="L220" s="346" t="str">
        <f t="shared" si="53"/>
        <v>C. 8,1</v>
      </c>
      <c r="M220" s="358" t="str">
        <f t="shared" si="54"/>
        <v>Desmonte de teja en policarbonato , incluye estructura en mal estado</v>
      </c>
      <c r="N220" s="356" t="str">
        <f t="shared" ref="N220:O225" si="59">+C220</f>
        <v>M2</v>
      </c>
      <c r="O220" s="348">
        <f t="shared" si="59"/>
        <v>175</v>
      </c>
      <c r="P220" s="423">
        <f>VLOOKUP(L220,'selección precios unitario'!$A$5:$I$418,9,FALSE)</f>
        <v>9523</v>
      </c>
      <c r="Q220" s="423">
        <f t="shared" si="57"/>
        <v>1666525</v>
      </c>
    </row>
    <row r="221" spans="1:60" ht="25.5" outlineLevel="1" x14ac:dyDescent="0.25">
      <c r="A221" s="346" t="s">
        <v>310</v>
      </c>
      <c r="B221" s="347" t="s">
        <v>43</v>
      </c>
      <c r="C221" s="340" t="s">
        <v>6</v>
      </c>
      <c r="D221" s="348">
        <v>16</v>
      </c>
      <c r="E221" s="353">
        <v>66000</v>
      </c>
      <c r="F221" s="353">
        <f t="shared" si="48"/>
        <v>1056000</v>
      </c>
      <c r="G221" s="1292">
        <v>32500</v>
      </c>
      <c r="H221" s="353">
        <f t="shared" si="49"/>
        <v>520000</v>
      </c>
      <c r="I221" s="1285">
        <f>IFERROR(VLOOKUP(A221,'valores unit indexados'!$A$14:$O$197,15,FALSE),0)</f>
        <v>64568</v>
      </c>
      <c r="J221" s="349">
        <f t="shared" si="45"/>
        <v>1033088</v>
      </c>
      <c r="K221"/>
      <c r="L221" s="346" t="str">
        <f t="shared" si="53"/>
        <v>C. 8,2</v>
      </c>
      <c r="M221" s="347" t="str">
        <f t="shared" si="54"/>
        <v>Suministro e instalación de bases en concreto de 20 cm x 20 cm fundidos sobre losa de terraza</v>
      </c>
      <c r="N221" s="340" t="str">
        <f t="shared" si="59"/>
        <v>UND</v>
      </c>
      <c r="O221" s="348">
        <f t="shared" si="59"/>
        <v>16</v>
      </c>
      <c r="P221" s="423">
        <f>VLOOKUP(L221,'selección precios unitario'!$A$5:$I$418,9,FALSE)</f>
        <v>65284</v>
      </c>
      <c r="Q221" s="423">
        <f t="shared" si="57"/>
        <v>1044544</v>
      </c>
    </row>
    <row r="222" spans="1:60" ht="63.75" outlineLevel="1" x14ac:dyDescent="0.25">
      <c r="A222" s="346" t="s">
        <v>311</v>
      </c>
      <c r="B222" s="358" t="s">
        <v>45</v>
      </c>
      <c r="C222" s="361" t="s">
        <v>6</v>
      </c>
      <c r="D222" s="348">
        <v>16</v>
      </c>
      <c r="E222" s="353">
        <v>66000</v>
      </c>
      <c r="F222" s="353">
        <f t="shared" si="48"/>
        <v>1056000</v>
      </c>
      <c r="G222" s="1292">
        <v>35581</v>
      </c>
      <c r="H222" s="353">
        <f t="shared" si="49"/>
        <v>569296</v>
      </c>
      <c r="I222" s="1285">
        <f>IFERROR(VLOOKUP(A222,'valores unit indexados'!$A$14:$O$197,15,FALSE),0)</f>
        <v>64421</v>
      </c>
      <c r="J222" s="349">
        <f t="shared" si="45"/>
        <v>1030736</v>
      </c>
      <c r="K222"/>
      <c r="L222" s="346" t="str">
        <f t="shared" si="53"/>
        <v>C. 8,3</v>
      </c>
      <c r="M222" s="358" t="str">
        <f t="shared" si="54"/>
        <v>Suministro e instalación de platina 3/8 cuyas medidas oscilan así: 10 cm x 15 cm y 15 cm x 15 cm, incluye materiales complementarios de conexión, acero, corte, soldadura, anclajes, cartelas, tornillos, varilla de 1/2 soldada para anclaje sobre bases de concreto.</v>
      </c>
      <c r="N222" s="361" t="str">
        <f t="shared" si="59"/>
        <v>UND</v>
      </c>
      <c r="O222" s="348">
        <f t="shared" si="59"/>
        <v>16</v>
      </c>
      <c r="P222" s="423">
        <f>VLOOKUP(L222,'selección precios unitario'!$A$5:$I$418,9,FALSE)</f>
        <v>65211</v>
      </c>
      <c r="Q222" s="423">
        <f t="shared" si="57"/>
        <v>1043376</v>
      </c>
    </row>
    <row r="223" spans="1:60" ht="25.5" outlineLevel="1" x14ac:dyDescent="0.25">
      <c r="A223" s="346" t="s">
        <v>312</v>
      </c>
      <c r="B223" s="347" t="s">
        <v>49</v>
      </c>
      <c r="C223" s="340" t="s">
        <v>14</v>
      </c>
      <c r="D223" s="348">
        <v>116</v>
      </c>
      <c r="E223" s="353">
        <v>110000</v>
      </c>
      <c r="F223" s="353">
        <f t="shared" si="48"/>
        <v>12760000</v>
      </c>
      <c r="G223" s="412">
        <v>132301</v>
      </c>
      <c r="H223" s="353">
        <f t="shared" si="49"/>
        <v>15346916</v>
      </c>
      <c r="I223" s="1285">
        <f>IFERROR(VLOOKUP(A223,'valores unit indexados'!$A$14:$O$197,15,FALSE),0)</f>
        <v>106395</v>
      </c>
      <c r="J223" s="349">
        <f t="shared" si="45"/>
        <v>12341820</v>
      </c>
      <c r="K223"/>
      <c r="L223" s="346" t="str">
        <f t="shared" si="53"/>
        <v>C. 8,4</v>
      </c>
      <c r="M223" s="347" t="str">
        <f t="shared" si="54"/>
        <v>Suministro e instalación de estructura metálica para cubierta en tubería 100 cm x 50 cm calibre 2 mm, incluye pintura 3 en 1</v>
      </c>
      <c r="N223" s="340" t="str">
        <f t="shared" si="59"/>
        <v>ML</v>
      </c>
      <c r="O223" s="348">
        <f t="shared" si="59"/>
        <v>116</v>
      </c>
      <c r="P223" s="423">
        <f>VLOOKUP(L223,'selección precios unitario'!$A$5:$I$418,9,FALSE)</f>
        <v>108965</v>
      </c>
      <c r="Q223" s="423">
        <f t="shared" si="57"/>
        <v>12639940</v>
      </c>
    </row>
    <row r="224" spans="1:60" ht="25.5" outlineLevel="1" x14ac:dyDescent="0.25">
      <c r="A224" s="346" t="s">
        <v>313</v>
      </c>
      <c r="B224" s="347" t="s">
        <v>314</v>
      </c>
      <c r="C224" s="340" t="s">
        <v>14</v>
      </c>
      <c r="D224" s="348">
        <v>195</v>
      </c>
      <c r="E224" s="353">
        <v>100000</v>
      </c>
      <c r="F224" s="353">
        <f t="shared" si="48"/>
        <v>19500000</v>
      </c>
      <c r="G224" s="412">
        <v>104000</v>
      </c>
      <c r="H224" s="353">
        <f t="shared" si="49"/>
        <v>20280000</v>
      </c>
      <c r="I224" s="1285">
        <f>IFERROR(VLOOKUP(A224,'valores unit indexados'!$A$14:$O$197,15,FALSE),0)</f>
        <v>97346</v>
      </c>
      <c r="J224" s="349">
        <f t="shared" ref="J224:J225" si="60">+I224*D224</f>
        <v>18982470</v>
      </c>
      <c r="K224"/>
      <c r="L224" s="346" t="str">
        <f t="shared" si="53"/>
        <v>C. 8,5</v>
      </c>
      <c r="M224" s="347" t="str">
        <f t="shared" si="54"/>
        <v>Suministro e instalación de estructura metálica para cubierta en tubería 80 cm x 40 cm calibre 2 mm, incluye pintura 3 en 1</v>
      </c>
      <c r="N224" s="340" t="str">
        <f t="shared" si="59"/>
        <v>ML</v>
      </c>
      <c r="O224" s="348">
        <f t="shared" si="59"/>
        <v>195</v>
      </c>
      <c r="P224" s="423">
        <f>VLOOKUP(L224,'selección precios unitario'!$A$5:$I$418,9,FALSE)</f>
        <v>100449</v>
      </c>
      <c r="Q224" s="423">
        <f t="shared" si="57"/>
        <v>19587555</v>
      </c>
    </row>
    <row r="225" spans="1:60" ht="26.25" outlineLevel="1" thickBot="1" x14ac:dyDescent="0.3">
      <c r="A225" s="354" t="s">
        <v>315</v>
      </c>
      <c r="B225" s="347" t="s">
        <v>316</v>
      </c>
      <c r="C225" s="340" t="s">
        <v>19</v>
      </c>
      <c r="D225" s="348">
        <v>201</v>
      </c>
      <c r="E225" s="353">
        <v>80000</v>
      </c>
      <c r="F225" s="353">
        <f t="shared" ref="F225" si="61">+E225*D225</f>
        <v>16080000</v>
      </c>
      <c r="G225" s="412">
        <v>65949</v>
      </c>
      <c r="H225" s="353">
        <f t="shared" ref="H225" si="62">+G225*D225</f>
        <v>13255749</v>
      </c>
      <c r="I225" s="1285">
        <f>IFERROR(VLOOKUP(A225,'valores unit indexados'!$A$14:$O$197,15,FALSE),0)</f>
        <v>77917</v>
      </c>
      <c r="J225" s="349">
        <f t="shared" si="60"/>
        <v>15661317</v>
      </c>
      <c r="K225"/>
      <c r="L225" s="354" t="str">
        <f t="shared" si="53"/>
        <v>C. 8,6</v>
      </c>
      <c r="M225" s="347" t="str">
        <f t="shared" si="54"/>
        <v>Suministro e instalación de cubierta en teja upvc blanca con tramos translucidos intercalados</v>
      </c>
      <c r="N225" s="340" t="str">
        <f t="shared" si="59"/>
        <v>M2</v>
      </c>
      <c r="O225" s="348">
        <f t="shared" si="59"/>
        <v>201</v>
      </c>
      <c r="P225" s="423">
        <f>VLOOKUP(L225,'selección precios unitario'!$A$5:$I$418,9,FALSE)</f>
        <v>78959</v>
      </c>
      <c r="Q225" s="423">
        <f t="shared" si="57"/>
        <v>15870759</v>
      </c>
    </row>
    <row r="226" spans="1:60" ht="15.75" thickBot="1" x14ac:dyDescent="0.3">
      <c r="A226"/>
      <c r="B226"/>
      <c r="C226" s="1712" t="s">
        <v>196</v>
      </c>
      <c r="D226" s="1775"/>
      <c r="E226" s="1714"/>
      <c r="F226" s="1715">
        <f>SUM(F160:F225)</f>
        <v>498650110</v>
      </c>
      <c r="G226" s="1716"/>
      <c r="H226" s="1715">
        <f>SUM(H160:H225)</f>
        <v>239919793.928</v>
      </c>
      <c r="I226" s="1717"/>
      <c r="J226" s="1722">
        <f>SUM(J160:J225)</f>
        <v>110821314.56999999</v>
      </c>
      <c r="K226"/>
      <c r="L226" s="1777"/>
      <c r="M226" s="1721"/>
      <c r="N226" s="1839" t="str">
        <f t="shared" ref="N226:N231" si="63">+C226</f>
        <v>COSTO DIRECTO</v>
      </c>
      <c r="O226" s="1840"/>
      <c r="P226" s="1841"/>
      <c r="Q226" s="1722">
        <f>SUM(Q160:Q225)</f>
        <v>379992424</v>
      </c>
    </row>
    <row r="227" spans="1:60" ht="15" x14ac:dyDescent="0.25">
      <c r="A227"/>
      <c r="B227"/>
      <c r="C227" s="1773" t="s">
        <v>197</v>
      </c>
      <c r="D227" s="1774"/>
      <c r="E227" s="1708">
        <v>0.25</v>
      </c>
      <c r="F227" s="1709">
        <f>+E227*$F$226</f>
        <v>124662527.5</v>
      </c>
      <c r="G227" s="1708">
        <v>0.24</v>
      </c>
      <c r="H227" s="1709">
        <f>+G227*$H$226</f>
        <v>57580750.542719997</v>
      </c>
      <c r="I227" s="1708">
        <v>0</v>
      </c>
      <c r="J227" s="1709">
        <f>+I227*$J$226</f>
        <v>0</v>
      </c>
      <c r="K227"/>
      <c r="L227" s="1298"/>
      <c r="M227" s="1645"/>
      <c r="N227" s="1845" t="str">
        <f t="shared" si="63"/>
        <v xml:space="preserve">ADMINISTRACION </v>
      </c>
      <c r="O227" s="1846"/>
      <c r="P227" s="1710">
        <v>0.185</v>
      </c>
      <c r="Q227" s="1711">
        <f>ROUND(P227*$Q$226,0)</f>
        <v>70298598</v>
      </c>
    </row>
    <row r="228" spans="1:60" ht="15" x14ac:dyDescent="0.25">
      <c r="A228"/>
      <c r="B228"/>
      <c r="C228" s="1769" t="s">
        <v>198</v>
      </c>
      <c r="D228" s="1770"/>
      <c r="E228" s="375">
        <v>0.02</v>
      </c>
      <c r="F228" s="376">
        <f t="shared" ref="F228:F229" si="64">+E228*$F$226</f>
        <v>9973002.2000000011</v>
      </c>
      <c r="G228" s="375">
        <v>0.01</v>
      </c>
      <c r="H228" s="376">
        <f t="shared" ref="H228:H229" si="65">+G228*$H$226</f>
        <v>2399197.93928</v>
      </c>
      <c r="I228" s="375">
        <v>0</v>
      </c>
      <c r="J228" s="376">
        <f t="shared" ref="J228:J229" si="66">+I228*$J$226</f>
        <v>0</v>
      </c>
      <c r="K228"/>
      <c r="L228" s="1298"/>
      <c r="M228" s="1645"/>
      <c r="N228" s="1847" t="str">
        <f t="shared" si="63"/>
        <v xml:space="preserve">IMPREVISTO </v>
      </c>
      <c r="O228" s="1848"/>
      <c r="P228" s="1296">
        <v>0.02</v>
      </c>
      <c r="Q228" s="1711">
        <f t="shared" ref="Q228:Q229" si="67">ROUND(P228*$Q$226,0)</f>
        <v>7599848</v>
      </c>
    </row>
    <row r="229" spans="1:60" ht="15" x14ac:dyDescent="0.25">
      <c r="A229"/>
      <c r="B229"/>
      <c r="C229" s="1769" t="s">
        <v>199</v>
      </c>
      <c r="D229" s="1770"/>
      <c r="E229" s="375">
        <v>0.05</v>
      </c>
      <c r="F229" s="376">
        <f t="shared" si="64"/>
        <v>24932505.5</v>
      </c>
      <c r="G229" s="375">
        <v>0.05</v>
      </c>
      <c r="H229" s="376">
        <f t="shared" si="65"/>
        <v>11995989.696400002</v>
      </c>
      <c r="I229" s="375">
        <v>0</v>
      </c>
      <c r="J229" s="376">
        <f t="shared" si="66"/>
        <v>0</v>
      </c>
      <c r="K229"/>
      <c r="L229" s="1298"/>
      <c r="M229" s="1645"/>
      <c r="N229" s="1847" t="str">
        <f t="shared" si="63"/>
        <v>UTILIDAD</v>
      </c>
      <c r="O229" s="1848"/>
      <c r="P229" s="1296">
        <v>4.4999999999999998E-2</v>
      </c>
      <c r="Q229" s="1711">
        <f t="shared" si="67"/>
        <v>17099659</v>
      </c>
    </row>
    <row r="230" spans="1:60" ht="15.75" thickBot="1" x14ac:dyDescent="0.3">
      <c r="A230"/>
      <c r="B230"/>
      <c r="C230" s="1771" t="s">
        <v>200</v>
      </c>
      <c r="D230" s="1772"/>
      <c r="E230" s="1725">
        <v>0.19</v>
      </c>
      <c r="F230" s="1726">
        <f>+F229*E230</f>
        <v>4737176.0449999999</v>
      </c>
      <c r="G230" s="1725">
        <v>0.19</v>
      </c>
      <c r="H230" s="1726">
        <f>+H229*G230</f>
        <v>2279238.0423160004</v>
      </c>
      <c r="I230" s="1725">
        <v>0</v>
      </c>
      <c r="J230" s="1726">
        <f>+J229*I230</f>
        <v>0</v>
      </c>
      <c r="K230"/>
      <c r="L230" s="1298"/>
      <c r="M230" s="1645"/>
      <c r="N230" s="1849" t="str">
        <f t="shared" si="63"/>
        <v xml:space="preserve">IVA SOBRE UTILIDAD </v>
      </c>
      <c r="O230" s="1850"/>
      <c r="P230" s="1727">
        <v>0.19</v>
      </c>
      <c r="Q230" s="1711">
        <f>ROUND(P230*$Q$229,0)</f>
        <v>3248935</v>
      </c>
    </row>
    <row r="231" spans="1:60" ht="15.75" thickBot="1" x14ac:dyDescent="0.3">
      <c r="A231"/>
      <c r="B231"/>
      <c r="C231" s="1728" t="s">
        <v>201</v>
      </c>
      <c r="D231" s="1729"/>
      <c r="E231" s="1730"/>
      <c r="F231" s="1731">
        <f>SUM(F226:F230)</f>
        <v>662955321.245</v>
      </c>
      <c r="G231" s="1730"/>
      <c r="H231" s="1731">
        <f>SUM(H226:H230)</f>
        <v>314174970.14871597</v>
      </c>
      <c r="I231" s="1732"/>
      <c r="J231" s="1779">
        <f>SUM(J226:J230)</f>
        <v>110821314.56999999</v>
      </c>
      <c r="K231"/>
      <c r="L231" s="1777"/>
      <c r="M231" s="1721"/>
      <c r="N231" s="1842" t="str">
        <f t="shared" si="63"/>
        <v xml:space="preserve">VALOR TOTAL INCLUIDO AIU E IVA </v>
      </c>
      <c r="O231" s="1843"/>
      <c r="P231" s="1844"/>
      <c r="Q231" s="1733">
        <f>SUM(Q226:Q230)</f>
        <v>478239464</v>
      </c>
    </row>
    <row r="232" spans="1:60" ht="15.75" thickBot="1" x14ac:dyDescent="0.3">
      <c r="K232"/>
      <c r="L232" s="1298"/>
      <c r="M232"/>
      <c r="N232"/>
      <c r="O232"/>
      <c r="P232"/>
      <c r="Q232"/>
    </row>
    <row r="233" spans="1:60" ht="15.75" customHeight="1" thickBot="1" x14ac:dyDescent="0.3">
      <c r="A233" s="1801" t="s">
        <v>317</v>
      </c>
      <c r="B233" s="1802" t="s">
        <v>318</v>
      </c>
      <c r="C233" s="1802"/>
      <c r="D233" s="1802"/>
      <c r="E233" s="1802"/>
      <c r="F233" s="1802"/>
      <c r="G233" s="1802"/>
      <c r="H233" s="1802"/>
      <c r="I233" s="1802"/>
      <c r="J233" s="1818"/>
      <c r="K233"/>
      <c r="L233" s="1819" t="str">
        <f t="shared" ref="L233:L264" si="68">+A233</f>
        <v>D</v>
      </c>
      <c r="M233" s="1853" t="str">
        <f>+B233</f>
        <v>Sede de Familia de Palmira</v>
      </c>
      <c r="N233" s="1854"/>
      <c r="O233" s="1854"/>
      <c r="P233" s="1854"/>
      <c r="Q233" s="1855"/>
    </row>
    <row r="234" spans="1:60" s="1533" customFormat="1" ht="24.75" hidden="1" customHeight="1" outlineLevel="1" x14ac:dyDescent="0.25">
      <c r="A234" s="1527" t="s">
        <v>319</v>
      </c>
      <c r="B234" s="1528" t="s">
        <v>320</v>
      </c>
      <c r="C234" s="1527"/>
      <c r="D234" s="1529"/>
      <c r="E234" s="1530"/>
      <c r="F234" s="1531"/>
      <c r="G234" s="1530"/>
      <c r="H234" s="1531"/>
      <c r="I234" s="1532"/>
      <c r="J234" s="1527"/>
      <c r="K234"/>
      <c r="L234" s="1527" t="str">
        <f t="shared" si="68"/>
        <v>D. 1</v>
      </c>
      <c r="M234" s="1836" t="str">
        <f t="shared" ref="M234:M264" si="69">+B234</f>
        <v>Arreglo humedades fachada</v>
      </c>
      <c r="N234" s="1837"/>
      <c r="O234" s="1837"/>
      <c r="P234" s="1837"/>
      <c r="Q234" s="1838"/>
      <c r="R234" s="1544"/>
      <c r="S234" s="1544"/>
      <c r="T234" s="1544"/>
      <c r="U234" s="1544"/>
      <c r="V234" s="1544"/>
      <c r="W234" s="1544"/>
      <c r="X234" s="1544"/>
      <c r="Y234" s="1544"/>
      <c r="Z234" s="1544"/>
      <c r="AA234" s="1544"/>
      <c r="AB234" s="1544"/>
      <c r="AC234" s="1544"/>
      <c r="AD234" s="1544"/>
      <c r="AE234" s="1544"/>
      <c r="AF234" s="1544"/>
      <c r="AG234" s="1544"/>
      <c r="AH234" s="1544"/>
      <c r="AI234" s="1544"/>
      <c r="AJ234" s="1544"/>
      <c r="AK234" s="1544"/>
      <c r="AL234" s="1544"/>
      <c r="AM234" s="1544"/>
      <c r="AN234" s="1544"/>
      <c r="AO234" s="1544"/>
      <c r="AP234" s="1544"/>
      <c r="AQ234" s="1544"/>
      <c r="AR234" s="1544"/>
      <c r="AS234" s="1544"/>
      <c r="AT234" s="1544"/>
      <c r="AU234" s="1544"/>
      <c r="AV234" s="1544"/>
      <c r="AW234" s="1544"/>
      <c r="AX234" s="1544"/>
      <c r="AY234" s="1544"/>
      <c r="AZ234" s="1544"/>
      <c r="BA234" s="1544"/>
      <c r="BB234" s="1544"/>
      <c r="BC234" s="1544"/>
      <c r="BD234" s="1544"/>
      <c r="BE234" s="1544"/>
      <c r="BF234" s="1544"/>
      <c r="BG234" s="1544"/>
      <c r="BH234" s="1544"/>
    </row>
    <row r="235" spans="1:60" ht="38.25" hidden="1" outlineLevel="1" x14ac:dyDescent="0.25">
      <c r="A235" s="346" t="s">
        <v>321</v>
      </c>
      <c r="B235" s="347" t="s">
        <v>222</v>
      </c>
      <c r="C235" s="340" t="s">
        <v>14</v>
      </c>
      <c r="D235" s="348">
        <v>29</v>
      </c>
      <c r="E235" s="353">
        <v>135000</v>
      </c>
      <c r="F235" s="353">
        <f>+E235*D235</f>
        <v>3915000</v>
      </c>
      <c r="G235" s="399">
        <v>0</v>
      </c>
      <c r="H235" s="353">
        <f>+G235*D235</f>
        <v>0</v>
      </c>
      <c r="I235" s="1285">
        <f>IFERROR(VLOOKUP(A235,'valores unit indexados'!$A$14:$O$197,15,FALSE),0)</f>
        <v>226947</v>
      </c>
      <c r="J235" s="350">
        <f t="shared" ref="J235:J298" si="70">+I235*D235</f>
        <v>6581463</v>
      </c>
      <c r="K235"/>
      <c r="L235" s="346" t="str">
        <f t="shared" si="68"/>
        <v>D. 1,1</v>
      </c>
      <c r="M235" s="347" t="str">
        <f t="shared" si="69"/>
        <v>Pasarela cercada que permita la circulación de vehículos, y contenga, (soporte) la caída de materiales de la obra al espacio público (ancho mínimo de 2 metros)</v>
      </c>
      <c r="N235" s="340" t="str">
        <f t="shared" ref="N235:N246" si="71">+C235</f>
        <v>ML</v>
      </c>
      <c r="O235" s="348">
        <f t="shared" ref="O235:O246" si="72">+D235</f>
        <v>29</v>
      </c>
      <c r="P235" s="423">
        <f>VLOOKUP(L235,'selección precios unitario'!$A$5:$I$418,9,FALSE)</f>
        <v>226947</v>
      </c>
      <c r="Q235" s="423">
        <f t="shared" ref="Q235:Q246" si="73">ROUND(P235*O235,0)</f>
        <v>6581463</v>
      </c>
    </row>
    <row r="236" spans="1:60" ht="25.5" hidden="1" outlineLevel="1" x14ac:dyDescent="0.25">
      <c r="A236" s="381" t="s">
        <v>322</v>
      </c>
      <c r="B236" s="347" t="s">
        <v>224</v>
      </c>
      <c r="C236" s="340" t="s">
        <v>19</v>
      </c>
      <c r="D236" s="348">
        <v>73</v>
      </c>
      <c r="E236" s="353">
        <v>12500</v>
      </c>
      <c r="F236" s="353">
        <f t="shared" ref="F236:F299" si="74">+E236*D236</f>
        <v>912500</v>
      </c>
      <c r="G236" s="349">
        <v>5000</v>
      </c>
      <c r="H236" s="353">
        <f t="shared" ref="H236:H299" si="75">+G236*D236</f>
        <v>365000</v>
      </c>
      <c r="I236" s="1285">
        <f>IFERROR(VLOOKUP(A236,'valores unit indexados'!$A$14:$O$197,15,FALSE),0)</f>
        <v>16681</v>
      </c>
      <c r="J236" s="350">
        <f t="shared" si="70"/>
        <v>1217713</v>
      </c>
      <c r="K236"/>
      <c r="L236" s="381" t="str">
        <f t="shared" si="68"/>
        <v>D. 1,2</v>
      </c>
      <c r="M236" s="347" t="str">
        <f t="shared" si="69"/>
        <v xml:space="preserve">Malla sombra, elemento de protección perimetral para mitigar el riesgo de caída de herramientas o materiales.  </v>
      </c>
      <c r="N236" s="340" t="str">
        <f t="shared" si="71"/>
        <v>M2</v>
      </c>
      <c r="O236" s="348">
        <f t="shared" si="72"/>
        <v>73</v>
      </c>
      <c r="P236" s="423">
        <f>VLOOKUP(L236,'selección precios unitario'!$A$5:$I$418,9,FALSE)</f>
        <v>16681</v>
      </c>
      <c r="Q236" s="423">
        <f t="shared" si="73"/>
        <v>1217713</v>
      </c>
    </row>
    <row r="237" spans="1:60" ht="15" hidden="1" outlineLevel="1" x14ac:dyDescent="0.25">
      <c r="A237" s="346" t="s">
        <v>323</v>
      </c>
      <c r="B237" s="358" t="s">
        <v>324</v>
      </c>
      <c r="C237" s="356" t="s">
        <v>19</v>
      </c>
      <c r="D237" s="356">
        <v>7</v>
      </c>
      <c r="E237" s="379">
        <v>20000</v>
      </c>
      <c r="F237" s="379">
        <f t="shared" si="74"/>
        <v>140000</v>
      </c>
      <c r="G237" s="1292">
        <v>6656</v>
      </c>
      <c r="H237" s="353">
        <f t="shared" si="75"/>
        <v>46592</v>
      </c>
      <c r="I237" s="1285">
        <f>IFERROR(VLOOKUP(A237,'valores unit indexados'!$A$14:$O$197,15,FALSE),0)</f>
        <v>0</v>
      </c>
      <c r="J237" s="350">
        <f t="shared" si="70"/>
        <v>0</v>
      </c>
      <c r="K237"/>
      <c r="L237" s="346" t="str">
        <f t="shared" si="68"/>
        <v>D. 1,3</v>
      </c>
      <c r="M237" s="358" t="str">
        <f t="shared" si="69"/>
        <v>Desmonte de placa en fibrocemento (superboard)</v>
      </c>
      <c r="N237" s="356" t="str">
        <f t="shared" si="71"/>
        <v>M2</v>
      </c>
      <c r="O237" s="356">
        <f t="shared" si="72"/>
        <v>7</v>
      </c>
      <c r="P237" s="423">
        <f>VLOOKUP(L237,'selección precios unitario'!$A$5:$I$418,9,FALSE)</f>
        <v>8250</v>
      </c>
      <c r="Q237" s="423">
        <f t="shared" si="73"/>
        <v>57750</v>
      </c>
    </row>
    <row r="238" spans="1:60" ht="15" hidden="1" outlineLevel="1" x14ac:dyDescent="0.25">
      <c r="A238" s="381" t="s">
        <v>325</v>
      </c>
      <c r="B238" s="358" t="s">
        <v>324</v>
      </c>
      <c r="C238" s="356" t="s">
        <v>14</v>
      </c>
      <c r="D238" s="356">
        <v>91</v>
      </c>
      <c r="E238" s="379">
        <v>12000</v>
      </c>
      <c r="F238" s="379">
        <f t="shared" si="74"/>
        <v>1092000</v>
      </c>
      <c r="G238" s="1292">
        <v>4500</v>
      </c>
      <c r="H238" s="353">
        <f t="shared" si="75"/>
        <v>409500</v>
      </c>
      <c r="I238" s="1285">
        <f>IFERROR(VLOOKUP(A238,'valores unit indexados'!$A$14:$O$197,15,FALSE),0)</f>
        <v>0</v>
      </c>
      <c r="J238" s="350">
        <f t="shared" si="70"/>
        <v>0</v>
      </c>
      <c r="K238"/>
      <c r="L238" s="381" t="str">
        <f t="shared" si="68"/>
        <v>D. 1,4</v>
      </c>
      <c r="M238" s="358" t="str">
        <f t="shared" si="69"/>
        <v>Desmonte de placa en fibrocemento (superboard)</v>
      </c>
      <c r="N238" s="356" t="str">
        <f t="shared" si="71"/>
        <v>ML</v>
      </c>
      <c r="O238" s="356">
        <f t="shared" si="72"/>
        <v>91</v>
      </c>
      <c r="P238" s="423">
        <f>VLOOKUP(L238,'selección precios unitario'!$A$5:$I$418,9,FALSE)</f>
        <v>8250</v>
      </c>
      <c r="Q238" s="423">
        <f t="shared" si="73"/>
        <v>750750</v>
      </c>
    </row>
    <row r="239" spans="1:60" ht="25.5" hidden="1" outlineLevel="1" x14ac:dyDescent="0.25">
      <c r="A239" s="381" t="s">
        <v>326</v>
      </c>
      <c r="B239" s="347" t="s">
        <v>327</v>
      </c>
      <c r="C239" s="356" t="s">
        <v>19</v>
      </c>
      <c r="D239" s="356">
        <v>7</v>
      </c>
      <c r="E239" s="379">
        <v>110000</v>
      </c>
      <c r="F239" s="379">
        <f t="shared" si="74"/>
        <v>770000</v>
      </c>
      <c r="G239" s="1292">
        <v>68952</v>
      </c>
      <c r="H239" s="353">
        <f t="shared" si="75"/>
        <v>482664</v>
      </c>
      <c r="I239" s="1285">
        <f>IFERROR(VLOOKUP(A239,'valores unit indexados'!$A$14:$O$197,15,FALSE),0)</f>
        <v>0</v>
      </c>
      <c r="J239" s="350">
        <f t="shared" si="70"/>
        <v>0</v>
      </c>
      <c r="K239"/>
      <c r="L239" s="381" t="str">
        <f t="shared" si="68"/>
        <v>D. 1,5</v>
      </c>
      <c r="M239" s="347" t="str">
        <f t="shared" si="69"/>
        <v>Suministro e instalación de placa en fibrocemento 8mm, incluye masillada, filos y pintura para exterior</v>
      </c>
      <c r="N239" s="356" t="str">
        <f t="shared" si="71"/>
        <v>M2</v>
      </c>
      <c r="O239" s="356">
        <f t="shared" si="72"/>
        <v>7</v>
      </c>
      <c r="P239" s="423">
        <f>VLOOKUP(L239,'selección precios unitario'!$A$5:$I$418,9,FALSE)</f>
        <v>74300</v>
      </c>
      <c r="Q239" s="423">
        <f t="shared" si="73"/>
        <v>520100</v>
      </c>
    </row>
    <row r="240" spans="1:60" ht="15" hidden="1" outlineLevel="1" x14ac:dyDescent="0.25">
      <c r="A240" s="381" t="s">
        <v>328</v>
      </c>
      <c r="B240" s="368" t="s">
        <v>88</v>
      </c>
      <c r="C240" s="367" t="s">
        <v>19</v>
      </c>
      <c r="D240" s="356">
        <v>189</v>
      </c>
      <c r="E240" s="379">
        <v>28000</v>
      </c>
      <c r="F240" s="379">
        <f t="shared" si="74"/>
        <v>5292000</v>
      </c>
      <c r="G240" s="1292">
        <v>11700</v>
      </c>
      <c r="H240" s="353">
        <f t="shared" si="75"/>
        <v>2211300</v>
      </c>
      <c r="I240" s="1285">
        <f>IFERROR(VLOOKUP(A240,'valores unit indexados'!$A$14:$O$197,15,FALSE),0)</f>
        <v>24610</v>
      </c>
      <c r="J240" s="350">
        <f t="shared" si="70"/>
        <v>4651290</v>
      </c>
      <c r="K240"/>
      <c r="L240" s="381" t="str">
        <f t="shared" si="68"/>
        <v>D. 1,6</v>
      </c>
      <c r="M240" s="368" t="str">
        <f t="shared" si="69"/>
        <v xml:space="preserve">Suministro y aplicación de estuco plástico </v>
      </c>
      <c r="N240" s="367" t="str">
        <f t="shared" si="71"/>
        <v>M2</v>
      </c>
      <c r="O240" s="356">
        <f t="shared" si="72"/>
        <v>189</v>
      </c>
      <c r="P240" s="423">
        <f>VLOOKUP(L240,'selección precios unitario'!$A$5:$I$418,9,FALSE)</f>
        <v>26305</v>
      </c>
      <c r="Q240" s="423">
        <f t="shared" si="73"/>
        <v>4971645</v>
      </c>
    </row>
    <row r="241" spans="1:60" ht="25.5" hidden="1" outlineLevel="1" x14ac:dyDescent="0.25">
      <c r="A241" s="346" t="s">
        <v>329</v>
      </c>
      <c r="B241" s="358" t="s">
        <v>330</v>
      </c>
      <c r="C241" s="356" t="s">
        <v>19</v>
      </c>
      <c r="D241" s="356">
        <v>377</v>
      </c>
      <c r="E241" s="379">
        <v>21000</v>
      </c>
      <c r="F241" s="379">
        <f t="shared" si="74"/>
        <v>7917000</v>
      </c>
      <c r="G241" s="1292">
        <v>7982</v>
      </c>
      <c r="H241" s="353">
        <f t="shared" si="75"/>
        <v>3009214</v>
      </c>
      <c r="I241" s="1285">
        <f>IFERROR(VLOOKUP(A241,'valores unit indexados'!$A$14:$O$197,15,FALSE),0)</f>
        <v>0</v>
      </c>
      <c r="J241" s="350">
        <f t="shared" si="70"/>
        <v>0</v>
      </c>
      <c r="K241"/>
      <c r="L241" s="346" t="str">
        <f t="shared" si="68"/>
        <v>D. 1,7</v>
      </c>
      <c r="M241" s="358" t="str">
        <f t="shared" si="69"/>
        <v>Suministro y aplicación de pintura para superboard para exterior a dos manos color similar al existente</v>
      </c>
      <c r="N241" s="356" t="str">
        <f t="shared" si="71"/>
        <v>M2</v>
      </c>
      <c r="O241" s="356">
        <f t="shared" si="72"/>
        <v>377</v>
      </c>
      <c r="P241" s="423">
        <f>VLOOKUP(L241,'selección precios unitario'!$A$5:$I$418,9,FALSE)</f>
        <v>21000</v>
      </c>
      <c r="Q241" s="423">
        <f t="shared" si="73"/>
        <v>7917000</v>
      </c>
    </row>
    <row r="242" spans="1:60" ht="25.5" hidden="1" outlineLevel="1" x14ac:dyDescent="0.25">
      <c r="A242" s="381" t="s">
        <v>331</v>
      </c>
      <c r="B242" s="358" t="s">
        <v>1485</v>
      </c>
      <c r="C242" s="356" t="s">
        <v>14</v>
      </c>
      <c r="D242" s="356">
        <v>28</v>
      </c>
      <c r="E242" s="379">
        <v>20000</v>
      </c>
      <c r="F242" s="379">
        <f t="shared" si="74"/>
        <v>560000</v>
      </c>
      <c r="G242" s="1292">
        <v>3055</v>
      </c>
      <c r="H242" s="353">
        <f t="shared" si="75"/>
        <v>85540</v>
      </c>
      <c r="I242" s="1285">
        <f>IFERROR(VLOOKUP(A242,'valores unit indexados'!$A$14:$O$197,15,FALSE),0)</f>
        <v>0</v>
      </c>
      <c r="J242" s="350">
        <f t="shared" si="70"/>
        <v>0</v>
      </c>
      <c r="K242"/>
      <c r="L242" s="381" t="str">
        <f t="shared" si="68"/>
        <v>D. 1,8</v>
      </c>
      <c r="M242" s="358" t="str">
        <f t="shared" si="69"/>
        <v>Mantenimiento alfajía metálica existente incluye desmonte y nivelación (pendiente)</v>
      </c>
      <c r="N242" s="356" t="str">
        <f t="shared" si="71"/>
        <v>ML</v>
      </c>
      <c r="O242" s="356">
        <f t="shared" si="72"/>
        <v>28</v>
      </c>
      <c r="P242" s="423">
        <f>VLOOKUP(L242,'selección precios unitario'!$A$5:$I$418,9,FALSE)</f>
        <v>11528</v>
      </c>
      <c r="Q242" s="423">
        <f t="shared" si="73"/>
        <v>322784</v>
      </c>
    </row>
    <row r="243" spans="1:60" ht="25.5" hidden="1" outlineLevel="1" x14ac:dyDescent="0.25">
      <c r="A243" s="346" t="s">
        <v>333</v>
      </c>
      <c r="B243" s="358" t="s">
        <v>1486</v>
      </c>
      <c r="C243" s="356" t="s">
        <v>14</v>
      </c>
      <c r="D243" s="356">
        <v>16</v>
      </c>
      <c r="E243" s="379">
        <v>65000</v>
      </c>
      <c r="F243" s="379">
        <f t="shared" si="74"/>
        <v>1040000</v>
      </c>
      <c r="G243" s="1292">
        <v>52897</v>
      </c>
      <c r="H243" s="353">
        <f t="shared" si="75"/>
        <v>846352</v>
      </c>
      <c r="I243" s="1285">
        <f>IFERROR(VLOOKUP(A243,'valores unit indexados'!$A$14:$O$197,15,FALSE),0)</f>
        <v>0</v>
      </c>
      <c r="J243" s="350">
        <f t="shared" si="70"/>
        <v>0</v>
      </c>
      <c r="K243"/>
      <c r="L243" s="346" t="str">
        <f t="shared" si="68"/>
        <v>D. 1,9</v>
      </c>
      <c r="M243" s="358" t="str">
        <f t="shared" si="69"/>
        <v>Suministro e instalación de alfajía metálica cuyas medidas oscilan entre 70 a 200 cm de largo</v>
      </c>
      <c r="N243" s="356" t="str">
        <f t="shared" si="71"/>
        <v>ML</v>
      </c>
      <c r="O243" s="356">
        <f t="shared" si="72"/>
        <v>16</v>
      </c>
      <c r="P243" s="423">
        <f>VLOOKUP(L243,'selección precios unitario'!$A$5:$I$418,9,FALSE)</f>
        <v>58949</v>
      </c>
      <c r="Q243" s="423">
        <f t="shared" si="73"/>
        <v>943184</v>
      </c>
    </row>
    <row r="244" spans="1:60" ht="25.5" hidden="1" outlineLevel="1" x14ac:dyDescent="0.25">
      <c r="A244" s="381" t="s">
        <v>335</v>
      </c>
      <c r="B244" s="358" t="s">
        <v>1487</v>
      </c>
      <c r="C244" s="356" t="s">
        <v>14</v>
      </c>
      <c r="D244" s="356">
        <v>90</v>
      </c>
      <c r="E244" s="379">
        <v>25000</v>
      </c>
      <c r="F244" s="379">
        <f t="shared" si="74"/>
        <v>2250000</v>
      </c>
      <c r="G244" s="412">
        <v>31213</v>
      </c>
      <c r="H244" s="353">
        <f t="shared" si="75"/>
        <v>2809170</v>
      </c>
      <c r="I244" s="1285">
        <f>IFERROR(VLOOKUP(A244,'valores unit indexados'!$A$14:$O$197,15,FALSE),0)</f>
        <v>0</v>
      </c>
      <c r="J244" s="350">
        <f t="shared" si="70"/>
        <v>0</v>
      </c>
      <c r="K244"/>
      <c r="L244" s="381" t="str">
        <f t="shared" si="68"/>
        <v>D. 1,10</v>
      </c>
      <c r="M244" s="358" t="str">
        <f t="shared" si="69"/>
        <v>suministro y aplicación de adhesivo y/o sellador para exterior para elemento metálica</v>
      </c>
      <c r="N244" s="356" t="str">
        <f t="shared" si="71"/>
        <v>ML</v>
      </c>
      <c r="O244" s="356">
        <f t="shared" si="72"/>
        <v>90</v>
      </c>
      <c r="P244" s="423">
        <f>VLOOKUP(L244,'selección precios unitario'!$A$5:$I$418,9,FALSE)</f>
        <v>36943</v>
      </c>
      <c r="Q244" s="423">
        <f t="shared" si="73"/>
        <v>3324870</v>
      </c>
    </row>
    <row r="245" spans="1:60" ht="15" hidden="1" outlineLevel="1" x14ac:dyDescent="0.25">
      <c r="A245" s="381" t="s">
        <v>337</v>
      </c>
      <c r="B245" s="347" t="s">
        <v>1488</v>
      </c>
      <c r="C245" s="356" t="s">
        <v>14</v>
      </c>
      <c r="D245" s="355">
        <v>29</v>
      </c>
      <c r="E245" s="379">
        <v>12000</v>
      </c>
      <c r="F245" s="379">
        <f t="shared" si="74"/>
        <v>348000</v>
      </c>
      <c r="G245" s="1292">
        <v>14000</v>
      </c>
      <c r="H245" s="353">
        <f t="shared" si="75"/>
        <v>406000</v>
      </c>
      <c r="I245" s="1285">
        <f>IFERROR(VLOOKUP(A245,'valores unit indexados'!$A$14:$O$197,15,FALSE),0)</f>
        <v>0</v>
      </c>
      <c r="J245" s="350">
        <f t="shared" si="70"/>
        <v>0</v>
      </c>
      <c r="K245"/>
      <c r="L245" s="381" t="str">
        <f t="shared" si="68"/>
        <v>D. 1,11</v>
      </c>
      <c r="M245" s="347" t="str">
        <f t="shared" si="69"/>
        <v>Suministro e instalación de perfil de dilatación tipo U</v>
      </c>
      <c r="N245" s="356" t="str">
        <f t="shared" si="71"/>
        <v>ML</v>
      </c>
      <c r="O245" s="355">
        <f t="shared" si="72"/>
        <v>29</v>
      </c>
      <c r="P245" s="423">
        <f>VLOOKUP(L245,'selección precios unitario'!$A$5:$I$418,9,FALSE)</f>
        <v>13000</v>
      </c>
      <c r="Q245" s="423">
        <f t="shared" si="73"/>
        <v>377000</v>
      </c>
    </row>
    <row r="246" spans="1:60" ht="25.5" hidden="1" outlineLevel="1" x14ac:dyDescent="0.25">
      <c r="A246" s="381" t="s">
        <v>339</v>
      </c>
      <c r="B246" s="358" t="s">
        <v>340</v>
      </c>
      <c r="C246" s="356" t="s">
        <v>19</v>
      </c>
      <c r="D246" s="355">
        <v>9</v>
      </c>
      <c r="E246" s="379">
        <v>110000</v>
      </c>
      <c r="F246" s="379">
        <f t="shared" si="74"/>
        <v>990000</v>
      </c>
      <c r="G246" s="1292">
        <v>74300</v>
      </c>
      <c r="H246" s="353">
        <f t="shared" si="75"/>
        <v>668700</v>
      </c>
      <c r="I246" s="1285">
        <f>IFERROR(VLOOKUP(A246,'valores unit indexados'!$A$14:$O$197,15,FALSE),0)</f>
        <v>0</v>
      </c>
      <c r="J246" s="350">
        <f t="shared" si="70"/>
        <v>0</v>
      </c>
      <c r="K246"/>
      <c r="L246" s="381" t="str">
        <f t="shared" si="68"/>
        <v>D. 1,12</v>
      </c>
      <c r="M246" s="358" t="str">
        <f t="shared" si="69"/>
        <v>suministro e instalación de placa en fibrocemento 8mm, incluye masillada, estructura, filos y pintura para exterior </v>
      </c>
      <c r="N246" s="356" t="str">
        <f t="shared" si="71"/>
        <v>M2</v>
      </c>
      <c r="O246" s="355">
        <f t="shared" si="72"/>
        <v>9</v>
      </c>
      <c r="P246" s="423">
        <f>VLOOKUP(L246,'selección precios unitario'!$A$5:$I$418,9,FALSE)</f>
        <v>74300</v>
      </c>
      <c r="Q246" s="423">
        <f t="shared" si="73"/>
        <v>668700</v>
      </c>
    </row>
    <row r="247" spans="1:60" s="1533" customFormat="1" ht="24.75" hidden="1" customHeight="1" outlineLevel="1" x14ac:dyDescent="0.25">
      <c r="A247" s="1527" t="s">
        <v>341</v>
      </c>
      <c r="B247" s="1528" t="s">
        <v>342</v>
      </c>
      <c r="C247" s="1527"/>
      <c r="D247" s="1529"/>
      <c r="E247" s="1530"/>
      <c r="F247" s="1531">
        <f t="shared" si="74"/>
        <v>0</v>
      </c>
      <c r="G247" s="1530"/>
      <c r="H247" s="1531">
        <f t="shared" si="75"/>
        <v>0</v>
      </c>
      <c r="I247" s="1532"/>
      <c r="J247" s="1527"/>
      <c r="K247"/>
      <c r="L247" s="1527" t="str">
        <f t="shared" si="68"/>
        <v>D. 2</v>
      </c>
      <c r="M247" s="1836" t="str">
        <f t="shared" si="69"/>
        <v>Arreglo humedades en losa de cubierta</v>
      </c>
      <c r="N247" s="1837"/>
      <c r="O247" s="1837"/>
      <c r="P247" s="1837"/>
      <c r="Q247" s="1838"/>
      <c r="R247" s="1544"/>
      <c r="S247" s="1544"/>
      <c r="T247" s="1544"/>
      <c r="U247" s="1544"/>
      <c r="V247" s="1544"/>
      <c r="W247" s="1544"/>
      <c r="X247" s="1544"/>
      <c r="Y247" s="1544"/>
      <c r="Z247" s="1544"/>
      <c r="AA247" s="1544"/>
      <c r="AB247" s="1544"/>
      <c r="AC247" s="1544"/>
      <c r="AD247" s="1544"/>
      <c r="AE247" s="1544"/>
      <c r="AF247" s="1544"/>
      <c r="AG247" s="1544"/>
      <c r="AH247" s="1544"/>
      <c r="AI247" s="1544"/>
      <c r="AJ247" s="1544"/>
      <c r="AK247" s="1544"/>
      <c r="AL247" s="1544"/>
      <c r="AM247" s="1544"/>
      <c r="AN247" s="1544"/>
      <c r="AO247" s="1544"/>
      <c r="AP247" s="1544"/>
      <c r="AQ247" s="1544"/>
      <c r="AR247" s="1544"/>
      <c r="AS247" s="1544"/>
      <c r="AT247" s="1544"/>
      <c r="AU247" s="1544"/>
      <c r="AV247" s="1544"/>
      <c r="AW247" s="1544"/>
      <c r="AX247" s="1544"/>
      <c r="AY247" s="1544"/>
      <c r="AZ247" s="1544"/>
      <c r="BA247" s="1544"/>
      <c r="BB247" s="1544"/>
      <c r="BC247" s="1544"/>
      <c r="BD247" s="1544"/>
      <c r="BE247" s="1544"/>
      <c r="BF247" s="1544"/>
      <c r="BG247" s="1544"/>
      <c r="BH247" s="1544"/>
    </row>
    <row r="248" spans="1:60" ht="15" hidden="1" outlineLevel="1" x14ac:dyDescent="0.25">
      <c r="A248" s="381" t="s">
        <v>343</v>
      </c>
      <c r="B248" s="347" t="s">
        <v>21</v>
      </c>
      <c r="C248" s="367" t="s">
        <v>19</v>
      </c>
      <c r="D248" s="356">
        <v>14</v>
      </c>
      <c r="E248" s="353">
        <v>20000</v>
      </c>
      <c r="F248" s="353">
        <f t="shared" si="74"/>
        <v>280000</v>
      </c>
      <c r="G248" s="350">
        <v>19500</v>
      </c>
      <c r="H248" s="353">
        <f t="shared" si="75"/>
        <v>273000</v>
      </c>
      <c r="I248" s="1285">
        <f>IFERROR(VLOOKUP(A248,'valores unit indexados'!$A$14:$O$197,15,FALSE),0)</f>
        <v>14660</v>
      </c>
      <c r="J248" s="350">
        <f t="shared" si="70"/>
        <v>205240</v>
      </c>
      <c r="K248"/>
      <c r="L248" s="381" t="str">
        <f t="shared" si="68"/>
        <v>D. 2,1</v>
      </c>
      <c r="M248" s="347" t="str">
        <f t="shared" si="69"/>
        <v>Retiro de manto existente, incluye retiro de escombros</v>
      </c>
      <c r="N248" s="367" t="str">
        <f t="shared" ref="N248:N257" si="76">+C248</f>
        <v>M2</v>
      </c>
      <c r="O248" s="356">
        <f t="shared" ref="O248:O257" si="77">+D248</f>
        <v>14</v>
      </c>
      <c r="P248" s="423">
        <f>VLOOKUP(L248,'selección precios unitario'!$A$5:$I$418,9,FALSE)</f>
        <v>18053</v>
      </c>
      <c r="Q248" s="423">
        <f t="shared" ref="Q248:Q257" si="78">ROUND(P248*O248,0)</f>
        <v>252742</v>
      </c>
    </row>
    <row r="249" spans="1:60" ht="15" hidden="1" outlineLevel="1" x14ac:dyDescent="0.25">
      <c r="A249" s="346" t="s">
        <v>344</v>
      </c>
      <c r="B249" s="358" t="s">
        <v>25</v>
      </c>
      <c r="C249" s="356" t="s">
        <v>19</v>
      </c>
      <c r="D249" s="356">
        <v>14</v>
      </c>
      <c r="E249" s="353">
        <v>27000</v>
      </c>
      <c r="F249" s="353">
        <f t="shared" si="74"/>
        <v>378000</v>
      </c>
      <c r="G249" s="350">
        <v>5200</v>
      </c>
      <c r="H249" s="353">
        <f t="shared" si="75"/>
        <v>72800</v>
      </c>
      <c r="I249" s="1285">
        <f>IFERROR(VLOOKUP(A249,'valores unit indexados'!$A$14:$O$197,15,FALSE),0)</f>
        <v>0</v>
      </c>
      <c r="J249" s="350">
        <f t="shared" si="70"/>
        <v>0</v>
      </c>
      <c r="K249"/>
      <c r="L249" s="346" t="str">
        <f t="shared" si="68"/>
        <v>D. 2,2</v>
      </c>
      <c r="M249" s="358" t="str">
        <f t="shared" si="69"/>
        <v>Demolición mortero existente  (incluye retiro de escombros)</v>
      </c>
      <c r="N249" s="356" t="str">
        <f t="shared" si="76"/>
        <v>M2</v>
      </c>
      <c r="O249" s="356">
        <f t="shared" si="77"/>
        <v>14</v>
      </c>
      <c r="P249" s="423">
        <f>VLOOKUP(L249,'selección precios unitario'!$A$5:$I$418,9,FALSE)</f>
        <v>10612</v>
      </c>
      <c r="Q249" s="423">
        <f t="shared" si="78"/>
        <v>148568</v>
      </c>
    </row>
    <row r="250" spans="1:60" ht="15" hidden="1" outlineLevel="1" x14ac:dyDescent="0.25">
      <c r="A250" s="367" t="s">
        <v>346</v>
      </c>
      <c r="B250" s="347" t="s">
        <v>206</v>
      </c>
      <c r="C250" s="340" t="s">
        <v>19</v>
      </c>
      <c r="D250" s="356">
        <v>14</v>
      </c>
      <c r="E250" s="353">
        <v>35000</v>
      </c>
      <c r="F250" s="353">
        <f t="shared" si="74"/>
        <v>490000</v>
      </c>
      <c r="G250" s="1292">
        <v>3731</v>
      </c>
      <c r="H250" s="353">
        <f t="shared" si="75"/>
        <v>52234</v>
      </c>
      <c r="I250" s="1285">
        <f>IFERROR(VLOOKUP(A250,'valores unit indexados'!$A$14:$O$197,15,FALSE),0)</f>
        <v>29150</v>
      </c>
      <c r="J250" s="350">
        <f t="shared" si="70"/>
        <v>408100</v>
      </c>
      <c r="K250"/>
      <c r="L250" s="367" t="str">
        <f t="shared" si="68"/>
        <v>D. 2,3</v>
      </c>
      <c r="M250" s="347" t="str">
        <f t="shared" si="69"/>
        <v>Lavada y destronque a máquina (para retirar material existente)</v>
      </c>
      <c r="N250" s="340" t="str">
        <f t="shared" si="76"/>
        <v>M2</v>
      </c>
      <c r="O250" s="356">
        <f t="shared" si="77"/>
        <v>14</v>
      </c>
      <c r="P250" s="423">
        <f>VLOOKUP(L250,'selección precios unitario'!$A$5:$I$418,9,FALSE)</f>
        <v>32075</v>
      </c>
      <c r="Q250" s="423">
        <f t="shared" si="78"/>
        <v>449050</v>
      </c>
    </row>
    <row r="251" spans="1:60" ht="25.5" hidden="1" outlineLevel="1" x14ac:dyDescent="0.25">
      <c r="A251" s="354" t="s">
        <v>347</v>
      </c>
      <c r="B251" s="358" t="s">
        <v>208</v>
      </c>
      <c r="C251" s="356" t="s">
        <v>19</v>
      </c>
      <c r="D251" s="356">
        <v>15</v>
      </c>
      <c r="E251" s="353">
        <v>38000</v>
      </c>
      <c r="F251" s="353">
        <f t="shared" si="74"/>
        <v>570000</v>
      </c>
      <c r="G251" s="350">
        <v>32500</v>
      </c>
      <c r="H251" s="353">
        <f t="shared" si="75"/>
        <v>487500</v>
      </c>
      <c r="I251" s="1285">
        <f>IFERROR(VLOOKUP(A251,'valores unit indexados'!$A$14:$O$197,15,FALSE),0)</f>
        <v>0</v>
      </c>
      <c r="J251" s="350">
        <f t="shared" si="70"/>
        <v>0</v>
      </c>
      <c r="K251"/>
      <c r="L251" s="354" t="str">
        <f t="shared" si="68"/>
        <v>D. 2,4</v>
      </c>
      <c r="M251" s="358" t="str">
        <f t="shared" si="69"/>
        <v>Suministro y aplicación de mortero 1:3 con aditivo impermeabilizante espesor 4cm (superficie con pendiente)</v>
      </c>
      <c r="N251" s="356" t="str">
        <f t="shared" si="76"/>
        <v>M2</v>
      </c>
      <c r="O251" s="356">
        <f t="shared" si="77"/>
        <v>15</v>
      </c>
      <c r="P251" s="423">
        <f>VLOOKUP(L251,'selección precios unitario'!$A$5:$I$418,9,FALSE)</f>
        <v>35250</v>
      </c>
      <c r="Q251" s="423">
        <f t="shared" si="78"/>
        <v>528750</v>
      </c>
    </row>
    <row r="252" spans="1:60" ht="25.5" hidden="1" outlineLevel="1" x14ac:dyDescent="0.25">
      <c r="A252" s="367" t="s">
        <v>348</v>
      </c>
      <c r="B252" s="365" t="s">
        <v>76</v>
      </c>
      <c r="C252" s="366" t="s">
        <v>19</v>
      </c>
      <c r="D252" s="356">
        <v>16</v>
      </c>
      <c r="E252" s="379">
        <v>280000</v>
      </c>
      <c r="F252" s="353">
        <f t="shared" si="74"/>
        <v>4480000</v>
      </c>
      <c r="G252" s="350">
        <v>128700</v>
      </c>
      <c r="H252" s="353">
        <f t="shared" si="75"/>
        <v>2059200</v>
      </c>
      <c r="I252" s="1285">
        <f>IFERROR(VLOOKUP(A252,'valores unit indexados'!$A$14:$O$197,15,FALSE),0)</f>
        <v>0</v>
      </c>
      <c r="J252" s="350">
        <f t="shared" si="70"/>
        <v>0</v>
      </c>
      <c r="K252"/>
      <c r="L252" s="367" t="str">
        <f t="shared" si="68"/>
        <v>D. 2,5</v>
      </c>
      <c r="M252" s="365" t="str">
        <f t="shared" si="69"/>
        <v>Suministro e instalación de membrana pvc (incluye perlines de fijación)</v>
      </c>
      <c r="N252" s="366" t="str">
        <f t="shared" si="76"/>
        <v>M2</v>
      </c>
      <c r="O252" s="356">
        <f t="shared" si="77"/>
        <v>16</v>
      </c>
      <c r="P252" s="423">
        <f>VLOOKUP(L252,'selección precios unitario'!$A$5:$I$418,9,FALSE)</f>
        <v>212172</v>
      </c>
      <c r="Q252" s="423">
        <f t="shared" si="78"/>
        <v>3394752</v>
      </c>
    </row>
    <row r="253" spans="1:60" ht="15" hidden="1" outlineLevel="1" x14ac:dyDescent="0.25">
      <c r="A253" s="354" t="s">
        <v>349</v>
      </c>
      <c r="B253" s="347" t="s">
        <v>350</v>
      </c>
      <c r="C253" s="356" t="s">
        <v>6</v>
      </c>
      <c r="D253" s="356">
        <v>4</v>
      </c>
      <c r="E253" s="353">
        <v>60000</v>
      </c>
      <c r="F253" s="353">
        <f t="shared" si="74"/>
        <v>240000</v>
      </c>
      <c r="G253" s="350">
        <v>88000</v>
      </c>
      <c r="H253" s="353">
        <f t="shared" si="75"/>
        <v>352000</v>
      </c>
      <c r="I253" s="1285">
        <f>IFERROR(VLOOKUP(A253,'valores unit indexados'!$A$14:$O$197,15,FALSE),0)</f>
        <v>0</v>
      </c>
      <c r="J253" s="350">
        <f t="shared" si="70"/>
        <v>0</v>
      </c>
      <c r="K253"/>
      <c r="L253" s="354" t="str">
        <f t="shared" si="68"/>
        <v>D. 2,6</v>
      </c>
      <c r="M253" s="347" t="str">
        <f t="shared" si="69"/>
        <v>Perforación de muro en concreto 3"</v>
      </c>
      <c r="N253" s="356" t="str">
        <f t="shared" si="76"/>
        <v>UND</v>
      </c>
      <c r="O253" s="356">
        <f t="shared" si="77"/>
        <v>4</v>
      </c>
      <c r="P253" s="423">
        <f>VLOOKUP(L253,'selección precios unitario'!$A$5:$I$418,9,FALSE)</f>
        <v>74000</v>
      </c>
      <c r="Q253" s="423">
        <f t="shared" si="78"/>
        <v>296000</v>
      </c>
    </row>
    <row r="254" spans="1:60" ht="25.5" hidden="1" outlineLevel="1" x14ac:dyDescent="0.25">
      <c r="A254" s="367" t="s">
        <v>351</v>
      </c>
      <c r="B254" s="365" t="s">
        <v>352</v>
      </c>
      <c r="C254" s="356" t="s">
        <v>14</v>
      </c>
      <c r="D254" s="356">
        <v>27</v>
      </c>
      <c r="E254" s="353">
        <v>145000</v>
      </c>
      <c r="F254" s="353">
        <f t="shared" si="74"/>
        <v>3915000</v>
      </c>
      <c r="G254" s="350">
        <v>112697</v>
      </c>
      <c r="H254" s="353">
        <f t="shared" si="75"/>
        <v>3042819</v>
      </c>
      <c r="I254" s="1285">
        <f>IFERROR(VLOOKUP(A254,'valores unit indexados'!$A$14:$O$197,15,FALSE),0)</f>
        <v>0</v>
      </c>
      <c r="J254" s="350">
        <f t="shared" si="70"/>
        <v>0</v>
      </c>
      <c r="K254"/>
      <c r="L254" s="367" t="str">
        <f t="shared" si="68"/>
        <v>D. 2,7</v>
      </c>
      <c r="M254" s="365" t="str">
        <f t="shared" si="69"/>
        <v>Suministro e instalación de Canal en lámina galvanizada cal 16,  pintura con base epoxica con acabado en esmalte.</v>
      </c>
      <c r="N254" s="356" t="str">
        <f t="shared" si="76"/>
        <v>ML</v>
      </c>
      <c r="O254" s="356">
        <f t="shared" si="77"/>
        <v>27</v>
      </c>
      <c r="P254" s="423">
        <f>VLOOKUP(L254,'selección precios unitario'!$A$5:$I$418,9,FALSE)</f>
        <v>128849</v>
      </c>
      <c r="Q254" s="423">
        <f t="shared" si="78"/>
        <v>3478923</v>
      </c>
    </row>
    <row r="255" spans="1:60" ht="25.5" hidden="1" outlineLevel="1" x14ac:dyDescent="0.25">
      <c r="A255" s="354" t="s">
        <v>353</v>
      </c>
      <c r="B255" s="365" t="s">
        <v>1489</v>
      </c>
      <c r="C255" s="356" t="s">
        <v>14</v>
      </c>
      <c r="D255" s="356">
        <v>34</v>
      </c>
      <c r="E255" s="353">
        <v>112000</v>
      </c>
      <c r="F255" s="353">
        <f t="shared" si="74"/>
        <v>3808000</v>
      </c>
      <c r="G255" s="350">
        <v>35425</v>
      </c>
      <c r="H255" s="353">
        <f t="shared" si="75"/>
        <v>1204450</v>
      </c>
      <c r="I255" s="1285">
        <f>IFERROR(VLOOKUP(A255,'valores unit indexados'!$A$14:$O$197,15,FALSE),0)</f>
        <v>0</v>
      </c>
      <c r="J255" s="350">
        <f t="shared" si="70"/>
        <v>0</v>
      </c>
      <c r="K255"/>
      <c r="L255" s="354" t="str">
        <f t="shared" si="68"/>
        <v>D. 2,8</v>
      </c>
      <c r="M255" s="365" t="str">
        <f t="shared" si="69"/>
        <v>Suministro e instalación de tubo cuadrado 50 mm x 50 mm x 2mm incluye ángulo conector para perfil estructural existente</v>
      </c>
      <c r="N255" s="356" t="str">
        <f t="shared" si="76"/>
        <v>ML</v>
      </c>
      <c r="O255" s="356">
        <f t="shared" si="77"/>
        <v>34</v>
      </c>
      <c r="P255" s="423">
        <f>VLOOKUP(L255,'selección precios unitario'!$A$5:$I$418,9,FALSE)</f>
        <v>73713</v>
      </c>
      <c r="Q255" s="423">
        <f t="shared" si="78"/>
        <v>2506242</v>
      </c>
    </row>
    <row r="256" spans="1:60" ht="15" hidden="1" outlineLevel="1" x14ac:dyDescent="0.25">
      <c r="A256" s="367" t="s">
        <v>355</v>
      </c>
      <c r="B256" s="383" t="s">
        <v>63</v>
      </c>
      <c r="C256" s="361" t="s">
        <v>6</v>
      </c>
      <c r="D256" s="355">
        <v>4</v>
      </c>
      <c r="E256" s="353">
        <v>27000</v>
      </c>
      <c r="F256" s="353">
        <f t="shared" si="74"/>
        <v>108000</v>
      </c>
      <c r="G256" s="350">
        <v>28015</v>
      </c>
      <c r="H256" s="353">
        <f t="shared" si="75"/>
        <v>112060</v>
      </c>
      <c r="I256" s="1285">
        <f>IFERROR(VLOOKUP(A256,'valores unit indexados'!$A$14:$O$197,15,FALSE),0)</f>
        <v>26036</v>
      </c>
      <c r="J256" s="350">
        <f t="shared" si="70"/>
        <v>104144</v>
      </c>
      <c r="K256"/>
      <c r="L256" s="367" t="str">
        <f t="shared" si="68"/>
        <v>D. 2,9</v>
      </c>
      <c r="M256" s="383" t="str">
        <f t="shared" si="69"/>
        <v>Suministro e instalación de soscos para canal en 3"</v>
      </c>
      <c r="N256" s="361" t="str">
        <f t="shared" si="76"/>
        <v>UND</v>
      </c>
      <c r="O256" s="355">
        <f t="shared" si="77"/>
        <v>4</v>
      </c>
      <c r="P256" s="423">
        <f>VLOOKUP(L256,'selección precios unitario'!$A$5:$I$418,9,FALSE)</f>
        <v>26518</v>
      </c>
      <c r="Q256" s="423">
        <f t="shared" si="78"/>
        <v>106072</v>
      </c>
    </row>
    <row r="257" spans="1:60" ht="25.5" hidden="1" outlineLevel="1" x14ac:dyDescent="0.25">
      <c r="A257" s="354" t="s">
        <v>356</v>
      </c>
      <c r="B257" s="360" t="s">
        <v>1490</v>
      </c>
      <c r="C257" s="356" t="s">
        <v>14</v>
      </c>
      <c r="D257" s="355">
        <v>24</v>
      </c>
      <c r="E257" s="353">
        <v>52000</v>
      </c>
      <c r="F257" s="353">
        <f t="shared" si="74"/>
        <v>1248000</v>
      </c>
      <c r="G257" s="350">
        <v>45383</v>
      </c>
      <c r="H257" s="353">
        <f t="shared" si="75"/>
        <v>1089192</v>
      </c>
      <c r="I257" s="1285">
        <f>IFERROR(VLOOKUP(A257,'valores unit indexados'!$A$14:$O$197,15,FALSE),0)</f>
        <v>0</v>
      </c>
      <c r="J257" s="350">
        <f t="shared" si="70"/>
        <v>0</v>
      </c>
      <c r="K257"/>
      <c r="L257" s="354" t="str">
        <f t="shared" si="68"/>
        <v>D. 2,10</v>
      </c>
      <c r="M257" s="360" t="str">
        <f t="shared" si="69"/>
        <v xml:space="preserve">Suministro e instalación tubería sanitaria de 4 " pintada color fachada,  incluye accesorios </v>
      </c>
      <c r="N257" s="356" t="str">
        <f t="shared" si="76"/>
        <v>ML</v>
      </c>
      <c r="O257" s="355">
        <f t="shared" si="77"/>
        <v>24</v>
      </c>
      <c r="P257" s="423">
        <f>VLOOKUP(L257,'selección precios unitario'!$A$5:$I$418,9,FALSE)</f>
        <v>48692</v>
      </c>
      <c r="Q257" s="423">
        <f t="shared" si="78"/>
        <v>1168608</v>
      </c>
    </row>
    <row r="258" spans="1:60" s="1533" customFormat="1" ht="24.75" hidden="1" customHeight="1" outlineLevel="1" x14ac:dyDescent="0.25">
      <c r="A258" s="1527" t="s">
        <v>358</v>
      </c>
      <c r="B258" s="1528" t="s">
        <v>234</v>
      </c>
      <c r="C258" s="1527"/>
      <c r="D258" s="1529"/>
      <c r="E258" s="1530"/>
      <c r="F258" s="1531">
        <f t="shared" si="74"/>
        <v>0</v>
      </c>
      <c r="G258" s="1530"/>
      <c r="H258" s="1531">
        <f t="shared" si="75"/>
        <v>0</v>
      </c>
      <c r="I258" s="1532"/>
      <c r="J258" s="1527"/>
      <c r="K258"/>
      <c r="L258" s="1527" t="str">
        <f t="shared" si="68"/>
        <v>D. 3</v>
      </c>
      <c r="M258" s="1836" t="str">
        <f t="shared" si="69"/>
        <v xml:space="preserve">Reparaciones y Tratamiento de humedades internas </v>
      </c>
      <c r="N258" s="1837"/>
      <c r="O258" s="1837"/>
      <c r="P258" s="1837"/>
      <c r="Q258" s="1838"/>
      <c r="R258" s="1544"/>
      <c r="S258" s="1544"/>
      <c r="T258" s="1544"/>
      <c r="U258" s="1544"/>
      <c r="V258" s="1544"/>
      <c r="W258" s="1544"/>
      <c r="X258" s="1544"/>
      <c r="Y258" s="1544"/>
      <c r="Z258" s="1544"/>
      <c r="AA258" s="1544"/>
      <c r="AB258" s="1544"/>
      <c r="AC258" s="1544"/>
      <c r="AD258" s="1544"/>
      <c r="AE258" s="1544"/>
      <c r="AF258" s="1544"/>
      <c r="AG258" s="1544"/>
      <c r="AH258" s="1544"/>
      <c r="AI258" s="1544"/>
      <c r="AJ258" s="1544"/>
      <c r="AK258" s="1544"/>
      <c r="AL258" s="1544"/>
      <c r="AM258" s="1544"/>
      <c r="AN258" s="1544"/>
      <c r="AO258" s="1544"/>
      <c r="AP258" s="1544"/>
      <c r="AQ258" s="1544"/>
      <c r="AR258" s="1544"/>
      <c r="AS258" s="1544"/>
      <c r="AT258" s="1544"/>
      <c r="AU258" s="1544"/>
      <c r="AV258" s="1544"/>
      <c r="AW258" s="1544"/>
      <c r="AX258" s="1544"/>
      <c r="AY258" s="1544"/>
      <c r="AZ258" s="1544"/>
      <c r="BA258" s="1544"/>
      <c r="BB258" s="1544"/>
      <c r="BC258" s="1544"/>
      <c r="BD258" s="1544"/>
      <c r="BE258" s="1544"/>
      <c r="BF258" s="1544"/>
      <c r="BG258" s="1544"/>
      <c r="BH258" s="1544"/>
    </row>
    <row r="259" spans="1:60" ht="15" hidden="1" outlineLevel="1" x14ac:dyDescent="0.25">
      <c r="A259" s="367" t="s">
        <v>359</v>
      </c>
      <c r="B259" s="364" t="s">
        <v>84</v>
      </c>
      <c r="C259" s="367" t="s">
        <v>19</v>
      </c>
      <c r="D259" s="356">
        <v>7</v>
      </c>
      <c r="E259" s="353">
        <v>9000</v>
      </c>
      <c r="F259" s="353">
        <f t="shared" si="74"/>
        <v>63000</v>
      </c>
      <c r="G259" s="350">
        <v>5200</v>
      </c>
      <c r="H259" s="353">
        <f t="shared" si="75"/>
        <v>36400</v>
      </c>
      <c r="I259" s="1285">
        <f>IFERROR(VLOOKUP(A259,'valores unit indexados'!$A$14:$O$197,15,FALSE),0)</f>
        <v>6890</v>
      </c>
      <c r="J259" s="350">
        <f t="shared" si="70"/>
        <v>48230</v>
      </c>
      <c r="K259"/>
      <c r="L259" s="367" t="str">
        <f t="shared" si="68"/>
        <v>D. 3,1</v>
      </c>
      <c r="M259" s="364" t="str">
        <f t="shared" si="69"/>
        <v xml:space="preserve">Rasqueteada de pintura y retiro de mortero en mal estado  </v>
      </c>
      <c r="N259" s="367" t="str">
        <f t="shared" ref="N259:N272" si="79">+C259</f>
        <v>M2</v>
      </c>
      <c r="O259" s="356">
        <f t="shared" ref="O259:O272" si="80">+D259</f>
        <v>7</v>
      </c>
      <c r="P259" s="423">
        <f>VLOOKUP(L259,'selección precios unitario'!$A$5:$I$418,9,FALSE)</f>
        <v>6630</v>
      </c>
      <c r="Q259" s="423">
        <f t="shared" ref="Q259:Q272" si="81">ROUND(P259*O259,0)</f>
        <v>46410</v>
      </c>
    </row>
    <row r="260" spans="1:60" ht="38.25" hidden="1" outlineLevel="1" x14ac:dyDescent="0.25">
      <c r="A260" s="367" t="s">
        <v>360</v>
      </c>
      <c r="B260" s="368" t="s">
        <v>86</v>
      </c>
      <c r="C260" s="367" t="s">
        <v>19</v>
      </c>
      <c r="D260" s="356">
        <v>7</v>
      </c>
      <c r="E260" s="353">
        <v>48000</v>
      </c>
      <c r="F260" s="353">
        <f t="shared" si="74"/>
        <v>336000</v>
      </c>
      <c r="G260" s="350">
        <v>45500</v>
      </c>
      <c r="H260" s="353">
        <f t="shared" si="75"/>
        <v>318500</v>
      </c>
      <c r="I260" s="1285">
        <f>IFERROR(VLOOKUP(A260,'valores unit indexados'!$A$14:$O$197,15,FALSE),0)</f>
        <v>43614</v>
      </c>
      <c r="J260" s="350">
        <f t="shared" si="70"/>
        <v>305298</v>
      </c>
      <c r="K260"/>
      <c r="L260" s="367" t="str">
        <f t="shared" si="68"/>
        <v>D. 3,2</v>
      </c>
      <c r="M260" s="368" t="str">
        <f t="shared" si="69"/>
        <v xml:space="preserve">Suministro e instalación de recubrimiento cementoso (Recubrimiento a base de cemento, arena y aditivos especiales), impermeable para muros color blanco </v>
      </c>
      <c r="N260" s="367" t="str">
        <f t="shared" si="79"/>
        <v>M2</v>
      </c>
      <c r="O260" s="356">
        <f t="shared" si="80"/>
        <v>7</v>
      </c>
      <c r="P260" s="423">
        <f>VLOOKUP(L260,'selección precios unitario'!$A$5:$I$418,9,FALSE)</f>
        <v>45053</v>
      </c>
      <c r="Q260" s="423">
        <f t="shared" si="81"/>
        <v>315371</v>
      </c>
    </row>
    <row r="261" spans="1:60" ht="15" hidden="1" outlineLevel="1" x14ac:dyDescent="0.25">
      <c r="A261" s="367" t="s">
        <v>361</v>
      </c>
      <c r="B261" s="368" t="s">
        <v>88</v>
      </c>
      <c r="C261" s="367" t="s">
        <v>19</v>
      </c>
      <c r="D261" s="356">
        <v>8</v>
      </c>
      <c r="E261" s="353">
        <v>28000</v>
      </c>
      <c r="F261" s="353">
        <f t="shared" si="74"/>
        <v>224000</v>
      </c>
      <c r="G261" s="350">
        <v>11700</v>
      </c>
      <c r="H261" s="353">
        <f t="shared" si="75"/>
        <v>93600</v>
      </c>
      <c r="I261" s="1285">
        <f>IFERROR(VLOOKUP(A261,'valores unit indexados'!$A$14:$O$197,15,FALSE),0)</f>
        <v>24610</v>
      </c>
      <c r="J261" s="350">
        <f t="shared" si="70"/>
        <v>196880</v>
      </c>
      <c r="K261"/>
      <c r="L261" s="367" t="str">
        <f t="shared" si="68"/>
        <v>D. 3,3</v>
      </c>
      <c r="M261" s="368" t="str">
        <f t="shared" si="69"/>
        <v xml:space="preserve">Suministro y aplicación de estuco plástico </v>
      </c>
      <c r="N261" s="367" t="str">
        <f t="shared" si="79"/>
        <v>M2</v>
      </c>
      <c r="O261" s="356">
        <f t="shared" si="80"/>
        <v>8</v>
      </c>
      <c r="P261" s="423">
        <f>VLOOKUP(L261,'selección precios unitario'!$A$5:$I$418,9,FALSE)</f>
        <v>26305</v>
      </c>
      <c r="Q261" s="423">
        <f t="shared" si="81"/>
        <v>210440</v>
      </c>
    </row>
    <row r="262" spans="1:60" ht="15" hidden="1" outlineLevel="1" x14ac:dyDescent="0.25">
      <c r="A262" s="367" t="s">
        <v>362</v>
      </c>
      <c r="B262" s="364" t="s">
        <v>90</v>
      </c>
      <c r="C262" s="367" t="s">
        <v>19</v>
      </c>
      <c r="D262" s="356">
        <v>9</v>
      </c>
      <c r="E262" s="353">
        <v>19000</v>
      </c>
      <c r="F262" s="353">
        <f t="shared" si="74"/>
        <v>171000</v>
      </c>
      <c r="G262" s="1292">
        <v>8710</v>
      </c>
      <c r="H262" s="353">
        <f t="shared" si="75"/>
        <v>78390</v>
      </c>
      <c r="I262" s="1285">
        <f>IFERROR(VLOOKUP(A262,'valores unit indexados'!$A$14:$O$197,15,FALSE),0)</f>
        <v>0</v>
      </c>
      <c r="J262" s="350">
        <f t="shared" si="70"/>
        <v>0</v>
      </c>
      <c r="K262"/>
      <c r="L262" s="367" t="str">
        <f t="shared" si="68"/>
        <v>D. 3,4</v>
      </c>
      <c r="M262" s="364" t="str">
        <f t="shared" si="69"/>
        <v>Suministro y aplicación de vinilo tipo 1 (3 manos)</v>
      </c>
      <c r="N262" s="367" t="str">
        <f t="shared" si="79"/>
        <v>M2</v>
      </c>
      <c r="O262" s="356">
        <f t="shared" si="80"/>
        <v>9</v>
      </c>
      <c r="P262" s="423">
        <f>VLOOKUP(L262,'selección precios unitario'!$A$5:$I$418,9,FALSE)</f>
        <v>19000</v>
      </c>
      <c r="Q262" s="423">
        <f t="shared" si="81"/>
        <v>171000</v>
      </c>
    </row>
    <row r="263" spans="1:60" ht="15" hidden="1" outlineLevel="1" x14ac:dyDescent="0.25">
      <c r="A263" s="367" t="s">
        <v>363</v>
      </c>
      <c r="B263" s="368" t="s">
        <v>92</v>
      </c>
      <c r="C263" s="367" t="s">
        <v>19</v>
      </c>
      <c r="D263" s="356">
        <v>2</v>
      </c>
      <c r="E263" s="353">
        <v>18000</v>
      </c>
      <c r="F263" s="353">
        <f t="shared" si="74"/>
        <v>36000</v>
      </c>
      <c r="G263" s="1292">
        <v>8710</v>
      </c>
      <c r="H263" s="353">
        <f t="shared" si="75"/>
        <v>17420</v>
      </c>
      <c r="I263" s="1285">
        <f>IFERROR(VLOOKUP(A263,'valores unit indexados'!$A$14:$O$197,15,FALSE),0)</f>
        <v>17005</v>
      </c>
      <c r="J263" s="350">
        <f t="shared" si="70"/>
        <v>34010</v>
      </c>
      <c r="K263"/>
      <c r="L263" s="367" t="str">
        <f t="shared" si="68"/>
        <v>D. 3,5</v>
      </c>
      <c r="M263" s="368" t="str">
        <f t="shared" si="69"/>
        <v>Suministro y aplicación de pintura en esmalte</v>
      </c>
      <c r="N263" s="367" t="str">
        <f t="shared" si="79"/>
        <v>M2</v>
      </c>
      <c r="O263" s="356">
        <f t="shared" si="80"/>
        <v>2</v>
      </c>
      <c r="P263" s="423">
        <f>VLOOKUP(L263,'selección precios unitario'!$A$5:$I$418,9,FALSE)</f>
        <v>17503</v>
      </c>
      <c r="Q263" s="423">
        <f t="shared" si="81"/>
        <v>35006</v>
      </c>
    </row>
    <row r="264" spans="1:60" ht="15" hidden="1" outlineLevel="1" x14ac:dyDescent="0.25">
      <c r="A264" s="346" t="s">
        <v>364</v>
      </c>
      <c r="B264" s="364" t="s">
        <v>94</v>
      </c>
      <c r="C264" s="367" t="s">
        <v>19</v>
      </c>
      <c r="D264" s="356">
        <v>11</v>
      </c>
      <c r="E264" s="353">
        <v>17000</v>
      </c>
      <c r="F264" s="353">
        <f t="shared" si="74"/>
        <v>187000</v>
      </c>
      <c r="G264" s="1292">
        <v>8710</v>
      </c>
      <c r="H264" s="353">
        <f t="shared" si="75"/>
        <v>95810</v>
      </c>
      <c r="I264" s="1285">
        <f>IFERROR(VLOOKUP(A264,'valores unit indexados'!$A$14:$O$197,15,FALSE),0)</f>
        <v>0</v>
      </c>
      <c r="J264" s="350">
        <f t="shared" si="70"/>
        <v>0</v>
      </c>
      <c r="K264"/>
      <c r="L264" s="346" t="str">
        <f t="shared" si="68"/>
        <v>D. 3,6</v>
      </c>
      <c r="M264" s="364" t="str">
        <f t="shared" si="69"/>
        <v>Suministro y aplicación de pintura cielo vinilo tipo 1</v>
      </c>
      <c r="N264" s="367" t="str">
        <f t="shared" si="79"/>
        <v>M2</v>
      </c>
      <c r="O264" s="356">
        <f t="shared" si="80"/>
        <v>11</v>
      </c>
      <c r="P264" s="423">
        <f>VLOOKUP(L264,'selección precios unitario'!$A$5:$I$418,9,FALSE)</f>
        <v>17000</v>
      </c>
      <c r="Q264" s="423">
        <f t="shared" si="81"/>
        <v>187000</v>
      </c>
    </row>
    <row r="265" spans="1:60" ht="15" hidden="1" outlineLevel="1" x14ac:dyDescent="0.25">
      <c r="A265" s="367" t="s">
        <v>365</v>
      </c>
      <c r="B265" s="364" t="s">
        <v>84</v>
      </c>
      <c r="C265" s="367" t="s">
        <v>14</v>
      </c>
      <c r="D265" s="356">
        <v>4</v>
      </c>
      <c r="E265" s="353">
        <v>5400</v>
      </c>
      <c r="F265" s="353">
        <f t="shared" si="74"/>
        <v>21600</v>
      </c>
      <c r="G265" s="350">
        <v>4000</v>
      </c>
      <c r="H265" s="353">
        <f t="shared" si="75"/>
        <v>16000</v>
      </c>
      <c r="I265" s="1285">
        <f>IFERROR(VLOOKUP(A265,'valores unit indexados'!$A$14:$O$197,15,FALSE),0)</f>
        <v>0</v>
      </c>
      <c r="J265" s="350">
        <f t="shared" si="70"/>
        <v>0</v>
      </c>
      <c r="K265"/>
      <c r="L265" s="367" t="str">
        <f t="shared" ref="L265:L296" si="82">+A265</f>
        <v>D. 3,7</v>
      </c>
      <c r="M265" s="364" t="str">
        <f t="shared" ref="M265:M296" si="83">+B265</f>
        <v xml:space="preserve">Rasqueteada de pintura y retiro de mortero en mal estado  </v>
      </c>
      <c r="N265" s="367" t="str">
        <f t="shared" si="79"/>
        <v>ML</v>
      </c>
      <c r="O265" s="356">
        <f t="shared" si="80"/>
        <v>4</v>
      </c>
      <c r="P265" s="423">
        <f>VLOOKUP(L265,'selección precios unitario'!$A$5:$I$418,9,FALSE)</f>
        <v>4700</v>
      </c>
      <c r="Q265" s="423">
        <f t="shared" si="81"/>
        <v>18800</v>
      </c>
    </row>
    <row r="266" spans="1:60" ht="38.25" hidden="1" outlineLevel="1" x14ac:dyDescent="0.25">
      <c r="A266" s="346" t="s">
        <v>366</v>
      </c>
      <c r="B266" s="368" t="s">
        <v>86</v>
      </c>
      <c r="C266" s="367" t="s">
        <v>14</v>
      </c>
      <c r="D266" s="356">
        <v>3</v>
      </c>
      <c r="E266" s="353">
        <v>28800</v>
      </c>
      <c r="F266" s="353">
        <f t="shared" si="74"/>
        <v>86400</v>
      </c>
      <c r="G266" s="350">
        <v>45500</v>
      </c>
      <c r="H266" s="353">
        <f t="shared" si="75"/>
        <v>136500</v>
      </c>
      <c r="I266" s="1285">
        <f>IFERROR(VLOOKUP(A266,'valores unit indexados'!$A$14:$O$197,15,FALSE),0)</f>
        <v>0</v>
      </c>
      <c r="J266" s="350">
        <f t="shared" si="70"/>
        <v>0</v>
      </c>
      <c r="K266"/>
      <c r="L266" s="346" t="str">
        <f t="shared" si="82"/>
        <v>D. 3,8</v>
      </c>
      <c r="M266" s="368" t="str">
        <f t="shared" si="83"/>
        <v xml:space="preserve">Suministro e instalación de recubrimiento cementoso (Recubrimiento a base de cemento, arena y aditivos especiales), impermeable para muros color blanco </v>
      </c>
      <c r="N266" s="367" t="str">
        <f t="shared" si="79"/>
        <v>ML</v>
      </c>
      <c r="O266" s="356">
        <f t="shared" si="80"/>
        <v>3</v>
      </c>
      <c r="P266" s="423">
        <f>VLOOKUP(L266,'selección precios unitario'!$A$5:$I$418,9,FALSE)</f>
        <v>17650</v>
      </c>
      <c r="Q266" s="423">
        <f t="shared" si="81"/>
        <v>52950</v>
      </c>
    </row>
    <row r="267" spans="1:60" ht="15" hidden="1" outlineLevel="1" x14ac:dyDescent="0.25">
      <c r="A267" s="367" t="s">
        <v>367</v>
      </c>
      <c r="B267" s="368" t="s">
        <v>88</v>
      </c>
      <c r="C267" s="367" t="s">
        <v>14</v>
      </c>
      <c r="D267" s="356">
        <v>4</v>
      </c>
      <c r="E267" s="353">
        <v>16800</v>
      </c>
      <c r="F267" s="353">
        <f t="shared" si="74"/>
        <v>67200</v>
      </c>
      <c r="G267" s="350">
        <v>11700</v>
      </c>
      <c r="H267" s="353">
        <f t="shared" si="75"/>
        <v>46800</v>
      </c>
      <c r="I267" s="1285">
        <f>IFERROR(VLOOKUP(A267,'valores unit indexados'!$A$14:$O$197,15,FALSE),0)</f>
        <v>24610</v>
      </c>
      <c r="J267" s="350">
        <f t="shared" si="70"/>
        <v>98440</v>
      </c>
      <c r="K267"/>
      <c r="L267" s="367" t="str">
        <f t="shared" si="82"/>
        <v>D. 3,9</v>
      </c>
      <c r="M267" s="368" t="str">
        <f t="shared" si="83"/>
        <v xml:space="preserve">Suministro y aplicación de estuco plástico </v>
      </c>
      <c r="N267" s="367" t="str">
        <f t="shared" si="79"/>
        <v>ML</v>
      </c>
      <c r="O267" s="356">
        <f t="shared" si="80"/>
        <v>4</v>
      </c>
      <c r="P267" s="423">
        <f>VLOOKUP(L267,'selección precios unitario'!$A$5:$I$418,9,FALSE)</f>
        <v>20705</v>
      </c>
      <c r="Q267" s="423">
        <f t="shared" si="81"/>
        <v>82820</v>
      </c>
    </row>
    <row r="268" spans="1:60" ht="15" hidden="1" outlineLevel="1" x14ac:dyDescent="0.25">
      <c r="A268" s="346" t="s">
        <v>368</v>
      </c>
      <c r="B268" s="368" t="s">
        <v>98</v>
      </c>
      <c r="C268" s="367" t="s">
        <v>14</v>
      </c>
      <c r="D268" s="356">
        <v>6</v>
      </c>
      <c r="E268" s="353">
        <v>6120</v>
      </c>
      <c r="F268" s="353">
        <f t="shared" si="74"/>
        <v>36720</v>
      </c>
      <c r="G268" s="350">
        <v>8710</v>
      </c>
      <c r="H268" s="353">
        <f t="shared" si="75"/>
        <v>52260</v>
      </c>
      <c r="I268" s="1285">
        <f>IFERROR(VLOOKUP(A268,'valores unit indexados'!$A$14:$O$197,15,FALSE),0)</f>
        <v>0</v>
      </c>
      <c r="J268" s="350">
        <f t="shared" si="70"/>
        <v>0</v>
      </c>
      <c r="K268"/>
      <c r="L268" s="346" t="str">
        <f t="shared" si="82"/>
        <v>D. 3,10</v>
      </c>
      <c r="M268" s="368" t="str">
        <f t="shared" si="83"/>
        <v>Suministro y aplicación de vinilo tipo 2 (3 manos)</v>
      </c>
      <c r="N268" s="367" t="str">
        <f t="shared" si="79"/>
        <v>ML</v>
      </c>
      <c r="O268" s="356">
        <f t="shared" si="80"/>
        <v>6</v>
      </c>
      <c r="P268" s="423">
        <f>VLOOKUP(L268,'selección precios unitario'!$A$5:$I$418,9,FALSE)</f>
        <v>6120</v>
      </c>
      <c r="Q268" s="423">
        <f t="shared" si="81"/>
        <v>36720</v>
      </c>
    </row>
    <row r="269" spans="1:60" ht="15" hidden="1" outlineLevel="1" x14ac:dyDescent="0.25">
      <c r="A269" s="367" t="s">
        <v>369</v>
      </c>
      <c r="B269" s="368" t="s">
        <v>92</v>
      </c>
      <c r="C269" s="367" t="s">
        <v>14</v>
      </c>
      <c r="D269" s="346">
        <v>1</v>
      </c>
      <c r="E269" s="353">
        <v>10800</v>
      </c>
      <c r="F269" s="353">
        <f t="shared" si="74"/>
        <v>10800</v>
      </c>
      <c r="G269" s="350">
        <v>5200</v>
      </c>
      <c r="H269" s="353">
        <f t="shared" si="75"/>
        <v>5200</v>
      </c>
      <c r="I269" s="1285">
        <f>IFERROR(VLOOKUP(A269,'valores unit indexados'!$A$14:$O$197,15,FALSE),0)</f>
        <v>0</v>
      </c>
      <c r="J269" s="350">
        <f t="shared" si="70"/>
        <v>0</v>
      </c>
      <c r="K269"/>
      <c r="L269" s="367" t="str">
        <f t="shared" si="82"/>
        <v>D. 3,11</v>
      </c>
      <c r="M269" s="368" t="str">
        <f t="shared" si="83"/>
        <v>Suministro y aplicación de pintura en esmalte</v>
      </c>
      <c r="N269" s="367" t="str">
        <f t="shared" si="79"/>
        <v>ML</v>
      </c>
      <c r="O269" s="346">
        <f t="shared" si="80"/>
        <v>1</v>
      </c>
      <c r="P269" s="423">
        <f>VLOOKUP(L269,'selección precios unitario'!$A$5:$I$418,9,FALSE)</f>
        <v>8000</v>
      </c>
      <c r="Q269" s="423">
        <f t="shared" si="81"/>
        <v>8000</v>
      </c>
    </row>
    <row r="270" spans="1:60" ht="15" hidden="1" outlineLevel="1" x14ac:dyDescent="0.25">
      <c r="A270" s="346" t="s">
        <v>370</v>
      </c>
      <c r="B270" s="368" t="s">
        <v>371</v>
      </c>
      <c r="C270" s="367" t="s">
        <v>19</v>
      </c>
      <c r="D270" s="346">
        <v>18</v>
      </c>
      <c r="E270" s="353">
        <v>15000</v>
      </c>
      <c r="F270" s="353">
        <f t="shared" si="74"/>
        <v>270000</v>
      </c>
      <c r="G270" s="350">
        <v>17000</v>
      </c>
      <c r="H270" s="353">
        <f t="shared" si="75"/>
        <v>306000</v>
      </c>
      <c r="I270" s="1285">
        <f>IFERROR(VLOOKUP(A270,'valores unit indexados'!$A$14:$O$197,15,FALSE),0)</f>
        <v>0</v>
      </c>
      <c r="J270" s="350">
        <f t="shared" si="70"/>
        <v>0</v>
      </c>
      <c r="K270"/>
      <c r="L270" s="346" t="str">
        <f t="shared" si="82"/>
        <v>D. 3,12</v>
      </c>
      <c r="M270" s="368" t="str">
        <f t="shared" si="83"/>
        <v xml:space="preserve">Desmonte y retiro de cielo en panel yeso </v>
      </c>
      <c r="N270" s="367" t="str">
        <f t="shared" si="79"/>
        <v>M2</v>
      </c>
      <c r="O270" s="346">
        <f t="shared" si="80"/>
        <v>18</v>
      </c>
      <c r="P270" s="423">
        <f>VLOOKUP(L270,'selección precios unitario'!$A$5:$I$418,9,FALSE)</f>
        <v>16000</v>
      </c>
      <c r="Q270" s="423">
        <f t="shared" si="81"/>
        <v>288000</v>
      </c>
    </row>
    <row r="271" spans="1:60" ht="25.5" hidden="1" outlineLevel="1" x14ac:dyDescent="0.25">
      <c r="A271" s="346" t="s">
        <v>372</v>
      </c>
      <c r="B271" s="368" t="s">
        <v>145</v>
      </c>
      <c r="C271" s="367" t="s">
        <v>19</v>
      </c>
      <c r="D271" s="346">
        <v>4</v>
      </c>
      <c r="E271" s="379">
        <v>55000</v>
      </c>
      <c r="F271" s="353">
        <f t="shared" si="74"/>
        <v>220000</v>
      </c>
      <c r="G271" s="350">
        <v>8000</v>
      </c>
      <c r="H271" s="353">
        <f t="shared" si="75"/>
        <v>32000</v>
      </c>
      <c r="I271" s="1285">
        <f>IFERROR(VLOOKUP(A271,'valores unit indexados'!$A$14:$O$197,15,FALSE),0)</f>
        <v>0</v>
      </c>
      <c r="J271" s="350">
        <f t="shared" si="70"/>
        <v>0</v>
      </c>
      <c r="K271"/>
      <c r="L271" s="346" t="str">
        <f t="shared" si="82"/>
        <v>D. 3,13</v>
      </c>
      <c r="M271" s="368" t="str">
        <f t="shared" si="83"/>
        <v xml:space="preserve">Apertura de vano en muro de panel yeso, incluye retiro de material </v>
      </c>
      <c r="N271" s="367" t="str">
        <f t="shared" si="79"/>
        <v>M2</v>
      </c>
      <c r="O271" s="346">
        <f t="shared" si="80"/>
        <v>4</v>
      </c>
      <c r="P271" s="423">
        <f>VLOOKUP(L271,'selección precios unitario'!$A$5:$I$418,9,FALSE)</f>
        <v>18551</v>
      </c>
      <c r="Q271" s="423">
        <f t="shared" si="81"/>
        <v>74204</v>
      </c>
    </row>
    <row r="272" spans="1:60" ht="15" hidden="1" outlineLevel="1" x14ac:dyDescent="0.25">
      <c r="A272" s="346" t="s">
        <v>373</v>
      </c>
      <c r="B272" s="368" t="s">
        <v>374</v>
      </c>
      <c r="C272" s="367" t="s">
        <v>19</v>
      </c>
      <c r="D272" s="346">
        <v>18</v>
      </c>
      <c r="E272" s="379">
        <v>70000</v>
      </c>
      <c r="F272" s="353">
        <f t="shared" si="74"/>
        <v>1260000</v>
      </c>
      <c r="G272" s="350">
        <v>48243</v>
      </c>
      <c r="H272" s="353">
        <f t="shared" si="75"/>
        <v>868374</v>
      </c>
      <c r="I272" s="1285">
        <f>IFERROR(VLOOKUP(A272,'valores unit indexados'!$A$14:$O$197,15,FALSE),0)</f>
        <v>0</v>
      </c>
      <c r="J272" s="350">
        <f t="shared" si="70"/>
        <v>0</v>
      </c>
      <c r="K272"/>
      <c r="L272" s="346" t="str">
        <f t="shared" si="82"/>
        <v>D. 3,14</v>
      </c>
      <c r="M272" s="368" t="str">
        <f t="shared" si="83"/>
        <v xml:space="preserve">Suministro e instalación cielo falso en panel yeso </v>
      </c>
      <c r="N272" s="367" t="str">
        <f t="shared" si="79"/>
        <v>M2</v>
      </c>
      <c r="O272" s="346">
        <f t="shared" si="80"/>
        <v>18</v>
      </c>
      <c r="P272" s="423">
        <f>VLOOKUP(L272,'selección precios unitario'!$A$5:$I$418,9,FALSE)</f>
        <v>48243</v>
      </c>
      <c r="Q272" s="423">
        <f t="shared" si="81"/>
        <v>868374</v>
      </c>
    </row>
    <row r="273" spans="1:60" s="1533" customFormat="1" ht="24.75" hidden="1" customHeight="1" outlineLevel="1" x14ac:dyDescent="0.25">
      <c r="A273" s="1527" t="s">
        <v>375</v>
      </c>
      <c r="B273" s="1528" t="s">
        <v>376</v>
      </c>
      <c r="C273" s="1527"/>
      <c r="D273" s="1529"/>
      <c r="E273" s="1530"/>
      <c r="F273" s="1531">
        <f t="shared" si="74"/>
        <v>0</v>
      </c>
      <c r="G273" s="1530"/>
      <c r="H273" s="1531">
        <f t="shared" si="75"/>
        <v>0</v>
      </c>
      <c r="I273" s="1532"/>
      <c r="J273" s="1527"/>
      <c r="K273"/>
      <c r="L273" s="1527" t="str">
        <f t="shared" si="82"/>
        <v>D. 4</v>
      </c>
      <c r="M273" s="1836" t="str">
        <f t="shared" si="83"/>
        <v>Cuarto de residuos Solidos</v>
      </c>
      <c r="N273" s="1837"/>
      <c r="O273" s="1837"/>
      <c r="P273" s="1837"/>
      <c r="Q273" s="1838"/>
      <c r="R273" s="1544"/>
      <c r="S273" s="1544"/>
      <c r="T273" s="1544"/>
      <c r="U273" s="1544"/>
      <c r="V273" s="1544"/>
      <c r="W273" s="1544"/>
      <c r="X273" s="1544"/>
      <c r="Y273" s="1544"/>
      <c r="Z273" s="1544"/>
      <c r="AA273" s="1544"/>
      <c r="AB273" s="1544"/>
      <c r="AC273" s="1544"/>
      <c r="AD273" s="1544"/>
      <c r="AE273" s="1544"/>
      <c r="AF273" s="1544"/>
      <c r="AG273" s="1544"/>
      <c r="AH273" s="1544"/>
      <c r="AI273" s="1544"/>
      <c r="AJ273" s="1544"/>
      <c r="AK273" s="1544"/>
      <c r="AL273" s="1544"/>
      <c r="AM273" s="1544"/>
      <c r="AN273" s="1544"/>
      <c r="AO273" s="1544"/>
      <c r="AP273" s="1544"/>
      <c r="AQ273" s="1544"/>
      <c r="AR273" s="1544"/>
      <c r="AS273" s="1544"/>
      <c r="AT273" s="1544"/>
      <c r="AU273" s="1544"/>
      <c r="AV273" s="1544"/>
      <c r="AW273" s="1544"/>
      <c r="AX273" s="1544"/>
      <c r="AY273" s="1544"/>
      <c r="AZ273" s="1544"/>
      <c r="BA273" s="1544"/>
      <c r="BB273" s="1544"/>
      <c r="BC273" s="1544"/>
      <c r="BD273" s="1544"/>
      <c r="BE273" s="1544"/>
      <c r="BF273" s="1544"/>
      <c r="BG273" s="1544"/>
      <c r="BH273" s="1544"/>
    </row>
    <row r="274" spans="1:60" ht="38.25" hidden="1" outlineLevel="1" x14ac:dyDescent="0.25">
      <c r="A274" s="346" t="s">
        <v>377</v>
      </c>
      <c r="B274" s="368" t="s">
        <v>378</v>
      </c>
      <c r="C274" s="367" t="s">
        <v>14</v>
      </c>
      <c r="D274" s="346">
        <v>20</v>
      </c>
      <c r="E274" s="353">
        <v>112000</v>
      </c>
      <c r="F274" s="353">
        <f t="shared" si="74"/>
        <v>2240000</v>
      </c>
      <c r="G274" s="349">
        <v>12000</v>
      </c>
      <c r="H274" s="353">
        <f t="shared" si="75"/>
        <v>240000</v>
      </c>
      <c r="I274" s="1285">
        <f>IFERROR(VLOOKUP(A274,'valores unit indexados'!$A$14:$O$197,15,FALSE),0)</f>
        <v>0</v>
      </c>
      <c r="J274" s="350">
        <f t="shared" si="70"/>
        <v>0</v>
      </c>
      <c r="K274"/>
      <c r="L274" s="346" t="str">
        <f t="shared" si="82"/>
        <v>D. 4,1</v>
      </c>
      <c r="M274" s="368" t="str">
        <f t="shared" si="83"/>
        <v>Suministro e instalación de perfil metálico para cubierta sección de 76 mm x 38 mm espesor 2mm, incluye soldadura, platinas y elementos de anclaje en muro, anticorrosivo y pintura.</v>
      </c>
      <c r="N274" s="367" t="str">
        <f t="shared" ref="N274:O280" si="84">+C274</f>
        <v>ML</v>
      </c>
      <c r="O274" s="346">
        <f t="shared" si="84"/>
        <v>20</v>
      </c>
      <c r="P274" s="423">
        <f>VLOOKUP(L274,'selección precios unitario'!$A$5:$I$418,9,FALSE)</f>
        <v>62000</v>
      </c>
      <c r="Q274" s="423">
        <f t="shared" ref="Q274:Q280" si="85">ROUND(P274*O274,0)</f>
        <v>1240000</v>
      </c>
    </row>
    <row r="275" spans="1:60" ht="25.5" hidden="1" outlineLevel="1" x14ac:dyDescent="0.25">
      <c r="A275" s="346" t="s">
        <v>379</v>
      </c>
      <c r="B275" s="368" t="s">
        <v>380</v>
      </c>
      <c r="C275" s="367" t="s">
        <v>19</v>
      </c>
      <c r="D275" s="346">
        <v>12</v>
      </c>
      <c r="E275" s="353">
        <v>80000</v>
      </c>
      <c r="F275" s="353">
        <f t="shared" si="74"/>
        <v>960000</v>
      </c>
      <c r="G275" s="349">
        <v>45000</v>
      </c>
      <c r="H275" s="353">
        <f t="shared" si="75"/>
        <v>540000</v>
      </c>
      <c r="I275" s="1285">
        <f>IFERROR(VLOOKUP(A275,'valores unit indexados'!$A$14:$O$197,15,FALSE),0)</f>
        <v>0</v>
      </c>
      <c r="J275" s="350">
        <f t="shared" si="70"/>
        <v>0</v>
      </c>
      <c r="K275"/>
      <c r="L275" s="346" t="str">
        <f t="shared" si="82"/>
        <v>D. 4,2</v>
      </c>
      <c r="M275" s="368" t="str">
        <f t="shared" si="83"/>
        <v>Suministro e instalación de cubierta en teja ondulada en Policarbonato, opalizado incluye elementos de fijación</v>
      </c>
      <c r="N275" s="367" t="str">
        <f t="shared" si="84"/>
        <v>M2</v>
      </c>
      <c r="O275" s="346">
        <f t="shared" si="84"/>
        <v>12</v>
      </c>
      <c r="P275" s="423">
        <f>VLOOKUP(L275,'selección precios unitario'!$A$5:$I$418,9,FALSE)</f>
        <v>61738</v>
      </c>
      <c r="Q275" s="423">
        <f t="shared" si="85"/>
        <v>740856</v>
      </c>
    </row>
    <row r="276" spans="1:60" ht="25.5" hidden="1" outlineLevel="1" x14ac:dyDescent="0.25">
      <c r="A276" s="346" t="s">
        <v>381</v>
      </c>
      <c r="B276" s="360" t="s">
        <v>61</v>
      </c>
      <c r="C276" s="361" t="s">
        <v>14</v>
      </c>
      <c r="D276" s="346">
        <v>16</v>
      </c>
      <c r="E276" s="353">
        <v>46000</v>
      </c>
      <c r="F276" s="353">
        <f t="shared" si="74"/>
        <v>736000</v>
      </c>
      <c r="G276" s="349">
        <v>57837</v>
      </c>
      <c r="H276" s="353">
        <f t="shared" si="75"/>
        <v>925392</v>
      </c>
      <c r="I276" s="1285">
        <f>IFERROR(VLOOKUP(A276,'valores unit indexados'!$A$14:$O$197,15,FALSE),0)</f>
        <v>0</v>
      </c>
      <c r="J276" s="350">
        <f t="shared" si="70"/>
        <v>0</v>
      </c>
      <c r="K276"/>
      <c r="L276" s="346" t="str">
        <f t="shared" si="82"/>
        <v>D. 4,3</v>
      </c>
      <c r="M276" s="360" t="str">
        <f t="shared" si="83"/>
        <v>Suministro e instalación de Solapa en lamina galvanizada Cal 24, incluye sellador sobre muro</v>
      </c>
      <c r="N276" s="361" t="str">
        <f t="shared" si="84"/>
        <v>ML</v>
      </c>
      <c r="O276" s="346">
        <f t="shared" si="84"/>
        <v>16</v>
      </c>
      <c r="P276" s="423">
        <f>VLOOKUP(L276,'selección precios unitario'!$A$5:$I$418,9,FALSE)</f>
        <v>51919</v>
      </c>
      <c r="Q276" s="423">
        <f t="shared" si="85"/>
        <v>830704</v>
      </c>
    </row>
    <row r="277" spans="1:60" ht="15" hidden="1" outlineLevel="1" x14ac:dyDescent="0.25">
      <c r="A277" s="346" t="s">
        <v>382</v>
      </c>
      <c r="B277" s="383" t="s">
        <v>59</v>
      </c>
      <c r="C277" s="361" t="s">
        <v>14</v>
      </c>
      <c r="D277" s="346">
        <v>10</v>
      </c>
      <c r="E277" s="353">
        <v>16000</v>
      </c>
      <c r="F277" s="353">
        <f t="shared" si="74"/>
        <v>160000</v>
      </c>
      <c r="G277" s="349">
        <v>16848</v>
      </c>
      <c r="H277" s="353">
        <f t="shared" si="75"/>
        <v>168480</v>
      </c>
      <c r="I277" s="1285">
        <f>IFERROR(VLOOKUP(A277,'valores unit indexados'!$A$14:$O$197,15,FALSE),0)</f>
        <v>13382</v>
      </c>
      <c r="J277" s="350">
        <f t="shared" si="70"/>
        <v>133820</v>
      </c>
      <c r="K277"/>
      <c r="L277" s="346" t="str">
        <f t="shared" si="82"/>
        <v>D. 4,4</v>
      </c>
      <c r="M277" s="383" t="str">
        <f t="shared" si="83"/>
        <v>Corte de muro con pulidora</v>
      </c>
      <c r="N277" s="361" t="str">
        <f t="shared" si="84"/>
        <v>ML</v>
      </c>
      <c r="O277" s="346">
        <f t="shared" si="84"/>
        <v>10</v>
      </c>
      <c r="P277" s="423">
        <f>VLOOKUP(L277,'selección precios unitario'!$A$5:$I$418,9,FALSE)</f>
        <v>15410</v>
      </c>
      <c r="Q277" s="423">
        <f t="shared" si="85"/>
        <v>154100</v>
      </c>
    </row>
    <row r="278" spans="1:60" ht="15" hidden="1" outlineLevel="1" x14ac:dyDescent="0.25">
      <c r="A278" s="346" t="s">
        <v>383</v>
      </c>
      <c r="B278" s="383" t="s">
        <v>63</v>
      </c>
      <c r="C278" s="361" t="s">
        <v>6</v>
      </c>
      <c r="D278" s="346">
        <v>2</v>
      </c>
      <c r="E278" s="353">
        <v>27000</v>
      </c>
      <c r="F278" s="353">
        <f t="shared" si="74"/>
        <v>54000</v>
      </c>
      <c r="G278" s="387">
        <v>0</v>
      </c>
      <c r="H278" s="353">
        <f t="shared" si="75"/>
        <v>0</v>
      </c>
      <c r="I278" s="1285">
        <f>IFERROR(VLOOKUP(A278,'valores unit indexados'!$A$14:$O$197,15,FALSE),0)</f>
        <v>26036</v>
      </c>
      <c r="J278" s="350">
        <f t="shared" si="70"/>
        <v>52072</v>
      </c>
      <c r="K278"/>
      <c r="L278" s="346" t="str">
        <f t="shared" si="82"/>
        <v>D. 4,5</v>
      </c>
      <c r="M278" s="383" t="str">
        <f t="shared" si="83"/>
        <v>Suministro e instalación de soscos para canal en 3"</v>
      </c>
      <c r="N278" s="361" t="str">
        <f t="shared" si="84"/>
        <v>UND</v>
      </c>
      <c r="O278" s="346">
        <f t="shared" si="84"/>
        <v>2</v>
      </c>
      <c r="P278" s="423">
        <f>VLOOKUP(L278,'selección precios unitario'!$A$5:$I$418,9,FALSE)</f>
        <v>26518</v>
      </c>
      <c r="Q278" s="423">
        <f t="shared" si="85"/>
        <v>53036</v>
      </c>
    </row>
    <row r="279" spans="1:60" ht="15" hidden="1" outlineLevel="1" x14ac:dyDescent="0.25">
      <c r="A279" s="346" t="s">
        <v>384</v>
      </c>
      <c r="B279" s="383" t="s">
        <v>65</v>
      </c>
      <c r="C279" s="361" t="s">
        <v>14</v>
      </c>
      <c r="D279" s="346">
        <v>6</v>
      </c>
      <c r="E279" s="353">
        <v>48000</v>
      </c>
      <c r="F279" s="353">
        <f t="shared" si="74"/>
        <v>288000</v>
      </c>
      <c r="G279" s="349">
        <v>36283</v>
      </c>
      <c r="H279" s="353">
        <f t="shared" si="75"/>
        <v>217698</v>
      </c>
      <c r="I279" s="1285">
        <f>IFERROR(VLOOKUP(A279,'valores unit indexados'!$A$14:$O$197,15,FALSE),0)</f>
        <v>75401</v>
      </c>
      <c r="J279" s="350">
        <f t="shared" si="70"/>
        <v>452406</v>
      </c>
      <c r="K279"/>
      <c r="L279" s="346" t="str">
        <f t="shared" si="82"/>
        <v>D. 4,6</v>
      </c>
      <c r="M279" s="383" t="str">
        <f t="shared" si="83"/>
        <v>Suministro e instalación tubería sanitaria de 4 " incluye accesorios.</v>
      </c>
      <c r="N279" s="361" t="str">
        <f t="shared" si="84"/>
        <v>ML</v>
      </c>
      <c r="O279" s="346">
        <f t="shared" si="84"/>
        <v>6</v>
      </c>
      <c r="P279" s="423">
        <f>VLOOKUP(L279,'selección precios unitario'!$A$5:$I$418,9,FALSE)</f>
        <v>42142</v>
      </c>
      <c r="Q279" s="423">
        <f t="shared" si="85"/>
        <v>252852</v>
      </c>
    </row>
    <row r="280" spans="1:60" ht="25.5" hidden="1" outlineLevel="1" x14ac:dyDescent="0.25">
      <c r="A280" s="346" t="s">
        <v>385</v>
      </c>
      <c r="B280" s="360" t="s">
        <v>57</v>
      </c>
      <c r="C280" s="361" t="s">
        <v>14</v>
      </c>
      <c r="D280" s="346">
        <v>4</v>
      </c>
      <c r="E280" s="353">
        <v>94000</v>
      </c>
      <c r="F280" s="353">
        <f t="shared" si="74"/>
        <v>376000</v>
      </c>
      <c r="G280" s="349">
        <v>113048</v>
      </c>
      <c r="H280" s="353">
        <f t="shared" si="75"/>
        <v>452192</v>
      </c>
      <c r="I280" s="1285">
        <f>IFERROR(VLOOKUP(A280,'valores unit indexados'!$A$14:$O$197,15,FALSE),0)</f>
        <v>0</v>
      </c>
      <c r="J280" s="350">
        <f t="shared" si="70"/>
        <v>0</v>
      </c>
      <c r="K280"/>
      <c r="L280" s="346" t="str">
        <f t="shared" si="82"/>
        <v>D. 4,7</v>
      </c>
      <c r="M280" s="360" t="str">
        <f t="shared" si="83"/>
        <v>Suministro e instalación de Canal en lamina galvanizada cal 22, incluye platina para soporte canal</v>
      </c>
      <c r="N280" s="361" t="str">
        <f t="shared" si="84"/>
        <v>ML</v>
      </c>
      <c r="O280" s="346">
        <f t="shared" si="84"/>
        <v>4</v>
      </c>
      <c r="P280" s="423">
        <f>VLOOKUP(L280,'selección precios unitario'!$A$5:$I$418,9,FALSE)</f>
        <v>92573</v>
      </c>
      <c r="Q280" s="423">
        <f t="shared" si="85"/>
        <v>370292</v>
      </c>
    </row>
    <row r="281" spans="1:60" s="1533" customFormat="1" ht="24.75" hidden="1" customHeight="1" outlineLevel="1" x14ac:dyDescent="0.25">
      <c r="A281" s="1527" t="s">
        <v>386</v>
      </c>
      <c r="B281" s="1528" t="s">
        <v>1467</v>
      </c>
      <c r="C281" s="1527"/>
      <c r="D281" s="1529"/>
      <c r="E281" s="1530"/>
      <c r="F281" s="1531">
        <f t="shared" si="74"/>
        <v>0</v>
      </c>
      <c r="G281" s="1530"/>
      <c r="H281" s="1531">
        <f t="shared" si="75"/>
        <v>0</v>
      </c>
      <c r="I281" s="1532"/>
      <c r="J281" s="1527"/>
      <c r="K281"/>
      <c r="L281" s="1527" t="str">
        <f t="shared" si="82"/>
        <v>D. 5</v>
      </c>
      <c r="M281" s="1836" t="str">
        <f t="shared" si="83"/>
        <v>Divisiones en panel yeso - Instalaciones Eléctricas de voz y datos</v>
      </c>
      <c r="N281" s="1837"/>
      <c r="O281" s="1837"/>
      <c r="P281" s="1837"/>
      <c r="Q281" s="1838"/>
      <c r="R281" s="1544"/>
      <c r="S281" s="1544"/>
      <c r="T281" s="1544"/>
      <c r="U281" s="1544"/>
      <c r="V281" s="1544"/>
      <c r="W281" s="1544"/>
      <c r="X281" s="1544"/>
      <c r="Y281" s="1544"/>
      <c r="Z281" s="1544"/>
      <c r="AA281" s="1544"/>
      <c r="AB281" s="1544"/>
      <c r="AC281" s="1544"/>
      <c r="AD281" s="1544"/>
      <c r="AE281" s="1544"/>
      <c r="AF281" s="1544"/>
      <c r="AG281" s="1544"/>
      <c r="AH281" s="1544"/>
      <c r="AI281" s="1544"/>
      <c r="AJ281" s="1544"/>
      <c r="AK281" s="1544"/>
      <c r="AL281" s="1544"/>
      <c r="AM281" s="1544"/>
      <c r="AN281" s="1544"/>
      <c r="AO281" s="1544"/>
      <c r="AP281" s="1544"/>
      <c r="AQ281" s="1544"/>
      <c r="AR281" s="1544"/>
      <c r="AS281" s="1544"/>
      <c r="AT281" s="1544"/>
      <c r="AU281" s="1544"/>
      <c r="AV281" s="1544"/>
      <c r="AW281" s="1544"/>
      <c r="AX281" s="1544"/>
      <c r="AY281" s="1544"/>
      <c r="AZ281" s="1544"/>
      <c r="BA281" s="1544"/>
      <c r="BB281" s="1544"/>
      <c r="BC281" s="1544"/>
      <c r="BD281" s="1544"/>
      <c r="BE281" s="1544"/>
      <c r="BF281" s="1544"/>
      <c r="BG281" s="1544"/>
      <c r="BH281" s="1544"/>
    </row>
    <row r="282" spans="1:60" ht="25.5" hidden="1" outlineLevel="1" x14ac:dyDescent="0.25">
      <c r="A282" s="346" t="s">
        <v>387</v>
      </c>
      <c r="B282" s="358" t="s">
        <v>103</v>
      </c>
      <c r="C282" s="356" t="s">
        <v>19</v>
      </c>
      <c r="D282" s="346">
        <v>10</v>
      </c>
      <c r="E282" s="353">
        <v>130000</v>
      </c>
      <c r="F282" s="353">
        <f t="shared" si="74"/>
        <v>1300000</v>
      </c>
      <c r="G282" s="349">
        <v>122971.77200000001</v>
      </c>
      <c r="H282" s="353">
        <f t="shared" si="75"/>
        <v>1229717.7200000002</v>
      </c>
      <c r="I282" s="1285">
        <f>IFERROR(VLOOKUP(A282,'valores unit indexados'!$A$14:$O$197,15,FALSE),0)</f>
        <v>113422</v>
      </c>
      <c r="J282" s="350">
        <f t="shared" si="70"/>
        <v>1134220</v>
      </c>
      <c r="K282"/>
      <c r="L282" s="346" t="str">
        <f t="shared" si="82"/>
        <v>D. 5,1</v>
      </c>
      <c r="M282" s="358" t="str">
        <f t="shared" si="83"/>
        <v>Suministro e instalación muro en perfilería de 90mm en panel yeso de 1/2 , doble cara insonorizado. Altura piso techo</v>
      </c>
      <c r="N282" s="356" t="str">
        <f t="shared" ref="N282:N302" si="86">+C282</f>
        <v>M2</v>
      </c>
      <c r="O282" s="346">
        <f t="shared" ref="O282:O302" si="87">+D282</f>
        <v>10</v>
      </c>
      <c r="P282" s="423">
        <f>VLOOKUP(L282,'selección precios unitario'!$A$5:$I$418,9,FALSE)</f>
        <v>122131</v>
      </c>
      <c r="Q282" s="423">
        <f t="shared" ref="Q282:Q302" si="88">ROUND(P282*O282,0)</f>
        <v>1221310</v>
      </c>
    </row>
    <row r="283" spans="1:60" ht="15" hidden="1" outlineLevel="1" x14ac:dyDescent="0.25">
      <c r="A283" s="346" t="s">
        <v>388</v>
      </c>
      <c r="B283" s="347" t="s">
        <v>105</v>
      </c>
      <c r="C283" s="356" t="s">
        <v>14</v>
      </c>
      <c r="D283" s="346">
        <v>5</v>
      </c>
      <c r="E283" s="353">
        <v>50000</v>
      </c>
      <c r="F283" s="353">
        <f t="shared" si="74"/>
        <v>250000</v>
      </c>
      <c r="G283" s="349">
        <v>111069.57400000001</v>
      </c>
      <c r="H283" s="353">
        <f t="shared" si="75"/>
        <v>555347.87</v>
      </c>
      <c r="I283" s="1285">
        <f>IFERROR(VLOOKUP(A283,'valores unit indexados'!$A$14:$O$197,15,FALSE),0)</f>
        <v>41152</v>
      </c>
      <c r="J283" s="350">
        <f t="shared" si="70"/>
        <v>205760</v>
      </c>
      <c r="K283"/>
      <c r="L283" s="346" t="str">
        <f t="shared" si="82"/>
        <v>D. 5,2</v>
      </c>
      <c r="M283" s="347" t="str">
        <f t="shared" si="83"/>
        <v>Suministro e instalación de alma en madera de 88mm</v>
      </c>
      <c r="N283" s="356" t="str">
        <f t="shared" si="86"/>
        <v>ML</v>
      </c>
      <c r="O283" s="346">
        <f t="shared" si="87"/>
        <v>5</v>
      </c>
      <c r="P283" s="423">
        <f>VLOOKUP(L283,'selección precios unitario'!$A$5:$I$418,9,FALSE)</f>
        <v>45576</v>
      </c>
      <c r="Q283" s="423">
        <f t="shared" si="88"/>
        <v>227880</v>
      </c>
    </row>
    <row r="284" spans="1:60" ht="51" hidden="1" outlineLevel="1" x14ac:dyDescent="0.25">
      <c r="A284" s="346" t="s">
        <v>389</v>
      </c>
      <c r="B284" s="358" t="s">
        <v>1468</v>
      </c>
      <c r="C284" s="356" t="s">
        <v>14</v>
      </c>
      <c r="D284" s="346">
        <v>5</v>
      </c>
      <c r="E284" s="353">
        <v>78000</v>
      </c>
      <c r="F284" s="353">
        <f t="shared" si="74"/>
        <v>390000</v>
      </c>
      <c r="G284" s="349">
        <v>76011.936000000002</v>
      </c>
      <c r="H284" s="353">
        <f t="shared" si="75"/>
        <v>380059.68</v>
      </c>
      <c r="I284" s="1285">
        <f>IFERROR(VLOOKUP(A284,'valores unit indexados'!$A$14:$O$197,15,FALSE),0)</f>
        <v>46346</v>
      </c>
      <c r="J284" s="350">
        <f t="shared" si="70"/>
        <v>231730</v>
      </c>
      <c r="K284"/>
      <c r="L284" s="346" t="str">
        <f t="shared" si="82"/>
        <v>D. 5,3</v>
      </c>
      <c r="M284" s="358" t="str">
        <f t="shared" si="83"/>
        <v>Suministro e instalación de cartera en panel yeso de 12 cm incluye filos, con estructura galvanizada base 9 cal.24 encintada, masillada y rematada, con acabado en pintura de vinilo</v>
      </c>
      <c r="N284" s="356" t="str">
        <f t="shared" si="86"/>
        <v>ML</v>
      </c>
      <c r="O284" s="346">
        <f t="shared" si="87"/>
        <v>5</v>
      </c>
      <c r="P284" s="423">
        <f>VLOOKUP(L284,'selección precios unitario'!$A$5:$I$418,9,FALSE)</f>
        <v>46346</v>
      </c>
      <c r="Q284" s="423">
        <f t="shared" si="88"/>
        <v>231730</v>
      </c>
    </row>
    <row r="285" spans="1:60" ht="15" hidden="1" outlineLevel="1" x14ac:dyDescent="0.25">
      <c r="A285" s="346" t="s">
        <v>390</v>
      </c>
      <c r="B285" s="347" t="s">
        <v>109</v>
      </c>
      <c r="C285" s="356" t="s">
        <v>14</v>
      </c>
      <c r="D285" s="346">
        <v>8</v>
      </c>
      <c r="E285" s="353">
        <v>50000</v>
      </c>
      <c r="F285" s="353">
        <f t="shared" si="74"/>
        <v>400000</v>
      </c>
      <c r="G285" s="349">
        <v>17277</v>
      </c>
      <c r="H285" s="353">
        <f t="shared" si="75"/>
        <v>138216</v>
      </c>
      <c r="I285" s="1285">
        <f>IFERROR(VLOOKUP(A285,'valores unit indexados'!$A$14:$O$197,15,FALSE),0)</f>
        <v>37101</v>
      </c>
      <c r="J285" s="350">
        <f t="shared" si="70"/>
        <v>296808</v>
      </c>
      <c r="K285"/>
      <c r="L285" s="346" t="str">
        <f t="shared" si="82"/>
        <v>D. 5,4</v>
      </c>
      <c r="M285" s="347" t="str">
        <f t="shared" si="83"/>
        <v>Suministro e instalación de guarda escoba en pvc</v>
      </c>
      <c r="N285" s="356" t="str">
        <f t="shared" si="86"/>
        <v>ML</v>
      </c>
      <c r="O285" s="346">
        <f t="shared" si="87"/>
        <v>8</v>
      </c>
      <c r="P285" s="423">
        <f>VLOOKUP(L285,'selección precios unitario'!$A$5:$I$418,9,FALSE)</f>
        <v>37101</v>
      </c>
      <c r="Q285" s="423">
        <f t="shared" si="88"/>
        <v>296808</v>
      </c>
    </row>
    <row r="286" spans="1:60" ht="51" hidden="1" outlineLevel="1" x14ac:dyDescent="0.25">
      <c r="A286" s="346" t="s">
        <v>391</v>
      </c>
      <c r="B286" s="358" t="s">
        <v>111</v>
      </c>
      <c r="C286" s="363" t="s">
        <v>6</v>
      </c>
      <c r="D286" s="346">
        <v>1</v>
      </c>
      <c r="E286" s="353">
        <v>650000</v>
      </c>
      <c r="F286" s="353">
        <f t="shared" si="74"/>
        <v>650000</v>
      </c>
      <c r="G286" s="349">
        <v>802118.24000000011</v>
      </c>
      <c r="H286" s="353">
        <f t="shared" si="75"/>
        <v>802118.24000000011</v>
      </c>
      <c r="I286" s="1285">
        <f>IFERROR(VLOOKUP(A286,'valores unit indexados'!$A$14:$O$197,15,FALSE),0)</f>
        <v>579485</v>
      </c>
      <c r="J286" s="350">
        <f t="shared" si="70"/>
        <v>579485</v>
      </c>
      <c r="K286"/>
      <c r="L286" s="346" t="str">
        <f t="shared" si="82"/>
        <v>D. 5,5</v>
      </c>
      <c r="M286" s="358" t="str">
        <f t="shared" si="83"/>
        <v>Suministro e instalación puerta entamborada (diseño similar a las existentes) cuyas medidas son de 80 cms de ancho x 200 cm alto, incluye marco y chapa, inmunización y pintura en Barniz</v>
      </c>
      <c r="N286" s="363" t="str">
        <f t="shared" si="86"/>
        <v>UND</v>
      </c>
      <c r="O286" s="346">
        <f t="shared" si="87"/>
        <v>1</v>
      </c>
      <c r="P286" s="423">
        <f>VLOOKUP(L286,'selección precios unitario'!$A$5:$I$418,9,FALSE)</f>
        <v>614743</v>
      </c>
      <c r="Q286" s="423">
        <f t="shared" si="88"/>
        <v>614743</v>
      </c>
    </row>
    <row r="287" spans="1:60" ht="51" hidden="1" outlineLevel="1" x14ac:dyDescent="0.25">
      <c r="A287" s="367" t="s">
        <v>392</v>
      </c>
      <c r="B287" s="347" t="s">
        <v>117</v>
      </c>
      <c r="C287" s="363" t="s">
        <v>14</v>
      </c>
      <c r="D287" s="346">
        <v>12</v>
      </c>
      <c r="E287" s="353">
        <v>75000</v>
      </c>
      <c r="F287" s="353">
        <f t="shared" si="74"/>
        <v>900000</v>
      </c>
      <c r="G287" s="349">
        <v>31265</v>
      </c>
      <c r="H287" s="353">
        <f t="shared" si="75"/>
        <v>375180</v>
      </c>
      <c r="I287" s="1285">
        <f>IFERROR(VLOOKUP(A287,'valores unit indexados'!$A$14:$O$197,15,FALSE),0)</f>
        <v>70329</v>
      </c>
      <c r="J287" s="350">
        <f t="shared" si="70"/>
        <v>843948</v>
      </c>
      <c r="K287"/>
      <c r="L287" s="367" t="str">
        <f t="shared" si="82"/>
        <v>D. 5,6</v>
      </c>
      <c r="M287" s="347" t="str">
        <f t="shared" si="83"/>
        <v>Suministro e instalación Canaleta 100 mm x 45 mm Plástica con división. Blanco PVC auto extinguible y Resistente a impactos hasta de 1 kg, Humedad, Aceites y Químicos., con sus respectivos elementos de Certificado_RETIE_</v>
      </c>
      <c r="N287" s="363" t="str">
        <f t="shared" si="86"/>
        <v>ML</v>
      </c>
      <c r="O287" s="346">
        <f t="shared" si="87"/>
        <v>12</v>
      </c>
      <c r="P287" s="423">
        <f>VLOOKUP(L287,'selección precios unitario'!$A$5:$I$418,9,FALSE)</f>
        <v>72665</v>
      </c>
      <c r="Q287" s="423">
        <f t="shared" si="88"/>
        <v>871980</v>
      </c>
    </row>
    <row r="288" spans="1:60" ht="38.25" hidden="1" outlineLevel="1" x14ac:dyDescent="0.25">
      <c r="A288" s="367" t="s">
        <v>393</v>
      </c>
      <c r="B288" s="358" t="s">
        <v>119</v>
      </c>
      <c r="C288" s="363" t="s">
        <v>6</v>
      </c>
      <c r="D288" s="346">
        <v>7</v>
      </c>
      <c r="E288" s="353">
        <v>38000</v>
      </c>
      <c r="F288" s="353">
        <f t="shared" si="74"/>
        <v>266000</v>
      </c>
      <c r="G288" s="349">
        <v>16263</v>
      </c>
      <c r="H288" s="353">
        <f t="shared" si="75"/>
        <v>113841</v>
      </c>
      <c r="I288" s="1285">
        <f>IFERROR(VLOOKUP(A288,'valores unit indexados'!$A$14:$O$197,15,FALSE),0)</f>
        <v>31702</v>
      </c>
      <c r="J288" s="350">
        <f t="shared" si="70"/>
        <v>221914</v>
      </c>
      <c r="K288"/>
      <c r="L288" s="367" t="str">
        <f t="shared" si="82"/>
        <v>D. 5,7</v>
      </c>
      <c r="M288" s="358" t="str">
        <f t="shared" si="83"/>
        <v xml:space="preserve">Suministro e instalación troquel para toma regulada, toma normal y toma de datos, incluye accesorios para su correcta instalación </v>
      </c>
      <c r="N288" s="363" t="str">
        <f t="shared" si="86"/>
        <v>UND</v>
      </c>
      <c r="O288" s="346">
        <f t="shared" si="87"/>
        <v>7</v>
      </c>
      <c r="P288" s="423">
        <f>VLOOKUP(L288,'selección precios unitario'!$A$5:$I$418,9,FALSE)</f>
        <v>34851</v>
      </c>
      <c r="Q288" s="423">
        <f t="shared" si="88"/>
        <v>243957</v>
      </c>
    </row>
    <row r="289" spans="1:60" ht="25.5" hidden="1" outlineLevel="1" x14ac:dyDescent="0.25">
      <c r="A289" s="367" t="s">
        <v>394</v>
      </c>
      <c r="B289" s="347" t="s">
        <v>121</v>
      </c>
      <c r="C289" s="363" t="s">
        <v>14</v>
      </c>
      <c r="D289" s="346">
        <v>110</v>
      </c>
      <c r="E289" s="353">
        <v>10550</v>
      </c>
      <c r="F289" s="353">
        <f t="shared" si="74"/>
        <v>1160500</v>
      </c>
      <c r="G289" s="349">
        <v>4732</v>
      </c>
      <c r="H289" s="353">
        <f t="shared" si="75"/>
        <v>520520</v>
      </c>
      <c r="I289" s="1285">
        <f>IFERROR(VLOOKUP(A289,'valores unit indexados'!$A$14:$O$197,15,FALSE),0)</f>
        <v>10285</v>
      </c>
      <c r="J289" s="350">
        <f t="shared" si="70"/>
        <v>1131350</v>
      </c>
      <c r="K289"/>
      <c r="L289" s="367" t="str">
        <f t="shared" si="82"/>
        <v>D. 5,8</v>
      </c>
      <c r="M289" s="347" t="str">
        <f t="shared" si="83"/>
        <v>Suministro e instalación de cable UTP Categoría 6A libre de halógeno LSZH</v>
      </c>
      <c r="N289" s="363" t="str">
        <f t="shared" si="86"/>
        <v>ML</v>
      </c>
      <c r="O289" s="346">
        <f t="shared" si="87"/>
        <v>110</v>
      </c>
      <c r="P289" s="423">
        <f>VLOOKUP(L289,'selección precios unitario'!$A$5:$I$418,9,FALSE)</f>
        <v>10418</v>
      </c>
      <c r="Q289" s="423">
        <f t="shared" si="88"/>
        <v>1145980</v>
      </c>
    </row>
    <row r="290" spans="1:60" ht="51" hidden="1" outlineLevel="1" x14ac:dyDescent="0.25">
      <c r="A290" s="367" t="s">
        <v>395</v>
      </c>
      <c r="B290" s="358" t="s">
        <v>123</v>
      </c>
      <c r="C290" s="363" t="s">
        <v>6</v>
      </c>
      <c r="D290" s="346">
        <v>7</v>
      </c>
      <c r="E290" s="353">
        <v>72000</v>
      </c>
      <c r="F290" s="353">
        <f t="shared" si="74"/>
        <v>504000</v>
      </c>
      <c r="G290" s="349">
        <v>112086</v>
      </c>
      <c r="H290" s="353">
        <f t="shared" si="75"/>
        <v>784602</v>
      </c>
      <c r="I290" s="1285">
        <f>IFERROR(VLOOKUP(A290,'valores unit indexados'!$A$14:$O$197,15,FALSE),0)</f>
        <v>70740</v>
      </c>
      <c r="J290" s="350">
        <f t="shared" si="70"/>
        <v>495180</v>
      </c>
      <c r="K290"/>
      <c r="L290" s="367" t="str">
        <f t="shared" si="82"/>
        <v>D. 5,9</v>
      </c>
      <c r="M290" s="358" t="str">
        <f t="shared" si="83"/>
        <v>Suministro e instalación de toma hembra tipo jack rj 45 cat 6ª, utp, para puesto de trabajo o herraje. (incluye jacks rj45 cat. 6a amp, ponchada, maquillado y accesorios necesarios para su instalación)</v>
      </c>
      <c r="N290" s="363" t="str">
        <f t="shared" si="86"/>
        <v>UND</v>
      </c>
      <c r="O290" s="346">
        <f t="shared" si="87"/>
        <v>7</v>
      </c>
      <c r="P290" s="423">
        <f>VLOOKUP(L290,'selección precios unitario'!$A$5:$I$418,9,FALSE)</f>
        <v>71370</v>
      </c>
      <c r="Q290" s="423">
        <f t="shared" si="88"/>
        <v>499590</v>
      </c>
    </row>
    <row r="291" spans="1:60" ht="25.5" hidden="1" outlineLevel="1" x14ac:dyDescent="0.25">
      <c r="A291" s="367" t="s">
        <v>396</v>
      </c>
      <c r="B291" s="347" t="s">
        <v>125</v>
      </c>
      <c r="C291" s="363" t="s">
        <v>6</v>
      </c>
      <c r="D291" s="346">
        <v>7</v>
      </c>
      <c r="E291" s="353">
        <v>20000</v>
      </c>
      <c r="F291" s="353">
        <f t="shared" si="74"/>
        <v>140000</v>
      </c>
      <c r="G291" s="349">
        <v>33267</v>
      </c>
      <c r="H291" s="353">
        <f t="shared" si="75"/>
        <v>232869</v>
      </c>
      <c r="I291" s="1285">
        <f>IFERROR(VLOOKUP(A291,'valores unit indexados'!$A$14:$O$197,15,FALSE),0)</f>
        <v>20219</v>
      </c>
      <c r="J291" s="350">
        <f t="shared" si="70"/>
        <v>141533</v>
      </c>
      <c r="K291"/>
      <c r="L291" s="367" t="str">
        <f t="shared" si="82"/>
        <v>D. 5,10</v>
      </c>
      <c r="M291" s="347" t="str">
        <f t="shared" si="83"/>
        <v>Suministro e instalación de faceplate de 1 salida (SOLO DATOS)</v>
      </c>
      <c r="N291" s="363" t="str">
        <f t="shared" si="86"/>
        <v>UND</v>
      </c>
      <c r="O291" s="346">
        <f t="shared" si="87"/>
        <v>7</v>
      </c>
      <c r="P291" s="423">
        <f>VLOOKUP(L291,'selección precios unitario'!$A$5:$I$418,9,FALSE)</f>
        <v>20110</v>
      </c>
      <c r="Q291" s="423">
        <f t="shared" si="88"/>
        <v>140770</v>
      </c>
    </row>
    <row r="292" spans="1:60" ht="51" hidden="1" outlineLevel="1" x14ac:dyDescent="0.25">
      <c r="A292" s="367" t="s">
        <v>397</v>
      </c>
      <c r="B292" s="358" t="s">
        <v>127</v>
      </c>
      <c r="C292" s="363" t="s">
        <v>6</v>
      </c>
      <c r="D292" s="346">
        <v>7</v>
      </c>
      <c r="E292" s="353">
        <v>120000</v>
      </c>
      <c r="F292" s="353">
        <f t="shared" si="74"/>
        <v>840000</v>
      </c>
      <c r="G292" s="387">
        <v>0</v>
      </c>
      <c r="H292" s="353">
        <f t="shared" si="75"/>
        <v>0</v>
      </c>
      <c r="I292" s="1285">
        <f>IFERROR(VLOOKUP(A292,'valores unit indexados'!$A$14:$O$197,15,FALSE),0)</f>
        <v>120233</v>
      </c>
      <c r="J292" s="350">
        <f t="shared" si="70"/>
        <v>841631</v>
      </c>
      <c r="K292"/>
      <c r="L292" s="367" t="str">
        <f t="shared" si="82"/>
        <v>D. 5,11</v>
      </c>
      <c r="M292" s="358" t="str">
        <f t="shared" si="83"/>
        <v>Suministro e instalación de salida eléctrica red regulada en puesto de trabajo con cable trenzado 3# 12 rojo, verde, blanco con aislamiento libre de halógeno, longitud de 1,5m incluye tomacorriente polo a tierra aislado</v>
      </c>
      <c r="N292" s="363" t="str">
        <f t="shared" si="86"/>
        <v>UND</v>
      </c>
      <c r="O292" s="346">
        <f t="shared" si="87"/>
        <v>7</v>
      </c>
      <c r="P292" s="423">
        <f>VLOOKUP(L292,'selección precios unitario'!$A$5:$I$418,9,FALSE)</f>
        <v>119473</v>
      </c>
      <c r="Q292" s="423">
        <f t="shared" si="88"/>
        <v>836311</v>
      </c>
    </row>
    <row r="293" spans="1:60" ht="51" hidden="1" outlineLevel="1" x14ac:dyDescent="0.25">
      <c r="A293" s="367" t="s">
        <v>398</v>
      </c>
      <c r="B293" s="347" t="s">
        <v>129</v>
      </c>
      <c r="C293" s="363" t="s">
        <v>6</v>
      </c>
      <c r="D293" s="346">
        <v>7</v>
      </c>
      <c r="E293" s="353">
        <v>115000</v>
      </c>
      <c r="F293" s="353">
        <f t="shared" si="74"/>
        <v>805000</v>
      </c>
      <c r="G293" s="371">
        <v>0</v>
      </c>
      <c r="H293" s="353">
        <f t="shared" si="75"/>
        <v>0</v>
      </c>
      <c r="I293" s="1285">
        <f>IFERROR(VLOOKUP(A293,'valores unit indexados'!$A$14:$O$197,15,FALSE),0)</f>
        <v>123946</v>
      </c>
      <c r="J293" s="350">
        <f t="shared" si="70"/>
        <v>867622</v>
      </c>
      <c r="K293"/>
      <c r="L293" s="367" t="str">
        <f t="shared" si="82"/>
        <v>D. 5,12</v>
      </c>
      <c r="M293" s="347" t="str">
        <f t="shared" si="83"/>
        <v xml:space="preserve">Suministro e instalación de salida eléctrica red normal en puesto de trabajo con  cable trenzado 3# 12 azul, verde, blanco con aislamiento libre de halógeno,  longitud de 1,5m incluye tomacorriente polo a tierra </v>
      </c>
      <c r="N293" s="363" t="str">
        <f t="shared" si="86"/>
        <v>UND</v>
      </c>
      <c r="O293" s="346">
        <f t="shared" si="87"/>
        <v>7</v>
      </c>
      <c r="P293" s="423">
        <f>VLOOKUP(L293,'selección precios unitario'!$A$5:$I$418,9,FALSE)</f>
        <v>119473</v>
      </c>
      <c r="Q293" s="423">
        <f t="shared" si="88"/>
        <v>836311</v>
      </c>
    </row>
    <row r="294" spans="1:60" ht="25.5" hidden="1" outlineLevel="1" x14ac:dyDescent="0.25">
      <c r="A294" s="367" t="s">
        <v>399</v>
      </c>
      <c r="B294" s="347" t="s">
        <v>279</v>
      </c>
      <c r="C294" s="363" t="s">
        <v>6</v>
      </c>
      <c r="D294" s="346">
        <v>1</v>
      </c>
      <c r="E294" s="353">
        <v>95000</v>
      </c>
      <c r="F294" s="353">
        <f t="shared" si="74"/>
        <v>95000</v>
      </c>
      <c r="G294" s="349">
        <v>22000</v>
      </c>
      <c r="H294" s="353">
        <f t="shared" si="75"/>
        <v>22000</v>
      </c>
      <c r="I294" s="1285">
        <f>IFERROR(VLOOKUP(A294,'valores unit indexados'!$A$14:$O$197,15,FALSE),0)</f>
        <v>96760</v>
      </c>
      <c r="J294" s="350">
        <f t="shared" si="70"/>
        <v>96760</v>
      </c>
      <c r="K294"/>
      <c r="L294" s="367" t="str">
        <f t="shared" si="82"/>
        <v>D. 5,13</v>
      </c>
      <c r="M294" s="347" t="str">
        <f t="shared" si="83"/>
        <v xml:space="preserve">Suministro e instalación de interruptor sencillo incluye caja de sobreponer y salida </v>
      </c>
      <c r="N294" s="363" t="str">
        <f t="shared" si="86"/>
        <v>UND</v>
      </c>
      <c r="O294" s="346">
        <f t="shared" si="87"/>
        <v>1</v>
      </c>
      <c r="P294" s="423">
        <f>VLOOKUP(L294,'selección precios unitario'!$A$5:$I$418,9,FALSE)</f>
        <v>95880</v>
      </c>
      <c r="Q294" s="423">
        <f t="shared" si="88"/>
        <v>95880</v>
      </c>
    </row>
    <row r="295" spans="1:60" ht="38.25" hidden="1" outlineLevel="1" x14ac:dyDescent="0.25">
      <c r="A295" s="346" t="s">
        <v>400</v>
      </c>
      <c r="B295" s="347" t="s">
        <v>133</v>
      </c>
      <c r="C295" s="363" t="s">
        <v>6</v>
      </c>
      <c r="D295" s="346">
        <v>3</v>
      </c>
      <c r="E295" s="353">
        <v>115000</v>
      </c>
      <c r="F295" s="353">
        <f t="shared" si="74"/>
        <v>345000</v>
      </c>
      <c r="G295" s="349">
        <v>80795</v>
      </c>
      <c r="H295" s="353">
        <f t="shared" si="75"/>
        <v>242385</v>
      </c>
      <c r="I295" s="1285">
        <f>IFERROR(VLOOKUP(A295,'valores unit indexados'!$A$14:$O$197,15,FALSE),0)</f>
        <v>142064</v>
      </c>
      <c r="J295" s="350">
        <f t="shared" si="70"/>
        <v>426192</v>
      </c>
      <c r="K295"/>
      <c r="L295" s="346" t="str">
        <f t="shared" si="82"/>
        <v>D. 5,14</v>
      </c>
      <c r="M295" s="347" t="str">
        <f t="shared" si="83"/>
        <v>Suministro e instalación de Lámpara panel led de sobreponer 24w 100 -240 - 1680Lm de 6,500 K - horas mínimas de vida útil 25,000</v>
      </c>
      <c r="N295" s="363" t="str">
        <f t="shared" si="86"/>
        <v>UND</v>
      </c>
      <c r="O295" s="346">
        <f t="shared" si="87"/>
        <v>3</v>
      </c>
      <c r="P295" s="423">
        <f>VLOOKUP(L295,'selección precios unitario'!$A$5:$I$418,9,FALSE)</f>
        <v>103175</v>
      </c>
      <c r="Q295" s="423">
        <f t="shared" si="88"/>
        <v>309525</v>
      </c>
    </row>
    <row r="296" spans="1:60" ht="25.5" hidden="1" outlineLevel="1" x14ac:dyDescent="0.25">
      <c r="A296" s="367" t="s">
        <v>401</v>
      </c>
      <c r="B296" s="347" t="s">
        <v>135</v>
      </c>
      <c r="C296" s="363" t="s">
        <v>14</v>
      </c>
      <c r="D296" s="346">
        <v>5</v>
      </c>
      <c r="E296" s="353">
        <v>17000</v>
      </c>
      <c r="F296" s="353">
        <f t="shared" si="74"/>
        <v>85000</v>
      </c>
      <c r="G296" s="349">
        <v>8736</v>
      </c>
      <c r="H296" s="353">
        <f t="shared" si="75"/>
        <v>43680</v>
      </c>
      <c r="I296" s="1285">
        <f>+'valores unit indexados'!O199</f>
        <v>15299</v>
      </c>
      <c r="J296" s="350">
        <f t="shared" si="70"/>
        <v>76495</v>
      </c>
      <c r="K296"/>
      <c r="L296" s="367" t="str">
        <f t="shared" si="82"/>
        <v>D. 5,15</v>
      </c>
      <c r="M296" s="347" t="str">
        <f t="shared" si="83"/>
        <v>Suministro e instalación de cable trenzado 3#12 AWG para circuito normal o regulado</v>
      </c>
      <c r="N296" s="363" t="str">
        <f t="shared" si="86"/>
        <v>ML</v>
      </c>
      <c r="O296" s="346">
        <f t="shared" si="87"/>
        <v>5</v>
      </c>
      <c r="P296" s="423">
        <f>VLOOKUP(L296,'selección precios unitario'!$A$5:$I$418,9,FALSE)</f>
        <v>16768</v>
      </c>
      <c r="Q296" s="423">
        <f t="shared" si="88"/>
        <v>83840</v>
      </c>
    </row>
    <row r="297" spans="1:60" ht="15" hidden="1" outlineLevel="1" x14ac:dyDescent="0.25">
      <c r="A297" s="346" t="s">
        <v>402</v>
      </c>
      <c r="B297" s="397" t="s">
        <v>1469</v>
      </c>
      <c r="C297" s="363" t="s">
        <v>6</v>
      </c>
      <c r="D297" s="346">
        <v>7</v>
      </c>
      <c r="E297" s="353">
        <v>38000</v>
      </c>
      <c r="F297" s="353">
        <f t="shared" si="74"/>
        <v>266000</v>
      </c>
      <c r="G297" s="349">
        <v>12948</v>
      </c>
      <c r="H297" s="353">
        <f t="shared" si="75"/>
        <v>90636</v>
      </c>
      <c r="I297" s="1285">
        <f>IFERROR(VLOOKUP(A297,'valores unit indexados'!$A$14:$O$197,15,FALSE),0)</f>
        <v>34244</v>
      </c>
      <c r="J297" s="350">
        <f t="shared" si="70"/>
        <v>239708</v>
      </c>
      <c r="K297"/>
      <c r="L297" s="346" t="str">
        <f t="shared" ref="L297:L305" si="89">+A297</f>
        <v>D. 5,16</v>
      </c>
      <c r="M297" s="397" t="str">
        <f t="shared" ref="M297:M305" si="90">+B297</f>
        <v>Suministro e instalación de patch cord 1.5mts CAT 6A</v>
      </c>
      <c r="N297" s="363" t="str">
        <f t="shared" si="86"/>
        <v>UND</v>
      </c>
      <c r="O297" s="346">
        <f t="shared" si="87"/>
        <v>7</v>
      </c>
      <c r="P297" s="423">
        <f>VLOOKUP(L297,'selección precios unitario'!$A$5:$I$418,9,FALSE)</f>
        <v>36122</v>
      </c>
      <c r="Q297" s="423">
        <f t="shared" si="88"/>
        <v>252854</v>
      </c>
    </row>
    <row r="298" spans="1:60" ht="15" hidden="1" outlineLevel="1" x14ac:dyDescent="0.25">
      <c r="A298" s="367" t="s">
        <v>403</v>
      </c>
      <c r="B298" s="397" t="s">
        <v>1470</v>
      </c>
      <c r="C298" s="363" t="s">
        <v>6</v>
      </c>
      <c r="D298" s="346">
        <v>1</v>
      </c>
      <c r="E298" s="353">
        <v>48000</v>
      </c>
      <c r="F298" s="353">
        <f t="shared" si="74"/>
        <v>48000</v>
      </c>
      <c r="G298" s="349">
        <v>16848</v>
      </c>
      <c r="H298" s="353">
        <f t="shared" si="75"/>
        <v>16848</v>
      </c>
      <c r="I298" s="1285">
        <f>IFERROR(VLOOKUP(A298,'valores unit indexados'!$A$14:$O$197,15,FALSE),0)</f>
        <v>46067</v>
      </c>
      <c r="J298" s="350">
        <f t="shared" si="70"/>
        <v>46067</v>
      </c>
      <c r="K298"/>
      <c r="L298" s="367" t="str">
        <f t="shared" si="89"/>
        <v>D. 5,17</v>
      </c>
      <c r="M298" s="397" t="str">
        <f t="shared" si="90"/>
        <v>Suministro e instalación de patch cord 3mts CAT 6A</v>
      </c>
      <c r="N298" s="363" t="str">
        <f t="shared" si="86"/>
        <v>UND</v>
      </c>
      <c r="O298" s="346">
        <f t="shared" si="87"/>
        <v>1</v>
      </c>
      <c r="P298" s="423">
        <f>VLOOKUP(L298,'selección precios unitario'!$A$5:$I$418,9,FALSE)</f>
        <v>47034</v>
      </c>
      <c r="Q298" s="423">
        <f t="shared" si="88"/>
        <v>47034</v>
      </c>
    </row>
    <row r="299" spans="1:60" ht="25.5" hidden="1" outlineLevel="1" x14ac:dyDescent="0.25">
      <c r="A299" s="346" t="s">
        <v>404</v>
      </c>
      <c r="B299" s="364" t="s">
        <v>141</v>
      </c>
      <c r="C299" s="363" t="s">
        <v>6</v>
      </c>
      <c r="D299" s="346">
        <v>1</v>
      </c>
      <c r="E299" s="353">
        <v>3500000</v>
      </c>
      <c r="F299" s="353">
        <f t="shared" si="74"/>
        <v>3500000</v>
      </c>
      <c r="G299" s="349">
        <v>2570460</v>
      </c>
      <c r="H299" s="353">
        <f t="shared" si="75"/>
        <v>2570460</v>
      </c>
      <c r="I299" s="1285">
        <f>IFERROR(VLOOKUP(A299,'valores unit indexados'!$A$14:$O$197,15,FALSE),0)</f>
        <v>3045320</v>
      </c>
      <c r="J299" s="350">
        <f t="shared" ref="J299:J305" si="91">+I299*D299</f>
        <v>3045320</v>
      </c>
      <c r="K299"/>
      <c r="L299" s="346" t="str">
        <f t="shared" si="89"/>
        <v>D. 5,18</v>
      </c>
      <c r="M299" s="364" t="str">
        <f t="shared" si="90"/>
        <v>Suministro, instalación y configuración de Switch 24 puertos 10Base-T/100Base-T/1000Base-T</v>
      </c>
      <c r="N299" s="363" t="str">
        <f t="shared" si="86"/>
        <v>UND</v>
      </c>
      <c r="O299" s="346">
        <f t="shared" si="87"/>
        <v>1</v>
      </c>
      <c r="P299" s="423">
        <f>VLOOKUP(L299,'selección precios unitario'!$A$5:$I$418,9,FALSE)</f>
        <v>3035230</v>
      </c>
      <c r="Q299" s="423">
        <f t="shared" si="88"/>
        <v>3035230</v>
      </c>
    </row>
    <row r="300" spans="1:60" ht="25.5" hidden="1" outlineLevel="1" x14ac:dyDescent="0.25">
      <c r="A300" s="367" t="s">
        <v>405</v>
      </c>
      <c r="B300" s="398" t="s">
        <v>286</v>
      </c>
      <c r="C300" s="363" t="s">
        <v>6</v>
      </c>
      <c r="D300" s="346">
        <v>1</v>
      </c>
      <c r="E300" s="353">
        <v>450000</v>
      </c>
      <c r="F300" s="353">
        <f t="shared" ref="F300:F305" si="92">+E300*D300</f>
        <v>450000</v>
      </c>
      <c r="G300" s="349">
        <v>225498</v>
      </c>
      <c r="H300" s="353">
        <f t="shared" ref="H300:H305" si="93">+G300*D300</f>
        <v>225498</v>
      </c>
      <c r="I300" s="1285">
        <f>IFERROR(VLOOKUP(A300,'valores unit indexados'!$A$14:$O$197,15,FALSE),0)</f>
        <v>0</v>
      </c>
      <c r="J300" s="350">
        <f t="shared" si="91"/>
        <v>0</v>
      </c>
      <c r="K300"/>
      <c r="L300" s="367" t="str">
        <f t="shared" si="89"/>
        <v>D. 5,19</v>
      </c>
      <c r="M300" s="398" t="str">
        <f t="shared" si="90"/>
        <v>Suministro e instalación de patch panel de 24 puestos cat. 6a (incluye elementos de fijación)</v>
      </c>
      <c r="N300" s="363" t="str">
        <f t="shared" si="86"/>
        <v>UND</v>
      </c>
      <c r="O300" s="346">
        <f t="shared" si="87"/>
        <v>1</v>
      </c>
      <c r="P300" s="423">
        <f>VLOOKUP(L300,'selección precios unitario'!$A$5:$I$418,9,FALSE)</f>
        <v>337749</v>
      </c>
      <c r="Q300" s="423">
        <f t="shared" si="88"/>
        <v>337749</v>
      </c>
    </row>
    <row r="301" spans="1:60" ht="25.5" hidden="1" outlineLevel="1" x14ac:dyDescent="0.25">
      <c r="A301" s="354" t="s">
        <v>406</v>
      </c>
      <c r="B301" s="358" t="s">
        <v>407</v>
      </c>
      <c r="C301" s="356" t="s">
        <v>6</v>
      </c>
      <c r="D301" s="346">
        <v>1</v>
      </c>
      <c r="E301" s="353">
        <v>1350000</v>
      </c>
      <c r="F301" s="353">
        <f t="shared" si="92"/>
        <v>1350000</v>
      </c>
      <c r="G301" s="349">
        <v>216309.6</v>
      </c>
      <c r="H301" s="353">
        <f t="shared" si="93"/>
        <v>216309.6</v>
      </c>
      <c r="I301" s="1285">
        <f>IFERROR(VLOOKUP(A301,'valores unit indexados'!$A$14:$O$197,15,FALSE),0)</f>
        <v>1748444</v>
      </c>
      <c r="J301" s="350">
        <f t="shared" si="91"/>
        <v>1748444</v>
      </c>
      <c r="K301"/>
      <c r="L301" s="354" t="str">
        <f t="shared" si="89"/>
        <v>D. 5,20</v>
      </c>
      <c r="M301" s="358" t="str">
        <f t="shared" si="90"/>
        <v>Suministro e instalación de vidrio templado incoloro de 8mm con perforaciones para dilatadores medida 120 cm x 100 cm</v>
      </c>
      <c r="N301" s="356" t="str">
        <f t="shared" si="86"/>
        <v>UND</v>
      </c>
      <c r="O301" s="346">
        <f t="shared" si="87"/>
        <v>1</v>
      </c>
      <c r="P301" s="423">
        <f>VLOOKUP(L301,'selección precios unitario'!$A$5:$I$418,9,FALSE)</f>
        <v>1549222</v>
      </c>
      <c r="Q301" s="423">
        <f t="shared" si="88"/>
        <v>1549222</v>
      </c>
    </row>
    <row r="302" spans="1:60" ht="38.25" hidden="1" outlineLevel="1" x14ac:dyDescent="0.25">
      <c r="A302" s="367" t="s">
        <v>408</v>
      </c>
      <c r="B302" s="358" t="s">
        <v>409</v>
      </c>
      <c r="C302" s="356" t="s">
        <v>14</v>
      </c>
      <c r="D302" s="346">
        <v>1</v>
      </c>
      <c r="E302" s="353">
        <v>260000</v>
      </c>
      <c r="F302" s="353">
        <f t="shared" si="92"/>
        <v>260000</v>
      </c>
      <c r="G302" s="349">
        <v>700000</v>
      </c>
      <c r="H302" s="353">
        <f t="shared" si="93"/>
        <v>700000</v>
      </c>
      <c r="I302" s="1285">
        <f>IFERROR(VLOOKUP(A302,'valores unit indexados'!$A$14:$O$197,15,FALSE),0)</f>
        <v>226541</v>
      </c>
      <c r="J302" s="350">
        <f t="shared" si="91"/>
        <v>226541</v>
      </c>
      <c r="K302"/>
      <c r="L302" s="367" t="str">
        <f t="shared" si="89"/>
        <v>D. 5,21</v>
      </c>
      <c r="M302" s="358" t="str">
        <f t="shared" si="90"/>
        <v>Suministro e instalación mesón o cubierta en aglomerado RH de 30mm, ancho de 50cm, incluye soportes de fijación (color miel hacer  aprobar)</v>
      </c>
      <c r="N302" s="356" t="str">
        <f t="shared" si="86"/>
        <v>ML</v>
      </c>
      <c r="O302" s="346">
        <f t="shared" si="87"/>
        <v>1</v>
      </c>
      <c r="P302" s="423">
        <f>VLOOKUP(L302,'selección precios unitario'!$A$5:$I$418,9,FALSE)</f>
        <v>243271</v>
      </c>
      <c r="Q302" s="423">
        <f t="shared" si="88"/>
        <v>243271</v>
      </c>
    </row>
    <row r="303" spans="1:60" s="1533" customFormat="1" ht="24.75" hidden="1" customHeight="1" outlineLevel="1" x14ac:dyDescent="0.25">
      <c r="A303" s="1527" t="s">
        <v>410</v>
      </c>
      <c r="B303" s="1528" t="s">
        <v>294</v>
      </c>
      <c r="C303" s="1527"/>
      <c r="D303" s="1529"/>
      <c r="E303" s="1530"/>
      <c r="F303" s="1531">
        <f t="shared" si="92"/>
        <v>0</v>
      </c>
      <c r="G303" s="1530"/>
      <c r="H303" s="1531">
        <f t="shared" si="93"/>
        <v>0</v>
      </c>
      <c r="I303" s="1532"/>
      <c r="J303" s="1527"/>
      <c r="K303"/>
      <c r="L303" s="1527" t="str">
        <f t="shared" si="89"/>
        <v>D. 6</v>
      </c>
      <c r="M303" s="1836" t="str">
        <f t="shared" si="90"/>
        <v xml:space="preserve">otros </v>
      </c>
      <c r="N303" s="1837"/>
      <c r="O303" s="1837"/>
      <c r="P303" s="1837"/>
      <c r="Q303" s="1838"/>
      <c r="R303" s="1544"/>
      <c r="S303" s="1544"/>
      <c r="T303" s="1544"/>
      <c r="U303" s="1544"/>
      <c r="V303" s="1544"/>
      <c r="W303" s="1544"/>
      <c r="X303" s="1544"/>
      <c r="Y303" s="1544"/>
      <c r="Z303" s="1544"/>
      <c r="AA303" s="1544"/>
      <c r="AB303" s="1544"/>
      <c r="AC303" s="1544"/>
      <c r="AD303" s="1544"/>
      <c r="AE303" s="1544"/>
      <c r="AF303" s="1544"/>
      <c r="AG303" s="1544"/>
      <c r="AH303" s="1544"/>
      <c r="AI303" s="1544"/>
      <c r="AJ303" s="1544"/>
      <c r="AK303" s="1544"/>
      <c r="AL303" s="1544"/>
      <c r="AM303" s="1544"/>
      <c r="AN303" s="1544"/>
      <c r="AO303" s="1544"/>
      <c r="AP303" s="1544"/>
      <c r="AQ303" s="1544"/>
      <c r="AR303" s="1544"/>
      <c r="AS303" s="1544"/>
      <c r="AT303" s="1544"/>
      <c r="AU303" s="1544"/>
      <c r="AV303" s="1544"/>
      <c r="AW303" s="1544"/>
      <c r="AX303" s="1544"/>
      <c r="AY303" s="1544"/>
      <c r="AZ303" s="1544"/>
      <c r="BA303" s="1544"/>
      <c r="BB303" s="1544"/>
      <c r="BC303" s="1544"/>
      <c r="BD303" s="1544"/>
      <c r="BE303" s="1544"/>
      <c r="BF303" s="1544"/>
      <c r="BG303" s="1544"/>
      <c r="BH303" s="1544"/>
    </row>
    <row r="304" spans="1:60" ht="15" hidden="1" outlineLevel="1" x14ac:dyDescent="0.25">
      <c r="A304" s="346" t="s">
        <v>411</v>
      </c>
      <c r="B304" s="358" t="s">
        <v>412</v>
      </c>
      <c r="C304" s="356" t="s">
        <v>6</v>
      </c>
      <c r="D304" s="346">
        <v>6</v>
      </c>
      <c r="E304" s="353">
        <v>50000</v>
      </c>
      <c r="F304" s="353">
        <f t="shared" si="92"/>
        <v>300000</v>
      </c>
      <c r="G304" s="349">
        <v>0</v>
      </c>
      <c r="H304" s="353">
        <f t="shared" si="93"/>
        <v>0</v>
      </c>
      <c r="I304" s="1285">
        <f>IFERROR(VLOOKUP(A304,'valores unit indexados'!$A$14:$O$197,15,FALSE),0)</f>
        <v>0</v>
      </c>
      <c r="J304" s="350">
        <f t="shared" si="91"/>
        <v>0</v>
      </c>
      <c r="K304"/>
      <c r="L304" s="346" t="str">
        <f t="shared" si="89"/>
        <v>D. 6,1</v>
      </c>
      <c r="M304" s="358" t="str">
        <f t="shared" si="90"/>
        <v>Suministro y aplicación de masilla fibra de vidrio</v>
      </c>
      <c r="N304" s="356" t="str">
        <f>+C304</f>
        <v>UND</v>
      </c>
      <c r="O304" s="346">
        <f>+D304</f>
        <v>6</v>
      </c>
      <c r="P304" s="423">
        <f>VLOOKUP(L304,'selección precios unitario'!$A$5:$I$418,9,FALSE)</f>
        <v>50000</v>
      </c>
      <c r="Q304" s="423">
        <f t="shared" ref="Q304:Q305" si="94">ROUND(P304*O304,0)</f>
        <v>300000</v>
      </c>
    </row>
    <row r="305" spans="1:60" ht="15.75" hidden="1" outlineLevel="1" thickBot="1" x14ac:dyDescent="0.3">
      <c r="A305" s="346" t="s">
        <v>751</v>
      </c>
      <c r="B305" s="358" t="s">
        <v>195</v>
      </c>
      <c r="C305" s="356" t="s">
        <v>19</v>
      </c>
      <c r="D305" s="346">
        <v>380</v>
      </c>
      <c r="E305" s="353">
        <v>7000</v>
      </c>
      <c r="F305" s="353">
        <f t="shared" si="92"/>
        <v>2660000</v>
      </c>
      <c r="G305" s="349">
        <v>4200</v>
      </c>
      <c r="H305" s="353">
        <f t="shared" si="93"/>
        <v>1596000</v>
      </c>
      <c r="I305" s="1285">
        <f>IFERROR(VLOOKUP(A305,'valores unit indexados'!$A$14:$O$197,15,FALSE),0)</f>
        <v>5300</v>
      </c>
      <c r="J305" s="350">
        <f t="shared" si="91"/>
        <v>2014000</v>
      </c>
      <c r="K305"/>
      <c r="L305" s="346" t="str">
        <f t="shared" si="89"/>
        <v>D. 6,2</v>
      </c>
      <c r="M305" s="358" t="str">
        <f t="shared" si="90"/>
        <v>Aseo general.</v>
      </c>
      <c r="N305" s="356" t="str">
        <f>+C305</f>
        <v>M2</v>
      </c>
      <c r="O305" s="346">
        <f>+D305</f>
        <v>380</v>
      </c>
      <c r="P305" s="423">
        <f>VLOOKUP(L305,'selección precios unitario'!$A$5:$I$418,9,FALSE)</f>
        <v>5500</v>
      </c>
      <c r="Q305" s="423">
        <f t="shared" si="94"/>
        <v>2090000</v>
      </c>
    </row>
    <row r="306" spans="1:60" ht="15.75" collapsed="1" thickBot="1" x14ac:dyDescent="0.3">
      <c r="A306"/>
      <c r="B306"/>
      <c r="C306" s="1712" t="s">
        <v>196</v>
      </c>
      <c r="D306" s="1775"/>
      <c r="E306" s="1714"/>
      <c r="F306" s="1715">
        <f>SUM(F235:F305)</f>
        <v>65511720</v>
      </c>
      <c r="G306" s="1716"/>
      <c r="H306" s="1715">
        <f>SUM(H235:H305)</f>
        <v>35588591.109999999</v>
      </c>
      <c r="I306" s="1717"/>
      <c r="J306" s="1722">
        <f>SUM(J235:J305)</f>
        <v>29399814</v>
      </c>
      <c r="K306"/>
      <c r="L306" s="1777"/>
      <c r="M306" s="1721"/>
      <c r="N306" s="1839" t="str">
        <f t="shared" ref="N306:N311" si="95">+C306</f>
        <v>COSTO DIRECTO</v>
      </c>
      <c r="O306" s="1840"/>
      <c r="P306" s="1841"/>
      <c r="Q306" s="1722">
        <f>SUM(Q235:Q305)</f>
        <v>61531576</v>
      </c>
    </row>
    <row r="307" spans="1:60" ht="15" x14ac:dyDescent="0.25">
      <c r="A307"/>
      <c r="B307"/>
      <c r="C307" s="1773" t="s">
        <v>197</v>
      </c>
      <c r="D307" s="1774"/>
      <c r="E307" s="1708">
        <v>0.3</v>
      </c>
      <c r="F307" s="1709">
        <f>+E307*F$306</f>
        <v>19653516</v>
      </c>
      <c r="G307" s="1708">
        <v>0.24</v>
      </c>
      <c r="H307" s="1709">
        <f>+G307*H$306</f>
        <v>8541261.8663999997</v>
      </c>
      <c r="I307" s="1708">
        <v>0</v>
      </c>
      <c r="J307" s="1709">
        <f>+I307*J$306</f>
        <v>0</v>
      </c>
      <c r="K307"/>
      <c r="L307" s="1298"/>
      <c r="M307" s="1645"/>
      <c r="N307" s="1845" t="str">
        <f t="shared" si="95"/>
        <v xml:space="preserve">ADMINISTRACION </v>
      </c>
      <c r="O307" s="1846"/>
      <c r="P307" s="1710">
        <v>0.185</v>
      </c>
      <c r="Q307" s="1711">
        <f>ROUND(P307*$Q$306,0)</f>
        <v>11383342</v>
      </c>
    </row>
    <row r="308" spans="1:60" ht="15" x14ac:dyDescent="0.25">
      <c r="A308"/>
      <c r="B308"/>
      <c r="C308" s="1769" t="s">
        <v>198</v>
      </c>
      <c r="D308" s="1770"/>
      <c r="E308" s="375">
        <v>0.02</v>
      </c>
      <c r="F308" s="376">
        <f t="shared" ref="F308:H309" si="96">+E308*F$306</f>
        <v>1310234.4000000001</v>
      </c>
      <c r="G308" s="375">
        <v>0.01</v>
      </c>
      <c r="H308" s="376">
        <f t="shared" si="96"/>
        <v>355885.91110000003</v>
      </c>
      <c r="I308" s="375">
        <v>0</v>
      </c>
      <c r="J308" s="376">
        <f t="shared" ref="J308:J309" si="97">+I308*J$306</f>
        <v>0</v>
      </c>
      <c r="K308"/>
      <c r="L308" s="1298"/>
      <c r="M308" s="1645"/>
      <c r="N308" s="1847" t="str">
        <f t="shared" si="95"/>
        <v xml:space="preserve">IMPREVISTO </v>
      </c>
      <c r="O308" s="1848"/>
      <c r="P308" s="1296">
        <v>0.02</v>
      </c>
      <c r="Q308" s="1711">
        <f t="shared" ref="Q308:Q309" si="98">ROUND(P308*$Q$306,0)</f>
        <v>1230632</v>
      </c>
    </row>
    <row r="309" spans="1:60" ht="15" x14ac:dyDescent="0.25">
      <c r="A309"/>
      <c r="B309"/>
      <c r="C309" s="1769" t="s">
        <v>199</v>
      </c>
      <c r="D309" s="1770"/>
      <c r="E309" s="375">
        <v>0.05</v>
      </c>
      <c r="F309" s="376">
        <f t="shared" si="96"/>
        <v>3275586</v>
      </c>
      <c r="G309" s="375">
        <v>0.05</v>
      </c>
      <c r="H309" s="376">
        <f t="shared" si="96"/>
        <v>1779429.5555</v>
      </c>
      <c r="I309" s="375">
        <v>0</v>
      </c>
      <c r="J309" s="376">
        <f t="shared" si="97"/>
        <v>0</v>
      </c>
      <c r="K309"/>
      <c r="L309" s="1298"/>
      <c r="M309" s="1645"/>
      <c r="N309" s="1847" t="str">
        <f t="shared" si="95"/>
        <v>UTILIDAD</v>
      </c>
      <c r="O309" s="1848"/>
      <c r="P309" s="1296">
        <v>4.4999999999999998E-2</v>
      </c>
      <c r="Q309" s="1711">
        <f t="shared" si="98"/>
        <v>2768921</v>
      </c>
    </row>
    <row r="310" spans="1:60" ht="15.75" thickBot="1" x14ac:dyDescent="0.3">
      <c r="A310"/>
      <c r="B310"/>
      <c r="C310" s="1771" t="s">
        <v>200</v>
      </c>
      <c r="D310" s="1772"/>
      <c r="E310" s="1725">
        <v>0.19</v>
      </c>
      <c r="F310" s="1726">
        <f>+E310*F309</f>
        <v>622361.34</v>
      </c>
      <c r="G310" s="1725">
        <v>0.19</v>
      </c>
      <c r="H310" s="1726">
        <f>+G310*H309</f>
        <v>338091.61554500001</v>
      </c>
      <c r="I310" s="1725">
        <v>0</v>
      </c>
      <c r="J310" s="1726">
        <f>+I310*J309</f>
        <v>0</v>
      </c>
      <c r="K310"/>
      <c r="L310" s="1298"/>
      <c r="M310" s="1645"/>
      <c r="N310" s="1849" t="str">
        <f t="shared" si="95"/>
        <v xml:space="preserve">IVA SOBRE UTILIDAD </v>
      </c>
      <c r="O310" s="1850"/>
      <c r="P310" s="1727">
        <v>0.19</v>
      </c>
      <c r="Q310" s="1711">
        <f>ROUND(P310*$Q$309,0)</f>
        <v>526095</v>
      </c>
    </row>
    <row r="311" spans="1:60" ht="15.75" thickBot="1" x14ac:dyDescent="0.3">
      <c r="A311"/>
      <c r="B311"/>
      <c r="C311" s="1728" t="s">
        <v>201</v>
      </c>
      <c r="D311" s="1729"/>
      <c r="E311" s="1730"/>
      <c r="F311" s="1731">
        <f>SUM(F306:F310)</f>
        <v>90373417.74000001</v>
      </c>
      <c r="G311" s="1730"/>
      <c r="H311" s="1731">
        <f>SUM(H306:H310)</f>
        <v>46603260.058545001</v>
      </c>
      <c r="I311" s="1732"/>
      <c r="J311" s="1779">
        <f>SUM(J306:J310)</f>
        <v>29399814</v>
      </c>
      <c r="K311"/>
      <c r="L311" s="1777"/>
      <c r="M311" s="1721"/>
      <c r="N311" s="1842" t="str">
        <f t="shared" si="95"/>
        <v xml:space="preserve">VALOR TOTAL INCLUIDO AIU E IVA </v>
      </c>
      <c r="O311" s="1843"/>
      <c r="P311" s="1844"/>
      <c r="Q311" s="1733">
        <f>SUM(Q306:Q310)</f>
        <v>77440566</v>
      </c>
    </row>
    <row r="312" spans="1:60" ht="15.75" thickBot="1" x14ac:dyDescent="0.3">
      <c r="K312"/>
      <c r="L312" s="1298"/>
      <c r="M312"/>
      <c r="N312"/>
      <c r="O312"/>
      <c r="P312"/>
      <c r="Q312"/>
    </row>
    <row r="313" spans="1:60" ht="15.75" thickBot="1" x14ac:dyDescent="0.3">
      <c r="A313" s="1801" t="s">
        <v>413</v>
      </c>
      <c r="B313" s="1802" t="s">
        <v>414</v>
      </c>
      <c r="C313" s="1802"/>
      <c r="D313" s="1802"/>
      <c r="E313" s="1802"/>
      <c r="F313" s="1802"/>
      <c r="G313" s="1802"/>
      <c r="H313" s="1802">
        <v>0</v>
      </c>
      <c r="I313" s="1802"/>
      <c r="J313" s="1818"/>
      <c r="K313"/>
      <c r="L313" s="1819" t="str">
        <f t="shared" ref="L313:L344" si="99">+A313</f>
        <v>E.</v>
      </c>
      <c r="M313" s="1853" t="str">
        <f>+B313</f>
        <v>Palacio Nacional de Buenaventura</v>
      </c>
      <c r="N313" s="1854"/>
      <c r="O313" s="1854"/>
      <c r="P313" s="1854"/>
      <c r="Q313" s="1855"/>
    </row>
    <row r="314" spans="1:60" s="1533" customFormat="1" ht="24.75" customHeight="1" outlineLevel="1" x14ac:dyDescent="0.25">
      <c r="A314" s="1527" t="s">
        <v>415</v>
      </c>
      <c r="B314" s="1528" t="s">
        <v>416</v>
      </c>
      <c r="C314" s="1527"/>
      <c r="D314" s="1529"/>
      <c r="E314" s="1530"/>
      <c r="F314" s="1531"/>
      <c r="G314" s="1530"/>
      <c r="H314" s="1531"/>
      <c r="I314" s="1532"/>
      <c r="J314" s="1527"/>
      <c r="K314"/>
      <c r="L314" s="1527" t="str">
        <f t="shared" si="99"/>
        <v>E. 1</v>
      </c>
      <c r="M314" s="1836" t="str">
        <f t="shared" ref="M314:M344" si="100">+B314</f>
        <v>Mantenimiento de puertas y ventanas metálicas</v>
      </c>
      <c r="N314" s="1837"/>
      <c r="O314" s="1837"/>
      <c r="P314" s="1837"/>
      <c r="Q314" s="1838"/>
      <c r="R314" s="1544"/>
      <c r="S314" s="1544"/>
      <c r="T314" s="1544"/>
      <c r="U314" s="1544"/>
      <c r="V314" s="1544"/>
      <c r="W314" s="1544"/>
      <c r="X314" s="1544"/>
      <c r="Y314" s="1544"/>
      <c r="Z314" s="1544"/>
      <c r="AA314" s="1544"/>
      <c r="AB314" s="1544"/>
      <c r="AC314" s="1544"/>
      <c r="AD314" s="1544"/>
      <c r="AE314" s="1544"/>
      <c r="AF314" s="1544"/>
      <c r="AG314" s="1544"/>
      <c r="AH314" s="1544"/>
      <c r="AI314" s="1544"/>
      <c r="AJ314" s="1544"/>
      <c r="AK314" s="1544"/>
      <c r="AL314" s="1544"/>
      <c r="AM314" s="1544"/>
      <c r="AN314" s="1544"/>
      <c r="AO314" s="1544"/>
      <c r="AP314" s="1544"/>
      <c r="AQ314" s="1544"/>
      <c r="AR314" s="1544"/>
      <c r="AS314" s="1544"/>
      <c r="AT314" s="1544"/>
      <c r="AU314" s="1544"/>
      <c r="AV314" s="1544"/>
      <c r="AW314" s="1544"/>
      <c r="AX314" s="1544"/>
      <c r="AY314" s="1544"/>
      <c r="AZ314" s="1544"/>
      <c r="BA314" s="1544"/>
      <c r="BB314" s="1544"/>
      <c r="BC314" s="1544"/>
      <c r="BD314" s="1544"/>
      <c r="BE314" s="1544"/>
      <c r="BF314" s="1544"/>
      <c r="BG314" s="1544"/>
      <c r="BH314" s="1544"/>
    </row>
    <row r="315" spans="1:60" ht="25.5" outlineLevel="1" x14ac:dyDescent="0.25">
      <c r="A315" s="346" t="s">
        <v>417</v>
      </c>
      <c r="B315" s="347" t="s">
        <v>418</v>
      </c>
      <c r="C315" s="356" t="s">
        <v>19</v>
      </c>
      <c r="D315" s="346">
        <v>197</v>
      </c>
      <c r="E315" s="353">
        <v>45000</v>
      </c>
      <c r="F315" s="353">
        <f>+E315*D315</f>
        <v>8865000</v>
      </c>
      <c r="G315" s="387">
        <v>0</v>
      </c>
      <c r="H315" s="353">
        <f>+G315*D315</f>
        <v>0</v>
      </c>
      <c r="I315" s="1285">
        <f>IFERROR(VLOOKUP(A315,'valores unit indexados'!$A$14:$O$197,15,FALSE),0)</f>
        <v>0</v>
      </c>
      <c r="J315" s="349">
        <f t="shared" ref="J315:J378" si="101">+I315*D315</f>
        <v>0</v>
      </c>
      <c r="K315"/>
      <c r="L315" s="346" t="str">
        <f t="shared" si="99"/>
        <v>E. 1,1</v>
      </c>
      <c r="M315" s="347" t="str">
        <f t="shared" si="100"/>
        <v>Lavada de ventanas y rejas existentes, incluye retiro de oxido, residuos, lijada y masillado.</v>
      </c>
      <c r="N315" s="356" t="str">
        <f>+C315</f>
        <v>M2</v>
      </c>
      <c r="O315" s="346">
        <f>+D315</f>
        <v>197</v>
      </c>
      <c r="P315" s="423">
        <f>VLOOKUP(L315,'selección precios unitario'!$A$5:$I$418,9,FALSE)</f>
        <v>24500</v>
      </c>
      <c r="Q315" s="423">
        <f t="shared" ref="Q315:Q321" si="102">ROUND(P315*O315,0)</f>
        <v>4826500</v>
      </c>
    </row>
    <row r="316" spans="1:60" ht="89.25" outlineLevel="1" x14ac:dyDescent="0.25">
      <c r="A316" s="367" t="s">
        <v>419</v>
      </c>
      <c r="B316" s="358" t="s">
        <v>1491</v>
      </c>
      <c r="C316" s="340" t="s">
        <v>6</v>
      </c>
      <c r="D316" s="346">
        <v>113</v>
      </c>
      <c r="E316" s="412">
        <v>230000</v>
      </c>
      <c r="F316" s="353">
        <f t="shared" ref="F316:F318" si="103">+E316*D316</f>
        <v>25990000</v>
      </c>
      <c r="G316" s="412">
        <v>343980</v>
      </c>
      <c r="H316" s="353">
        <f t="shared" ref="H316:H379" si="104">+G316*D316</f>
        <v>38869740</v>
      </c>
      <c r="I316" s="1285">
        <f>IFERROR(VLOOKUP(A316,'valores unit indexados'!$A$14:$O$197,15,FALSE),0)</f>
        <v>0</v>
      </c>
      <c r="J316" s="349">
        <f t="shared" si="101"/>
        <v>0</v>
      </c>
      <c r="K316"/>
      <c r="L316" s="367" t="str">
        <f t="shared" si="99"/>
        <v>E. 1,2</v>
      </c>
      <c r="M316" s="358" t="str">
        <f t="shared" si="100"/>
        <v>Mantenimiento de ventanas en aluminio cuyas medidas son entre 70 - 105 cm de ancho x 120 cm 180cm alto, incluye limpieza de suciedad , rasqueteada de residuos de pintura, salpicadura de oxido (con limpiador industrial apto para aluminio), reparación o reemplazo de elementos deteriorados (perfiles, bisagras, cerraduras, pasadores, etc.) y limpieza de vidrios</v>
      </c>
      <c r="N316" s="340" t="str">
        <f t="shared" ref="N316:O321" si="105">+C316</f>
        <v>UND</v>
      </c>
      <c r="O316" s="346">
        <f t="shared" si="105"/>
        <v>113</v>
      </c>
      <c r="P316" s="423">
        <f>VLOOKUP(L316,'selección precios unitario'!$A$5:$I$418,9,FALSE)</f>
        <v>286990</v>
      </c>
      <c r="Q316" s="423">
        <f t="shared" si="102"/>
        <v>32429870</v>
      </c>
    </row>
    <row r="317" spans="1:60" ht="89.25" outlineLevel="1" x14ac:dyDescent="0.25">
      <c r="A317" s="346" t="s">
        <v>420</v>
      </c>
      <c r="B317" s="358" t="s">
        <v>1492</v>
      </c>
      <c r="C317" s="340" t="s">
        <v>6</v>
      </c>
      <c r="D317" s="346">
        <v>16</v>
      </c>
      <c r="E317" s="412">
        <v>250000</v>
      </c>
      <c r="F317" s="353">
        <f t="shared" si="103"/>
        <v>4000000</v>
      </c>
      <c r="G317" s="412">
        <v>364000</v>
      </c>
      <c r="H317" s="353">
        <f t="shared" si="104"/>
        <v>5824000</v>
      </c>
      <c r="I317" s="1285">
        <f>IFERROR(VLOOKUP(A317,'valores unit indexados'!$A$14:$O$197,15,FALSE),0)</f>
        <v>0</v>
      </c>
      <c r="J317" s="349">
        <f t="shared" si="101"/>
        <v>0</v>
      </c>
      <c r="K317"/>
      <c r="L317" s="346" t="str">
        <f t="shared" si="99"/>
        <v>E. 1,3</v>
      </c>
      <c r="M317" s="358" t="str">
        <f t="shared" si="100"/>
        <v>Mantenimiento de ventanas en aluminio con diseño que incluye celosías cuyas medidas son entre 70 -100 cm de ancho x 120 - 200 cmalto, incluye limpieza de suciedad , rasqueteada de residuos de pintura, salpicadura de oxido (con limpiador industrial apto para aluminio), reparación o reemplazo de elementos deteriorados (perfiles, bisagras, cerraduras, pasadores, etc.) y limpieza de vidrios</v>
      </c>
      <c r="N317" s="340" t="str">
        <f t="shared" si="105"/>
        <v>UND</v>
      </c>
      <c r="O317" s="346">
        <f t="shared" si="105"/>
        <v>16</v>
      </c>
      <c r="P317" s="423">
        <f>VLOOKUP(L317,'selección precios unitario'!$A$5:$I$418,9,FALSE)</f>
        <v>286990</v>
      </c>
      <c r="Q317" s="423">
        <f t="shared" si="102"/>
        <v>4591840</v>
      </c>
    </row>
    <row r="318" spans="1:60" ht="89.25" outlineLevel="1" x14ac:dyDescent="0.25">
      <c r="A318" s="367" t="s">
        <v>421</v>
      </c>
      <c r="B318" s="358" t="s">
        <v>1493</v>
      </c>
      <c r="C318" s="340" t="s">
        <v>6</v>
      </c>
      <c r="D318" s="346">
        <v>6</v>
      </c>
      <c r="E318" s="412">
        <v>290000</v>
      </c>
      <c r="F318" s="353">
        <f t="shared" si="103"/>
        <v>1740000</v>
      </c>
      <c r="G318" s="412">
        <v>600000</v>
      </c>
      <c r="H318" s="353">
        <f t="shared" si="104"/>
        <v>3600000</v>
      </c>
      <c r="I318" s="1285">
        <f>IFERROR(VLOOKUP(A318,'valores unit indexados'!$A$14:$O$197,15,FALSE),0)</f>
        <v>0</v>
      </c>
      <c r="J318" s="349">
        <f t="shared" si="101"/>
        <v>0</v>
      </c>
      <c r="K318"/>
      <c r="L318" s="367" t="str">
        <f t="shared" si="99"/>
        <v>E. 1,4</v>
      </c>
      <c r="M318" s="358" t="str">
        <f t="shared" si="100"/>
        <v>Mantenimiento de ventanas en aluminio cuyas medidas son entre 200 - 400 cmde ancho x 200 cm 400 cm alto, incluye limpieza de suciedad , rasqueteada de residuos de pintura, salpicadura de oxido (con limpiador industrial apto para aluminio), reparación o reemplazo de elementos deteriorados (perfiles, bisagras, cerraduras, pasadores, etc.) y limpieza de vidrios</v>
      </c>
      <c r="N318" s="340" t="str">
        <f t="shared" si="105"/>
        <v>UND</v>
      </c>
      <c r="O318" s="346">
        <f t="shared" si="105"/>
        <v>6</v>
      </c>
      <c r="P318" s="423">
        <f>VLOOKUP(L318,'selección precios unitario'!$A$5:$I$418,9,FALSE)</f>
        <v>445000</v>
      </c>
      <c r="Q318" s="423">
        <f t="shared" si="102"/>
        <v>2670000</v>
      </c>
    </row>
    <row r="319" spans="1:60" ht="51" outlineLevel="1" x14ac:dyDescent="0.25">
      <c r="A319" s="367" t="s">
        <v>422</v>
      </c>
      <c r="B319" s="384" t="s">
        <v>1494</v>
      </c>
      <c r="C319" s="340" t="s">
        <v>6</v>
      </c>
      <c r="D319" s="346">
        <v>5</v>
      </c>
      <c r="E319" s="353">
        <v>280000</v>
      </c>
      <c r="F319" s="353">
        <f>+E319*D319</f>
        <v>1400000</v>
      </c>
      <c r="G319" s="387">
        <v>0</v>
      </c>
      <c r="H319" s="353">
        <f t="shared" si="104"/>
        <v>0</v>
      </c>
      <c r="I319" s="1285">
        <f>IFERROR(VLOOKUP(A319,'valores unit indexados'!$A$14:$O$197,15,FALSE),0)</f>
        <v>0</v>
      </c>
      <c r="J319" s="349">
        <f t="shared" si="101"/>
        <v>0</v>
      </c>
      <c r="K319"/>
      <c r="L319" s="367" t="str">
        <f t="shared" si="99"/>
        <v>E. 1,5</v>
      </c>
      <c r="M319" s="384" t="str">
        <f t="shared" si="100"/>
        <v>Mantenimiento de puerta metálica cuyas medidas son entre 80 -100 cm de ancho x 170 - 240 cm alto, incluye limpieza de suciedad y oxido, reparación o reemplazo de partes dañadas, aplicación de anticorrosivo y pintura en esmalte de poliuretano</v>
      </c>
      <c r="N319" s="340" t="str">
        <f t="shared" si="105"/>
        <v>UND</v>
      </c>
      <c r="O319" s="346">
        <f t="shared" si="105"/>
        <v>5</v>
      </c>
      <c r="P319" s="423">
        <f>VLOOKUP(L319,'selección precios unitario'!$A$5:$I$418,9,FALSE)</f>
        <v>280000</v>
      </c>
      <c r="Q319" s="423">
        <f t="shared" si="102"/>
        <v>1400000</v>
      </c>
    </row>
    <row r="320" spans="1:60" ht="25.5" outlineLevel="1" x14ac:dyDescent="0.25">
      <c r="A320" s="367" t="s">
        <v>424</v>
      </c>
      <c r="B320" s="358" t="s">
        <v>425</v>
      </c>
      <c r="C320" s="340" t="s">
        <v>19</v>
      </c>
      <c r="D320" s="346">
        <v>4</v>
      </c>
      <c r="E320" s="353">
        <v>45000</v>
      </c>
      <c r="F320" s="353">
        <f t="shared" ref="F320:F383" si="106">+E320*D320</f>
        <v>180000</v>
      </c>
      <c r="G320" s="387">
        <v>0</v>
      </c>
      <c r="H320" s="353">
        <f t="shared" si="104"/>
        <v>0</v>
      </c>
      <c r="I320" s="1285">
        <f>IFERROR(VLOOKUP(A320,'valores unit indexados'!$A$14:$O$197,15,FALSE),0)</f>
        <v>0</v>
      </c>
      <c r="J320" s="349">
        <f t="shared" si="101"/>
        <v>0</v>
      </c>
      <c r="K320"/>
      <c r="L320" s="367" t="str">
        <f t="shared" si="99"/>
        <v>E. 1,6</v>
      </c>
      <c r="M320" s="358" t="str">
        <f t="shared" si="100"/>
        <v>Suministro y aplicación de pintura anticorrosiva y aplicación de pintura en esmalte (2 capas) en rejas existentes</v>
      </c>
      <c r="N320" s="340" t="str">
        <f t="shared" si="105"/>
        <v>M2</v>
      </c>
      <c r="O320" s="346">
        <f t="shared" si="105"/>
        <v>4</v>
      </c>
      <c r="P320" s="423">
        <f>VLOOKUP(L320,'selección precios unitario'!$A$5:$I$418,9,FALSE)</f>
        <v>45000</v>
      </c>
      <c r="Q320" s="423">
        <f t="shared" si="102"/>
        <v>180000</v>
      </c>
    </row>
    <row r="321" spans="1:60" ht="51" outlineLevel="1" x14ac:dyDescent="0.25">
      <c r="A321" s="367" t="s">
        <v>426</v>
      </c>
      <c r="B321" s="384" t="s">
        <v>1495</v>
      </c>
      <c r="C321" s="340" t="s">
        <v>6</v>
      </c>
      <c r="D321" s="346">
        <v>1</v>
      </c>
      <c r="E321" s="353">
        <v>800000</v>
      </c>
      <c r="F321" s="353">
        <f t="shared" si="106"/>
        <v>800000</v>
      </c>
      <c r="G321" s="387">
        <v>0</v>
      </c>
      <c r="H321" s="353">
        <f t="shared" si="104"/>
        <v>0</v>
      </c>
      <c r="I321" s="1285">
        <f>IFERROR(VLOOKUP(A321,'valores unit indexados'!$A$14:$O$197,15,FALSE),0)</f>
        <v>0</v>
      </c>
      <c r="J321" s="349">
        <f t="shared" si="101"/>
        <v>0</v>
      </c>
      <c r="K321"/>
      <c r="L321" s="367" t="str">
        <f t="shared" si="99"/>
        <v>E. 1,7</v>
      </c>
      <c r="M321" s="384" t="str">
        <f t="shared" si="100"/>
        <v>Mantenimiento de puerta metálica cuyas medidas es 300 cm de ancho x 600 cm alto, incluye limpieza de suciedad y oxido, reparación o reemplazo de partes dañadas, aplicación de anticorrosivo y pintura en esmalte de poliuretano</v>
      </c>
      <c r="N321" s="340" t="str">
        <f t="shared" si="105"/>
        <v>UND</v>
      </c>
      <c r="O321" s="346">
        <f t="shared" si="105"/>
        <v>1</v>
      </c>
      <c r="P321" s="423">
        <f>VLOOKUP(L321,'selección precios unitario'!$A$5:$I$418,9,FALSE)</f>
        <v>800000</v>
      </c>
      <c r="Q321" s="423">
        <f t="shared" si="102"/>
        <v>800000</v>
      </c>
    </row>
    <row r="322" spans="1:60" s="1533" customFormat="1" ht="24.75" customHeight="1" outlineLevel="1" x14ac:dyDescent="0.25">
      <c r="A322" s="1527" t="s">
        <v>428</v>
      </c>
      <c r="B322" s="1528" t="s">
        <v>429</v>
      </c>
      <c r="C322" s="1527"/>
      <c r="D322" s="1529"/>
      <c r="E322" s="1530"/>
      <c r="F322" s="1531">
        <f t="shared" si="106"/>
        <v>0</v>
      </c>
      <c r="G322" s="1530"/>
      <c r="H322" s="1531">
        <f t="shared" si="104"/>
        <v>0</v>
      </c>
      <c r="I322" s="1532"/>
      <c r="J322" s="1527"/>
      <c r="K322"/>
      <c r="L322" s="1527" t="str">
        <f t="shared" si="99"/>
        <v>E. 2</v>
      </c>
      <c r="M322" s="1836" t="str">
        <f t="shared" si="100"/>
        <v>Restauración puertas  en madera</v>
      </c>
      <c r="N322" s="1837"/>
      <c r="O322" s="1837"/>
      <c r="P322" s="1837"/>
      <c r="Q322" s="1838"/>
      <c r="R322" s="1544"/>
      <c r="S322" s="1544"/>
      <c r="T322" s="1544"/>
      <c r="U322" s="1544"/>
      <c r="V322" s="1544"/>
      <c r="W322" s="1544"/>
      <c r="X322" s="1544"/>
      <c r="Y322" s="1544"/>
      <c r="Z322" s="1544"/>
      <c r="AA322" s="1544"/>
      <c r="AB322" s="1544"/>
      <c r="AC322" s="1544"/>
      <c r="AD322" s="1544"/>
      <c r="AE322" s="1544"/>
      <c r="AF322" s="1544"/>
      <c r="AG322" s="1544"/>
      <c r="AH322" s="1544"/>
      <c r="AI322" s="1544"/>
      <c r="AJ322" s="1544"/>
      <c r="AK322" s="1544"/>
      <c r="AL322" s="1544"/>
      <c r="AM322" s="1544"/>
      <c r="AN322" s="1544"/>
      <c r="AO322" s="1544"/>
      <c r="AP322" s="1544"/>
      <c r="AQ322" s="1544"/>
      <c r="AR322" s="1544"/>
      <c r="AS322" s="1544"/>
      <c r="AT322" s="1544"/>
      <c r="AU322" s="1544"/>
      <c r="AV322" s="1544"/>
      <c r="AW322" s="1544"/>
      <c r="AX322" s="1544"/>
      <c r="AY322" s="1544"/>
      <c r="AZ322" s="1544"/>
      <c r="BA322" s="1544"/>
      <c r="BB322" s="1544"/>
      <c r="BC322" s="1544"/>
      <c r="BD322" s="1544"/>
      <c r="BE322" s="1544"/>
      <c r="BF322" s="1544"/>
      <c r="BG322" s="1544"/>
      <c r="BH322" s="1544"/>
    </row>
    <row r="323" spans="1:60" ht="51" outlineLevel="1" x14ac:dyDescent="0.25">
      <c r="A323" s="354" t="s">
        <v>430</v>
      </c>
      <c r="B323" s="384" t="s">
        <v>431</v>
      </c>
      <c r="C323" s="340" t="s">
        <v>6</v>
      </c>
      <c r="D323" s="346">
        <v>37</v>
      </c>
      <c r="E323" s="353">
        <v>550000</v>
      </c>
      <c r="F323" s="353">
        <f t="shared" si="106"/>
        <v>20350000</v>
      </c>
      <c r="G323" s="349">
        <v>300000</v>
      </c>
      <c r="H323" s="353">
        <f t="shared" si="104"/>
        <v>11100000</v>
      </c>
      <c r="I323" s="1285">
        <f>IFERROR(VLOOKUP(A323,'valores unit indexados'!$A$14:$O$197,15,FALSE),0)</f>
        <v>0</v>
      </c>
      <c r="J323" s="349">
        <f t="shared" si="101"/>
        <v>0</v>
      </c>
      <c r="K323"/>
      <c r="L323" s="354" t="str">
        <f t="shared" si="99"/>
        <v>E. 2,1</v>
      </c>
      <c r="M323" s="384" t="str">
        <f t="shared" si="100"/>
        <v xml:space="preserve">Mantenimiento de puertas de una nave en madera maciza, cuyas medidas son entre  70 -  105 cm de ancho x 200 cm 260  cm de alto - incluido marco, largueros, travesaños, hojas o panel y cerrajería </v>
      </c>
      <c r="N323" s="340" t="str">
        <f t="shared" ref="N323:N341" si="107">+C323</f>
        <v>UND</v>
      </c>
      <c r="O323" s="346">
        <f t="shared" ref="O323:O341" si="108">+D323</f>
        <v>37</v>
      </c>
      <c r="P323" s="423">
        <f>VLOOKUP(L323,'selección precios unitario'!$A$5:$I$418,9,FALSE)</f>
        <v>425000</v>
      </c>
      <c r="Q323" s="423">
        <f t="shared" ref="Q323:Q329" si="109">ROUND(P323*O323,0)</f>
        <v>15725000</v>
      </c>
    </row>
    <row r="324" spans="1:60" ht="51" outlineLevel="1" x14ac:dyDescent="0.25">
      <c r="A324" s="367" t="s">
        <v>432</v>
      </c>
      <c r="B324" s="384" t="s">
        <v>1496</v>
      </c>
      <c r="C324" s="340" t="s">
        <v>6</v>
      </c>
      <c r="D324" s="385">
        <v>2</v>
      </c>
      <c r="E324" s="353">
        <v>550000</v>
      </c>
      <c r="F324" s="353">
        <f t="shared" si="106"/>
        <v>1100000</v>
      </c>
      <c r="G324" s="349">
        <v>450000</v>
      </c>
      <c r="H324" s="353">
        <f t="shared" si="104"/>
        <v>900000</v>
      </c>
      <c r="I324" s="1285">
        <f>IFERROR(VLOOKUP(A324,'valores unit indexados'!$A$14:$O$197,15,FALSE),0)</f>
        <v>0</v>
      </c>
      <c r="J324" s="349">
        <f t="shared" si="101"/>
        <v>0</v>
      </c>
      <c r="K324"/>
      <c r="L324" s="367" t="str">
        <f t="shared" si="99"/>
        <v>E. 2,2</v>
      </c>
      <c r="M324" s="384" t="str">
        <f t="shared" si="100"/>
        <v xml:space="preserve">Mantenimiento de puertas de dos naves en madera maciza, diseño con celosía cuyas medidas son entre  70  a 100 cm de ancho x 190 -240 cm de alto - incluido marco, largueros, travesaños, hojas o panel y cerrajería </v>
      </c>
      <c r="N324" s="340" t="str">
        <f t="shared" si="107"/>
        <v>UND</v>
      </c>
      <c r="O324" s="385">
        <f t="shared" si="108"/>
        <v>2</v>
      </c>
      <c r="P324" s="423">
        <f>VLOOKUP(L324,'selección precios unitario'!$A$5:$I$418,9,FALSE)</f>
        <v>500000</v>
      </c>
      <c r="Q324" s="423">
        <f t="shared" si="109"/>
        <v>1000000</v>
      </c>
    </row>
    <row r="325" spans="1:60" ht="51" outlineLevel="1" x14ac:dyDescent="0.25">
      <c r="A325" s="354" t="s">
        <v>434</v>
      </c>
      <c r="B325" s="384" t="s">
        <v>435</v>
      </c>
      <c r="C325" s="340" t="s">
        <v>6</v>
      </c>
      <c r="D325" s="385">
        <v>1</v>
      </c>
      <c r="E325" s="353">
        <v>650000</v>
      </c>
      <c r="F325" s="353">
        <f t="shared" si="106"/>
        <v>650000</v>
      </c>
      <c r="G325" s="349">
        <v>490000</v>
      </c>
      <c r="H325" s="353">
        <f t="shared" si="104"/>
        <v>490000</v>
      </c>
      <c r="I325" s="1285">
        <f>IFERROR(VLOOKUP(A325,'valores unit indexados'!$A$14:$O$197,15,FALSE),0)</f>
        <v>0</v>
      </c>
      <c r="J325" s="349">
        <f t="shared" si="101"/>
        <v>0</v>
      </c>
      <c r="K325"/>
      <c r="L325" s="354" t="str">
        <f t="shared" si="99"/>
        <v>E. 2,3</v>
      </c>
      <c r="M325" s="384" t="str">
        <f t="shared" si="100"/>
        <v xml:space="preserve">Mantenimiento de puertas de dos naves en madera maciza, cuyas medidas son entre  100  a 140 cm de ancho x 200 -260 cm de alto - incluido marco, largueros, travesaños, hojas o panel y cerrajería </v>
      </c>
      <c r="N325" s="340" t="str">
        <f t="shared" si="107"/>
        <v>UND</v>
      </c>
      <c r="O325" s="385">
        <f t="shared" si="108"/>
        <v>1</v>
      </c>
      <c r="P325" s="423">
        <f>VLOOKUP(L325,'selección precios unitario'!$A$5:$I$418,9,FALSE)</f>
        <v>570000</v>
      </c>
      <c r="Q325" s="423">
        <f t="shared" si="109"/>
        <v>570000</v>
      </c>
    </row>
    <row r="326" spans="1:60" ht="51" outlineLevel="1" x14ac:dyDescent="0.25">
      <c r="A326" s="367" t="s">
        <v>436</v>
      </c>
      <c r="B326" s="384" t="s">
        <v>437</v>
      </c>
      <c r="C326" s="340" t="s">
        <v>6</v>
      </c>
      <c r="D326" s="385">
        <v>15</v>
      </c>
      <c r="E326" s="379">
        <v>700000</v>
      </c>
      <c r="F326" s="379">
        <f t="shared" si="106"/>
        <v>10500000</v>
      </c>
      <c r="G326" s="412">
        <v>2700000</v>
      </c>
      <c r="H326" s="353">
        <f t="shared" si="104"/>
        <v>40500000</v>
      </c>
      <c r="I326" s="1285">
        <f>IFERROR(VLOOKUP(A326,'valores unit indexados'!$A$14:$O$197,15,FALSE),0)</f>
        <v>0</v>
      </c>
      <c r="J326" s="349">
        <f t="shared" si="101"/>
        <v>0</v>
      </c>
      <c r="K326"/>
      <c r="L326" s="367" t="str">
        <f t="shared" si="99"/>
        <v>E. 2,4</v>
      </c>
      <c r="M326" s="384" t="str">
        <f t="shared" si="100"/>
        <v xml:space="preserve">Mantenimiento de puertas de una nave en madera maciza, con diseño que incluye vidrio cuyas medidas son entre  70  a 100 cm de ancho x 190 -280 cm de alto - incluido marco, largueros, travesaños, hojas o panel y cerrajería </v>
      </c>
      <c r="N326" s="340" t="str">
        <f t="shared" si="107"/>
        <v>UND</v>
      </c>
      <c r="O326" s="385">
        <f t="shared" si="108"/>
        <v>15</v>
      </c>
      <c r="P326" s="423">
        <f>VLOOKUP(L326,'selección precios unitario'!$A$5:$I$418,9,FALSE)</f>
        <v>500000</v>
      </c>
      <c r="Q326" s="423">
        <f t="shared" si="109"/>
        <v>7500000</v>
      </c>
    </row>
    <row r="327" spans="1:60" ht="51" outlineLevel="1" x14ac:dyDescent="0.25">
      <c r="A327" s="354" t="s">
        <v>438</v>
      </c>
      <c r="B327" s="384" t="s">
        <v>439</v>
      </c>
      <c r="C327" s="340" t="s">
        <v>6</v>
      </c>
      <c r="D327" s="385">
        <v>7</v>
      </c>
      <c r="E327" s="379">
        <v>700000</v>
      </c>
      <c r="F327" s="379">
        <f t="shared" si="106"/>
        <v>4900000</v>
      </c>
      <c r="G327" s="412">
        <v>230000</v>
      </c>
      <c r="H327" s="353">
        <f t="shared" si="104"/>
        <v>1610000</v>
      </c>
      <c r="I327" s="1285">
        <f>IFERROR(VLOOKUP(A327,'valores unit indexados'!$A$14:$O$197,15,FALSE),0)</f>
        <v>0</v>
      </c>
      <c r="J327" s="349">
        <f t="shared" si="101"/>
        <v>0</v>
      </c>
      <c r="K327"/>
      <c r="L327" s="354" t="str">
        <f t="shared" si="99"/>
        <v>E. 2,5</v>
      </c>
      <c r="M327" s="384" t="str">
        <f t="shared" si="100"/>
        <v xml:space="preserve">Mantenimiento de ventanas en madera con diseño que incluye vidrio, cuyas medidas son entre 70 -  170 cm de ancho x 100 cm 180 cm alto,  incluido marco, largueros, travesaños, hojas o panel y cerrajería </v>
      </c>
      <c r="N327" s="340" t="str">
        <f t="shared" si="107"/>
        <v>UND</v>
      </c>
      <c r="O327" s="385">
        <f t="shared" si="108"/>
        <v>7</v>
      </c>
      <c r="P327" s="423">
        <f>VLOOKUP(L327,'selección precios unitario'!$A$5:$I$418,9,FALSE)</f>
        <v>230000</v>
      </c>
      <c r="Q327" s="423">
        <f t="shared" si="109"/>
        <v>1610000</v>
      </c>
    </row>
    <row r="328" spans="1:60" ht="25.5" outlineLevel="1" x14ac:dyDescent="0.25">
      <c r="A328" s="354" t="s">
        <v>440</v>
      </c>
      <c r="B328" s="358" t="s">
        <v>441</v>
      </c>
      <c r="C328" s="356" t="s">
        <v>6</v>
      </c>
      <c r="D328" s="385">
        <v>5</v>
      </c>
      <c r="E328" s="379">
        <v>60000</v>
      </c>
      <c r="F328" s="379">
        <f t="shared" si="106"/>
        <v>300000</v>
      </c>
      <c r="G328" s="412">
        <v>65000</v>
      </c>
      <c r="H328" s="353">
        <f t="shared" si="104"/>
        <v>325000</v>
      </c>
      <c r="I328" s="1285">
        <f>IFERROR(VLOOKUP(A328,'valores unit indexados'!$A$14:$O$197,15,FALSE),0)</f>
        <v>0</v>
      </c>
      <c r="J328" s="349">
        <f t="shared" si="101"/>
        <v>0</v>
      </c>
      <c r="K328"/>
      <c r="L328" s="354" t="str">
        <f t="shared" si="99"/>
        <v>E. 2,6</v>
      </c>
      <c r="M328" s="358" t="str">
        <f t="shared" si="100"/>
        <v>Desmonte de puertas en madera (se refiere a las que no se reinstalaran)</v>
      </c>
      <c r="N328" s="356" t="str">
        <f t="shared" si="107"/>
        <v>UND</v>
      </c>
      <c r="O328" s="385">
        <f t="shared" si="108"/>
        <v>5</v>
      </c>
      <c r="P328" s="423">
        <f>VLOOKUP(L328,'selección precios unitario'!$A$5:$I$418,9,FALSE)</f>
        <v>62500</v>
      </c>
      <c r="Q328" s="423">
        <f t="shared" si="109"/>
        <v>312500</v>
      </c>
    </row>
    <row r="329" spans="1:60" ht="51" outlineLevel="1" x14ac:dyDescent="0.25">
      <c r="A329" s="354" t="s">
        <v>442</v>
      </c>
      <c r="B329" s="400" t="s">
        <v>443</v>
      </c>
      <c r="C329" s="340" t="s">
        <v>6</v>
      </c>
      <c r="D329" s="385">
        <v>5</v>
      </c>
      <c r="E329" s="379">
        <v>2900000</v>
      </c>
      <c r="F329" s="379">
        <f t="shared" si="106"/>
        <v>14500000</v>
      </c>
      <c r="G329" s="412">
        <v>1100000</v>
      </c>
      <c r="H329" s="353">
        <f t="shared" si="104"/>
        <v>5500000</v>
      </c>
      <c r="I329" s="1285">
        <f>IFERROR(VLOOKUP(A329,'valores unit indexados'!$A$14:$O$197,15,FALSE),0)</f>
        <v>0</v>
      </c>
      <c r="J329" s="349">
        <f t="shared" si="101"/>
        <v>0</v>
      </c>
      <c r="K329"/>
      <c r="L329" s="354" t="str">
        <f t="shared" si="99"/>
        <v>E. 2,7</v>
      </c>
      <c r="M329" s="400" t="str">
        <f t="shared" si="100"/>
        <v>Suministro e instalación puertas de madera maciza inmunizada y pintada con barniz, cuyas medidas son entre 70  a 100 cm de ancho x 190 -280 conformada por 2 naves diseño igual al existente.</v>
      </c>
      <c r="N329" s="340" t="str">
        <f t="shared" si="107"/>
        <v>UND</v>
      </c>
      <c r="O329" s="385">
        <f t="shared" si="108"/>
        <v>5</v>
      </c>
      <c r="P329" s="423">
        <f>VLOOKUP(L329,'selección precios unitario'!$A$5:$I$418,9,FALSE)</f>
        <v>1100000</v>
      </c>
      <c r="Q329" s="423">
        <f t="shared" si="109"/>
        <v>5500000</v>
      </c>
    </row>
    <row r="330" spans="1:60" s="1533" customFormat="1" ht="24.75" customHeight="1" outlineLevel="1" x14ac:dyDescent="0.25">
      <c r="A330" s="1527" t="s">
        <v>444</v>
      </c>
      <c r="B330" s="1528" t="s">
        <v>234</v>
      </c>
      <c r="C330" s="1527"/>
      <c r="D330" s="1529"/>
      <c r="E330" s="1530"/>
      <c r="F330" s="1531">
        <f t="shared" si="106"/>
        <v>0</v>
      </c>
      <c r="G330" s="1530"/>
      <c r="H330" s="1531">
        <f t="shared" si="104"/>
        <v>0</v>
      </c>
      <c r="I330" s="1532"/>
      <c r="J330" s="1527"/>
      <c r="K330"/>
      <c r="L330" s="1527" t="str">
        <f t="shared" si="99"/>
        <v>E. 3</v>
      </c>
      <c r="M330" s="1836" t="str">
        <f t="shared" si="100"/>
        <v xml:space="preserve">Reparaciones y Tratamiento de humedades internas </v>
      </c>
      <c r="N330" s="1837"/>
      <c r="O330" s="1837"/>
      <c r="P330" s="1837"/>
      <c r="Q330" s="1838"/>
      <c r="R330" s="1544"/>
      <c r="S330" s="1544"/>
      <c r="T330" s="1544"/>
      <c r="U330" s="1544"/>
      <c r="V330" s="1544"/>
      <c r="W330" s="1544"/>
      <c r="X330" s="1544"/>
      <c r="Y330" s="1544"/>
      <c r="Z330" s="1544"/>
      <c r="AA330" s="1544"/>
      <c r="AB330" s="1544"/>
      <c r="AC330" s="1544"/>
      <c r="AD330" s="1544"/>
      <c r="AE330" s="1544"/>
      <c r="AF330" s="1544"/>
      <c r="AG330" s="1544"/>
      <c r="AH330" s="1544"/>
      <c r="AI330" s="1544"/>
      <c r="AJ330" s="1544"/>
      <c r="AK330" s="1544"/>
      <c r="AL330" s="1544"/>
      <c r="AM330" s="1544"/>
      <c r="AN330" s="1544"/>
      <c r="AO330" s="1544"/>
      <c r="AP330" s="1544"/>
      <c r="AQ330" s="1544"/>
      <c r="AR330" s="1544"/>
      <c r="AS330" s="1544"/>
      <c r="AT330" s="1544"/>
      <c r="AU330" s="1544"/>
      <c r="AV330" s="1544"/>
      <c r="AW330" s="1544"/>
      <c r="AX330" s="1544"/>
      <c r="AY330" s="1544"/>
      <c r="AZ330" s="1544"/>
      <c r="BA330" s="1544"/>
      <c r="BB330" s="1544"/>
      <c r="BC330" s="1544"/>
      <c r="BD330" s="1544"/>
      <c r="BE330" s="1544"/>
      <c r="BF330" s="1544"/>
      <c r="BG330" s="1544"/>
      <c r="BH330" s="1544"/>
    </row>
    <row r="331" spans="1:60" ht="15" outlineLevel="1" x14ac:dyDescent="0.25">
      <c r="A331" s="381" t="s">
        <v>445</v>
      </c>
      <c r="B331" s="364" t="s">
        <v>84</v>
      </c>
      <c r="C331" s="367" t="s">
        <v>19</v>
      </c>
      <c r="D331" s="385">
        <v>426</v>
      </c>
      <c r="E331" s="353">
        <v>9000</v>
      </c>
      <c r="F331" s="353">
        <f t="shared" si="106"/>
        <v>3834000</v>
      </c>
      <c r="G331" s="349">
        <v>5200</v>
      </c>
      <c r="H331" s="353">
        <f t="shared" si="104"/>
        <v>2215200</v>
      </c>
      <c r="I331" s="1285">
        <f>IFERROR(VLOOKUP(A331,'valores unit indexados'!$A$14:$O$197,15,FALSE),0)</f>
        <v>6890</v>
      </c>
      <c r="J331" s="349">
        <f t="shared" si="101"/>
        <v>2935140</v>
      </c>
      <c r="K331"/>
      <c r="L331" s="381" t="str">
        <f t="shared" si="99"/>
        <v>E. 3,1</v>
      </c>
      <c r="M331" s="364" t="str">
        <f t="shared" si="100"/>
        <v xml:space="preserve">Rasqueteada de pintura y retiro de mortero en mal estado  </v>
      </c>
      <c r="N331" s="367" t="str">
        <f t="shared" si="107"/>
        <v>M2</v>
      </c>
      <c r="O331" s="385">
        <f t="shared" si="108"/>
        <v>426</v>
      </c>
      <c r="P331" s="423">
        <f>VLOOKUP(L331,'selección precios unitario'!$A$5:$I$418,9,FALSE)</f>
        <v>6630</v>
      </c>
      <c r="Q331" s="423">
        <f t="shared" ref="Q331:Q341" si="110">ROUND(P331*O331,0)</f>
        <v>2824380</v>
      </c>
    </row>
    <row r="332" spans="1:60" ht="38.25" outlineLevel="1" x14ac:dyDescent="0.25">
      <c r="A332" s="386" t="s">
        <v>446</v>
      </c>
      <c r="B332" s="368" t="s">
        <v>86</v>
      </c>
      <c r="C332" s="367" t="s">
        <v>19</v>
      </c>
      <c r="D332" s="385">
        <v>355</v>
      </c>
      <c r="E332" s="353">
        <v>48000</v>
      </c>
      <c r="F332" s="353">
        <f t="shared" si="106"/>
        <v>17040000</v>
      </c>
      <c r="G332" s="349">
        <v>45500</v>
      </c>
      <c r="H332" s="353">
        <f t="shared" si="104"/>
        <v>16152500</v>
      </c>
      <c r="I332" s="1285">
        <f>IFERROR(VLOOKUP(A332,'valores unit indexados'!$A$14:$O$197,15,FALSE),0)</f>
        <v>43614</v>
      </c>
      <c r="J332" s="349">
        <f t="shared" si="101"/>
        <v>15482970</v>
      </c>
      <c r="K332"/>
      <c r="L332" s="386" t="str">
        <f t="shared" si="99"/>
        <v>E. 3,2</v>
      </c>
      <c r="M332" s="368" t="str">
        <f t="shared" si="100"/>
        <v xml:space="preserve">Suministro e instalación de recubrimiento cementoso (Recubrimiento a base de cemento, arena y aditivos especiales), impermeable para muros color blanco </v>
      </c>
      <c r="N332" s="367" t="str">
        <f t="shared" si="107"/>
        <v>M2</v>
      </c>
      <c r="O332" s="385">
        <f t="shared" si="108"/>
        <v>355</v>
      </c>
      <c r="P332" s="423">
        <f>VLOOKUP(L332,'selección precios unitario'!$A$5:$I$418,9,FALSE)</f>
        <v>45053</v>
      </c>
      <c r="Q332" s="423">
        <f t="shared" si="110"/>
        <v>15993815</v>
      </c>
    </row>
    <row r="333" spans="1:60" ht="15" outlineLevel="1" x14ac:dyDescent="0.25">
      <c r="A333" s="386" t="s">
        <v>447</v>
      </c>
      <c r="B333" s="368" t="s">
        <v>88</v>
      </c>
      <c r="C333" s="367" t="s">
        <v>19</v>
      </c>
      <c r="D333" s="385">
        <v>568</v>
      </c>
      <c r="E333" s="353">
        <v>28000</v>
      </c>
      <c r="F333" s="379">
        <f t="shared" si="106"/>
        <v>15904000</v>
      </c>
      <c r="G333" s="412">
        <v>11700</v>
      </c>
      <c r="H333" s="353">
        <f t="shared" si="104"/>
        <v>6645600</v>
      </c>
      <c r="I333" s="1285">
        <f>IFERROR(VLOOKUP(A333,'valores unit indexados'!$A$14:$O$197,15,FALSE),0)</f>
        <v>24610</v>
      </c>
      <c r="J333" s="349">
        <f t="shared" si="101"/>
        <v>13978480</v>
      </c>
      <c r="K333"/>
      <c r="L333" s="386" t="str">
        <f t="shared" si="99"/>
        <v>E. 3,3</v>
      </c>
      <c r="M333" s="368" t="str">
        <f t="shared" si="100"/>
        <v xml:space="preserve">Suministro y aplicación de estuco plástico </v>
      </c>
      <c r="N333" s="367" t="str">
        <f t="shared" si="107"/>
        <v>M2</v>
      </c>
      <c r="O333" s="385">
        <f t="shared" si="108"/>
        <v>568</v>
      </c>
      <c r="P333" s="423">
        <f>VLOOKUP(L333,'selección precios unitario'!$A$5:$I$418,9,FALSE)</f>
        <v>26305</v>
      </c>
      <c r="Q333" s="423">
        <f t="shared" si="110"/>
        <v>14941240</v>
      </c>
    </row>
    <row r="334" spans="1:60" ht="15" outlineLevel="1" x14ac:dyDescent="0.25">
      <c r="A334" s="386" t="s">
        <v>448</v>
      </c>
      <c r="B334" s="364" t="s">
        <v>90</v>
      </c>
      <c r="C334" s="367" t="s">
        <v>19</v>
      </c>
      <c r="D334" s="385">
        <v>710</v>
      </c>
      <c r="E334" s="353">
        <v>19000</v>
      </c>
      <c r="F334" s="379">
        <f t="shared" si="106"/>
        <v>13490000</v>
      </c>
      <c r="G334" s="412">
        <v>8710</v>
      </c>
      <c r="H334" s="353">
        <f t="shared" si="104"/>
        <v>6184100</v>
      </c>
      <c r="I334" s="1285">
        <f>IFERROR(VLOOKUP(A334,'valores unit indexados'!$A$14:$O$197,15,FALSE),0)</f>
        <v>0</v>
      </c>
      <c r="J334" s="349">
        <f t="shared" si="101"/>
        <v>0</v>
      </c>
      <c r="K334"/>
      <c r="L334" s="386" t="str">
        <f t="shared" si="99"/>
        <v>E. 3,4</v>
      </c>
      <c r="M334" s="364" t="str">
        <f t="shared" si="100"/>
        <v>Suministro y aplicación de vinilo tipo 1 (3 manos)</v>
      </c>
      <c r="N334" s="367" t="str">
        <f t="shared" si="107"/>
        <v>M2</v>
      </c>
      <c r="O334" s="385">
        <f t="shared" si="108"/>
        <v>710</v>
      </c>
      <c r="P334" s="423">
        <f>VLOOKUP(L334,'selección precios unitario'!$A$5:$I$418,9,FALSE)</f>
        <v>19000</v>
      </c>
      <c r="Q334" s="423">
        <f t="shared" si="110"/>
        <v>13490000</v>
      </c>
    </row>
    <row r="335" spans="1:60" ht="15" outlineLevel="1" x14ac:dyDescent="0.25">
      <c r="A335" s="386" t="s">
        <v>449</v>
      </c>
      <c r="B335" s="368" t="s">
        <v>92</v>
      </c>
      <c r="C335" s="367" t="s">
        <v>19</v>
      </c>
      <c r="D335" s="385">
        <v>497</v>
      </c>
      <c r="E335" s="353">
        <v>18000</v>
      </c>
      <c r="F335" s="379">
        <f t="shared" si="106"/>
        <v>8946000</v>
      </c>
      <c r="G335" s="412">
        <v>8710</v>
      </c>
      <c r="H335" s="353">
        <f t="shared" si="104"/>
        <v>4328870</v>
      </c>
      <c r="I335" s="1285">
        <f>IFERROR(VLOOKUP(A335,'valores unit indexados'!$A$14:$O$197,15,FALSE),0)</f>
        <v>17005</v>
      </c>
      <c r="J335" s="349">
        <f t="shared" si="101"/>
        <v>8451485</v>
      </c>
      <c r="K335"/>
      <c r="L335" s="386" t="str">
        <f t="shared" si="99"/>
        <v>E. 3,5</v>
      </c>
      <c r="M335" s="368" t="str">
        <f t="shared" si="100"/>
        <v>Suministro y aplicación de pintura en esmalte</v>
      </c>
      <c r="N335" s="367" t="str">
        <f t="shared" si="107"/>
        <v>M2</v>
      </c>
      <c r="O335" s="385">
        <f t="shared" si="108"/>
        <v>497</v>
      </c>
      <c r="P335" s="423">
        <f>VLOOKUP(L335,'selección precios unitario'!$A$5:$I$418,9,FALSE)</f>
        <v>17503</v>
      </c>
      <c r="Q335" s="423">
        <f t="shared" si="110"/>
        <v>8698991</v>
      </c>
    </row>
    <row r="336" spans="1:60" ht="15" outlineLevel="1" x14ac:dyDescent="0.25">
      <c r="A336" s="386" t="s">
        <v>450</v>
      </c>
      <c r="B336" s="364" t="s">
        <v>94</v>
      </c>
      <c r="C336" s="367" t="s">
        <v>19</v>
      </c>
      <c r="D336" s="385">
        <v>474</v>
      </c>
      <c r="E336" s="353">
        <v>17000</v>
      </c>
      <c r="F336" s="379">
        <f t="shared" si="106"/>
        <v>8058000</v>
      </c>
      <c r="G336" s="412">
        <v>8710</v>
      </c>
      <c r="H336" s="353">
        <f t="shared" si="104"/>
        <v>4128540</v>
      </c>
      <c r="I336" s="1285">
        <f>IFERROR(VLOOKUP(A336,'valores unit indexados'!$A$14:$O$197,15,FALSE),0)</f>
        <v>0</v>
      </c>
      <c r="J336" s="349">
        <f t="shared" si="101"/>
        <v>0</v>
      </c>
      <c r="K336"/>
      <c r="L336" s="386" t="str">
        <f t="shared" si="99"/>
        <v>E. 3,6</v>
      </c>
      <c r="M336" s="364" t="str">
        <f t="shared" si="100"/>
        <v>Suministro y aplicación de pintura cielo vinilo tipo 1</v>
      </c>
      <c r="N336" s="367" t="str">
        <f t="shared" si="107"/>
        <v>M2</v>
      </c>
      <c r="O336" s="385">
        <f t="shared" si="108"/>
        <v>474</v>
      </c>
      <c r="P336" s="423">
        <f>VLOOKUP(L336,'selección precios unitario'!$A$5:$I$418,9,FALSE)</f>
        <v>17000</v>
      </c>
      <c r="Q336" s="423">
        <f t="shared" si="110"/>
        <v>8058000</v>
      </c>
    </row>
    <row r="337" spans="1:60" ht="15" outlineLevel="1" x14ac:dyDescent="0.25">
      <c r="A337" s="367" t="s">
        <v>451</v>
      </c>
      <c r="B337" s="364" t="s">
        <v>84</v>
      </c>
      <c r="C337" s="367" t="s">
        <v>14</v>
      </c>
      <c r="D337" s="385">
        <v>281</v>
      </c>
      <c r="E337" s="353">
        <v>5400</v>
      </c>
      <c r="F337" s="353">
        <f t="shared" si="106"/>
        <v>1517400</v>
      </c>
      <c r="G337" s="349">
        <v>5200</v>
      </c>
      <c r="H337" s="353">
        <f t="shared" si="104"/>
        <v>1461200</v>
      </c>
      <c r="I337" s="1285">
        <f>IFERROR(VLOOKUP(A337,'valores unit indexados'!$A$14:$O$197,15,FALSE),0)</f>
        <v>0</v>
      </c>
      <c r="J337" s="349">
        <f t="shared" si="101"/>
        <v>0</v>
      </c>
      <c r="K337"/>
      <c r="L337" s="367" t="str">
        <f t="shared" si="99"/>
        <v>E. 3,7</v>
      </c>
      <c r="M337" s="364" t="str">
        <f t="shared" si="100"/>
        <v xml:space="preserve">Rasqueteada de pintura y retiro de mortero en mal estado  </v>
      </c>
      <c r="N337" s="367" t="str">
        <f t="shared" si="107"/>
        <v>ML</v>
      </c>
      <c r="O337" s="385">
        <f t="shared" si="108"/>
        <v>281</v>
      </c>
      <c r="P337" s="423">
        <f>VLOOKUP(L337,'selección precios unitario'!$A$5:$I$418,9,FALSE)</f>
        <v>4700</v>
      </c>
      <c r="Q337" s="423">
        <f t="shared" si="110"/>
        <v>1320700</v>
      </c>
    </row>
    <row r="338" spans="1:60" ht="38.25" outlineLevel="1" x14ac:dyDescent="0.25">
      <c r="A338" s="367" t="s">
        <v>452</v>
      </c>
      <c r="B338" s="368" t="s">
        <v>86</v>
      </c>
      <c r="C338" s="367" t="s">
        <v>14</v>
      </c>
      <c r="D338" s="385">
        <v>281</v>
      </c>
      <c r="E338" s="353">
        <v>28800</v>
      </c>
      <c r="F338" s="353">
        <f t="shared" si="106"/>
        <v>8092800</v>
      </c>
      <c r="G338" s="349">
        <v>6500</v>
      </c>
      <c r="H338" s="353">
        <f t="shared" si="104"/>
        <v>1826500</v>
      </c>
      <c r="I338" s="1285">
        <f>IFERROR(VLOOKUP(A338,'valores unit indexados'!$A$14:$O$197,15,FALSE),0)</f>
        <v>0</v>
      </c>
      <c r="J338" s="349">
        <f t="shared" si="101"/>
        <v>0</v>
      </c>
      <c r="K338"/>
      <c r="L338" s="367" t="str">
        <f t="shared" si="99"/>
        <v>E. 3,8</v>
      </c>
      <c r="M338" s="368" t="str">
        <f t="shared" si="100"/>
        <v xml:space="preserve">Suministro e instalación de recubrimiento cementoso (Recubrimiento a base de cemento, arena y aditivos especiales), impermeable para muros color blanco </v>
      </c>
      <c r="N338" s="367" t="str">
        <f t="shared" si="107"/>
        <v>ML</v>
      </c>
      <c r="O338" s="385">
        <f t="shared" si="108"/>
        <v>281</v>
      </c>
      <c r="P338" s="423">
        <f>VLOOKUP(L338,'selección precios unitario'!$A$5:$I$418,9,FALSE)</f>
        <v>17650</v>
      </c>
      <c r="Q338" s="423">
        <f t="shared" si="110"/>
        <v>4959650</v>
      </c>
    </row>
    <row r="339" spans="1:60" ht="15" outlineLevel="1" x14ac:dyDescent="0.25">
      <c r="A339" s="367" t="s">
        <v>453</v>
      </c>
      <c r="B339" s="368" t="s">
        <v>88</v>
      </c>
      <c r="C339" s="367" t="s">
        <v>14</v>
      </c>
      <c r="D339" s="385">
        <v>351</v>
      </c>
      <c r="E339" s="353">
        <v>16800</v>
      </c>
      <c r="F339" s="353">
        <f t="shared" si="106"/>
        <v>5896800</v>
      </c>
      <c r="G339" s="349">
        <v>11700</v>
      </c>
      <c r="H339" s="353">
        <f t="shared" si="104"/>
        <v>4106700</v>
      </c>
      <c r="I339" s="1285">
        <f>IFERROR(VLOOKUP(A339,'valores unit indexados'!$A$14:$O$197,15,FALSE),0)</f>
        <v>24610</v>
      </c>
      <c r="J339" s="349">
        <f t="shared" si="101"/>
        <v>8638110</v>
      </c>
      <c r="K339"/>
      <c r="L339" s="367" t="str">
        <f t="shared" si="99"/>
        <v>E. 3,9</v>
      </c>
      <c r="M339" s="368" t="str">
        <f t="shared" si="100"/>
        <v xml:space="preserve">Suministro y aplicación de estuco plástico </v>
      </c>
      <c r="N339" s="367" t="str">
        <f t="shared" si="107"/>
        <v>ML</v>
      </c>
      <c r="O339" s="385">
        <f t="shared" si="108"/>
        <v>351</v>
      </c>
      <c r="P339" s="423">
        <f>VLOOKUP(L339,'selección precios unitario'!$A$5:$I$418,9,FALSE)</f>
        <v>20705</v>
      </c>
      <c r="Q339" s="423">
        <f t="shared" si="110"/>
        <v>7267455</v>
      </c>
    </row>
    <row r="340" spans="1:60" ht="15" outlineLevel="1" x14ac:dyDescent="0.25">
      <c r="A340" s="367" t="s">
        <v>454</v>
      </c>
      <c r="B340" s="368" t="s">
        <v>90</v>
      </c>
      <c r="C340" s="367" t="s">
        <v>14</v>
      </c>
      <c r="D340" s="385">
        <v>351</v>
      </c>
      <c r="E340" s="353">
        <v>11400</v>
      </c>
      <c r="F340" s="353">
        <f t="shared" si="106"/>
        <v>4001400</v>
      </c>
      <c r="G340" s="349">
        <v>8710</v>
      </c>
      <c r="H340" s="353">
        <f t="shared" si="104"/>
        <v>3057210</v>
      </c>
      <c r="I340" s="1285">
        <f>IFERROR(VLOOKUP(A340,'valores unit indexados'!$A$14:$O$197,15,FALSE),0)</f>
        <v>0</v>
      </c>
      <c r="J340" s="349">
        <f t="shared" si="101"/>
        <v>0</v>
      </c>
      <c r="K340"/>
      <c r="L340" s="367" t="str">
        <f t="shared" si="99"/>
        <v>E. 3,10</v>
      </c>
      <c r="M340" s="368" t="str">
        <f t="shared" si="100"/>
        <v>Suministro y aplicación de vinilo tipo 1 (3 manos)</v>
      </c>
      <c r="N340" s="367" t="str">
        <f t="shared" si="107"/>
        <v>ML</v>
      </c>
      <c r="O340" s="385">
        <f t="shared" si="108"/>
        <v>351</v>
      </c>
      <c r="P340" s="423">
        <f>VLOOKUP(L340,'selección precios unitario'!$A$5:$I$418,9,FALSE)</f>
        <v>11400</v>
      </c>
      <c r="Q340" s="423">
        <f t="shared" si="110"/>
        <v>4001400</v>
      </c>
    </row>
    <row r="341" spans="1:60" ht="15" outlineLevel="1" x14ac:dyDescent="0.25">
      <c r="A341" s="367" t="s">
        <v>455</v>
      </c>
      <c r="B341" s="368" t="s">
        <v>92</v>
      </c>
      <c r="C341" s="367" t="s">
        <v>14</v>
      </c>
      <c r="D341" s="385">
        <v>351</v>
      </c>
      <c r="E341" s="353">
        <v>10800</v>
      </c>
      <c r="F341" s="353">
        <f t="shared" si="106"/>
        <v>3790800</v>
      </c>
      <c r="G341" s="349">
        <v>8710</v>
      </c>
      <c r="H341" s="353">
        <f t="shared" si="104"/>
        <v>3057210</v>
      </c>
      <c r="I341" s="1285">
        <f>IFERROR(VLOOKUP(A341,'valores unit indexados'!$A$14:$O$197,15,FALSE),0)</f>
        <v>0</v>
      </c>
      <c r="J341" s="349">
        <f t="shared" si="101"/>
        <v>0</v>
      </c>
      <c r="K341"/>
      <c r="L341" s="367" t="str">
        <f t="shared" si="99"/>
        <v>E. 3,11</v>
      </c>
      <c r="M341" s="368" t="str">
        <f t="shared" si="100"/>
        <v>Suministro y aplicación de pintura en esmalte</v>
      </c>
      <c r="N341" s="367" t="str">
        <f t="shared" si="107"/>
        <v>ML</v>
      </c>
      <c r="O341" s="385">
        <f t="shared" si="108"/>
        <v>351</v>
      </c>
      <c r="P341" s="423">
        <f>VLOOKUP(L341,'selección precios unitario'!$A$5:$I$418,9,FALSE)</f>
        <v>8000</v>
      </c>
      <c r="Q341" s="423">
        <f t="shared" si="110"/>
        <v>2808000</v>
      </c>
    </row>
    <row r="342" spans="1:60" s="1533" customFormat="1" ht="24.75" customHeight="1" outlineLevel="1" x14ac:dyDescent="0.25">
      <c r="A342" s="1527" t="s">
        <v>456</v>
      </c>
      <c r="B342" s="1528" t="s">
        <v>457</v>
      </c>
      <c r="C342" s="1527"/>
      <c r="D342" s="1529"/>
      <c r="E342" s="1530"/>
      <c r="F342" s="1531">
        <f t="shared" si="106"/>
        <v>0</v>
      </c>
      <c r="G342" s="1530"/>
      <c r="H342" s="1531">
        <f t="shared" si="104"/>
        <v>0</v>
      </c>
      <c r="I342" s="1532"/>
      <c r="J342" s="1527"/>
      <c r="K342"/>
      <c r="L342" s="1527" t="str">
        <f t="shared" si="99"/>
        <v>E. 4</v>
      </c>
      <c r="M342" s="1528" t="str">
        <f t="shared" si="100"/>
        <v xml:space="preserve">Mantenimiento de las redes hidrosanitarias </v>
      </c>
      <c r="N342" s="1527"/>
      <c r="O342" s="1529"/>
      <c r="P342" s="1531"/>
      <c r="Q342" s="1531"/>
      <c r="R342" s="1544"/>
      <c r="S342" s="1544"/>
      <c r="T342" s="1544"/>
      <c r="U342" s="1544"/>
      <c r="V342" s="1544"/>
      <c r="W342" s="1544"/>
      <c r="X342" s="1544"/>
      <c r="Y342" s="1544"/>
      <c r="Z342" s="1544"/>
      <c r="AA342" s="1544"/>
      <c r="AB342" s="1544"/>
      <c r="AC342" s="1544"/>
      <c r="AD342" s="1544"/>
      <c r="AE342" s="1544"/>
      <c r="AF342" s="1544"/>
      <c r="AG342" s="1544"/>
      <c r="AH342" s="1544"/>
      <c r="AI342" s="1544"/>
      <c r="AJ342" s="1544"/>
      <c r="AK342" s="1544"/>
      <c r="AL342" s="1544"/>
      <c r="AM342" s="1544"/>
      <c r="AN342" s="1544"/>
      <c r="AO342" s="1544"/>
      <c r="AP342" s="1544"/>
      <c r="AQ342" s="1544"/>
      <c r="AR342" s="1544"/>
      <c r="AS342" s="1544"/>
      <c r="AT342" s="1544"/>
      <c r="AU342" s="1544"/>
      <c r="AV342" s="1544"/>
      <c r="AW342" s="1544"/>
      <c r="AX342" s="1544"/>
      <c r="AY342" s="1544"/>
      <c r="AZ342" s="1544"/>
      <c r="BA342" s="1544"/>
      <c r="BB342" s="1544"/>
      <c r="BC342" s="1544"/>
      <c r="BD342" s="1544"/>
      <c r="BE342" s="1544"/>
      <c r="BF342" s="1544"/>
      <c r="BG342" s="1544"/>
      <c r="BH342" s="1544"/>
    </row>
    <row r="343" spans="1:60" ht="25.5" outlineLevel="1" x14ac:dyDescent="0.25">
      <c r="A343" s="386" t="s">
        <v>458</v>
      </c>
      <c r="B343" s="368" t="s">
        <v>459</v>
      </c>
      <c r="C343" s="340" t="s">
        <v>6</v>
      </c>
      <c r="D343" s="385">
        <v>4</v>
      </c>
      <c r="E343" s="379">
        <v>180000</v>
      </c>
      <c r="F343" s="353">
        <f t="shared" si="106"/>
        <v>720000</v>
      </c>
      <c r="G343" s="349">
        <v>12415</v>
      </c>
      <c r="H343" s="353">
        <f t="shared" si="104"/>
        <v>49660</v>
      </c>
      <c r="I343" s="1285">
        <f>IFERROR(VLOOKUP(A343,'valores unit indexados'!$A$14:$O$197,15,FALSE),0)</f>
        <v>0</v>
      </c>
      <c r="J343" s="349">
        <f t="shared" si="101"/>
        <v>0</v>
      </c>
      <c r="K343"/>
      <c r="L343" s="386" t="str">
        <f t="shared" si="99"/>
        <v>E. 4,1</v>
      </c>
      <c r="M343" s="368" t="str">
        <f t="shared" si="100"/>
        <v>Mantenimiento de cajas de inspección existentes, incluye limpieza, reparación de pañetes y tapa de concreto</v>
      </c>
      <c r="N343" s="340" t="str">
        <f t="shared" ref="N343:N360" si="111">+C343</f>
        <v>UND</v>
      </c>
      <c r="O343" s="385">
        <f t="shared" ref="O343:O360" si="112">+D343</f>
        <v>4</v>
      </c>
      <c r="P343" s="423">
        <f>VLOOKUP(L343,'selección precios unitario'!$A$5:$I$418,9,FALSE)</f>
        <v>96208</v>
      </c>
      <c r="Q343" s="423">
        <f t="shared" ref="Q343:Q360" si="113">ROUND(P343*O343,0)</f>
        <v>384832</v>
      </c>
    </row>
    <row r="344" spans="1:60" ht="25.5" outlineLevel="1" x14ac:dyDescent="0.25">
      <c r="A344" s="386" t="s">
        <v>460</v>
      </c>
      <c r="B344" s="347" t="s">
        <v>461</v>
      </c>
      <c r="C344" s="340" t="s">
        <v>6</v>
      </c>
      <c r="D344" s="385">
        <v>1</v>
      </c>
      <c r="E344" s="379">
        <v>850000</v>
      </c>
      <c r="F344" s="353">
        <f t="shared" si="106"/>
        <v>850000</v>
      </c>
      <c r="G344" s="349">
        <v>581464</v>
      </c>
      <c r="H344" s="353">
        <f t="shared" si="104"/>
        <v>581464</v>
      </c>
      <c r="I344" s="1285">
        <f>IFERROR(VLOOKUP(A344,'valores unit indexados'!$A$14:$O$197,15,FALSE),0)</f>
        <v>0</v>
      </c>
      <c r="J344" s="349">
        <f t="shared" si="101"/>
        <v>0</v>
      </c>
      <c r="K344"/>
      <c r="L344" s="386" t="str">
        <f t="shared" si="99"/>
        <v>E. 4,2</v>
      </c>
      <c r="M344" s="347" t="str">
        <f t="shared" si="100"/>
        <v xml:space="preserve">Suministro y fabricación de  caja de aguas negras (100 cm x 100 cm) incluye tapa divida en 2 </v>
      </c>
      <c r="N344" s="340" t="str">
        <f t="shared" si="111"/>
        <v>UND</v>
      </c>
      <c r="O344" s="385">
        <f t="shared" si="112"/>
        <v>1</v>
      </c>
      <c r="P344" s="423">
        <f>VLOOKUP(L344,'selección precios unitario'!$A$5:$I$418,9,FALSE)</f>
        <v>581464</v>
      </c>
      <c r="Q344" s="423">
        <f t="shared" si="113"/>
        <v>581464</v>
      </c>
    </row>
    <row r="345" spans="1:60" ht="15" outlineLevel="1" x14ac:dyDescent="0.25">
      <c r="A345" s="354" t="s">
        <v>462</v>
      </c>
      <c r="B345" s="368" t="s">
        <v>1497</v>
      </c>
      <c r="C345" s="340" t="s">
        <v>150</v>
      </c>
      <c r="D345" s="385">
        <v>25</v>
      </c>
      <c r="E345" s="379">
        <v>25000</v>
      </c>
      <c r="F345" s="353">
        <f t="shared" si="106"/>
        <v>625000</v>
      </c>
      <c r="G345" s="349">
        <v>23478</v>
      </c>
      <c r="H345" s="353">
        <f t="shared" si="104"/>
        <v>586950</v>
      </c>
      <c r="I345" s="1285">
        <f>IFERROR(VLOOKUP(A345,'valores unit indexados'!$A$14:$O$197,15,FALSE),0)</f>
        <v>0</v>
      </c>
      <c r="J345" s="349">
        <f t="shared" si="101"/>
        <v>0</v>
      </c>
      <c r="K345"/>
      <c r="L345" s="354" t="str">
        <f t="shared" ref="L345:L376" si="114">+A345</f>
        <v>E. 4,3</v>
      </c>
      <c r="M345" s="368" t="str">
        <f t="shared" ref="M345:M376" si="115">+B345</f>
        <v>Excavación de tierra a mano para tubería de 6"</v>
      </c>
      <c r="N345" s="340" t="str">
        <f t="shared" si="111"/>
        <v>M3</v>
      </c>
      <c r="O345" s="385">
        <f t="shared" si="112"/>
        <v>25</v>
      </c>
      <c r="P345" s="423">
        <f>VLOOKUP(L345,'selección precios unitario'!$A$5:$I$418,9,FALSE)</f>
        <v>24239</v>
      </c>
      <c r="Q345" s="423">
        <f t="shared" si="113"/>
        <v>605975</v>
      </c>
    </row>
    <row r="346" spans="1:60" ht="15" outlineLevel="1" x14ac:dyDescent="0.25">
      <c r="A346" s="354" t="s">
        <v>464</v>
      </c>
      <c r="B346" s="368" t="s">
        <v>465</v>
      </c>
      <c r="C346" s="340" t="s">
        <v>14</v>
      </c>
      <c r="D346" s="385">
        <v>16</v>
      </c>
      <c r="E346" s="379">
        <v>35000</v>
      </c>
      <c r="F346" s="353">
        <f t="shared" si="106"/>
        <v>560000</v>
      </c>
      <c r="G346" s="349">
        <v>33254</v>
      </c>
      <c r="H346" s="353">
        <f t="shared" si="104"/>
        <v>532064</v>
      </c>
      <c r="I346" s="1285">
        <f>IFERROR(VLOOKUP(A346,'valores unit indexados'!$A$14:$O$197,15,FALSE),0)</f>
        <v>0</v>
      </c>
      <c r="J346" s="349">
        <f t="shared" si="101"/>
        <v>0</v>
      </c>
      <c r="K346"/>
      <c r="L346" s="354" t="str">
        <f t="shared" si="114"/>
        <v>E. 4,4</v>
      </c>
      <c r="M346" s="368" t="str">
        <f t="shared" si="115"/>
        <v xml:space="preserve">Suministro e instalación de ladrillo sucio </v>
      </c>
      <c r="N346" s="340" t="str">
        <f t="shared" si="111"/>
        <v>ML</v>
      </c>
      <c r="O346" s="385">
        <f t="shared" si="112"/>
        <v>16</v>
      </c>
      <c r="P346" s="423">
        <f>VLOOKUP(L346,'selección precios unitario'!$A$5:$I$418,9,FALSE)</f>
        <v>34127</v>
      </c>
      <c r="Q346" s="423">
        <f t="shared" si="113"/>
        <v>546032</v>
      </c>
    </row>
    <row r="347" spans="1:60" ht="15" outlineLevel="1" x14ac:dyDescent="0.25">
      <c r="A347" s="354" t="s">
        <v>466</v>
      </c>
      <c r="B347" s="368" t="s">
        <v>467</v>
      </c>
      <c r="C347" s="340" t="s">
        <v>14</v>
      </c>
      <c r="D347" s="385">
        <v>16</v>
      </c>
      <c r="E347" s="379">
        <v>16000</v>
      </c>
      <c r="F347" s="353">
        <f t="shared" si="106"/>
        <v>256000</v>
      </c>
      <c r="G347" s="349">
        <v>23000</v>
      </c>
      <c r="H347" s="353">
        <f t="shared" si="104"/>
        <v>368000</v>
      </c>
      <c r="I347" s="1285">
        <f>IFERROR(VLOOKUP(A347,'valores unit indexados'!$A$14:$O$197,15,FALSE),0)</f>
        <v>13382</v>
      </c>
      <c r="J347" s="349">
        <f t="shared" si="101"/>
        <v>214112</v>
      </c>
      <c r="K347"/>
      <c r="L347" s="354" t="str">
        <f t="shared" si="114"/>
        <v>E. 4,5</v>
      </c>
      <c r="M347" s="368" t="str">
        <f t="shared" si="115"/>
        <v xml:space="preserve">Corte de muro en concreto con pulidora </v>
      </c>
      <c r="N347" s="340" t="str">
        <f t="shared" si="111"/>
        <v>ML</v>
      </c>
      <c r="O347" s="385">
        <f t="shared" si="112"/>
        <v>16</v>
      </c>
      <c r="P347" s="423">
        <f>VLOOKUP(L347,'selección precios unitario'!$A$5:$I$418,9,FALSE)</f>
        <v>17461</v>
      </c>
      <c r="Q347" s="423">
        <f t="shared" si="113"/>
        <v>279376</v>
      </c>
    </row>
    <row r="348" spans="1:60" ht="15" outlineLevel="1" x14ac:dyDescent="0.25">
      <c r="A348" s="354" t="s">
        <v>468</v>
      </c>
      <c r="B348" s="358" t="s">
        <v>469</v>
      </c>
      <c r="C348" s="356" t="s">
        <v>6</v>
      </c>
      <c r="D348" s="385">
        <v>4</v>
      </c>
      <c r="E348" s="379">
        <v>180000</v>
      </c>
      <c r="F348" s="353">
        <f t="shared" si="106"/>
        <v>720000</v>
      </c>
      <c r="G348" s="349">
        <v>88000</v>
      </c>
      <c r="H348" s="353">
        <f t="shared" si="104"/>
        <v>352000</v>
      </c>
      <c r="I348" s="1285">
        <f>IFERROR(VLOOKUP(A348,'valores unit indexados'!$A$14:$O$197,15,FALSE),0)</f>
        <v>0</v>
      </c>
      <c r="J348" s="349">
        <f t="shared" si="101"/>
        <v>0</v>
      </c>
      <c r="K348"/>
      <c r="L348" s="354" t="str">
        <f t="shared" si="114"/>
        <v>E. 4,6</v>
      </c>
      <c r="M348" s="358" t="str">
        <f t="shared" si="115"/>
        <v>Perforación de piso en concreto 6"</v>
      </c>
      <c r="N348" s="356" t="str">
        <f t="shared" si="111"/>
        <v>UND</v>
      </c>
      <c r="O348" s="385">
        <f t="shared" si="112"/>
        <v>4</v>
      </c>
      <c r="P348" s="423">
        <f>VLOOKUP(L348,'selección precios unitario'!$A$5:$I$418,9,FALSE)</f>
        <v>88000</v>
      </c>
      <c r="Q348" s="423">
        <f t="shared" si="113"/>
        <v>352000</v>
      </c>
    </row>
    <row r="349" spans="1:60" ht="15" outlineLevel="1" x14ac:dyDescent="0.25">
      <c r="A349" s="354" t="s">
        <v>470</v>
      </c>
      <c r="B349" s="347" t="s">
        <v>1498</v>
      </c>
      <c r="C349" s="340" t="s">
        <v>14</v>
      </c>
      <c r="D349" s="385">
        <v>50</v>
      </c>
      <c r="E349" s="353">
        <v>10000</v>
      </c>
      <c r="F349" s="353">
        <f t="shared" si="106"/>
        <v>500000</v>
      </c>
      <c r="G349" s="349">
        <v>12376</v>
      </c>
      <c r="H349" s="353">
        <f t="shared" si="104"/>
        <v>618800</v>
      </c>
      <c r="I349" s="1285">
        <f>IFERROR(VLOOKUP(A349,'valores unit indexados'!$A$14:$O$197,15,FALSE),0)</f>
        <v>0</v>
      </c>
      <c r="J349" s="349">
        <f t="shared" si="101"/>
        <v>0</v>
      </c>
      <c r="K349"/>
      <c r="L349" s="354" t="str">
        <f t="shared" si="114"/>
        <v>E. 4,7</v>
      </c>
      <c r="M349" s="347" t="str">
        <f t="shared" si="115"/>
        <v>Retiro de tubería PVC existente de 2"  a 6"</v>
      </c>
      <c r="N349" s="340" t="str">
        <f t="shared" si="111"/>
        <v>ML</v>
      </c>
      <c r="O349" s="385">
        <f t="shared" si="112"/>
        <v>50</v>
      </c>
      <c r="P349" s="423">
        <f>VLOOKUP(L349,'selección precios unitario'!$A$5:$I$418,9,FALSE)</f>
        <v>11188</v>
      </c>
      <c r="Q349" s="423">
        <f t="shared" si="113"/>
        <v>559400</v>
      </c>
    </row>
    <row r="350" spans="1:60" ht="15" outlineLevel="1" x14ac:dyDescent="0.25">
      <c r="A350" s="354" t="s">
        <v>472</v>
      </c>
      <c r="B350" s="347" t="s">
        <v>1499</v>
      </c>
      <c r="C350" s="340" t="s">
        <v>474</v>
      </c>
      <c r="D350" s="385">
        <v>25</v>
      </c>
      <c r="E350" s="353">
        <v>12000</v>
      </c>
      <c r="F350" s="353">
        <f t="shared" si="106"/>
        <v>300000</v>
      </c>
      <c r="G350" s="349">
        <v>3510</v>
      </c>
      <c r="H350" s="353">
        <f t="shared" si="104"/>
        <v>87750</v>
      </c>
      <c r="I350" s="1285">
        <f>IFERROR(VLOOKUP(A350,'valores unit indexados'!$A$14:$O$197,15,FALSE),0)</f>
        <v>0</v>
      </c>
      <c r="J350" s="349">
        <f t="shared" si="101"/>
        <v>0</v>
      </c>
      <c r="K350"/>
      <c r="L350" s="354" t="str">
        <f t="shared" si="114"/>
        <v>E. 4,8</v>
      </c>
      <c r="M350" s="347" t="str">
        <f t="shared" si="115"/>
        <v>Retiro de tubería galvanizada</v>
      </c>
      <c r="N350" s="340" t="str">
        <f t="shared" si="111"/>
        <v xml:space="preserve">ML </v>
      </c>
      <c r="O350" s="385">
        <f t="shared" si="112"/>
        <v>25</v>
      </c>
      <c r="P350" s="423">
        <f>VLOOKUP(L350,'selección precios unitario'!$A$5:$I$418,9,FALSE)</f>
        <v>7755</v>
      </c>
      <c r="Q350" s="423">
        <f t="shared" si="113"/>
        <v>193875</v>
      </c>
    </row>
    <row r="351" spans="1:60" ht="38.25" outlineLevel="1" x14ac:dyDescent="0.25">
      <c r="A351" s="354" t="s">
        <v>475</v>
      </c>
      <c r="B351" s="347" t="s">
        <v>1500</v>
      </c>
      <c r="C351" s="340" t="s">
        <v>14</v>
      </c>
      <c r="D351" s="385">
        <v>30</v>
      </c>
      <c r="E351" s="353">
        <v>48000</v>
      </c>
      <c r="F351" s="353">
        <f t="shared" si="106"/>
        <v>1440000</v>
      </c>
      <c r="G351" s="349">
        <v>36276.5</v>
      </c>
      <c r="H351" s="353">
        <f t="shared" si="104"/>
        <v>1088295</v>
      </c>
      <c r="I351" s="1285">
        <f>IFERROR(VLOOKUP(A351,'valores unit indexados'!$A$14:$O$197,15,FALSE),0)</f>
        <v>75401</v>
      </c>
      <c r="J351" s="349">
        <f t="shared" si="101"/>
        <v>2262030</v>
      </c>
      <c r="K351"/>
      <c r="L351" s="354" t="str">
        <f t="shared" si="114"/>
        <v>E. 4,9</v>
      </c>
      <c r="M351" s="347" t="str">
        <f t="shared" si="115"/>
        <v>Suministro e instalación tubería  PVC de 4" con sus respectivos accesorios y elementos de soporte, para su correcto funcionamiento.</v>
      </c>
      <c r="N351" s="340" t="str">
        <f t="shared" si="111"/>
        <v>ML</v>
      </c>
      <c r="O351" s="385">
        <f t="shared" si="112"/>
        <v>30</v>
      </c>
      <c r="P351" s="423">
        <f>VLOOKUP(L351,'selección precios unitario'!$A$5:$I$418,9,FALSE)</f>
        <v>61701</v>
      </c>
      <c r="Q351" s="423">
        <f t="shared" si="113"/>
        <v>1851030</v>
      </c>
    </row>
    <row r="352" spans="1:60" ht="38.25" outlineLevel="1" x14ac:dyDescent="0.25">
      <c r="A352" s="354" t="s">
        <v>477</v>
      </c>
      <c r="B352" s="347" t="s">
        <v>1501</v>
      </c>
      <c r="C352" s="340" t="s">
        <v>14</v>
      </c>
      <c r="D352" s="385">
        <v>25</v>
      </c>
      <c r="E352" s="353">
        <v>35000</v>
      </c>
      <c r="F352" s="353">
        <f t="shared" si="106"/>
        <v>875000</v>
      </c>
      <c r="G352" s="349">
        <v>15392</v>
      </c>
      <c r="H352" s="353">
        <f t="shared" si="104"/>
        <v>384800</v>
      </c>
      <c r="I352" s="1285">
        <f>IFERROR(VLOOKUP(A352,'valores unit indexados'!$A$14:$O$197,15,FALSE),0)</f>
        <v>0</v>
      </c>
      <c r="J352" s="349">
        <f t="shared" si="101"/>
        <v>0</v>
      </c>
      <c r="K352"/>
      <c r="L352" s="354" t="str">
        <f t="shared" si="114"/>
        <v>E. 4,10</v>
      </c>
      <c r="M352" s="347" t="str">
        <f t="shared" si="115"/>
        <v>Suministro e instalación tubería en PVC de 1 1/2"" con sus respectivos accesorios y elementos de soporte, para su correcto funcionamiento.</v>
      </c>
      <c r="N352" s="340" t="str">
        <f t="shared" si="111"/>
        <v>ML</v>
      </c>
      <c r="O352" s="385">
        <f t="shared" si="112"/>
        <v>25</v>
      </c>
      <c r="P352" s="423">
        <f>VLOOKUP(L352,'selección precios unitario'!$A$5:$I$418,9,FALSE)</f>
        <v>25196</v>
      </c>
      <c r="Q352" s="423">
        <f t="shared" si="113"/>
        <v>629900</v>
      </c>
    </row>
    <row r="353" spans="1:60" ht="25.5" outlineLevel="1" x14ac:dyDescent="0.25">
      <c r="A353" s="354" t="s">
        <v>479</v>
      </c>
      <c r="B353" s="347" t="s">
        <v>1502</v>
      </c>
      <c r="C353" s="340" t="s">
        <v>6</v>
      </c>
      <c r="D353" s="385">
        <v>5</v>
      </c>
      <c r="E353" s="353">
        <v>600000</v>
      </c>
      <c r="F353" s="353">
        <f t="shared" si="106"/>
        <v>3000000</v>
      </c>
      <c r="G353" s="349">
        <v>312000</v>
      </c>
      <c r="H353" s="353">
        <f t="shared" si="104"/>
        <v>1560000</v>
      </c>
      <c r="I353" s="1285">
        <f>IFERROR(VLOOKUP(A353,'valores unit indexados'!$A$14:$O$197,15,FALSE),0)</f>
        <v>177946</v>
      </c>
      <c r="J353" s="349">
        <f t="shared" si="101"/>
        <v>889730</v>
      </c>
      <c r="K353"/>
      <c r="L353" s="354" t="str">
        <f t="shared" si="114"/>
        <v>E. 4,11</v>
      </c>
      <c r="M353" s="347" t="str">
        <f t="shared" si="115"/>
        <v>Suministro e instalación tapa de inspección en aluminio de 60 cm x 120 cm, tipo celosía, incluye marco y pasador</v>
      </c>
      <c r="N353" s="340" t="str">
        <f t="shared" si="111"/>
        <v>UND</v>
      </c>
      <c r="O353" s="385">
        <f t="shared" si="112"/>
        <v>5</v>
      </c>
      <c r="P353" s="423">
        <f>VLOOKUP(L353,'selección precios unitario'!$A$5:$I$418,9,FALSE)</f>
        <v>177946</v>
      </c>
      <c r="Q353" s="423">
        <f t="shared" si="113"/>
        <v>889730</v>
      </c>
    </row>
    <row r="354" spans="1:60" ht="15" outlineLevel="1" x14ac:dyDescent="0.25">
      <c r="A354" s="354" t="s">
        <v>481</v>
      </c>
      <c r="B354" s="364" t="s">
        <v>482</v>
      </c>
      <c r="C354" s="367" t="s">
        <v>150</v>
      </c>
      <c r="D354" s="385">
        <v>2</v>
      </c>
      <c r="E354" s="353">
        <v>120000</v>
      </c>
      <c r="F354" s="353">
        <f t="shared" si="106"/>
        <v>240000</v>
      </c>
      <c r="G354" s="349">
        <v>274603.32899999997</v>
      </c>
      <c r="H354" s="353">
        <f t="shared" si="104"/>
        <v>549206.65799999994</v>
      </c>
      <c r="I354" s="1285">
        <f>IFERROR(VLOOKUP(A354,'valores unit indexados'!$A$14:$O$197,15,FALSE),0)</f>
        <v>0</v>
      </c>
      <c r="J354" s="349">
        <f t="shared" si="101"/>
        <v>0</v>
      </c>
      <c r="K354"/>
      <c r="L354" s="354" t="str">
        <f t="shared" si="114"/>
        <v>E. 4,12</v>
      </c>
      <c r="M354" s="364" t="str">
        <f t="shared" si="115"/>
        <v>Demolición muro existente incluye retiro</v>
      </c>
      <c r="N354" s="367" t="str">
        <f t="shared" si="111"/>
        <v>M3</v>
      </c>
      <c r="O354" s="385">
        <f t="shared" si="112"/>
        <v>2</v>
      </c>
      <c r="P354" s="423">
        <f>VLOOKUP(L354,'selección precios unitario'!$A$5:$I$418,9,FALSE)</f>
        <v>180000</v>
      </c>
      <c r="Q354" s="423">
        <f t="shared" si="113"/>
        <v>360000</v>
      </c>
    </row>
    <row r="355" spans="1:60" ht="38.25" outlineLevel="1" x14ac:dyDescent="0.25">
      <c r="A355" s="354" t="s">
        <v>483</v>
      </c>
      <c r="B355" s="347" t="s">
        <v>484</v>
      </c>
      <c r="C355" s="340" t="s">
        <v>14</v>
      </c>
      <c r="D355" s="385">
        <v>15</v>
      </c>
      <c r="E355" s="353">
        <v>35000</v>
      </c>
      <c r="F355" s="353">
        <f t="shared" si="106"/>
        <v>525000</v>
      </c>
      <c r="G355" s="349">
        <v>60500.000000000007</v>
      </c>
      <c r="H355" s="353">
        <f t="shared" si="104"/>
        <v>907500.00000000012</v>
      </c>
      <c r="I355" s="1285">
        <f>IFERROR(VLOOKUP(A355,'valores unit indexados'!$A$14:$O$197,15,FALSE),0)</f>
        <v>0</v>
      </c>
      <c r="J355" s="349">
        <f t="shared" si="101"/>
        <v>0</v>
      </c>
      <c r="K355"/>
      <c r="L355" s="354" t="str">
        <f t="shared" si="114"/>
        <v>E. 4,13</v>
      </c>
      <c r="M355" s="347" t="str">
        <f t="shared" si="115"/>
        <v>Suministro e instalación bajante aguas lluvias en PVC de 3" con sus respectivos accesorios y elementos de soporte, para su correcto funcionamiento.</v>
      </c>
      <c r="N355" s="340" t="str">
        <f t="shared" si="111"/>
        <v>ML</v>
      </c>
      <c r="O355" s="385">
        <f t="shared" si="112"/>
        <v>15</v>
      </c>
      <c r="P355" s="423">
        <f>VLOOKUP(L355,'selección precios unitario'!$A$5:$I$418,9,FALSE)</f>
        <v>47750</v>
      </c>
      <c r="Q355" s="423">
        <f t="shared" si="113"/>
        <v>716250</v>
      </c>
    </row>
    <row r="356" spans="1:60" ht="38.25" outlineLevel="1" x14ac:dyDescent="0.25">
      <c r="A356" s="354" t="s">
        <v>485</v>
      </c>
      <c r="B356" s="347" t="s">
        <v>1503</v>
      </c>
      <c r="C356" s="340" t="s">
        <v>14</v>
      </c>
      <c r="D356" s="385">
        <v>15</v>
      </c>
      <c r="E356" s="353">
        <v>15000</v>
      </c>
      <c r="F356" s="353">
        <f t="shared" si="106"/>
        <v>225000</v>
      </c>
      <c r="G356" s="349">
        <v>20000</v>
      </c>
      <c r="H356" s="353">
        <f t="shared" si="104"/>
        <v>300000</v>
      </c>
      <c r="I356" s="1285">
        <f>IFERROR(VLOOKUP(A356,'valores unit indexados'!$A$14:$O$197,15,FALSE),0)</f>
        <v>0</v>
      </c>
      <c r="J356" s="349">
        <f t="shared" si="101"/>
        <v>0</v>
      </c>
      <c r="K356"/>
      <c r="L356" s="354" t="str">
        <f t="shared" si="114"/>
        <v>E. 4,14</v>
      </c>
      <c r="M356" s="347" t="str">
        <f t="shared" si="115"/>
        <v>Suministro e instalación tubería en PVC de  1/2"" con sus respectivos accesorios y elementos de soporte, para su correcto funcionamiento.</v>
      </c>
      <c r="N356" s="340" t="str">
        <f t="shared" si="111"/>
        <v>ML</v>
      </c>
      <c r="O356" s="385">
        <f t="shared" si="112"/>
        <v>15</v>
      </c>
      <c r="P356" s="423">
        <f>VLOOKUP(L356,'selección precios unitario'!$A$5:$I$418,9,FALSE)</f>
        <v>17500</v>
      </c>
      <c r="Q356" s="423">
        <f t="shared" si="113"/>
        <v>262500</v>
      </c>
    </row>
    <row r="357" spans="1:60" ht="25.5" outlineLevel="1" x14ac:dyDescent="0.25">
      <c r="A357" s="354" t="s">
        <v>487</v>
      </c>
      <c r="B357" s="347" t="s">
        <v>488</v>
      </c>
      <c r="C357" s="340" t="s">
        <v>6</v>
      </c>
      <c r="D357" s="385">
        <v>2</v>
      </c>
      <c r="E357" s="353">
        <v>200000</v>
      </c>
      <c r="F357" s="353">
        <f t="shared" si="106"/>
        <v>400000</v>
      </c>
      <c r="G357" s="412">
        <v>570401</v>
      </c>
      <c r="H357" s="353">
        <f t="shared" si="104"/>
        <v>1140802</v>
      </c>
      <c r="I357" s="1285">
        <f>IFERROR(VLOOKUP(A357,'valores unit indexados'!$A$14:$O$197,15,FALSE),0)</f>
        <v>0</v>
      </c>
      <c r="J357" s="349">
        <f t="shared" si="101"/>
        <v>0</v>
      </c>
      <c r="K357"/>
      <c r="L357" s="354" t="str">
        <f t="shared" si="114"/>
        <v>E. 4,15</v>
      </c>
      <c r="M357" s="347" t="str">
        <f t="shared" si="115"/>
        <v>Suministro y fabricación de tapa en concreto para caja de aguas negras (100 cm x 50 cm) incluye marco metálico</v>
      </c>
      <c r="N357" s="340" t="str">
        <f t="shared" si="111"/>
        <v>UND</v>
      </c>
      <c r="O357" s="385">
        <f t="shared" si="112"/>
        <v>2</v>
      </c>
      <c r="P357" s="423">
        <f>VLOOKUP(L357,'selección precios unitario'!$A$5:$I$418,9,FALSE)</f>
        <v>200000</v>
      </c>
      <c r="Q357" s="423">
        <f t="shared" si="113"/>
        <v>400000</v>
      </c>
    </row>
    <row r="358" spans="1:60" ht="15" outlineLevel="1" x14ac:dyDescent="0.25">
      <c r="A358" s="354" t="s">
        <v>489</v>
      </c>
      <c r="B358" s="368" t="s">
        <v>490</v>
      </c>
      <c r="C358" s="340" t="s">
        <v>14</v>
      </c>
      <c r="D358" s="385">
        <v>1</v>
      </c>
      <c r="E358" s="353">
        <v>60000</v>
      </c>
      <c r="F358" s="353">
        <f t="shared" si="106"/>
        <v>60000</v>
      </c>
      <c r="G358" s="349">
        <v>16115.000000000002</v>
      </c>
      <c r="H358" s="353">
        <f t="shared" si="104"/>
        <v>16115.000000000002</v>
      </c>
      <c r="I358" s="1285">
        <f>IFERROR(VLOOKUP(A358,'valores unit indexados'!$A$14:$O$197,15,FALSE),0)</f>
        <v>0</v>
      </c>
      <c r="J358" s="349">
        <f t="shared" si="101"/>
        <v>0</v>
      </c>
      <c r="K358"/>
      <c r="L358" s="354" t="str">
        <f t="shared" si="114"/>
        <v>E. 4,16</v>
      </c>
      <c r="M358" s="368" t="str">
        <f t="shared" si="115"/>
        <v>Corte de losa  en concreto con pulidora incluye retiro</v>
      </c>
      <c r="N358" s="340" t="str">
        <f t="shared" si="111"/>
        <v>ML</v>
      </c>
      <c r="O358" s="385">
        <f t="shared" si="112"/>
        <v>1</v>
      </c>
      <c r="P358" s="423">
        <f>VLOOKUP(L358,'selección precios unitario'!$A$5:$I$418,9,FALSE)</f>
        <v>16115.000000000002</v>
      </c>
      <c r="Q358" s="423">
        <f t="shared" si="113"/>
        <v>16115</v>
      </c>
    </row>
    <row r="359" spans="1:60" ht="15" outlineLevel="1" x14ac:dyDescent="0.25">
      <c r="A359" s="354" t="s">
        <v>491</v>
      </c>
      <c r="B359" s="347" t="s">
        <v>1504</v>
      </c>
      <c r="C359" s="340" t="s">
        <v>14</v>
      </c>
      <c r="D359" s="385">
        <v>25</v>
      </c>
      <c r="E359" s="353">
        <v>98000</v>
      </c>
      <c r="F359" s="353">
        <f t="shared" si="106"/>
        <v>2450000</v>
      </c>
      <c r="G359" s="349">
        <v>58617</v>
      </c>
      <c r="H359" s="353">
        <f t="shared" si="104"/>
        <v>1465425</v>
      </c>
      <c r="I359" s="1285">
        <f>IFERROR(VLOOKUP(A359,'valores unit indexados'!$A$14:$O$197,15,FALSE),0)</f>
        <v>0</v>
      </c>
      <c r="J359" s="349">
        <f t="shared" si="101"/>
        <v>0</v>
      </c>
      <c r="K359"/>
      <c r="L359" s="354" t="str">
        <f t="shared" si="114"/>
        <v>E. 4,17</v>
      </c>
      <c r="M359" s="347" t="str">
        <f t="shared" si="115"/>
        <v>Suministro e instalación de tubería novafort de 6"</v>
      </c>
      <c r="N359" s="340" t="str">
        <f t="shared" si="111"/>
        <v>ML</v>
      </c>
      <c r="O359" s="385">
        <f t="shared" si="112"/>
        <v>25</v>
      </c>
      <c r="P359" s="423">
        <f>VLOOKUP(L359,'selección precios unitario'!$A$5:$I$418,9,FALSE)</f>
        <v>78309</v>
      </c>
      <c r="Q359" s="423">
        <f t="shared" si="113"/>
        <v>1957725</v>
      </c>
    </row>
    <row r="360" spans="1:60" ht="15" outlineLevel="1" x14ac:dyDescent="0.25">
      <c r="A360" s="354" t="s">
        <v>493</v>
      </c>
      <c r="B360" s="368" t="s">
        <v>494</v>
      </c>
      <c r="C360" s="340" t="s">
        <v>6</v>
      </c>
      <c r="D360" s="385">
        <v>1</v>
      </c>
      <c r="E360" s="353">
        <v>45000</v>
      </c>
      <c r="F360" s="353">
        <f t="shared" si="106"/>
        <v>45000</v>
      </c>
      <c r="G360" s="349">
        <v>22100</v>
      </c>
      <c r="H360" s="353">
        <f t="shared" si="104"/>
        <v>22100</v>
      </c>
      <c r="I360" s="1285">
        <f>IFERROR(VLOOKUP(A360,'valores unit indexados'!$A$14:$O$197,15,FALSE),0)</f>
        <v>0</v>
      </c>
      <c r="J360" s="349">
        <f t="shared" si="101"/>
        <v>0</v>
      </c>
      <c r="K360"/>
      <c r="L360" s="354" t="str">
        <f t="shared" si="114"/>
        <v>E. 4,18</v>
      </c>
      <c r="M360" s="368" t="str">
        <f t="shared" si="115"/>
        <v>Suministro e instalación de yee de 4" con tapón de inspección</v>
      </c>
      <c r="N360" s="340" t="str">
        <f t="shared" si="111"/>
        <v>UND</v>
      </c>
      <c r="O360" s="385">
        <f t="shared" si="112"/>
        <v>1</v>
      </c>
      <c r="P360" s="423">
        <f>VLOOKUP(L360,'selección precios unitario'!$A$5:$I$418,9,FALSE)</f>
        <v>33550</v>
      </c>
      <c r="Q360" s="423">
        <f t="shared" si="113"/>
        <v>33550</v>
      </c>
    </row>
    <row r="361" spans="1:60" s="1533" customFormat="1" ht="24.75" customHeight="1" outlineLevel="1" x14ac:dyDescent="0.25">
      <c r="A361" s="1527" t="s">
        <v>781</v>
      </c>
      <c r="B361" s="1528" t="s">
        <v>294</v>
      </c>
      <c r="C361" s="1527"/>
      <c r="D361" s="1529"/>
      <c r="E361" s="1530"/>
      <c r="F361" s="1531">
        <f t="shared" si="106"/>
        <v>0</v>
      </c>
      <c r="G361" s="1530"/>
      <c r="H361" s="1531">
        <f t="shared" si="104"/>
        <v>0</v>
      </c>
      <c r="I361" s="1532"/>
      <c r="J361" s="1527"/>
      <c r="K361"/>
      <c r="L361" s="1527" t="str">
        <f t="shared" si="114"/>
        <v>E.5</v>
      </c>
      <c r="M361" s="1836" t="str">
        <f t="shared" si="115"/>
        <v xml:space="preserve">otros </v>
      </c>
      <c r="N361" s="1837"/>
      <c r="O361" s="1837"/>
      <c r="P361" s="1837"/>
      <c r="Q361" s="1838"/>
      <c r="R361" s="1544"/>
      <c r="S361" s="1544"/>
      <c r="T361" s="1544"/>
      <c r="U361" s="1544"/>
      <c r="V361" s="1544"/>
      <c r="W361" s="1544"/>
      <c r="X361" s="1544"/>
      <c r="Y361" s="1544"/>
      <c r="Z361" s="1544"/>
      <c r="AA361" s="1544"/>
      <c r="AB361" s="1544"/>
      <c r="AC361" s="1544"/>
      <c r="AD361" s="1544"/>
      <c r="AE361" s="1544"/>
      <c r="AF361" s="1544"/>
      <c r="AG361" s="1544"/>
      <c r="AH361" s="1544"/>
      <c r="AI361" s="1544"/>
      <c r="AJ361" s="1544"/>
      <c r="AK361" s="1544"/>
      <c r="AL361" s="1544"/>
      <c r="AM361" s="1544"/>
      <c r="AN361" s="1544"/>
      <c r="AO361" s="1544"/>
      <c r="AP361" s="1544"/>
      <c r="AQ361" s="1544"/>
      <c r="AR361" s="1544"/>
      <c r="AS361" s="1544"/>
      <c r="AT361" s="1544"/>
      <c r="AU361" s="1544"/>
      <c r="AV361" s="1544"/>
      <c r="AW361" s="1544"/>
      <c r="AX361" s="1544"/>
      <c r="AY361" s="1544"/>
      <c r="AZ361" s="1544"/>
      <c r="BA361" s="1544"/>
      <c r="BB361" s="1544"/>
      <c r="BC361" s="1544"/>
      <c r="BD361" s="1544"/>
      <c r="BE361" s="1544"/>
      <c r="BF361" s="1544"/>
      <c r="BG361" s="1544"/>
      <c r="BH361" s="1544"/>
    </row>
    <row r="362" spans="1:60" ht="25.5" outlineLevel="1" x14ac:dyDescent="0.25">
      <c r="A362" s="386" t="s">
        <v>495</v>
      </c>
      <c r="B362" s="347" t="s">
        <v>1482</v>
      </c>
      <c r="C362" s="340" t="s">
        <v>19</v>
      </c>
      <c r="D362" s="385">
        <v>616</v>
      </c>
      <c r="E362" s="379">
        <v>135000</v>
      </c>
      <c r="F362" s="353">
        <f t="shared" si="106"/>
        <v>83160000</v>
      </c>
      <c r="G362" s="349">
        <v>77870</v>
      </c>
      <c r="H362" s="353">
        <f t="shared" si="104"/>
        <v>47967920</v>
      </c>
      <c r="I362" s="1285">
        <f>IFERROR(VLOOKUP(A362,'valores unit indexados'!$A$14:$O$197,15,FALSE),0)</f>
        <v>0</v>
      </c>
      <c r="J362" s="349">
        <f t="shared" si="101"/>
        <v>0</v>
      </c>
      <c r="K362"/>
      <c r="L362" s="386" t="str">
        <f t="shared" si="114"/>
        <v>E. 5,1</v>
      </c>
      <c r="M362" s="347" t="str">
        <f t="shared" si="115"/>
        <v xml:space="preserve">Suministro e instalación de césped sintético de 13 mm para uso exterior </v>
      </c>
      <c r="N362" s="340" t="str">
        <f t="shared" ref="N362:N378" si="116">+C362</f>
        <v>M2</v>
      </c>
      <c r="O362" s="385">
        <f t="shared" ref="O362:O378" si="117">+D362</f>
        <v>616</v>
      </c>
      <c r="P362" s="423">
        <f>VLOOKUP(L362,'selección precios unitario'!$A$5:$I$418,9,FALSE)</f>
        <v>77870</v>
      </c>
      <c r="Q362" s="423">
        <f t="shared" ref="Q362:Q378" si="118">ROUND(P362*O362,0)</f>
        <v>47967920</v>
      </c>
    </row>
    <row r="363" spans="1:60" ht="15" outlineLevel="1" x14ac:dyDescent="0.25">
      <c r="A363" s="386" t="s">
        <v>496</v>
      </c>
      <c r="B363" s="347" t="s">
        <v>195</v>
      </c>
      <c r="C363" s="340" t="s">
        <v>19</v>
      </c>
      <c r="D363" s="385">
        <v>816</v>
      </c>
      <c r="E363" s="353">
        <v>7000</v>
      </c>
      <c r="F363" s="353">
        <f t="shared" si="106"/>
        <v>5712000</v>
      </c>
      <c r="G363" s="349">
        <v>4200</v>
      </c>
      <c r="H363" s="353">
        <f t="shared" si="104"/>
        <v>3427200</v>
      </c>
      <c r="I363" s="1285">
        <f>IFERROR(VLOOKUP(A363,'valores unit indexados'!$A$14:$O$197,15,FALSE),0)</f>
        <v>5300</v>
      </c>
      <c r="J363" s="349">
        <f t="shared" si="101"/>
        <v>4324800</v>
      </c>
      <c r="K363"/>
      <c r="L363" s="386" t="str">
        <f t="shared" si="114"/>
        <v>E. 5,2</v>
      </c>
      <c r="M363" s="347" t="str">
        <f t="shared" si="115"/>
        <v>Aseo general.</v>
      </c>
      <c r="N363" s="340" t="str">
        <f t="shared" si="116"/>
        <v>M2</v>
      </c>
      <c r="O363" s="385">
        <f t="shared" si="117"/>
        <v>816</v>
      </c>
      <c r="P363" s="423">
        <f>VLOOKUP(L363,'selección precios unitario'!$A$5:$I$418,9,FALSE)</f>
        <v>5500</v>
      </c>
      <c r="Q363" s="423">
        <f t="shared" si="118"/>
        <v>4488000</v>
      </c>
    </row>
    <row r="364" spans="1:60" ht="25.5" outlineLevel="1" x14ac:dyDescent="0.25">
      <c r="A364" s="386" t="s">
        <v>497</v>
      </c>
      <c r="B364" s="347" t="s">
        <v>1505</v>
      </c>
      <c r="C364" s="356" t="s">
        <v>14</v>
      </c>
      <c r="D364" s="385">
        <v>167</v>
      </c>
      <c r="E364" s="353">
        <v>35000</v>
      </c>
      <c r="F364" s="353">
        <f t="shared" si="106"/>
        <v>5845000</v>
      </c>
      <c r="G364" s="349">
        <v>13146</v>
      </c>
      <c r="H364" s="353">
        <f t="shared" si="104"/>
        <v>2195382</v>
      </c>
      <c r="I364" s="1285">
        <f>IFERROR(VLOOKUP(A364,'valores unit indexados'!$A$14:$O$197,15,FALSE),0)</f>
        <v>0</v>
      </c>
      <c r="J364" s="349">
        <f t="shared" si="101"/>
        <v>0</v>
      </c>
      <c r="K364"/>
      <c r="L364" s="386" t="str">
        <f t="shared" si="114"/>
        <v>E. 5,3</v>
      </c>
      <c r="M364" s="347" t="str">
        <f t="shared" si="115"/>
        <v>Suministro e instalación de tubería de PVC 1" pintada color fachada</v>
      </c>
      <c r="N364" s="356" t="str">
        <f t="shared" si="116"/>
        <v>ML</v>
      </c>
      <c r="O364" s="385">
        <f t="shared" si="117"/>
        <v>167</v>
      </c>
      <c r="P364" s="423">
        <f>VLOOKUP(L364,'selección precios unitario'!$A$5:$I$418,9,FALSE)</f>
        <v>24073</v>
      </c>
      <c r="Q364" s="423">
        <f t="shared" si="118"/>
        <v>4020191</v>
      </c>
    </row>
    <row r="365" spans="1:60" ht="38.25" outlineLevel="1" x14ac:dyDescent="0.25">
      <c r="A365" s="386" t="s">
        <v>499</v>
      </c>
      <c r="B365" s="347" t="s">
        <v>500</v>
      </c>
      <c r="C365" s="356" t="s">
        <v>501</v>
      </c>
      <c r="D365" s="385">
        <v>1</v>
      </c>
      <c r="E365" s="353">
        <v>3000000</v>
      </c>
      <c r="F365" s="353">
        <f t="shared" si="106"/>
        <v>3000000</v>
      </c>
      <c r="G365" s="387">
        <v>0</v>
      </c>
      <c r="H365" s="353">
        <f t="shared" si="104"/>
        <v>0</v>
      </c>
      <c r="I365" s="1285">
        <f>IFERROR(VLOOKUP(A365,'valores unit indexados'!$A$14:$O$197,15,FALSE),0)</f>
        <v>0</v>
      </c>
      <c r="J365" s="349">
        <f t="shared" si="101"/>
        <v>0</v>
      </c>
      <c r="K365"/>
      <c r="L365" s="386" t="str">
        <f t="shared" si="114"/>
        <v>E. 5,4</v>
      </c>
      <c r="M365" s="347" t="str">
        <f t="shared" si="115"/>
        <v>Instalación de pasamanos en acero (existente) incluye elementos de fijación como varilla 1/4", abrazadera. (12 mt de largo)</v>
      </c>
      <c r="N365" s="356" t="str">
        <f t="shared" si="116"/>
        <v xml:space="preserve">UND </v>
      </c>
      <c r="O365" s="385">
        <f t="shared" si="117"/>
        <v>1</v>
      </c>
      <c r="P365" s="423">
        <f>VLOOKUP(L365,'selección precios unitario'!$A$5:$I$418,9,FALSE)</f>
        <v>3000000</v>
      </c>
      <c r="Q365" s="423">
        <f t="shared" si="118"/>
        <v>3000000</v>
      </c>
    </row>
    <row r="366" spans="1:60" ht="15" outlineLevel="1" x14ac:dyDescent="0.25">
      <c r="A366" s="386" t="s">
        <v>502</v>
      </c>
      <c r="B366" s="347" t="s">
        <v>503</v>
      </c>
      <c r="C366" s="356" t="s">
        <v>19</v>
      </c>
      <c r="D366" s="385">
        <v>110</v>
      </c>
      <c r="E366" s="353">
        <v>30000</v>
      </c>
      <c r="F366" s="353">
        <f t="shared" si="106"/>
        <v>3300000</v>
      </c>
      <c r="G366" s="349">
        <v>15067</v>
      </c>
      <c r="H366" s="353">
        <f t="shared" si="104"/>
        <v>1657370</v>
      </c>
      <c r="I366" s="1285">
        <f>IFERROR(VLOOKUP(A366,'valores unit indexados'!$A$14:$O$197,15,FALSE),0)</f>
        <v>0</v>
      </c>
      <c r="J366" s="349">
        <f t="shared" si="101"/>
        <v>0</v>
      </c>
      <c r="K366"/>
      <c r="L366" s="386" t="str">
        <f t="shared" si="114"/>
        <v>E. 5,5</v>
      </c>
      <c r="M366" s="347" t="str">
        <f t="shared" si="115"/>
        <v>Demolición piso en granito existente, incluye retiro</v>
      </c>
      <c r="N366" s="356" t="str">
        <f t="shared" si="116"/>
        <v>M2</v>
      </c>
      <c r="O366" s="385">
        <f t="shared" si="117"/>
        <v>110</v>
      </c>
      <c r="P366" s="423">
        <f>VLOOKUP(L366,'selección precios unitario'!$A$5:$I$418,9,FALSE)</f>
        <v>22534</v>
      </c>
      <c r="Q366" s="423">
        <f t="shared" si="118"/>
        <v>2478740</v>
      </c>
    </row>
    <row r="367" spans="1:60" ht="25.5" outlineLevel="1" x14ac:dyDescent="0.25">
      <c r="A367" s="386" t="s">
        <v>504</v>
      </c>
      <c r="B367" s="347" t="s">
        <v>505</v>
      </c>
      <c r="C367" s="356" t="s">
        <v>6</v>
      </c>
      <c r="D367" s="385">
        <v>36</v>
      </c>
      <c r="E367" s="353">
        <v>8000</v>
      </c>
      <c r="F367" s="353">
        <f t="shared" si="106"/>
        <v>288000</v>
      </c>
      <c r="G367" s="349">
        <v>13967.2</v>
      </c>
      <c r="H367" s="353">
        <f t="shared" si="104"/>
        <v>502819.2</v>
      </c>
      <c r="I367" s="1285">
        <f>IFERROR(VLOOKUP(A367,'valores unit indexados'!$A$14:$O$197,15,FALSE),0)</f>
        <v>0</v>
      </c>
      <c r="J367" s="349">
        <f t="shared" si="101"/>
        <v>0</v>
      </c>
      <c r="K367"/>
      <c r="L367" s="386" t="str">
        <f t="shared" si="114"/>
        <v>E. 5,6</v>
      </c>
      <c r="M367" s="347" t="str">
        <f t="shared" si="115"/>
        <v>Desmonte de listones de madera de banca existente medida 145 cm x 9 cm</v>
      </c>
      <c r="N367" s="356" t="str">
        <f t="shared" si="116"/>
        <v>UND</v>
      </c>
      <c r="O367" s="385">
        <f t="shared" si="117"/>
        <v>36</v>
      </c>
      <c r="P367" s="423">
        <f>VLOOKUP(L367,'selección precios unitario'!$A$5:$I$418,9,FALSE)</f>
        <v>10984</v>
      </c>
      <c r="Q367" s="423">
        <f t="shared" si="118"/>
        <v>395424</v>
      </c>
    </row>
    <row r="368" spans="1:60" ht="38.25" outlineLevel="1" x14ac:dyDescent="0.25">
      <c r="A368" s="386" t="s">
        <v>506</v>
      </c>
      <c r="B368" s="347" t="s">
        <v>507</v>
      </c>
      <c r="C368" s="356" t="s">
        <v>6</v>
      </c>
      <c r="D368" s="385">
        <v>36</v>
      </c>
      <c r="E368" s="353">
        <v>80000</v>
      </c>
      <c r="F368" s="353">
        <f t="shared" si="106"/>
        <v>2880000</v>
      </c>
      <c r="G368" s="349">
        <v>54601.3</v>
      </c>
      <c r="H368" s="353">
        <f t="shared" si="104"/>
        <v>1965646.8</v>
      </c>
      <c r="I368" s="1285">
        <f>IFERROR(VLOOKUP(A368,'valores unit indexados'!$A$14:$O$197,15,FALSE),0)</f>
        <v>0</v>
      </c>
      <c r="J368" s="349">
        <f t="shared" si="101"/>
        <v>0</v>
      </c>
      <c r="K368"/>
      <c r="L368" s="386" t="str">
        <f t="shared" si="114"/>
        <v>E. 5,7</v>
      </c>
      <c r="M368" s="347" t="str">
        <f t="shared" si="115"/>
        <v>Suministro e instalación de listones en madera plástica para banca cuyas medidas oscilan entre 5 cm - 8cm ancho x 145 cm de largo altura entre 3cm - 5cm</v>
      </c>
      <c r="N368" s="356" t="str">
        <f t="shared" si="116"/>
        <v>UND</v>
      </c>
      <c r="O368" s="385">
        <f t="shared" si="117"/>
        <v>36</v>
      </c>
      <c r="P368" s="423">
        <f>VLOOKUP(L368,'selección precios unitario'!$A$5:$I$418,9,FALSE)</f>
        <v>67301</v>
      </c>
      <c r="Q368" s="423">
        <f t="shared" si="118"/>
        <v>2422836</v>
      </c>
    </row>
    <row r="369" spans="1:60" ht="15" outlineLevel="1" x14ac:dyDescent="0.25">
      <c r="A369" s="386" t="s">
        <v>508</v>
      </c>
      <c r="B369" s="347" t="s">
        <v>1476</v>
      </c>
      <c r="C369" s="356" t="s">
        <v>14</v>
      </c>
      <c r="D369" s="385">
        <v>172</v>
      </c>
      <c r="E369" s="353">
        <v>25000</v>
      </c>
      <c r="F369" s="353">
        <f t="shared" si="106"/>
        <v>4300000</v>
      </c>
      <c r="G369" s="349">
        <v>7969</v>
      </c>
      <c r="H369" s="353">
        <f t="shared" si="104"/>
        <v>1370668</v>
      </c>
      <c r="I369" s="1285">
        <f>IFERROR(VLOOKUP(A369,'valores unit indexados'!$A$14:$O$197,15,FALSE),0)</f>
        <v>26415</v>
      </c>
      <c r="J369" s="349">
        <f t="shared" si="101"/>
        <v>4543380</v>
      </c>
      <c r="K369"/>
      <c r="L369" s="386" t="str">
        <f t="shared" si="114"/>
        <v>E. 5,8</v>
      </c>
      <c r="M369" s="347" t="str">
        <f t="shared" si="115"/>
        <v>Suministro e instalación de perfil o dilatación aluminio para piso</v>
      </c>
      <c r="N369" s="356" t="str">
        <f t="shared" si="116"/>
        <v>ML</v>
      </c>
      <c r="O369" s="385">
        <f t="shared" si="117"/>
        <v>172</v>
      </c>
      <c r="P369" s="423">
        <f>VLOOKUP(L369,'selección precios unitario'!$A$5:$I$418,9,FALSE)</f>
        <v>25708</v>
      </c>
      <c r="Q369" s="423">
        <f t="shared" si="118"/>
        <v>4421776</v>
      </c>
    </row>
    <row r="370" spans="1:60" ht="25.5" outlineLevel="1" x14ac:dyDescent="0.25">
      <c r="A370" s="386" t="s">
        <v>509</v>
      </c>
      <c r="B370" s="347" t="s">
        <v>23</v>
      </c>
      <c r="C370" s="340" t="s">
        <v>19</v>
      </c>
      <c r="D370" s="385">
        <v>97</v>
      </c>
      <c r="E370" s="353">
        <v>35000</v>
      </c>
      <c r="F370" s="353">
        <f t="shared" si="106"/>
        <v>3395000</v>
      </c>
      <c r="G370" s="349">
        <v>3731</v>
      </c>
      <c r="H370" s="353">
        <f t="shared" si="104"/>
        <v>361907</v>
      </c>
      <c r="I370" s="1285">
        <f>IFERROR(VLOOKUP(A370,'valores unit indexados'!$A$14:$O$197,15,FALSE),0)</f>
        <v>29150</v>
      </c>
      <c r="J370" s="349">
        <f t="shared" si="101"/>
        <v>2827550</v>
      </c>
      <c r="K370"/>
      <c r="L370" s="386" t="str">
        <f t="shared" si="114"/>
        <v>E. 5,9</v>
      </c>
      <c r="M370" s="347" t="str">
        <f t="shared" si="115"/>
        <v>Lavada y destronque a máquina (para retirar material existente y preparación de superficie)</v>
      </c>
      <c r="N370" s="340" t="str">
        <f t="shared" si="116"/>
        <v>M2</v>
      </c>
      <c r="O370" s="385">
        <f t="shared" si="117"/>
        <v>97</v>
      </c>
      <c r="P370" s="423">
        <f>VLOOKUP(L370,'selección precios unitario'!$A$5:$I$418,9,FALSE)</f>
        <v>32075</v>
      </c>
      <c r="Q370" s="423">
        <f t="shared" si="118"/>
        <v>3111275</v>
      </c>
    </row>
    <row r="371" spans="1:60" ht="15" outlineLevel="1" x14ac:dyDescent="0.25">
      <c r="A371" s="386" t="s">
        <v>510</v>
      </c>
      <c r="B371" s="347" t="s">
        <v>25</v>
      </c>
      <c r="C371" s="356" t="s">
        <v>19</v>
      </c>
      <c r="D371" s="385">
        <v>97</v>
      </c>
      <c r="E371" s="353">
        <v>27000</v>
      </c>
      <c r="F371" s="353">
        <f t="shared" si="106"/>
        <v>2619000</v>
      </c>
      <c r="G371" s="349">
        <v>5200</v>
      </c>
      <c r="H371" s="353">
        <f t="shared" si="104"/>
        <v>504400</v>
      </c>
      <c r="I371" s="1285">
        <f>IFERROR(VLOOKUP(A371,'valores unit indexados'!$A$14:$O$197,15,FALSE),0)</f>
        <v>0</v>
      </c>
      <c r="J371" s="349">
        <f t="shared" si="101"/>
        <v>0</v>
      </c>
      <c r="K371"/>
      <c r="L371" s="386" t="str">
        <f t="shared" si="114"/>
        <v>E. 5,10</v>
      </c>
      <c r="M371" s="347" t="str">
        <f t="shared" si="115"/>
        <v>Demolición mortero existente  (incluye retiro de escombros)</v>
      </c>
      <c r="N371" s="356" t="str">
        <f t="shared" si="116"/>
        <v>M2</v>
      </c>
      <c r="O371" s="385">
        <f t="shared" si="117"/>
        <v>97</v>
      </c>
      <c r="P371" s="423">
        <f>VLOOKUP(L371,'selección precios unitario'!$A$5:$I$418,9,FALSE)</f>
        <v>10612</v>
      </c>
      <c r="Q371" s="423">
        <f t="shared" si="118"/>
        <v>1029364</v>
      </c>
    </row>
    <row r="372" spans="1:60" ht="25.5" outlineLevel="1" x14ac:dyDescent="0.25">
      <c r="A372" s="386" t="s">
        <v>511</v>
      </c>
      <c r="B372" s="347" t="s">
        <v>27</v>
      </c>
      <c r="C372" s="340" t="s">
        <v>19</v>
      </c>
      <c r="D372" s="385">
        <v>97</v>
      </c>
      <c r="E372" s="353">
        <v>75000</v>
      </c>
      <c r="F372" s="353">
        <f t="shared" si="106"/>
        <v>7275000</v>
      </c>
      <c r="G372" s="387">
        <v>0</v>
      </c>
      <c r="H372" s="353">
        <f t="shared" si="104"/>
        <v>0</v>
      </c>
      <c r="I372" s="1285">
        <f>IFERROR(VLOOKUP(A372,'valores unit indexados'!$A$14:$O$197,15,FALSE),0)</f>
        <v>0</v>
      </c>
      <c r="J372" s="349">
        <f t="shared" si="101"/>
        <v>0</v>
      </c>
      <c r="K372"/>
      <c r="L372" s="386" t="str">
        <f t="shared" si="114"/>
        <v>E. 5,11</v>
      </c>
      <c r="M372" s="347" t="str">
        <f t="shared" si="115"/>
        <v>Suministro y aplicación de pintura sellante elongable autonivelante.</v>
      </c>
      <c r="N372" s="340" t="str">
        <f t="shared" si="116"/>
        <v>M2</v>
      </c>
      <c r="O372" s="385">
        <f t="shared" si="117"/>
        <v>97</v>
      </c>
      <c r="P372" s="423">
        <f>VLOOKUP(L372,'selección precios unitario'!$A$5:$I$418,9,FALSE)</f>
        <v>42115</v>
      </c>
      <c r="Q372" s="423">
        <f t="shared" si="118"/>
        <v>4085155</v>
      </c>
    </row>
    <row r="373" spans="1:60" ht="38.25" outlineLevel="1" x14ac:dyDescent="0.25">
      <c r="A373" s="386" t="s">
        <v>512</v>
      </c>
      <c r="B373" s="347" t="s">
        <v>29</v>
      </c>
      <c r="C373" s="356" t="s">
        <v>19</v>
      </c>
      <c r="D373" s="385">
        <v>97</v>
      </c>
      <c r="E373" s="353">
        <v>38000</v>
      </c>
      <c r="F373" s="353">
        <f t="shared" si="106"/>
        <v>3686000</v>
      </c>
      <c r="G373" s="349">
        <v>5200</v>
      </c>
      <c r="H373" s="353">
        <f t="shared" si="104"/>
        <v>504400</v>
      </c>
      <c r="I373" s="1285">
        <f>IFERROR(VLOOKUP(A373,'valores unit indexados'!$A$14:$O$197,15,FALSE),0)</f>
        <v>0</v>
      </c>
      <c r="J373" s="349">
        <f t="shared" si="101"/>
        <v>0</v>
      </c>
      <c r="K373"/>
      <c r="L373" s="386" t="str">
        <f t="shared" si="114"/>
        <v>E. 5,12</v>
      </c>
      <c r="M373" s="347" t="str">
        <f t="shared" si="115"/>
        <v>Suministro y aplicación de mortero 1:3 con aditivo impermeabilizante espesor 4cm incluye media caña en mortero perimetral (superficie con pendiente) </v>
      </c>
      <c r="N373" s="356" t="str">
        <f t="shared" si="116"/>
        <v>M2</v>
      </c>
      <c r="O373" s="385">
        <f t="shared" si="117"/>
        <v>97</v>
      </c>
      <c r="P373" s="423">
        <f>VLOOKUP(L373,'selección precios unitario'!$A$5:$I$418,9,FALSE)</f>
        <v>35250</v>
      </c>
      <c r="Q373" s="423">
        <f t="shared" si="118"/>
        <v>3419250</v>
      </c>
    </row>
    <row r="374" spans="1:60" ht="51" outlineLevel="1" x14ac:dyDescent="0.25">
      <c r="A374" s="386" t="s">
        <v>513</v>
      </c>
      <c r="B374" s="347" t="s">
        <v>31</v>
      </c>
      <c r="C374" s="356" t="s">
        <v>19</v>
      </c>
      <c r="D374" s="385">
        <v>97</v>
      </c>
      <c r="E374" s="353">
        <v>320000</v>
      </c>
      <c r="F374" s="353">
        <f t="shared" si="106"/>
        <v>31040000</v>
      </c>
      <c r="G374" s="349">
        <v>128700</v>
      </c>
      <c r="H374" s="353">
        <f t="shared" si="104"/>
        <v>12483900</v>
      </c>
      <c r="I374" s="1285">
        <f>IFERROR(VLOOKUP(A374,'valores unit indexados'!$A$14:$O$197,15,FALSE),0)</f>
        <v>0</v>
      </c>
      <c r="J374" s="349">
        <f t="shared" si="101"/>
        <v>0</v>
      </c>
      <c r="K374"/>
      <c r="L374" s="386" t="str">
        <f t="shared" si="114"/>
        <v>E. 5,13</v>
      </c>
      <c r="M374" s="347" t="str">
        <f t="shared" si="115"/>
        <v xml:space="preserve">Suministro e instalación de membrana liquida en poliuretano, con refuerzo en poliéster, acabado transitable para impermeabilización de losa de terraza, con remates perimetrales en media caña, Incluye cárcamos de desagüe. </v>
      </c>
      <c r="N374" s="356" t="str">
        <f t="shared" si="116"/>
        <v>M2</v>
      </c>
      <c r="O374" s="385">
        <f t="shared" si="117"/>
        <v>97</v>
      </c>
      <c r="P374" s="423">
        <f>VLOOKUP(L374,'selección precios unitario'!$A$5:$I$418,9,FALSE)</f>
        <v>224350</v>
      </c>
      <c r="Q374" s="423">
        <f t="shared" si="118"/>
        <v>21761950</v>
      </c>
    </row>
    <row r="375" spans="1:60" ht="51" outlineLevel="1" x14ac:dyDescent="0.25">
      <c r="A375" s="386" t="s">
        <v>514</v>
      </c>
      <c r="B375" s="357" t="s">
        <v>1464</v>
      </c>
      <c r="C375" s="356" t="s">
        <v>14</v>
      </c>
      <c r="D375" s="385">
        <v>131</v>
      </c>
      <c r="E375" s="353">
        <v>50000</v>
      </c>
      <c r="F375" s="353">
        <f t="shared" si="106"/>
        <v>6550000</v>
      </c>
      <c r="G375" s="349">
        <v>52117</v>
      </c>
      <c r="H375" s="353">
        <f t="shared" si="104"/>
        <v>6827327</v>
      </c>
      <c r="I375" s="1285">
        <f>IFERROR(VLOOKUP(A375,'valores unit indexados'!$A$14:$O$197,15,FALSE),0)</f>
        <v>0</v>
      </c>
      <c r="J375" s="349">
        <f t="shared" si="101"/>
        <v>0</v>
      </c>
      <c r="K375"/>
      <c r="L375" s="386" t="str">
        <f t="shared" si="114"/>
        <v>E. 5,14</v>
      </c>
      <c r="M375" s="347" t="str">
        <f t="shared" si="115"/>
        <v xml:space="preserve">Fabricación de borde de escalera en granito lavado  (Borde de escalera ancho 10 cm a lo largo de la huella y la contrahuella de 13 cm) incluye dilatación en bronce 5 mm
</v>
      </c>
      <c r="N375" s="356" t="str">
        <f t="shared" si="116"/>
        <v>ML</v>
      </c>
      <c r="O375" s="385">
        <f t="shared" si="117"/>
        <v>131</v>
      </c>
      <c r="P375" s="423">
        <f>VLOOKUP(L375,'selección precios unitario'!$A$5:$I$418,9,FALSE)</f>
        <v>51059</v>
      </c>
      <c r="Q375" s="423">
        <f t="shared" si="118"/>
        <v>6688729</v>
      </c>
    </row>
    <row r="376" spans="1:60" ht="25.5" outlineLevel="1" x14ac:dyDescent="0.25">
      <c r="A376" s="386" t="s">
        <v>515</v>
      </c>
      <c r="B376" s="358" t="s">
        <v>35</v>
      </c>
      <c r="C376" s="356" t="s">
        <v>19</v>
      </c>
      <c r="D376" s="385">
        <v>97</v>
      </c>
      <c r="E376" s="353">
        <v>140000</v>
      </c>
      <c r="F376" s="353">
        <f t="shared" si="106"/>
        <v>13580000</v>
      </c>
      <c r="G376" s="349">
        <v>116903.6</v>
      </c>
      <c r="H376" s="353">
        <f t="shared" si="104"/>
        <v>11339649.200000001</v>
      </c>
      <c r="I376" s="1285">
        <f>IFERROR(VLOOKUP(A376,'valores unit indexados'!$A$14:$O$197,15,FALSE),0)</f>
        <v>0</v>
      </c>
      <c r="J376" s="349">
        <f t="shared" si="101"/>
        <v>0</v>
      </c>
      <c r="K376"/>
      <c r="L376" s="386" t="str">
        <f t="shared" si="114"/>
        <v>E. 5,15</v>
      </c>
      <c r="M376" s="358" t="str">
        <f t="shared" si="115"/>
        <v xml:space="preserve">Suministro e instalación de enchape para piso exterior (tráfico alto, incluye junta de dilatación en aluminio) </v>
      </c>
      <c r="N376" s="356" t="str">
        <f t="shared" si="116"/>
        <v>M2</v>
      </c>
      <c r="O376" s="385">
        <f t="shared" si="117"/>
        <v>97</v>
      </c>
      <c r="P376" s="423">
        <f>VLOOKUP(L376,'selección precios unitario'!$A$5:$I$418,9,FALSE)</f>
        <v>128452</v>
      </c>
      <c r="Q376" s="423">
        <f t="shared" si="118"/>
        <v>12459844</v>
      </c>
    </row>
    <row r="377" spans="1:60" ht="25.5" outlineLevel="1" x14ac:dyDescent="0.25">
      <c r="A377" s="386" t="s">
        <v>516</v>
      </c>
      <c r="B377" s="347" t="s">
        <v>37</v>
      </c>
      <c r="C377" s="356" t="s">
        <v>14</v>
      </c>
      <c r="D377" s="385">
        <v>26</v>
      </c>
      <c r="E377" s="353">
        <v>35000</v>
      </c>
      <c r="F377" s="353">
        <f t="shared" si="106"/>
        <v>910000</v>
      </c>
      <c r="G377" s="349">
        <v>18746</v>
      </c>
      <c r="H377" s="353">
        <f t="shared" si="104"/>
        <v>487396</v>
      </c>
      <c r="I377" s="1285">
        <f>IFERROR(VLOOKUP(A377,'valores unit indexados'!$A$14:$O$197,15,FALSE),0)</f>
        <v>21193</v>
      </c>
      <c r="J377" s="349">
        <f t="shared" si="101"/>
        <v>551018</v>
      </c>
      <c r="K377"/>
      <c r="L377" s="386" t="str">
        <f t="shared" ref="L377:L384" si="119">+A377</f>
        <v>E. 5,16</v>
      </c>
      <c r="M377" s="347" t="str">
        <f t="shared" ref="M377:M384" si="120">+B377</f>
        <v xml:space="preserve">Suministro y fabricación guardaescoba en granito en media caña 10 cm </v>
      </c>
      <c r="N377" s="356" t="str">
        <f t="shared" si="116"/>
        <v>ML</v>
      </c>
      <c r="O377" s="385">
        <f t="shared" si="117"/>
        <v>26</v>
      </c>
      <c r="P377" s="423">
        <f>VLOOKUP(L377,'selección precios unitario'!$A$5:$I$418,9,FALSE)</f>
        <v>21193</v>
      </c>
      <c r="Q377" s="423">
        <f t="shared" si="118"/>
        <v>551018</v>
      </c>
    </row>
    <row r="378" spans="1:60" ht="25.5" outlineLevel="1" x14ac:dyDescent="0.25">
      <c r="A378" s="386" t="s">
        <v>517</v>
      </c>
      <c r="B378" s="358" t="s">
        <v>39</v>
      </c>
      <c r="C378" s="356" t="s">
        <v>14</v>
      </c>
      <c r="D378" s="385">
        <v>55</v>
      </c>
      <c r="E378" s="353">
        <v>40000</v>
      </c>
      <c r="F378" s="353">
        <f t="shared" si="106"/>
        <v>2200000</v>
      </c>
      <c r="G378" s="349">
        <v>17173</v>
      </c>
      <c r="H378" s="353">
        <f t="shared" si="104"/>
        <v>944515</v>
      </c>
      <c r="I378" s="1285">
        <f>IFERROR(VLOOKUP(A378,'valores unit indexados'!$A$14:$O$197,15,FALSE),0)</f>
        <v>0</v>
      </c>
      <c r="J378" s="349">
        <f t="shared" si="101"/>
        <v>0</v>
      </c>
      <c r="K378"/>
      <c r="L378" s="386" t="str">
        <f t="shared" si="119"/>
        <v>E. 5,17</v>
      </c>
      <c r="M378" s="358" t="str">
        <f t="shared" si="120"/>
        <v xml:space="preserve">Suministro y Fabricación de cenefa piso en granito lavado  ancho 20 cm </v>
      </c>
      <c r="N378" s="356" t="str">
        <f t="shared" si="116"/>
        <v>ML</v>
      </c>
      <c r="O378" s="385">
        <f t="shared" si="117"/>
        <v>55</v>
      </c>
      <c r="P378" s="423">
        <f>VLOOKUP(L378,'selección precios unitario'!$A$5:$I$418,9,FALSE)</f>
        <v>28587</v>
      </c>
      <c r="Q378" s="423">
        <f t="shared" si="118"/>
        <v>1572285</v>
      </c>
    </row>
    <row r="379" spans="1:60" s="1533" customFormat="1" ht="24.75" customHeight="1" outlineLevel="1" x14ac:dyDescent="0.25">
      <c r="A379" s="1527" t="s">
        <v>518</v>
      </c>
      <c r="B379" s="1528" t="s">
        <v>1467</v>
      </c>
      <c r="C379" s="1527"/>
      <c r="D379" s="1529"/>
      <c r="E379" s="1530"/>
      <c r="F379" s="1531">
        <f t="shared" si="106"/>
        <v>0</v>
      </c>
      <c r="G379" s="1530"/>
      <c r="H379" s="1531">
        <f t="shared" si="104"/>
        <v>0</v>
      </c>
      <c r="I379" s="1532"/>
      <c r="J379" s="1527"/>
      <c r="K379"/>
      <c r="L379" s="1527" t="str">
        <f t="shared" si="119"/>
        <v>E. 6</v>
      </c>
      <c r="M379" s="1836" t="str">
        <f t="shared" si="120"/>
        <v>Divisiones en panel yeso - Instalaciones Eléctricas de voz y datos</v>
      </c>
      <c r="N379" s="1837"/>
      <c r="O379" s="1837"/>
      <c r="P379" s="1837"/>
      <c r="Q379" s="1838"/>
      <c r="R379" s="1544"/>
      <c r="S379" s="1544"/>
      <c r="T379" s="1544"/>
      <c r="U379" s="1544"/>
      <c r="V379" s="1544"/>
      <c r="W379" s="1544"/>
      <c r="X379" s="1544"/>
      <c r="Y379" s="1544"/>
      <c r="Z379" s="1544"/>
      <c r="AA379" s="1544"/>
      <c r="AB379" s="1544"/>
      <c r="AC379" s="1544"/>
      <c r="AD379" s="1544"/>
      <c r="AE379" s="1544"/>
      <c r="AF379" s="1544"/>
      <c r="AG379" s="1544"/>
      <c r="AH379" s="1544"/>
      <c r="AI379" s="1544"/>
      <c r="AJ379" s="1544"/>
      <c r="AK379" s="1544"/>
      <c r="AL379" s="1544"/>
      <c r="AM379" s="1544"/>
      <c r="AN379" s="1544"/>
      <c r="AO379" s="1544"/>
      <c r="AP379" s="1544"/>
      <c r="AQ379" s="1544"/>
      <c r="AR379" s="1544"/>
      <c r="AS379" s="1544"/>
      <c r="AT379" s="1544"/>
      <c r="AU379" s="1544"/>
      <c r="AV379" s="1544"/>
      <c r="AW379" s="1544"/>
      <c r="AX379" s="1544"/>
      <c r="AY379" s="1544"/>
      <c r="AZ379" s="1544"/>
      <c r="BA379" s="1544"/>
      <c r="BB379" s="1544"/>
      <c r="BC379" s="1544"/>
      <c r="BD379" s="1544"/>
      <c r="BE379" s="1544"/>
      <c r="BF379" s="1544"/>
      <c r="BG379" s="1544"/>
      <c r="BH379" s="1544"/>
    </row>
    <row r="380" spans="1:60" ht="25.5" outlineLevel="1" x14ac:dyDescent="0.25">
      <c r="A380" s="346" t="s">
        <v>519</v>
      </c>
      <c r="B380" s="358" t="s">
        <v>103</v>
      </c>
      <c r="C380" s="356" t="s">
        <v>19</v>
      </c>
      <c r="D380" s="346">
        <v>10</v>
      </c>
      <c r="E380" s="353">
        <v>130000</v>
      </c>
      <c r="F380" s="353">
        <f t="shared" si="106"/>
        <v>1300000</v>
      </c>
      <c r="G380" s="349">
        <v>122971.77200000001</v>
      </c>
      <c r="H380" s="353">
        <f t="shared" ref="H380:H384" si="121">+G380*D380</f>
        <v>1229717.7200000002</v>
      </c>
      <c r="I380" s="1285">
        <f>IFERROR(VLOOKUP(A380,'valores unit indexados'!$A$14:$O$197,15,FALSE),0)</f>
        <v>113422</v>
      </c>
      <c r="J380" s="349">
        <f t="shared" ref="J380:J384" si="122">+I380*D380</f>
        <v>1134220</v>
      </c>
      <c r="K380"/>
      <c r="L380" s="346" t="str">
        <f t="shared" si="119"/>
        <v>E. 6,1</v>
      </c>
      <c r="M380" s="358" t="str">
        <f t="shared" si="120"/>
        <v>Suministro e instalación muro en perfilería de 90mm en panel yeso de 1/2 , doble cara insonorizado. Altura piso techo</v>
      </c>
      <c r="N380" s="356" t="str">
        <f t="shared" ref="N380:O384" si="123">+C380</f>
        <v>M2</v>
      </c>
      <c r="O380" s="346">
        <f t="shared" si="123"/>
        <v>10</v>
      </c>
      <c r="P380" s="423">
        <f>VLOOKUP(L380,'selección precios unitario'!$A$5:$I$418,9,FALSE)</f>
        <v>122131</v>
      </c>
      <c r="Q380" s="423">
        <f t="shared" ref="Q380:Q384" si="124">ROUND(P380*O380,0)</f>
        <v>1221310</v>
      </c>
    </row>
    <row r="381" spans="1:60" ht="15" outlineLevel="1" x14ac:dyDescent="0.25">
      <c r="A381" s="346" t="s">
        <v>520</v>
      </c>
      <c r="B381" s="347" t="s">
        <v>105</v>
      </c>
      <c r="C381" s="356" t="s">
        <v>14</v>
      </c>
      <c r="D381" s="346">
        <v>5</v>
      </c>
      <c r="E381" s="353">
        <v>50000</v>
      </c>
      <c r="F381" s="353">
        <f t="shared" si="106"/>
        <v>250000</v>
      </c>
      <c r="G381" s="349">
        <v>111069.57400000001</v>
      </c>
      <c r="H381" s="353">
        <f t="shared" si="121"/>
        <v>555347.87</v>
      </c>
      <c r="I381" s="1285">
        <f>IFERROR(VLOOKUP(A381,'valores unit indexados'!$A$14:$O$197,15,FALSE),0)</f>
        <v>41152</v>
      </c>
      <c r="J381" s="349">
        <f t="shared" si="122"/>
        <v>205760</v>
      </c>
      <c r="K381"/>
      <c r="L381" s="346" t="str">
        <f t="shared" si="119"/>
        <v>E. 6,2</v>
      </c>
      <c r="M381" s="347" t="str">
        <f t="shared" si="120"/>
        <v>Suministro e instalación de alma en madera de 88mm</v>
      </c>
      <c r="N381" s="356" t="str">
        <f t="shared" si="123"/>
        <v>ML</v>
      </c>
      <c r="O381" s="346">
        <f t="shared" si="123"/>
        <v>5</v>
      </c>
      <c r="P381" s="423">
        <f>VLOOKUP(L381,'selección precios unitario'!$A$5:$I$418,9,FALSE)</f>
        <v>45576</v>
      </c>
      <c r="Q381" s="423">
        <f t="shared" si="124"/>
        <v>227880</v>
      </c>
    </row>
    <row r="382" spans="1:60" ht="51" outlineLevel="1" x14ac:dyDescent="0.25">
      <c r="A382" s="346" t="s">
        <v>521</v>
      </c>
      <c r="B382" s="358" t="s">
        <v>1468</v>
      </c>
      <c r="C382" s="356" t="s">
        <v>14</v>
      </c>
      <c r="D382" s="346">
        <v>5</v>
      </c>
      <c r="E382" s="353">
        <v>78000</v>
      </c>
      <c r="F382" s="353">
        <f t="shared" si="106"/>
        <v>390000</v>
      </c>
      <c r="G382" s="349">
        <v>76011.936000000002</v>
      </c>
      <c r="H382" s="353">
        <f t="shared" si="121"/>
        <v>380059.68</v>
      </c>
      <c r="I382" s="1285">
        <f>IFERROR(VLOOKUP(A382,'valores unit indexados'!$A$14:$O$197,15,FALSE),0)</f>
        <v>46346</v>
      </c>
      <c r="J382" s="349">
        <f t="shared" si="122"/>
        <v>231730</v>
      </c>
      <c r="K382"/>
      <c r="L382" s="346" t="str">
        <f t="shared" si="119"/>
        <v>E. 6,3</v>
      </c>
      <c r="M382" s="358" t="str">
        <f t="shared" si="120"/>
        <v>Suministro e instalación de cartera en panel yeso de 12 cm incluye filos, con estructura galvanizada base 9 cal.24 encintada, masillada y rematada, con acabado en pintura de vinilo</v>
      </c>
      <c r="N382" s="356" t="str">
        <f t="shared" si="123"/>
        <v>ML</v>
      </c>
      <c r="O382" s="346">
        <f t="shared" si="123"/>
        <v>5</v>
      </c>
      <c r="P382" s="423">
        <f>VLOOKUP(L382,'selección precios unitario'!$A$5:$I$418,9,FALSE)</f>
        <v>46346</v>
      </c>
      <c r="Q382" s="423">
        <f t="shared" si="124"/>
        <v>231730</v>
      </c>
    </row>
    <row r="383" spans="1:60" ht="15" outlineLevel="1" x14ac:dyDescent="0.25">
      <c r="A383" s="346" t="s">
        <v>522</v>
      </c>
      <c r="B383" s="347" t="s">
        <v>109</v>
      </c>
      <c r="C383" s="356" t="s">
        <v>14</v>
      </c>
      <c r="D383" s="346">
        <v>8</v>
      </c>
      <c r="E383" s="353">
        <v>50000</v>
      </c>
      <c r="F383" s="353">
        <f t="shared" si="106"/>
        <v>400000</v>
      </c>
      <c r="G383" s="349">
        <v>17277</v>
      </c>
      <c r="H383" s="353">
        <f t="shared" si="121"/>
        <v>138216</v>
      </c>
      <c r="I383" s="1285">
        <f>IFERROR(VLOOKUP(A383,'valores unit indexados'!$A$14:$O$197,15,FALSE),0)</f>
        <v>37101</v>
      </c>
      <c r="J383" s="349">
        <f t="shared" si="122"/>
        <v>296808</v>
      </c>
      <c r="K383"/>
      <c r="L383" s="346" t="str">
        <f t="shared" si="119"/>
        <v>E. 6,4</v>
      </c>
      <c r="M383" s="347" t="str">
        <f t="shared" si="120"/>
        <v>Suministro e instalación de guarda escoba en pvc</v>
      </c>
      <c r="N383" s="356" t="str">
        <f t="shared" si="123"/>
        <v>ML</v>
      </c>
      <c r="O383" s="346">
        <f t="shared" si="123"/>
        <v>8</v>
      </c>
      <c r="P383" s="423">
        <f>VLOOKUP(L383,'selección precios unitario'!$A$5:$I$418,9,FALSE)</f>
        <v>37101</v>
      </c>
      <c r="Q383" s="423">
        <f t="shared" si="124"/>
        <v>296808</v>
      </c>
    </row>
    <row r="384" spans="1:60" ht="51.75" outlineLevel="1" thickBot="1" x14ac:dyDescent="0.3">
      <c r="A384" s="346" t="s">
        <v>523</v>
      </c>
      <c r="B384" s="358" t="s">
        <v>111</v>
      </c>
      <c r="C384" s="363" t="s">
        <v>6</v>
      </c>
      <c r="D384" s="346">
        <v>1</v>
      </c>
      <c r="E384" s="353">
        <v>650000</v>
      </c>
      <c r="F384" s="353">
        <f t="shared" ref="F384" si="125">+E384*D384</f>
        <v>650000</v>
      </c>
      <c r="G384" s="349">
        <v>802118.24000000011</v>
      </c>
      <c r="H384" s="353">
        <f t="shared" si="121"/>
        <v>802118.24000000011</v>
      </c>
      <c r="I384" s="1285">
        <f>IFERROR(VLOOKUP(A384,'valores unit indexados'!$A$14:$O$197,15,FALSE),0)</f>
        <v>579485</v>
      </c>
      <c r="J384" s="349">
        <f t="shared" si="122"/>
        <v>579485</v>
      </c>
      <c r="K384"/>
      <c r="L384" s="346" t="str">
        <f t="shared" si="119"/>
        <v>E. 6,5</v>
      </c>
      <c r="M384" s="358" t="str">
        <f t="shared" si="120"/>
        <v>Suministro e instalación puerta entamborada (diseño similar a las existentes) cuyas medidas son de 80 cms de ancho x 200 cm alto, incluye marco y chapa, inmunización y pintura en Barniz</v>
      </c>
      <c r="N384" s="363" t="str">
        <f t="shared" si="123"/>
        <v>UND</v>
      </c>
      <c r="O384" s="346">
        <f t="shared" si="123"/>
        <v>1</v>
      </c>
      <c r="P384" s="423">
        <f>VLOOKUP(L384,'selección precios unitario'!$A$5:$I$418,9,FALSE)</f>
        <v>614743</v>
      </c>
      <c r="Q384" s="423">
        <f t="shared" si="124"/>
        <v>614743</v>
      </c>
    </row>
    <row r="385" spans="1:60" ht="15.75" thickBot="1" x14ac:dyDescent="0.3">
      <c r="A385"/>
      <c r="B385"/>
      <c r="C385" s="1712" t="s">
        <v>196</v>
      </c>
      <c r="D385" s="1775"/>
      <c r="E385" s="1714"/>
      <c r="F385" s="1715">
        <f>SUM(F315:F384)</f>
        <v>382367200</v>
      </c>
      <c r="G385" s="1716"/>
      <c r="H385" s="1715">
        <f>SUM(H315:H384)</f>
        <v>268139261.368</v>
      </c>
      <c r="I385" s="1717"/>
      <c r="J385" s="1722">
        <f>SUM(J315:J384)</f>
        <v>67546808</v>
      </c>
      <c r="K385"/>
      <c r="L385" s="1777"/>
      <c r="M385" s="1721"/>
      <c r="N385" s="1839" t="str">
        <f t="shared" ref="N385:N390" si="126">+C385</f>
        <v>COSTO DIRECTO</v>
      </c>
      <c r="O385" s="1840"/>
      <c r="P385" s="1841"/>
      <c r="Q385" s="1722">
        <f>SUM(Q315:Q384)</f>
        <v>300565323</v>
      </c>
    </row>
    <row r="386" spans="1:60" ht="15" x14ac:dyDescent="0.25">
      <c r="A386"/>
      <c r="B386"/>
      <c r="C386" s="1773" t="s">
        <v>197</v>
      </c>
      <c r="D386" s="1774"/>
      <c r="E386" s="1708">
        <v>0.25</v>
      </c>
      <c r="F386" s="1709">
        <f>+F$385*E386</f>
        <v>95591800</v>
      </c>
      <c r="G386" s="1708">
        <v>0.24</v>
      </c>
      <c r="H386" s="1709">
        <f>+H$385*G386</f>
        <v>64353422.728319995</v>
      </c>
      <c r="I386" s="1708">
        <v>0</v>
      </c>
      <c r="J386" s="1709">
        <f>+J$385*I386</f>
        <v>0</v>
      </c>
      <c r="K386"/>
      <c r="L386" s="1298"/>
      <c r="M386" s="1645"/>
      <c r="N386" s="1845" t="str">
        <f t="shared" si="126"/>
        <v xml:space="preserve">ADMINISTRACION </v>
      </c>
      <c r="O386" s="1846"/>
      <c r="P386" s="1710">
        <f t="shared" ref="P386:P389" si="127">P307</f>
        <v>0.185</v>
      </c>
      <c r="Q386" s="1711">
        <f>ROUND(P386*$Q$385,0)</f>
        <v>55604585</v>
      </c>
    </row>
    <row r="387" spans="1:60" ht="15" x14ac:dyDescent="0.25">
      <c r="A387"/>
      <c r="B387"/>
      <c r="C387" s="1769" t="s">
        <v>198</v>
      </c>
      <c r="D387" s="1770"/>
      <c r="E387" s="375">
        <v>0.02</v>
      </c>
      <c r="F387" s="376">
        <f t="shared" ref="F387:H388" si="128">+F$385*E387</f>
        <v>7647344</v>
      </c>
      <c r="G387" s="375">
        <v>0.01</v>
      </c>
      <c r="H387" s="376">
        <f t="shared" si="128"/>
        <v>2681392.61368</v>
      </c>
      <c r="I387" s="375">
        <v>0</v>
      </c>
      <c r="J387" s="376">
        <f t="shared" ref="J387:J388" si="129">+J$385*I387</f>
        <v>0</v>
      </c>
      <c r="K387"/>
      <c r="L387" s="1298"/>
      <c r="M387" s="1645"/>
      <c r="N387" s="1847" t="str">
        <f t="shared" si="126"/>
        <v xml:space="preserve">IMPREVISTO </v>
      </c>
      <c r="O387" s="1848"/>
      <c r="P387" s="1296">
        <f t="shared" si="127"/>
        <v>0.02</v>
      </c>
      <c r="Q387" s="1711">
        <f t="shared" ref="Q387:Q388" si="130">ROUND(P387*$Q$385,0)</f>
        <v>6011306</v>
      </c>
    </row>
    <row r="388" spans="1:60" ht="15" x14ac:dyDescent="0.25">
      <c r="A388"/>
      <c r="B388"/>
      <c r="C388" s="1769" t="s">
        <v>199</v>
      </c>
      <c r="D388" s="1770"/>
      <c r="E388" s="375">
        <v>0.05</v>
      </c>
      <c r="F388" s="376">
        <f t="shared" si="128"/>
        <v>19118360</v>
      </c>
      <c r="G388" s="375">
        <v>0.05</v>
      </c>
      <c r="H388" s="376">
        <f t="shared" si="128"/>
        <v>13406963.068400001</v>
      </c>
      <c r="I388" s="375">
        <v>0</v>
      </c>
      <c r="J388" s="376">
        <f t="shared" si="129"/>
        <v>0</v>
      </c>
      <c r="K388"/>
      <c r="L388" s="1298"/>
      <c r="M388" s="1645"/>
      <c r="N388" s="1847" t="str">
        <f t="shared" si="126"/>
        <v>UTILIDAD</v>
      </c>
      <c r="O388" s="1848"/>
      <c r="P388" s="1296">
        <f t="shared" si="127"/>
        <v>4.4999999999999998E-2</v>
      </c>
      <c r="Q388" s="1711">
        <f t="shared" si="130"/>
        <v>13525440</v>
      </c>
    </row>
    <row r="389" spans="1:60" ht="15.75" thickBot="1" x14ac:dyDescent="0.3">
      <c r="A389"/>
      <c r="B389"/>
      <c r="C389" s="1771" t="s">
        <v>200</v>
      </c>
      <c r="D389" s="1772"/>
      <c r="E389" s="1725">
        <v>0.19</v>
      </c>
      <c r="F389" s="1726">
        <f>+F388*E389</f>
        <v>3632488.4</v>
      </c>
      <c r="G389" s="1725">
        <v>0.19</v>
      </c>
      <c r="H389" s="1726">
        <f>+H388*G389</f>
        <v>2547322.9829960004</v>
      </c>
      <c r="I389" s="1725">
        <v>0</v>
      </c>
      <c r="J389" s="1726">
        <f>+J388*I389</f>
        <v>0</v>
      </c>
      <c r="K389"/>
      <c r="L389" s="1298"/>
      <c r="M389" s="1645"/>
      <c r="N389" s="1849" t="str">
        <f t="shared" si="126"/>
        <v xml:space="preserve">IVA SOBRE UTILIDAD </v>
      </c>
      <c r="O389" s="1850"/>
      <c r="P389" s="1727">
        <f t="shared" si="127"/>
        <v>0.19</v>
      </c>
      <c r="Q389" s="1711">
        <f>ROUND(P389*$Q$388,0)</f>
        <v>2569834</v>
      </c>
    </row>
    <row r="390" spans="1:60" ht="15.75" thickBot="1" x14ac:dyDescent="0.3">
      <c r="A390"/>
      <c r="B390"/>
      <c r="C390" s="1728" t="s">
        <v>201</v>
      </c>
      <c r="D390" s="1729"/>
      <c r="E390" s="1730"/>
      <c r="F390" s="1731">
        <f>SUM(F385:F389)</f>
        <v>508357192.39999998</v>
      </c>
      <c r="G390" s="1730"/>
      <c r="H390" s="1731">
        <f>SUM(H385:H389)</f>
        <v>351128362.76139599</v>
      </c>
      <c r="I390" s="1732"/>
      <c r="J390" s="1779">
        <f>SUM(J385:J389)</f>
        <v>67546808</v>
      </c>
      <c r="K390"/>
      <c r="L390" s="1777"/>
      <c r="M390" s="1721"/>
      <c r="N390" s="1842" t="str">
        <f t="shared" si="126"/>
        <v xml:space="preserve">VALOR TOTAL INCLUIDO AIU E IVA </v>
      </c>
      <c r="O390" s="1843"/>
      <c r="P390" s="1844"/>
      <c r="Q390" s="1733">
        <f>SUM(Q385:Q389)</f>
        <v>378276488</v>
      </c>
    </row>
    <row r="391" spans="1:60" ht="15.75" thickBot="1" x14ac:dyDescent="0.3">
      <c r="K391"/>
      <c r="L391" s="1298"/>
      <c r="M391"/>
      <c r="N391"/>
      <c r="O391"/>
      <c r="P391"/>
      <c r="Q391"/>
    </row>
    <row r="392" spans="1:60" ht="15.75" thickBot="1" x14ac:dyDescent="0.3">
      <c r="A392" s="1801" t="s">
        <v>524</v>
      </c>
      <c r="B392" s="1802" t="s">
        <v>525</v>
      </c>
      <c r="C392" s="1802"/>
      <c r="D392" s="1802"/>
      <c r="E392" s="1802"/>
      <c r="F392" s="1802">
        <v>0</v>
      </c>
      <c r="G392" s="1802"/>
      <c r="H392" s="1802">
        <v>0</v>
      </c>
      <c r="I392" s="1802"/>
      <c r="J392" s="1818"/>
      <c r="K392"/>
      <c r="L392" s="1819" t="str">
        <f t="shared" ref="L392:L425" si="131">+A392</f>
        <v>F</v>
      </c>
      <c r="M392" s="1853" t="str">
        <f>+B392</f>
        <v>Edificio de Transferencia de Buenaventura</v>
      </c>
      <c r="N392" s="1854"/>
      <c r="O392" s="1854"/>
      <c r="P392" s="1854"/>
      <c r="Q392" s="1855"/>
    </row>
    <row r="393" spans="1:60" s="1533" customFormat="1" ht="24.75" customHeight="1" outlineLevel="1" x14ac:dyDescent="0.25">
      <c r="A393" s="1527" t="s">
        <v>526</v>
      </c>
      <c r="B393" s="1528" t="s">
        <v>527</v>
      </c>
      <c r="C393" s="1527"/>
      <c r="D393" s="1529"/>
      <c r="E393" s="1530"/>
      <c r="F393" s="1531"/>
      <c r="G393" s="1530"/>
      <c r="H393" s="1531">
        <v>0</v>
      </c>
      <c r="I393" s="1532"/>
      <c r="J393" s="1527"/>
      <c r="K393"/>
      <c r="L393" s="1527" t="str">
        <f t="shared" si="131"/>
        <v>F. 1</v>
      </c>
      <c r="M393" s="1836" t="str">
        <f t="shared" ref="M393:M425" si="132">+B393</f>
        <v xml:space="preserve">Tratamiento de humedades fachada </v>
      </c>
      <c r="N393" s="1837"/>
      <c r="O393" s="1837"/>
      <c r="P393" s="1837"/>
      <c r="Q393" s="1838"/>
      <c r="R393" s="1544"/>
      <c r="S393" s="1544"/>
      <c r="T393" s="1544"/>
      <c r="U393" s="1544"/>
      <c r="V393" s="1544"/>
      <c r="W393" s="1544"/>
      <c r="X393" s="1544"/>
      <c r="Y393" s="1544"/>
      <c r="Z393" s="1544"/>
      <c r="AA393" s="1544"/>
      <c r="AB393" s="1544"/>
      <c r="AC393" s="1544"/>
      <c r="AD393" s="1544"/>
      <c r="AE393" s="1544"/>
      <c r="AF393" s="1544"/>
      <c r="AG393" s="1544"/>
      <c r="AH393" s="1544"/>
      <c r="AI393" s="1544"/>
      <c r="AJ393" s="1544"/>
      <c r="AK393" s="1544"/>
      <c r="AL393" s="1544"/>
      <c r="AM393" s="1544"/>
      <c r="AN393" s="1544"/>
      <c r="AO393" s="1544"/>
      <c r="AP393" s="1544"/>
      <c r="AQ393" s="1544"/>
      <c r="AR393" s="1544"/>
      <c r="AS393" s="1544"/>
      <c r="AT393" s="1544"/>
      <c r="AU393" s="1544"/>
      <c r="AV393" s="1544"/>
      <c r="AW393" s="1544"/>
      <c r="AX393" s="1544"/>
      <c r="AY393" s="1544"/>
      <c r="AZ393" s="1544"/>
      <c r="BA393" s="1544"/>
      <c r="BB393" s="1544"/>
      <c r="BC393" s="1544"/>
      <c r="BD393" s="1544"/>
      <c r="BE393" s="1544"/>
      <c r="BF393" s="1544"/>
      <c r="BG393" s="1544"/>
      <c r="BH393" s="1544"/>
    </row>
    <row r="394" spans="1:60" ht="25.5" outlineLevel="1" x14ac:dyDescent="0.25">
      <c r="A394" s="354" t="s">
        <v>528</v>
      </c>
      <c r="B394" s="358" t="s">
        <v>529</v>
      </c>
      <c r="C394" s="356" t="s">
        <v>19</v>
      </c>
      <c r="D394" s="346">
        <v>22</v>
      </c>
      <c r="E394" s="353">
        <v>12500</v>
      </c>
      <c r="F394" s="353">
        <f>+E394*D394</f>
        <v>275000</v>
      </c>
      <c r="G394" s="387">
        <v>0</v>
      </c>
      <c r="H394" s="387">
        <f>+G394*D394</f>
        <v>0</v>
      </c>
      <c r="I394" s="1285">
        <v>0</v>
      </c>
      <c r="J394" s="349">
        <f t="shared" ref="J394:J425" si="133">+I394*D394</f>
        <v>0</v>
      </c>
      <c r="K394"/>
      <c r="L394" s="354" t="str">
        <f t="shared" si="131"/>
        <v>F. 1,1</v>
      </c>
      <c r="M394" s="358" t="str">
        <f t="shared" si="132"/>
        <v xml:space="preserve">suministro e instalación de protector sobre fachada en poli sombra, incluye accesorios y elementos para su fijación. </v>
      </c>
      <c r="N394" s="356" t="str">
        <f t="shared" ref="N394:O399" si="134">+C394</f>
        <v>M2</v>
      </c>
      <c r="O394" s="346">
        <f t="shared" si="134"/>
        <v>22</v>
      </c>
      <c r="P394" s="423">
        <f>VLOOKUP(L394,'selección precios unitario'!$A$5:$I$418,9,FALSE)</f>
        <v>12500</v>
      </c>
      <c r="Q394" s="423">
        <f t="shared" ref="Q394:Q399" si="135">ROUND(P394*O394,0)</f>
        <v>275000</v>
      </c>
    </row>
    <row r="395" spans="1:60" ht="25.5" outlineLevel="1" x14ac:dyDescent="0.25">
      <c r="A395" s="386" t="s">
        <v>530</v>
      </c>
      <c r="B395" s="358" t="s">
        <v>531</v>
      </c>
      <c r="C395" s="356" t="s">
        <v>19</v>
      </c>
      <c r="D395" s="355">
        <v>395</v>
      </c>
      <c r="E395" s="353">
        <v>14000</v>
      </c>
      <c r="F395" s="353">
        <f t="shared" ref="F395:F425" si="136">+E395*D395</f>
        <v>5530000</v>
      </c>
      <c r="G395" s="349">
        <v>4000</v>
      </c>
      <c r="H395" s="412">
        <f>+G395*D395</f>
        <v>1580000</v>
      </c>
      <c r="I395" s="1285">
        <f>IFERROR(VLOOKUP(A395,'valores unit indexados'!$A$14:$O$197,15,FALSE),0)</f>
        <v>0</v>
      </c>
      <c r="J395" s="349">
        <f t="shared" si="133"/>
        <v>0</v>
      </c>
      <c r="K395"/>
      <c r="L395" s="386" t="str">
        <f t="shared" si="131"/>
        <v>F. 1,2</v>
      </c>
      <c r="M395" s="358" t="str">
        <f t="shared" si="132"/>
        <v>Lavada de fachada con agua a chorro de aspersión con hipoclorito.(incluye retiro de material extraño y piezas rotas)</v>
      </c>
      <c r="N395" s="356" t="str">
        <f t="shared" si="134"/>
        <v>M2</v>
      </c>
      <c r="O395" s="355">
        <f t="shared" si="134"/>
        <v>395</v>
      </c>
      <c r="P395" s="423">
        <f>VLOOKUP(L395,'selección precios unitario'!$A$5:$I$418,9,FALSE)</f>
        <v>9000</v>
      </c>
      <c r="Q395" s="423">
        <f t="shared" si="135"/>
        <v>3555000</v>
      </c>
    </row>
    <row r="396" spans="1:60" ht="15" outlineLevel="1" x14ac:dyDescent="0.25">
      <c r="A396" s="354" t="s">
        <v>532</v>
      </c>
      <c r="B396" s="358" t="s">
        <v>533</v>
      </c>
      <c r="C396" s="356" t="s">
        <v>19</v>
      </c>
      <c r="D396" s="355">
        <v>245</v>
      </c>
      <c r="E396" s="353">
        <v>9000</v>
      </c>
      <c r="F396" s="353">
        <f t="shared" si="136"/>
        <v>2205000</v>
      </c>
      <c r="G396" s="349">
        <v>4000</v>
      </c>
      <c r="H396" s="412">
        <f t="shared" ref="H396:H425" si="137">+G396*D396</f>
        <v>980000</v>
      </c>
      <c r="I396" s="1285">
        <f>IFERROR(VLOOKUP(A396,'valores unit indexados'!$A$14:$O$197,15,FALSE),0)</f>
        <v>6890</v>
      </c>
      <c r="J396" s="349">
        <f t="shared" si="133"/>
        <v>1688050</v>
      </c>
      <c r="K396"/>
      <c r="L396" s="354" t="str">
        <f t="shared" si="131"/>
        <v>F. 1,3</v>
      </c>
      <c r="M396" s="358" t="str">
        <f t="shared" si="132"/>
        <v>Rasqueteada de pintura y retiro de material  en mal estado</v>
      </c>
      <c r="N396" s="356" t="str">
        <f t="shared" si="134"/>
        <v>M2</v>
      </c>
      <c r="O396" s="355">
        <f t="shared" si="134"/>
        <v>245</v>
      </c>
      <c r="P396" s="423">
        <f>VLOOKUP(L396,'selección precios unitario'!$A$5:$I$418,9,FALSE)</f>
        <v>6630</v>
      </c>
      <c r="Q396" s="423">
        <f t="shared" si="135"/>
        <v>1624350</v>
      </c>
    </row>
    <row r="397" spans="1:60" ht="38.25" outlineLevel="1" x14ac:dyDescent="0.25">
      <c r="A397" s="386" t="s">
        <v>534</v>
      </c>
      <c r="B397" s="358" t="s">
        <v>86</v>
      </c>
      <c r="C397" s="356" t="s">
        <v>19</v>
      </c>
      <c r="D397" s="355">
        <v>245</v>
      </c>
      <c r="E397" s="353">
        <v>48000</v>
      </c>
      <c r="F397" s="353">
        <f t="shared" si="136"/>
        <v>11760000</v>
      </c>
      <c r="G397" s="349">
        <v>45500</v>
      </c>
      <c r="H397" s="412">
        <f t="shared" si="137"/>
        <v>11147500</v>
      </c>
      <c r="I397" s="1285">
        <f>IFERROR(VLOOKUP(A397,'valores unit indexados'!$A$14:$O$197,15,FALSE),0)</f>
        <v>43614</v>
      </c>
      <c r="J397" s="349">
        <f t="shared" si="133"/>
        <v>10685430</v>
      </c>
      <c r="K397"/>
      <c r="L397" s="386" t="str">
        <f t="shared" si="131"/>
        <v>F. 1,4</v>
      </c>
      <c r="M397" s="358" t="str">
        <f t="shared" si="132"/>
        <v xml:space="preserve">Suministro e instalación de recubrimiento cementoso (Recubrimiento a base de cemento, arena y aditivos especiales), impermeable para muros color blanco </v>
      </c>
      <c r="N397" s="356" t="str">
        <f t="shared" si="134"/>
        <v>M2</v>
      </c>
      <c r="O397" s="355">
        <f t="shared" si="134"/>
        <v>245</v>
      </c>
      <c r="P397" s="423">
        <f>VLOOKUP(L397,'selección precios unitario'!$A$5:$I$418,9,FALSE)</f>
        <v>45053</v>
      </c>
      <c r="Q397" s="423">
        <f t="shared" si="135"/>
        <v>11037985</v>
      </c>
    </row>
    <row r="398" spans="1:60" ht="25.5" outlineLevel="1" x14ac:dyDescent="0.25">
      <c r="A398" s="386" t="s">
        <v>535</v>
      </c>
      <c r="B398" s="358" t="s">
        <v>536</v>
      </c>
      <c r="C398" s="356" t="s">
        <v>19</v>
      </c>
      <c r="D398" s="355">
        <v>350</v>
      </c>
      <c r="E398" s="353">
        <v>14000</v>
      </c>
      <c r="F398" s="353">
        <f t="shared" si="136"/>
        <v>4900000</v>
      </c>
      <c r="G398" s="349">
        <v>15288</v>
      </c>
      <c r="H398" s="412">
        <f t="shared" si="137"/>
        <v>5350800</v>
      </c>
      <c r="I398" s="1285">
        <f>IFERROR(VLOOKUP(A398,'valores unit indexados'!$A$14:$O$197,15,FALSE),0)</f>
        <v>0</v>
      </c>
      <c r="J398" s="349">
        <f t="shared" si="133"/>
        <v>0</v>
      </c>
      <c r="K398"/>
      <c r="L398" s="386" t="str">
        <f t="shared" si="131"/>
        <v>F. 1,5</v>
      </c>
      <c r="M398" s="358" t="str">
        <f t="shared" si="132"/>
        <v>Suministro y aplicación de sellador para superficie altamente alcalina</v>
      </c>
      <c r="N398" s="356" t="str">
        <f t="shared" si="134"/>
        <v>M2</v>
      </c>
      <c r="O398" s="355">
        <f t="shared" si="134"/>
        <v>350</v>
      </c>
      <c r="P398" s="423">
        <f>VLOOKUP(L398,'selección precios unitario'!$A$5:$I$418,9,FALSE)</f>
        <v>14644</v>
      </c>
      <c r="Q398" s="423">
        <f t="shared" si="135"/>
        <v>5125400</v>
      </c>
    </row>
    <row r="399" spans="1:60" ht="38.25" outlineLevel="1" x14ac:dyDescent="0.25">
      <c r="A399" s="354" t="s">
        <v>537</v>
      </c>
      <c r="B399" s="358" t="s">
        <v>1506</v>
      </c>
      <c r="C399" s="356" t="s">
        <v>19</v>
      </c>
      <c r="D399" s="355">
        <v>350</v>
      </c>
      <c r="E399" s="353">
        <v>35000</v>
      </c>
      <c r="F399" s="353">
        <f t="shared" si="136"/>
        <v>12250000</v>
      </c>
      <c r="G399" s="349">
        <v>12000</v>
      </c>
      <c r="H399" s="412">
        <f t="shared" si="137"/>
        <v>4200000</v>
      </c>
      <c r="I399" s="1285">
        <f>IFERROR(VLOOKUP(A399,'valores unit indexados'!$A$14:$O$197,15,FALSE),0)</f>
        <v>0</v>
      </c>
      <c r="J399" s="349">
        <f t="shared" si="133"/>
        <v>0</v>
      </c>
      <c r="K399"/>
      <c r="L399" s="354" t="str">
        <f t="shared" si="131"/>
        <v>F. 1,6</v>
      </c>
      <c r="M399" s="358" t="str">
        <f t="shared" si="132"/>
        <v xml:space="preserve">Suministro y aplicación de pintura acrílica resistente a climas tropicales como la humedad y el calor extremo (para exterior)  a 3 manos </v>
      </c>
      <c r="N399" s="356" t="str">
        <f t="shared" si="134"/>
        <v>M2</v>
      </c>
      <c r="O399" s="355">
        <f t="shared" si="134"/>
        <v>350</v>
      </c>
      <c r="P399" s="423">
        <f>VLOOKUP(L399,'selección precios unitario'!$A$5:$I$418,9,FALSE)</f>
        <v>21500</v>
      </c>
      <c r="Q399" s="423">
        <f t="shared" si="135"/>
        <v>7525000</v>
      </c>
    </row>
    <row r="400" spans="1:60" s="1533" customFormat="1" ht="24.75" customHeight="1" outlineLevel="1" x14ac:dyDescent="0.25">
      <c r="A400" s="1527" t="s">
        <v>539</v>
      </c>
      <c r="B400" s="1528" t="s">
        <v>540</v>
      </c>
      <c r="C400" s="1527"/>
      <c r="D400" s="1529"/>
      <c r="E400" s="1530"/>
      <c r="F400" s="1531">
        <f t="shared" si="136"/>
        <v>0</v>
      </c>
      <c r="G400" s="1530"/>
      <c r="H400" s="1531">
        <f t="shared" si="137"/>
        <v>0</v>
      </c>
      <c r="I400" s="1532"/>
      <c r="J400" s="1527"/>
      <c r="K400"/>
      <c r="L400" s="1527" t="str">
        <f t="shared" si="131"/>
        <v>F. 2</v>
      </c>
      <c r="M400" s="1836" t="str">
        <f t="shared" si="132"/>
        <v>Mantenimiento de puertas  en madera</v>
      </c>
      <c r="N400" s="1837"/>
      <c r="O400" s="1837"/>
      <c r="P400" s="1837"/>
      <c r="Q400" s="1838"/>
      <c r="R400" s="1544"/>
      <c r="S400" s="1544"/>
      <c r="T400" s="1544"/>
      <c r="U400" s="1544"/>
      <c r="V400" s="1544"/>
      <c r="W400" s="1544"/>
      <c r="X400" s="1544"/>
      <c r="Y400" s="1544"/>
      <c r="Z400" s="1544"/>
      <c r="AA400" s="1544"/>
      <c r="AB400" s="1544"/>
      <c r="AC400" s="1544"/>
      <c r="AD400" s="1544"/>
      <c r="AE400" s="1544"/>
      <c r="AF400" s="1544"/>
      <c r="AG400" s="1544"/>
      <c r="AH400" s="1544"/>
      <c r="AI400" s="1544"/>
      <c r="AJ400" s="1544"/>
      <c r="AK400" s="1544"/>
      <c r="AL400" s="1544"/>
      <c r="AM400" s="1544"/>
      <c r="AN400" s="1544"/>
      <c r="AO400" s="1544"/>
      <c r="AP400" s="1544"/>
      <c r="AQ400" s="1544"/>
      <c r="AR400" s="1544"/>
      <c r="AS400" s="1544"/>
      <c r="AT400" s="1544"/>
      <c r="AU400" s="1544"/>
      <c r="AV400" s="1544"/>
      <c r="AW400" s="1544"/>
      <c r="AX400" s="1544"/>
      <c r="AY400" s="1544"/>
      <c r="AZ400" s="1544"/>
      <c r="BA400" s="1544"/>
      <c r="BB400" s="1544"/>
      <c r="BC400" s="1544"/>
      <c r="BD400" s="1544"/>
      <c r="BE400" s="1544"/>
      <c r="BF400" s="1544"/>
      <c r="BG400" s="1544"/>
      <c r="BH400" s="1544"/>
    </row>
    <row r="401" spans="1:60" ht="15" outlineLevel="1" x14ac:dyDescent="0.25">
      <c r="A401" s="386" t="s">
        <v>541</v>
      </c>
      <c r="B401" s="358" t="s">
        <v>1507</v>
      </c>
      <c r="C401" s="356" t="s">
        <v>6</v>
      </c>
      <c r="D401" s="346">
        <v>6</v>
      </c>
      <c r="E401" s="353">
        <v>50000</v>
      </c>
      <c r="F401" s="353">
        <f t="shared" si="136"/>
        <v>300000</v>
      </c>
      <c r="G401" s="349">
        <v>65000</v>
      </c>
      <c r="H401" s="412">
        <f t="shared" si="137"/>
        <v>390000</v>
      </c>
      <c r="I401" s="1285">
        <f>IFERROR(VLOOKUP(A401,'valores unit indexados'!$A$14:$O$197,15,FALSE),0)</f>
        <v>0</v>
      </c>
      <c r="J401" s="349">
        <f t="shared" si="133"/>
        <v>0</v>
      </c>
      <c r="K401"/>
      <c r="L401" s="386" t="str">
        <f t="shared" si="131"/>
        <v>F. 2,1</v>
      </c>
      <c r="M401" s="358" t="str">
        <f t="shared" si="132"/>
        <v>Desmonte de puertas en madera incluye hoja y marco metálico</v>
      </c>
      <c r="N401" s="356" t="str">
        <f t="shared" ref="N401:O405" si="138">+C401</f>
        <v>UND</v>
      </c>
      <c r="O401" s="346">
        <f t="shared" si="138"/>
        <v>6</v>
      </c>
      <c r="P401" s="423">
        <f>VLOOKUP(L401,'selección precios unitario'!$A$5:$I$418,9,FALSE)</f>
        <v>62500</v>
      </c>
      <c r="Q401" s="423">
        <f t="shared" ref="Q401:Q405" si="139">ROUND(P401*O401,0)</f>
        <v>375000</v>
      </c>
    </row>
    <row r="402" spans="1:60" ht="51" outlineLevel="1" x14ac:dyDescent="0.25">
      <c r="A402" s="354" t="s">
        <v>543</v>
      </c>
      <c r="B402" s="358" t="s">
        <v>544</v>
      </c>
      <c r="C402" s="340" t="s">
        <v>6</v>
      </c>
      <c r="D402" s="346">
        <v>22</v>
      </c>
      <c r="E402" s="353">
        <v>550000</v>
      </c>
      <c r="F402" s="353">
        <f t="shared" si="136"/>
        <v>12100000</v>
      </c>
      <c r="G402" s="349">
        <v>300000</v>
      </c>
      <c r="H402" s="412">
        <f t="shared" si="137"/>
        <v>6600000</v>
      </c>
      <c r="I402" s="1285">
        <f>IFERROR(VLOOKUP(A402,'valores unit indexados'!$A$14:$O$197,15,FALSE),0)</f>
        <v>0</v>
      </c>
      <c r="J402" s="349">
        <f t="shared" si="133"/>
        <v>0</v>
      </c>
      <c r="K402"/>
      <c r="L402" s="354" t="str">
        <f t="shared" si="131"/>
        <v>F. 2,2</v>
      </c>
      <c r="M402" s="358" t="str">
        <f t="shared" si="132"/>
        <v xml:space="preserve">Mantenimiento de puertas de una nave en madera , cuyas medidas son entre  70  a 90 cm de ancho x 180 -220 cm de alto - incluido marco, largueros, travesaños, hojas o panel y cerrajería </v>
      </c>
      <c r="N402" s="340" t="str">
        <f t="shared" si="138"/>
        <v>UND</v>
      </c>
      <c r="O402" s="346">
        <f t="shared" si="138"/>
        <v>22</v>
      </c>
      <c r="P402" s="423">
        <f>VLOOKUP(L402,'selección precios unitario'!$A$5:$I$418,9,FALSE)</f>
        <v>425000</v>
      </c>
      <c r="Q402" s="423">
        <f t="shared" si="139"/>
        <v>9350000</v>
      </c>
    </row>
    <row r="403" spans="1:60" ht="63.75" outlineLevel="1" x14ac:dyDescent="0.25">
      <c r="A403" s="386" t="s">
        <v>545</v>
      </c>
      <c r="B403" s="358" t="s">
        <v>546</v>
      </c>
      <c r="C403" s="356" t="s">
        <v>6</v>
      </c>
      <c r="D403" s="355">
        <v>6</v>
      </c>
      <c r="E403" s="379">
        <v>2900000</v>
      </c>
      <c r="F403" s="379">
        <f t="shared" si="136"/>
        <v>17400000</v>
      </c>
      <c r="G403" s="412">
        <v>1100000</v>
      </c>
      <c r="H403" s="412">
        <f t="shared" si="137"/>
        <v>6600000</v>
      </c>
      <c r="I403" s="1285">
        <f>IFERROR(VLOOKUP(A403,'valores unit indexados'!$A$14:$O$197,15,FALSE),0)</f>
        <v>0</v>
      </c>
      <c r="J403" s="349">
        <f t="shared" si="133"/>
        <v>0</v>
      </c>
      <c r="K403"/>
      <c r="L403" s="386" t="str">
        <f t="shared" si="131"/>
        <v>F. 2,3</v>
      </c>
      <c r="M403" s="358" t="str">
        <f t="shared" si="132"/>
        <v>Suministro e instalación de puerta de una nave de madera, diseño y color igual a las existentes, debidamente lijada, masillada y pintada, cuyas medidas son entre  70 a 100 cm de ancho x 180 -210 cm de alto, incluye marco, tapa luz, bisagras, herrajes y cerradura.</v>
      </c>
      <c r="N403" s="356" t="str">
        <f t="shared" si="138"/>
        <v>UND</v>
      </c>
      <c r="O403" s="355">
        <f t="shared" si="138"/>
        <v>6</v>
      </c>
      <c r="P403" s="423">
        <f>VLOOKUP(L403,'selección precios unitario'!$A$5:$I$418,9,FALSE)</f>
        <v>1100000</v>
      </c>
      <c r="Q403" s="423">
        <f t="shared" si="139"/>
        <v>6600000</v>
      </c>
    </row>
    <row r="404" spans="1:60" ht="38.25" outlineLevel="1" x14ac:dyDescent="0.25">
      <c r="A404" s="354" t="s">
        <v>547</v>
      </c>
      <c r="B404" s="358" t="s">
        <v>1508</v>
      </c>
      <c r="C404" s="356" t="s">
        <v>6</v>
      </c>
      <c r="D404" s="355">
        <v>6</v>
      </c>
      <c r="E404" s="353">
        <v>160000</v>
      </c>
      <c r="F404" s="353">
        <f t="shared" si="136"/>
        <v>960000</v>
      </c>
      <c r="G404" s="349">
        <v>250000</v>
      </c>
      <c r="H404" s="412">
        <f t="shared" si="137"/>
        <v>1500000</v>
      </c>
      <c r="I404" s="1285">
        <f>IFERROR(VLOOKUP(A404,'valores unit indexados'!$A$14:$O$197,15,FALSE),0)</f>
        <v>0</v>
      </c>
      <c r="J404" s="349">
        <f t="shared" si="133"/>
        <v>0</v>
      </c>
      <c r="K404"/>
      <c r="L404" s="354" t="str">
        <f t="shared" si="131"/>
        <v>F. 2,4</v>
      </c>
      <c r="M404" s="358" t="str">
        <f t="shared" si="132"/>
        <v>Suministro e instalación de marco metálico para puerta en madera de medidas entre  70 a 100 cm de ancho x 180 -210 cm de alto</v>
      </c>
      <c r="N404" s="356" t="str">
        <f t="shared" si="138"/>
        <v>UND</v>
      </c>
      <c r="O404" s="355">
        <f t="shared" si="138"/>
        <v>6</v>
      </c>
      <c r="P404" s="423">
        <f>VLOOKUP(L404,'selección precios unitario'!$A$5:$I$418,9,FALSE)</f>
        <v>205000</v>
      </c>
      <c r="Q404" s="423">
        <f t="shared" si="139"/>
        <v>1230000</v>
      </c>
    </row>
    <row r="405" spans="1:60" ht="15" outlineLevel="1" x14ac:dyDescent="0.25">
      <c r="A405" s="386" t="s">
        <v>549</v>
      </c>
      <c r="B405" s="358" t="s">
        <v>550</v>
      </c>
      <c r="C405" s="356" t="s">
        <v>6</v>
      </c>
      <c r="D405" s="355">
        <v>12</v>
      </c>
      <c r="E405" s="353">
        <v>105000</v>
      </c>
      <c r="F405" s="353">
        <f t="shared" si="136"/>
        <v>1260000</v>
      </c>
      <c r="G405" s="349">
        <v>65000</v>
      </c>
      <c r="H405" s="412">
        <f t="shared" si="137"/>
        <v>780000</v>
      </c>
      <c r="I405" s="1285">
        <f>IFERROR(VLOOKUP(A405,'valores unit indexados'!$A$14:$O$197,15,FALSE),0)</f>
        <v>0</v>
      </c>
      <c r="J405" s="349">
        <f t="shared" si="133"/>
        <v>0</v>
      </c>
      <c r="K405"/>
      <c r="L405" s="386" t="str">
        <f t="shared" si="131"/>
        <v>F. 2,5</v>
      </c>
      <c r="M405" s="358" t="str">
        <f t="shared" si="132"/>
        <v xml:space="preserve">Suministro e instalación de chapa bola para puerta en madera </v>
      </c>
      <c r="N405" s="356" t="str">
        <f t="shared" si="138"/>
        <v>UND</v>
      </c>
      <c r="O405" s="355">
        <f t="shared" si="138"/>
        <v>12</v>
      </c>
      <c r="P405" s="423">
        <f>VLOOKUP(L405,'selección precios unitario'!$A$5:$I$418,9,FALSE)</f>
        <v>85000</v>
      </c>
      <c r="Q405" s="423">
        <f t="shared" si="139"/>
        <v>1020000</v>
      </c>
    </row>
    <row r="406" spans="1:60" s="1533" customFormat="1" ht="24.75" customHeight="1" outlineLevel="1" x14ac:dyDescent="0.25">
      <c r="A406" s="1527" t="s">
        <v>551</v>
      </c>
      <c r="B406" s="1528" t="s">
        <v>234</v>
      </c>
      <c r="C406" s="1527"/>
      <c r="D406" s="1529"/>
      <c r="E406" s="1530"/>
      <c r="F406" s="1531">
        <f t="shared" si="136"/>
        <v>0</v>
      </c>
      <c r="G406" s="1530"/>
      <c r="H406" s="1531">
        <f t="shared" si="137"/>
        <v>0</v>
      </c>
      <c r="I406" s="1532"/>
      <c r="J406" s="1527"/>
      <c r="K406"/>
      <c r="L406" s="1527" t="str">
        <f t="shared" si="131"/>
        <v>F. 3</v>
      </c>
      <c r="M406" s="1836" t="str">
        <f t="shared" si="132"/>
        <v xml:space="preserve">Reparaciones y Tratamiento de humedades internas </v>
      </c>
      <c r="N406" s="1837"/>
      <c r="O406" s="1837"/>
      <c r="P406" s="1837"/>
      <c r="Q406" s="1838"/>
      <c r="R406" s="1544"/>
      <c r="S406" s="1544"/>
      <c r="T406" s="1544"/>
      <c r="U406" s="1544"/>
      <c r="V406" s="1544"/>
      <c r="W406" s="1544"/>
      <c r="X406" s="1544"/>
      <c r="Y406" s="1544"/>
      <c r="Z406" s="1544"/>
      <c r="AA406" s="1544"/>
      <c r="AB406" s="1544"/>
      <c r="AC406" s="1544"/>
      <c r="AD406" s="1544"/>
      <c r="AE406" s="1544"/>
      <c r="AF406" s="1544"/>
      <c r="AG406" s="1544"/>
      <c r="AH406" s="1544"/>
      <c r="AI406" s="1544"/>
      <c r="AJ406" s="1544"/>
      <c r="AK406" s="1544"/>
      <c r="AL406" s="1544"/>
      <c r="AM406" s="1544"/>
      <c r="AN406" s="1544"/>
      <c r="AO406" s="1544"/>
      <c r="AP406" s="1544"/>
      <c r="AQ406" s="1544"/>
      <c r="AR406" s="1544"/>
      <c r="AS406" s="1544"/>
      <c r="AT406" s="1544"/>
      <c r="AU406" s="1544"/>
      <c r="AV406" s="1544"/>
      <c r="AW406" s="1544"/>
      <c r="AX406" s="1544"/>
      <c r="AY406" s="1544"/>
      <c r="AZ406" s="1544"/>
      <c r="BA406" s="1544"/>
      <c r="BB406" s="1544"/>
      <c r="BC406" s="1544"/>
      <c r="BD406" s="1544"/>
      <c r="BE406" s="1544"/>
      <c r="BF406" s="1544"/>
      <c r="BG406" s="1544"/>
      <c r="BH406" s="1544"/>
    </row>
    <row r="407" spans="1:60" ht="15" outlineLevel="1" x14ac:dyDescent="0.25">
      <c r="A407" s="354" t="s">
        <v>552</v>
      </c>
      <c r="B407" s="364" t="s">
        <v>84</v>
      </c>
      <c r="C407" s="367" t="s">
        <v>19</v>
      </c>
      <c r="D407" s="346">
        <v>191</v>
      </c>
      <c r="E407" s="353">
        <v>9000</v>
      </c>
      <c r="F407" s="353">
        <f t="shared" si="136"/>
        <v>1719000</v>
      </c>
      <c r="G407" s="349">
        <v>5200</v>
      </c>
      <c r="H407" s="412">
        <f t="shared" si="137"/>
        <v>993200</v>
      </c>
      <c r="I407" s="1285">
        <f>IFERROR(VLOOKUP(A407,'valores unit indexados'!$A$14:$O$197,15,FALSE),0)</f>
        <v>6890</v>
      </c>
      <c r="J407" s="349">
        <f t="shared" si="133"/>
        <v>1315990</v>
      </c>
      <c r="K407"/>
      <c r="L407" s="354" t="str">
        <f t="shared" si="131"/>
        <v>F. 3,1</v>
      </c>
      <c r="M407" s="364" t="str">
        <f t="shared" si="132"/>
        <v xml:space="preserve">Rasqueteada de pintura y retiro de mortero en mal estado  </v>
      </c>
      <c r="N407" s="367" t="str">
        <f t="shared" ref="N407:N417" si="140">+C407</f>
        <v>M2</v>
      </c>
      <c r="O407" s="346">
        <f t="shared" ref="O407:O417" si="141">+D407</f>
        <v>191</v>
      </c>
      <c r="P407" s="423">
        <f>VLOOKUP(L407,'selección precios unitario'!$A$5:$I$418,9,FALSE)</f>
        <v>6630</v>
      </c>
      <c r="Q407" s="423">
        <f t="shared" ref="Q407:Q417" si="142">ROUND(P407*O407,0)</f>
        <v>1266330</v>
      </c>
    </row>
    <row r="408" spans="1:60" ht="38.25" outlineLevel="1" x14ac:dyDescent="0.25">
      <c r="A408" s="386" t="s">
        <v>553</v>
      </c>
      <c r="B408" s="368" t="s">
        <v>86</v>
      </c>
      <c r="C408" s="367" t="s">
        <v>19</v>
      </c>
      <c r="D408" s="346">
        <v>191</v>
      </c>
      <c r="E408" s="353">
        <v>48000</v>
      </c>
      <c r="F408" s="353">
        <f t="shared" si="136"/>
        <v>9168000</v>
      </c>
      <c r="G408" s="349">
        <v>45500</v>
      </c>
      <c r="H408" s="412">
        <f t="shared" si="137"/>
        <v>8690500</v>
      </c>
      <c r="I408" s="1285">
        <f>IFERROR(VLOOKUP(A408,'valores unit indexados'!$A$14:$O$197,15,FALSE),0)</f>
        <v>43614</v>
      </c>
      <c r="J408" s="349">
        <f t="shared" si="133"/>
        <v>8330274</v>
      </c>
      <c r="K408"/>
      <c r="L408" s="386" t="str">
        <f t="shared" si="131"/>
        <v>F. 3,2</v>
      </c>
      <c r="M408" s="368" t="str">
        <f t="shared" si="132"/>
        <v xml:space="preserve">Suministro e instalación de recubrimiento cementoso (Recubrimiento a base de cemento, arena y aditivos especiales), impermeable para muros color blanco </v>
      </c>
      <c r="N408" s="367" t="str">
        <f t="shared" si="140"/>
        <v>M2</v>
      </c>
      <c r="O408" s="346">
        <f t="shared" si="141"/>
        <v>191</v>
      </c>
      <c r="P408" s="423">
        <f>VLOOKUP(L408,'selección precios unitario'!$A$5:$I$418,9,FALSE)</f>
        <v>45053</v>
      </c>
      <c r="Q408" s="423">
        <f t="shared" si="142"/>
        <v>8605123</v>
      </c>
    </row>
    <row r="409" spans="1:60" ht="15" outlineLevel="1" x14ac:dyDescent="0.25">
      <c r="A409" s="354" t="s">
        <v>554</v>
      </c>
      <c r="B409" s="368" t="s">
        <v>88</v>
      </c>
      <c r="C409" s="367" t="s">
        <v>19</v>
      </c>
      <c r="D409" s="346">
        <v>239</v>
      </c>
      <c r="E409" s="353">
        <v>28000</v>
      </c>
      <c r="F409" s="353">
        <f t="shared" si="136"/>
        <v>6692000</v>
      </c>
      <c r="G409" s="412">
        <v>11700</v>
      </c>
      <c r="H409" s="412">
        <f t="shared" si="137"/>
        <v>2796300</v>
      </c>
      <c r="I409" s="1285">
        <f>IFERROR(VLOOKUP(A409,'valores unit indexados'!$A$14:$O$197,15,FALSE),0)</f>
        <v>24610</v>
      </c>
      <c r="J409" s="349">
        <f t="shared" si="133"/>
        <v>5881790</v>
      </c>
      <c r="K409"/>
      <c r="L409" s="354" t="str">
        <f t="shared" si="131"/>
        <v>F. 3,3</v>
      </c>
      <c r="M409" s="368" t="str">
        <f t="shared" si="132"/>
        <v xml:space="preserve">Suministro y aplicación de estuco plástico </v>
      </c>
      <c r="N409" s="367" t="str">
        <f t="shared" si="140"/>
        <v>M2</v>
      </c>
      <c r="O409" s="346">
        <f t="shared" si="141"/>
        <v>239</v>
      </c>
      <c r="P409" s="423">
        <f>VLOOKUP(L409,'selección precios unitario'!$A$5:$I$418,9,FALSE)</f>
        <v>26305</v>
      </c>
      <c r="Q409" s="423">
        <f t="shared" si="142"/>
        <v>6286895</v>
      </c>
    </row>
    <row r="410" spans="1:60" ht="15" outlineLevel="1" x14ac:dyDescent="0.25">
      <c r="A410" s="386" t="s">
        <v>555</v>
      </c>
      <c r="B410" s="364" t="s">
        <v>90</v>
      </c>
      <c r="C410" s="367" t="s">
        <v>19</v>
      </c>
      <c r="D410" s="346">
        <v>239</v>
      </c>
      <c r="E410" s="353">
        <v>19000</v>
      </c>
      <c r="F410" s="353">
        <f t="shared" si="136"/>
        <v>4541000</v>
      </c>
      <c r="G410" s="412">
        <v>8710</v>
      </c>
      <c r="H410" s="412">
        <f t="shared" si="137"/>
        <v>2081690</v>
      </c>
      <c r="I410" s="1285">
        <f>IFERROR(VLOOKUP(A410,'valores unit indexados'!$A$14:$O$197,15,FALSE),0)</f>
        <v>0</v>
      </c>
      <c r="J410" s="349">
        <f t="shared" si="133"/>
        <v>0</v>
      </c>
      <c r="K410"/>
      <c r="L410" s="386" t="str">
        <f t="shared" si="131"/>
        <v>F. 3,4</v>
      </c>
      <c r="M410" s="364" t="str">
        <f t="shared" si="132"/>
        <v>Suministro y aplicación de vinilo tipo 1 (3 manos)</v>
      </c>
      <c r="N410" s="367" t="str">
        <f t="shared" si="140"/>
        <v>M2</v>
      </c>
      <c r="O410" s="346">
        <f t="shared" si="141"/>
        <v>239</v>
      </c>
      <c r="P410" s="423">
        <f>VLOOKUP(L410,'selección precios unitario'!$A$5:$I$418,9,FALSE)</f>
        <v>19000</v>
      </c>
      <c r="Q410" s="423">
        <f t="shared" si="142"/>
        <v>4541000</v>
      </c>
    </row>
    <row r="411" spans="1:60" ht="15" outlineLevel="1" x14ac:dyDescent="0.25">
      <c r="A411" s="354" t="s">
        <v>556</v>
      </c>
      <c r="B411" s="368" t="s">
        <v>92</v>
      </c>
      <c r="C411" s="367" t="s">
        <v>19</v>
      </c>
      <c r="D411" s="346">
        <v>167</v>
      </c>
      <c r="E411" s="353">
        <v>18000</v>
      </c>
      <c r="F411" s="353">
        <f t="shared" si="136"/>
        <v>3006000</v>
      </c>
      <c r="G411" s="412">
        <v>8710</v>
      </c>
      <c r="H411" s="412">
        <f t="shared" si="137"/>
        <v>1454570</v>
      </c>
      <c r="I411" s="1285">
        <f>IFERROR(VLOOKUP(A411,'valores unit indexados'!$A$14:$O$197,15,FALSE),0)</f>
        <v>17005</v>
      </c>
      <c r="J411" s="349">
        <f t="shared" si="133"/>
        <v>2839835</v>
      </c>
      <c r="K411"/>
      <c r="L411" s="354" t="str">
        <f t="shared" si="131"/>
        <v>F. 3,5</v>
      </c>
      <c r="M411" s="368" t="str">
        <f t="shared" si="132"/>
        <v>Suministro y aplicación de pintura en esmalte</v>
      </c>
      <c r="N411" s="367" t="str">
        <f t="shared" si="140"/>
        <v>M2</v>
      </c>
      <c r="O411" s="346">
        <f t="shared" si="141"/>
        <v>167</v>
      </c>
      <c r="P411" s="423">
        <f>VLOOKUP(L411,'selección precios unitario'!$A$5:$I$418,9,FALSE)</f>
        <v>17503</v>
      </c>
      <c r="Q411" s="423">
        <f t="shared" si="142"/>
        <v>2923001</v>
      </c>
    </row>
    <row r="412" spans="1:60" ht="15" outlineLevel="1" x14ac:dyDescent="0.25">
      <c r="A412" s="386" t="s">
        <v>557</v>
      </c>
      <c r="B412" s="401" t="s">
        <v>94</v>
      </c>
      <c r="C412" s="367" t="s">
        <v>19</v>
      </c>
      <c r="D412" s="346">
        <v>3</v>
      </c>
      <c r="E412" s="353">
        <v>17000</v>
      </c>
      <c r="F412" s="353">
        <f t="shared" si="136"/>
        <v>51000</v>
      </c>
      <c r="G412" s="412">
        <v>8710</v>
      </c>
      <c r="H412" s="412">
        <f t="shared" si="137"/>
        <v>26130</v>
      </c>
      <c r="I412" s="1285">
        <f>IFERROR(VLOOKUP(A412,'valores unit indexados'!$A$14:$O$197,15,FALSE),0)</f>
        <v>0</v>
      </c>
      <c r="J412" s="349">
        <f t="shared" si="133"/>
        <v>0</v>
      </c>
      <c r="K412"/>
      <c r="L412" s="386" t="str">
        <f t="shared" si="131"/>
        <v>F. 3,6</v>
      </c>
      <c r="M412" s="401" t="str">
        <f t="shared" si="132"/>
        <v>Suministro y aplicación de pintura cielo vinilo tipo 1</v>
      </c>
      <c r="N412" s="367" t="str">
        <f t="shared" si="140"/>
        <v>M2</v>
      </c>
      <c r="O412" s="346">
        <f t="shared" si="141"/>
        <v>3</v>
      </c>
      <c r="P412" s="423">
        <f>VLOOKUP(L412,'selección precios unitario'!$A$5:$I$418,9,FALSE)</f>
        <v>17000</v>
      </c>
      <c r="Q412" s="423">
        <f t="shared" si="142"/>
        <v>51000</v>
      </c>
    </row>
    <row r="413" spans="1:60" ht="15" outlineLevel="1" x14ac:dyDescent="0.25">
      <c r="A413" s="354" t="s">
        <v>558</v>
      </c>
      <c r="B413" s="364" t="s">
        <v>84</v>
      </c>
      <c r="C413" s="367" t="s">
        <v>14</v>
      </c>
      <c r="D413" s="346">
        <v>10</v>
      </c>
      <c r="E413" s="353">
        <v>5400</v>
      </c>
      <c r="F413" s="353">
        <f t="shared" si="136"/>
        <v>54000</v>
      </c>
      <c r="G413" s="349">
        <v>5200</v>
      </c>
      <c r="H413" s="412">
        <f t="shared" si="137"/>
        <v>52000</v>
      </c>
      <c r="I413" s="1285">
        <f>IFERROR(VLOOKUP(A413,'valores unit indexados'!$A$14:$O$197,15,FALSE),0)</f>
        <v>0</v>
      </c>
      <c r="J413" s="349">
        <f t="shared" si="133"/>
        <v>0</v>
      </c>
      <c r="K413"/>
      <c r="L413" s="354" t="str">
        <f t="shared" si="131"/>
        <v>F. 3,7</v>
      </c>
      <c r="M413" s="364" t="str">
        <f t="shared" si="132"/>
        <v xml:space="preserve">Rasqueteada de pintura y retiro de mortero en mal estado  </v>
      </c>
      <c r="N413" s="367" t="str">
        <f t="shared" si="140"/>
        <v>ML</v>
      </c>
      <c r="O413" s="346">
        <f t="shared" si="141"/>
        <v>10</v>
      </c>
      <c r="P413" s="423">
        <f>VLOOKUP(L413,'selección precios unitario'!$A$5:$I$418,9,FALSE)</f>
        <v>4700</v>
      </c>
      <c r="Q413" s="423">
        <f t="shared" si="142"/>
        <v>47000</v>
      </c>
    </row>
    <row r="414" spans="1:60" ht="38.25" outlineLevel="1" x14ac:dyDescent="0.25">
      <c r="A414" s="386" t="s">
        <v>559</v>
      </c>
      <c r="B414" s="368" t="s">
        <v>86</v>
      </c>
      <c r="C414" s="367" t="s">
        <v>14</v>
      </c>
      <c r="D414" s="346">
        <v>10</v>
      </c>
      <c r="E414" s="353">
        <v>28800</v>
      </c>
      <c r="F414" s="353">
        <f t="shared" si="136"/>
        <v>288000</v>
      </c>
      <c r="G414" s="349">
        <v>6500</v>
      </c>
      <c r="H414" s="412">
        <f t="shared" si="137"/>
        <v>65000</v>
      </c>
      <c r="I414" s="1285">
        <f>IFERROR(VLOOKUP(A414,'valores unit indexados'!$A$14:$O$197,15,FALSE),0)</f>
        <v>0</v>
      </c>
      <c r="J414" s="349">
        <f t="shared" si="133"/>
        <v>0</v>
      </c>
      <c r="K414"/>
      <c r="L414" s="386" t="str">
        <f t="shared" si="131"/>
        <v>F. 3,8</v>
      </c>
      <c r="M414" s="368" t="str">
        <f t="shared" si="132"/>
        <v xml:space="preserve">Suministro e instalación de recubrimiento cementoso (Recubrimiento a base de cemento, arena y aditivos especiales), impermeable para muros color blanco </v>
      </c>
      <c r="N414" s="367" t="str">
        <f t="shared" si="140"/>
        <v>ML</v>
      </c>
      <c r="O414" s="346">
        <f t="shared" si="141"/>
        <v>10</v>
      </c>
      <c r="P414" s="423">
        <f>VLOOKUP(L414,'selección precios unitario'!$A$5:$I$418,9,FALSE)</f>
        <v>17650</v>
      </c>
      <c r="Q414" s="423">
        <f t="shared" si="142"/>
        <v>176500</v>
      </c>
    </row>
    <row r="415" spans="1:60" ht="15" outlineLevel="1" x14ac:dyDescent="0.25">
      <c r="A415" s="354" t="s">
        <v>560</v>
      </c>
      <c r="B415" s="368" t="s">
        <v>88</v>
      </c>
      <c r="C415" s="367" t="s">
        <v>14</v>
      </c>
      <c r="D415" s="346">
        <v>10</v>
      </c>
      <c r="E415" s="353">
        <v>16800</v>
      </c>
      <c r="F415" s="353">
        <f t="shared" si="136"/>
        <v>168000</v>
      </c>
      <c r="G415" s="349">
        <v>11700</v>
      </c>
      <c r="H415" s="412">
        <f t="shared" si="137"/>
        <v>117000</v>
      </c>
      <c r="I415" s="1285">
        <f>IFERROR(VLOOKUP(A415,'valores unit indexados'!$A$14:$O$197,15,FALSE),0)</f>
        <v>24610</v>
      </c>
      <c r="J415" s="349">
        <f t="shared" si="133"/>
        <v>246100</v>
      </c>
      <c r="K415"/>
      <c r="L415" s="354" t="str">
        <f t="shared" si="131"/>
        <v>F. 3,9</v>
      </c>
      <c r="M415" s="368" t="str">
        <f t="shared" si="132"/>
        <v xml:space="preserve">Suministro y aplicación de estuco plástico </v>
      </c>
      <c r="N415" s="367" t="str">
        <f t="shared" si="140"/>
        <v>ML</v>
      </c>
      <c r="O415" s="346">
        <f t="shared" si="141"/>
        <v>10</v>
      </c>
      <c r="P415" s="423">
        <f>VLOOKUP(L415,'selección precios unitario'!$A$5:$I$418,9,FALSE)</f>
        <v>20705</v>
      </c>
      <c r="Q415" s="423">
        <f t="shared" si="142"/>
        <v>207050</v>
      </c>
    </row>
    <row r="416" spans="1:60" ht="15" outlineLevel="1" x14ac:dyDescent="0.25">
      <c r="A416" s="386" t="s">
        <v>561</v>
      </c>
      <c r="B416" s="368" t="s">
        <v>98</v>
      </c>
      <c r="C416" s="367" t="s">
        <v>14</v>
      </c>
      <c r="D416" s="346">
        <v>10</v>
      </c>
      <c r="E416" s="353">
        <v>10200</v>
      </c>
      <c r="F416" s="353">
        <f t="shared" si="136"/>
        <v>102000</v>
      </c>
      <c r="G416" s="349">
        <v>5200</v>
      </c>
      <c r="H416" s="412">
        <f t="shared" si="137"/>
        <v>52000</v>
      </c>
      <c r="I416" s="1285">
        <f>IFERROR(VLOOKUP(A416,'valores unit indexados'!$A$14:$O$197,15,FALSE),0)</f>
        <v>0</v>
      </c>
      <c r="J416" s="349">
        <f t="shared" si="133"/>
        <v>0</v>
      </c>
      <c r="K416"/>
      <c r="L416" s="386" t="str">
        <f t="shared" si="131"/>
        <v>F. 3,10</v>
      </c>
      <c r="M416" s="368" t="str">
        <f t="shared" si="132"/>
        <v>Suministro y aplicación de vinilo tipo 2 (3 manos)</v>
      </c>
      <c r="N416" s="367" t="str">
        <f t="shared" si="140"/>
        <v>ML</v>
      </c>
      <c r="O416" s="346">
        <f t="shared" si="141"/>
        <v>10</v>
      </c>
      <c r="P416" s="423">
        <f>VLOOKUP(L416,'selección precios unitario'!$A$5:$I$418,9,FALSE)</f>
        <v>6120</v>
      </c>
      <c r="Q416" s="423">
        <f t="shared" si="142"/>
        <v>61200</v>
      </c>
    </row>
    <row r="417" spans="1:60" ht="15" outlineLevel="1" x14ac:dyDescent="0.25">
      <c r="A417" s="354" t="s">
        <v>562</v>
      </c>
      <c r="B417" s="368" t="s">
        <v>92</v>
      </c>
      <c r="C417" s="367" t="s">
        <v>14</v>
      </c>
      <c r="D417" s="346">
        <v>10</v>
      </c>
      <c r="E417" s="353">
        <v>10800</v>
      </c>
      <c r="F417" s="353">
        <f t="shared" si="136"/>
        <v>108000</v>
      </c>
      <c r="G417" s="349">
        <v>5200</v>
      </c>
      <c r="H417" s="412">
        <f t="shared" si="137"/>
        <v>52000</v>
      </c>
      <c r="I417" s="1285">
        <f>IFERROR(VLOOKUP(A417,'valores unit indexados'!$A$14:$O$197,15,FALSE),0)</f>
        <v>0</v>
      </c>
      <c r="J417" s="349">
        <f t="shared" si="133"/>
        <v>0</v>
      </c>
      <c r="K417"/>
      <c r="L417" s="354" t="str">
        <f t="shared" si="131"/>
        <v>F. 3,11</v>
      </c>
      <c r="M417" s="368" t="str">
        <f t="shared" si="132"/>
        <v>Suministro y aplicación de pintura en esmalte</v>
      </c>
      <c r="N417" s="367" t="str">
        <f t="shared" si="140"/>
        <v>ML</v>
      </c>
      <c r="O417" s="346">
        <f t="shared" si="141"/>
        <v>10</v>
      </c>
      <c r="P417" s="423">
        <f>VLOOKUP(L417,'selección precios unitario'!$A$5:$I$418,9,FALSE)</f>
        <v>8000</v>
      </c>
      <c r="Q417" s="423">
        <f t="shared" si="142"/>
        <v>80000</v>
      </c>
    </row>
    <row r="418" spans="1:60" s="1533" customFormat="1" ht="24.75" customHeight="1" outlineLevel="1" x14ac:dyDescent="0.25">
      <c r="A418" s="1527" t="s">
        <v>563</v>
      </c>
      <c r="B418" s="1528" t="s">
        <v>564</v>
      </c>
      <c r="C418" s="1527"/>
      <c r="D418" s="1529"/>
      <c r="E418" s="1530"/>
      <c r="F418" s="1531">
        <f t="shared" si="136"/>
        <v>0</v>
      </c>
      <c r="G418" s="1530"/>
      <c r="H418" s="1531">
        <f t="shared" si="137"/>
        <v>0</v>
      </c>
      <c r="I418" s="1532"/>
      <c r="J418" s="1527"/>
      <c r="K418"/>
      <c r="L418" s="1527" t="str">
        <f t="shared" si="131"/>
        <v>F. 4</v>
      </c>
      <c r="M418" s="1836" t="str">
        <f t="shared" si="132"/>
        <v xml:space="preserve"> Mantenimiento de cubierta </v>
      </c>
      <c r="N418" s="1837"/>
      <c r="O418" s="1837"/>
      <c r="P418" s="1837"/>
      <c r="Q418" s="1838"/>
      <c r="R418" s="1544"/>
      <c r="S418" s="1544"/>
      <c r="T418" s="1544"/>
      <c r="U418" s="1544"/>
      <c r="V418" s="1544"/>
      <c r="W418" s="1544"/>
      <c r="X418" s="1544"/>
      <c r="Y418" s="1544"/>
      <c r="Z418" s="1544"/>
      <c r="AA418" s="1544"/>
      <c r="AB418" s="1544"/>
      <c r="AC418" s="1544"/>
      <c r="AD418" s="1544"/>
      <c r="AE418" s="1544"/>
      <c r="AF418" s="1544"/>
      <c r="AG418" s="1544"/>
      <c r="AH418" s="1544"/>
      <c r="AI418" s="1544"/>
      <c r="AJ418" s="1544"/>
      <c r="AK418" s="1544"/>
      <c r="AL418" s="1544"/>
      <c r="AM418" s="1544"/>
      <c r="AN418" s="1544"/>
      <c r="AO418" s="1544"/>
      <c r="AP418" s="1544"/>
      <c r="AQ418" s="1544"/>
      <c r="AR418" s="1544"/>
      <c r="AS418" s="1544"/>
      <c r="AT418" s="1544"/>
      <c r="AU418" s="1544"/>
      <c r="AV418" s="1544"/>
      <c r="AW418" s="1544"/>
      <c r="AX418" s="1544"/>
      <c r="AY418" s="1544"/>
      <c r="AZ418" s="1544"/>
      <c r="BA418" s="1544"/>
      <c r="BB418" s="1544"/>
      <c r="BC418" s="1544"/>
      <c r="BD418" s="1544"/>
      <c r="BE418" s="1544"/>
      <c r="BF418" s="1544"/>
      <c r="BG418" s="1544"/>
      <c r="BH418" s="1544"/>
    </row>
    <row r="419" spans="1:60" ht="38.25" outlineLevel="1" x14ac:dyDescent="0.25">
      <c r="A419" s="386" t="s">
        <v>565</v>
      </c>
      <c r="B419" s="388" t="s">
        <v>566</v>
      </c>
      <c r="C419" s="389" t="s">
        <v>19</v>
      </c>
      <c r="D419" s="346">
        <v>490</v>
      </c>
      <c r="E419" s="379">
        <v>33000</v>
      </c>
      <c r="F419" s="353">
        <f t="shared" si="136"/>
        <v>16170000</v>
      </c>
      <c r="G419" s="387">
        <v>0</v>
      </c>
      <c r="H419" s="412">
        <f t="shared" si="137"/>
        <v>0</v>
      </c>
      <c r="I419" s="1285">
        <f>IFERROR(VLOOKUP(A419,'valores unit indexados'!$A$14:$O$197,15,FALSE),0)</f>
        <v>0</v>
      </c>
      <c r="J419" s="349">
        <f t="shared" si="133"/>
        <v>0</v>
      </c>
      <c r="K419"/>
      <c r="L419" s="386" t="str">
        <f t="shared" si="131"/>
        <v>F. 4,1</v>
      </c>
      <c r="M419" s="388" t="str">
        <f t="shared" si="132"/>
        <v>Lavada de cubierta con agua a chorro de aspersión con hipoclorito.(incluye retiro de material extraño  y debe realizarse con belt manlift)</v>
      </c>
      <c r="N419" s="389" t="str">
        <f>+C419</f>
        <v>M2</v>
      </c>
      <c r="O419" s="346">
        <f>+D419</f>
        <v>490</v>
      </c>
      <c r="P419" s="423">
        <f>VLOOKUP(L419,'selección precios unitario'!$A$5:$I$418,9,FALSE)</f>
        <v>33000</v>
      </c>
      <c r="Q419" s="423">
        <f t="shared" ref="Q419:Q425" si="143">ROUND(P419*O419,0)</f>
        <v>16170000</v>
      </c>
    </row>
    <row r="420" spans="1:60" ht="25.5" outlineLevel="1" x14ac:dyDescent="0.25">
      <c r="A420" s="386" t="s">
        <v>567</v>
      </c>
      <c r="B420" s="368" t="s">
        <v>568</v>
      </c>
      <c r="C420" s="363" t="s">
        <v>14</v>
      </c>
      <c r="D420" s="346">
        <v>60</v>
      </c>
      <c r="E420" s="353">
        <v>60000</v>
      </c>
      <c r="F420" s="353">
        <f t="shared" si="136"/>
        <v>3600000</v>
      </c>
      <c r="G420" s="387">
        <v>0</v>
      </c>
      <c r="H420" s="412">
        <f t="shared" si="137"/>
        <v>0</v>
      </c>
      <c r="I420" s="1285">
        <f>IFERROR(VLOOKUP(A420,'valores unit indexados'!$A$14:$O$197,15,FALSE),0)</f>
        <v>55754</v>
      </c>
      <c r="J420" s="349">
        <f t="shared" si="133"/>
        <v>3345240</v>
      </c>
      <c r="K420"/>
      <c r="L420" s="386" t="str">
        <f t="shared" si="131"/>
        <v>F. 4,2</v>
      </c>
      <c r="M420" s="368" t="str">
        <f t="shared" si="132"/>
        <v xml:space="preserve">Suministro e instalación de manto asfáltica Foil de aluminio adhesivo </v>
      </c>
      <c r="N420" s="363" t="str">
        <f t="shared" ref="N420:O425" si="144">+C420</f>
        <v>ML</v>
      </c>
      <c r="O420" s="346">
        <f t="shared" si="144"/>
        <v>60</v>
      </c>
      <c r="P420" s="423">
        <f>VLOOKUP(L420,'selección precios unitario'!$A$5:$I$418,9,FALSE)</f>
        <v>57877</v>
      </c>
      <c r="Q420" s="423">
        <f t="shared" si="143"/>
        <v>3472620</v>
      </c>
    </row>
    <row r="421" spans="1:60" ht="25.5" outlineLevel="1" x14ac:dyDescent="0.25">
      <c r="A421" s="386" t="s">
        <v>569</v>
      </c>
      <c r="B421" s="360" t="s">
        <v>61</v>
      </c>
      <c r="C421" s="361" t="s">
        <v>14</v>
      </c>
      <c r="D421" s="346">
        <v>40</v>
      </c>
      <c r="E421" s="353">
        <v>46000</v>
      </c>
      <c r="F421" s="353">
        <f t="shared" si="136"/>
        <v>1840000</v>
      </c>
      <c r="G421" s="349">
        <v>57837</v>
      </c>
      <c r="H421" s="412">
        <f t="shared" si="137"/>
        <v>2313480</v>
      </c>
      <c r="I421" s="1285">
        <f>IFERROR(VLOOKUP(A421,'valores unit indexados'!$A$14:$O$197,15,FALSE),0)</f>
        <v>0</v>
      </c>
      <c r="J421" s="349">
        <f t="shared" si="133"/>
        <v>0</v>
      </c>
      <c r="K421"/>
      <c r="L421" s="386" t="str">
        <f t="shared" si="131"/>
        <v>F. 4,3</v>
      </c>
      <c r="M421" s="360" t="str">
        <f t="shared" si="132"/>
        <v>Suministro e instalación de Solapa en lamina galvanizada Cal 24, incluye sellador sobre muro</v>
      </c>
      <c r="N421" s="361" t="str">
        <f t="shared" si="144"/>
        <v>ML</v>
      </c>
      <c r="O421" s="346">
        <f t="shared" si="144"/>
        <v>40</v>
      </c>
      <c r="P421" s="423">
        <f>VLOOKUP(L421,'selección precios unitario'!$A$5:$I$418,9,FALSE)</f>
        <v>51919</v>
      </c>
      <c r="Q421" s="423">
        <f t="shared" si="143"/>
        <v>2076760</v>
      </c>
    </row>
    <row r="422" spans="1:60" ht="25.5" outlineLevel="1" x14ac:dyDescent="0.25">
      <c r="A422" s="386" t="s">
        <v>570</v>
      </c>
      <c r="B422" s="358" t="s">
        <v>1482</v>
      </c>
      <c r="C422" s="356" t="s">
        <v>19</v>
      </c>
      <c r="D422" s="346">
        <v>15</v>
      </c>
      <c r="E422" s="379">
        <v>135000</v>
      </c>
      <c r="F422" s="353">
        <f t="shared" si="136"/>
        <v>2025000</v>
      </c>
      <c r="G422" s="349">
        <v>77870</v>
      </c>
      <c r="H422" s="412">
        <f t="shared" si="137"/>
        <v>1168050</v>
      </c>
      <c r="I422" s="1285">
        <f>IFERROR(VLOOKUP(A422,'valores unit indexados'!$A$14:$O$197,15,FALSE),0)</f>
        <v>0</v>
      </c>
      <c r="J422" s="349">
        <f t="shared" si="133"/>
        <v>0</v>
      </c>
      <c r="K422"/>
      <c r="L422" s="386" t="str">
        <f t="shared" si="131"/>
        <v>F. 4,4</v>
      </c>
      <c r="M422" s="358" t="str">
        <f t="shared" si="132"/>
        <v xml:space="preserve">Suministro e instalación de césped sintético de 13 mm para uso exterior </v>
      </c>
      <c r="N422" s="356" t="str">
        <f t="shared" si="144"/>
        <v>M2</v>
      </c>
      <c r="O422" s="346">
        <f t="shared" si="144"/>
        <v>15</v>
      </c>
      <c r="P422" s="423">
        <f>VLOOKUP(L422,'selección precios unitario'!$A$5:$I$418,9,FALSE)</f>
        <v>77870</v>
      </c>
      <c r="Q422" s="423">
        <f t="shared" si="143"/>
        <v>1168050</v>
      </c>
    </row>
    <row r="423" spans="1:60" ht="15" outlineLevel="1" x14ac:dyDescent="0.25">
      <c r="A423" s="386" t="s">
        <v>571</v>
      </c>
      <c r="B423" s="358" t="s">
        <v>195</v>
      </c>
      <c r="C423" s="356" t="s">
        <v>19</v>
      </c>
      <c r="D423" s="346">
        <v>570</v>
      </c>
      <c r="E423" s="353">
        <v>7000</v>
      </c>
      <c r="F423" s="353">
        <f t="shared" si="136"/>
        <v>3990000</v>
      </c>
      <c r="G423" s="349">
        <v>4200</v>
      </c>
      <c r="H423" s="412">
        <f t="shared" si="137"/>
        <v>2394000</v>
      </c>
      <c r="I423" s="1285">
        <f>IFERROR(VLOOKUP(A423,'valores unit indexados'!$A$14:$O$197,15,FALSE),0)</f>
        <v>5300</v>
      </c>
      <c r="J423" s="349">
        <f t="shared" si="133"/>
        <v>3021000</v>
      </c>
      <c r="K423"/>
      <c r="L423" s="386" t="str">
        <f t="shared" si="131"/>
        <v>F. 4,5</v>
      </c>
      <c r="M423" s="358" t="str">
        <f t="shared" si="132"/>
        <v>Aseo general.</v>
      </c>
      <c r="N423" s="356" t="str">
        <f t="shared" si="144"/>
        <v>M2</v>
      </c>
      <c r="O423" s="346">
        <f t="shared" si="144"/>
        <v>570</v>
      </c>
      <c r="P423" s="423">
        <f>VLOOKUP(L423,'selección precios unitario'!$A$5:$I$418,9,FALSE)</f>
        <v>5500</v>
      </c>
      <c r="Q423" s="423">
        <f t="shared" si="143"/>
        <v>3135000</v>
      </c>
    </row>
    <row r="424" spans="1:60" ht="15" outlineLevel="1" x14ac:dyDescent="0.25">
      <c r="A424" s="386" t="s">
        <v>572</v>
      </c>
      <c r="B424" s="358" t="s">
        <v>1509</v>
      </c>
      <c r="C424" s="356" t="s">
        <v>6</v>
      </c>
      <c r="D424" s="346">
        <v>6</v>
      </c>
      <c r="E424" s="353">
        <v>45000</v>
      </c>
      <c r="F424" s="353">
        <f t="shared" si="136"/>
        <v>270000</v>
      </c>
      <c r="G424" s="349">
        <v>9000</v>
      </c>
      <c r="H424" s="412">
        <f t="shared" si="137"/>
        <v>54000</v>
      </c>
      <c r="I424" s="1285">
        <f>IFERROR(VLOOKUP(A424,'valores unit indexados'!$A$14:$O$197,15,FALSE),0)</f>
        <v>0</v>
      </c>
      <c r="J424" s="349">
        <f t="shared" si="133"/>
        <v>0</v>
      </c>
      <c r="K424"/>
      <c r="L424" s="386" t="str">
        <f t="shared" si="131"/>
        <v>F. 4,6</v>
      </c>
      <c r="M424" s="358" t="str">
        <f t="shared" si="132"/>
        <v>retiro de rejilla sifón (incluye demolición y retiro)</v>
      </c>
      <c r="N424" s="356" t="str">
        <f t="shared" si="144"/>
        <v>UND</v>
      </c>
      <c r="O424" s="346">
        <f t="shared" si="144"/>
        <v>6</v>
      </c>
      <c r="P424" s="423">
        <f>VLOOKUP(L424,'selección precios unitario'!$A$5:$I$418,9,FALSE)</f>
        <v>9000</v>
      </c>
      <c r="Q424" s="423">
        <f t="shared" si="143"/>
        <v>54000</v>
      </c>
    </row>
    <row r="425" spans="1:60" ht="15.75" outlineLevel="1" thickBot="1" x14ac:dyDescent="0.3">
      <c r="A425" s="386" t="s">
        <v>574</v>
      </c>
      <c r="B425" s="358" t="s">
        <v>1510</v>
      </c>
      <c r="C425" s="356" t="s">
        <v>6</v>
      </c>
      <c r="D425" s="346">
        <v>6</v>
      </c>
      <c r="E425" s="353">
        <v>98000</v>
      </c>
      <c r="F425" s="353">
        <f t="shared" si="136"/>
        <v>588000</v>
      </c>
      <c r="G425" s="349">
        <v>15000</v>
      </c>
      <c r="H425" s="412">
        <f t="shared" si="137"/>
        <v>90000</v>
      </c>
      <c r="I425" s="1285">
        <f>IFERROR(VLOOKUP(A425,'valores unit indexados'!$A$14:$O$197,15,FALSE),0)</f>
        <v>0</v>
      </c>
      <c r="J425" s="349">
        <f t="shared" si="133"/>
        <v>0</v>
      </c>
      <c r="K425"/>
      <c r="L425" s="386" t="str">
        <f t="shared" si="131"/>
        <v>F. 4,7</v>
      </c>
      <c r="M425" s="358" t="str">
        <f t="shared" si="132"/>
        <v>Suministro e instalación de sifón de 3"</v>
      </c>
      <c r="N425" s="356" t="str">
        <f t="shared" si="144"/>
        <v>UND</v>
      </c>
      <c r="O425" s="346">
        <f t="shared" si="144"/>
        <v>6</v>
      </c>
      <c r="P425" s="423">
        <f>VLOOKUP(L425,'selección precios unitario'!$A$5:$I$418,9,FALSE)</f>
        <v>56500</v>
      </c>
      <c r="Q425" s="423">
        <f t="shared" si="143"/>
        <v>339000</v>
      </c>
    </row>
    <row r="426" spans="1:60" ht="15.75" thickBot="1" x14ac:dyDescent="0.3">
      <c r="A426"/>
      <c r="B426"/>
      <c r="C426" s="1712" t="s">
        <v>196</v>
      </c>
      <c r="D426" s="1775"/>
      <c r="E426" s="1714"/>
      <c r="F426" s="1715">
        <f>SUM(F394:F425)</f>
        <v>123320000</v>
      </c>
      <c r="G426" s="1716"/>
      <c r="H426" s="1715">
        <f>SUM(H394:H425)</f>
        <v>61528220</v>
      </c>
      <c r="I426" s="1717"/>
      <c r="J426" s="1722">
        <f>SUM(J394:J425)</f>
        <v>37353709</v>
      </c>
      <c r="K426"/>
      <c r="L426" s="1777"/>
      <c r="M426" s="1721"/>
      <c r="N426" s="1839" t="str">
        <f t="shared" ref="N426:N431" si="145">+C426</f>
        <v>COSTO DIRECTO</v>
      </c>
      <c r="O426" s="1840"/>
      <c r="P426" s="1841"/>
      <c r="Q426" s="1722">
        <f>SUM(Q392:Q425)</f>
        <v>98378264</v>
      </c>
    </row>
    <row r="427" spans="1:60" ht="15" x14ac:dyDescent="0.25">
      <c r="A427"/>
      <c r="B427"/>
      <c r="C427" s="1773" t="s">
        <v>197</v>
      </c>
      <c r="D427" s="1774"/>
      <c r="E427" s="1708">
        <v>0.25</v>
      </c>
      <c r="F427" s="1709">
        <f>+E427*F$426</f>
        <v>30830000</v>
      </c>
      <c r="G427" s="1708">
        <v>0.24</v>
      </c>
      <c r="H427" s="1709">
        <f>+G427*H$426</f>
        <v>14766772.799999999</v>
      </c>
      <c r="I427" s="1708">
        <v>0</v>
      </c>
      <c r="J427" s="1709">
        <f>+I427*J$426</f>
        <v>0</v>
      </c>
      <c r="K427"/>
      <c r="L427" s="1298"/>
      <c r="M427" s="1645"/>
      <c r="N427" s="1845" t="str">
        <f t="shared" si="145"/>
        <v xml:space="preserve">ADMINISTRACION </v>
      </c>
      <c r="O427" s="1846"/>
      <c r="P427" s="1710">
        <v>0.185</v>
      </c>
      <c r="Q427" s="1711">
        <f>ROUND(P427*$Q$426,0)</f>
        <v>18199979</v>
      </c>
    </row>
    <row r="428" spans="1:60" ht="15" x14ac:dyDescent="0.25">
      <c r="A428"/>
      <c r="B428"/>
      <c r="C428" s="1769" t="s">
        <v>198</v>
      </c>
      <c r="D428" s="1770"/>
      <c r="E428" s="375">
        <v>0.02</v>
      </c>
      <c r="F428" s="376">
        <f t="shared" ref="F428:H429" si="146">+E428*F$426</f>
        <v>2466400</v>
      </c>
      <c r="G428" s="375">
        <v>0.01</v>
      </c>
      <c r="H428" s="376">
        <f t="shared" si="146"/>
        <v>615282.20000000007</v>
      </c>
      <c r="I428" s="375">
        <v>0</v>
      </c>
      <c r="J428" s="376">
        <f t="shared" ref="J428:J429" si="147">+I428*J$426</f>
        <v>0</v>
      </c>
      <c r="K428"/>
      <c r="L428" s="1298"/>
      <c r="M428" s="1645"/>
      <c r="N428" s="1847" t="str">
        <f t="shared" si="145"/>
        <v xml:space="preserve">IMPREVISTO </v>
      </c>
      <c r="O428" s="1848"/>
      <c r="P428" s="1296">
        <v>0.02</v>
      </c>
      <c r="Q428" s="1711">
        <f t="shared" ref="Q428:Q429" si="148">ROUND(P428*$Q$426,0)</f>
        <v>1967565</v>
      </c>
    </row>
    <row r="429" spans="1:60" ht="15" x14ac:dyDescent="0.25">
      <c r="A429"/>
      <c r="B429"/>
      <c r="C429" s="1769" t="s">
        <v>199</v>
      </c>
      <c r="D429" s="1770"/>
      <c r="E429" s="375">
        <v>0.05</v>
      </c>
      <c r="F429" s="376">
        <f t="shared" si="146"/>
        <v>6166000</v>
      </c>
      <c r="G429" s="375">
        <v>0.05</v>
      </c>
      <c r="H429" s="376">
        <f t="shared" si="146"/>
        <v>3076411</v>
      </c>
      <c r="I429" s="375">
        <v>0</v>
      </c>
      <c r="J429" s="376">
        <f t="shared" si="147"/>
        <v>0</v>
      </c>
      <c r="K429"/>
      <c r="L429" s="1298"/>
      <c r="M429" s="1645"/>
      <c r="N429" s="1847" t="str">
        <f t="shared" si="145"/>
        <v>UTILIDAD</v>
      </c>
      <c r="O429" s="1848"/>
      <c r="P429" s="1296">
        <v>4.4999999999999998E-2</v>
      </c>
      <c r="Q429" s="1711">
        <f t="shared" si="148"/>
        <v>4427022</v>
      </c>
    </row>
    <row r="430" spans="1:60" ht="15.75" thickBot="1" x14ac:dyDescent="0.3">
      <c r="A430"/>
      <c r="B430"/>
      <c r="C430" s="1771" t="s">
        <v>200</v>
      </c>
      <c r="D430" s="1772"/>
      <c r="E430" s="1725">
        <v>0.19</v>
      </c>
      <c r="F430" s="1726">
        <f>+F429*E430</f>
        <v>1171540</v>
      </c>
      <c r="G430" s="1725">
        <v>0.19</v>
      </c>
      <c r="H430" s="1726">
        <f>+H429*G430</f>
        <v>584518.09</v>
      </c>
      <c r="I430" s="1725">
        <v>0</v>
      </c>
      <c r="J430" s="1726">
        <f>+J429*I430</f>
        <v>0</v>
      </c>
      <c r="K430"/>
      <c r="L430" s="1298"/>
      <c r="M430" s="1645"/>
      <c r="N430" s="1849" t="str">
        <f t="shared" si="145"/>
        <v xml:space="preserve">IVA SOBRE UTILIDAD </v>
      </c>
      <c r="O430" s="1850"/>
      <c r="P430" s="1727">
        <v>0.19</v>
      </c>
      <c r="Q430" s="1711">
        <f>ROUND(P430*$Q$429,0)</f>
        <v>841134</v>
      </c>
    </row>
    <row r="431" spans="1:60" ht="15.75" thickBot="1" x14ac:dyDescent="0.3">
      <c r="A431"/>
      <c r="B431"/>
      <c r="C431" s="1728" t="s">
        <v>201</v>
      </c>
      <c r="D431" s="1729"/>
      <c r="E431" s="1730"/>
      <c r="F431" s="1731">
        <f>SUM(F426:F430)</f>
        <v>163953940</v>
      </c>
      <c r="G431" s="1730"/>
      <c r="H431" s="1731">
        <f>SUM(H426:H430)</f>
        <v>80571204.090000004</v>
      </c>
      <c r="I431" s="1732"/>
      <c r="J431" s="1779">
        <f>SUM(J426:J430)</f>
        <v>37353709</v>
      </c>
      <c r="K431"/>
      <c r="L431" s="1777"/>
      <c r="M431" s="1721"/>
      <c r="N431" s="1842" t="str">
        <f t="shared" si="145"/>
        <v xml:space="preserve">VALOR TOTAL INCLUIDO AIU E IVA </v>
      </c>
      <c r="O431" s="1843"/>
      <c r="P431" s="1844"/>
      <c r="Q431" s="1733">
        <f>SUM(Q426:Q430)</f>
        <v>123813964</v>
      </c>
    </row>
    <row r="432" spans="1:60" ht="15.75" thickBot="1" x14ac:dyDescent="0.3">
      <c r="K432"/>
      <c r="L432" s="1298"/>
      <c r="M432"/>
      <c r="N432"/>
      <c r="O432"/>
      <c r="P432"/>
      <c r="Q432"/>
    </row>
    <row r="433" spans="1:60" ht="15.75" thickBot="1" x14ac:dyDescent="0.3">
      <c r="A433" s="1801" t="s">
        <v>576</v>
      </c>
      <c r="B433" s="1802" t="s">
        <v>577</v>
      </c>
      <c r="C433" s="1802"/>
      <c r="D433" s="1802"/>
      <c r="E433" s="1802"/>
      <c r="F433" s="1802"/>
      <c r="G433" s="1802"/>
      <c r="H433" s="1802"/>
      <c r="I433" s="1802"/>
      <c r="J433" s="1818"/>
      <c r="K433"/>
      <c r="L433" s="1819" t="str">
        <f t="shared" ref="L433:L462" si="149">+A433</f>
        <v>G</v>
      </c>
      <c r="M433" s="1853" t="str">
        <f>+B433</f>
        <v xml:space="preserve">Juzgado Promiscuo Municipal de Obando </v>
      </c>
      <c r="N433" s="1854"/>
      <c r="O433" s="1854"/>
      <c r="P433" s="1854"/>
      <c r="Q433" s="1855"/>
    </row>
    <row r="434" spans="1:60" s="1533" customFormat="1" ht="24.75" customHeight="1" outlineLevel="1" x14ac:dyDescent="0.25">
      <c r="A434" s="1527" t="s">
        <v>578</v>
      </c>
      <c r="B434" s="1528" t="s">
        <v>527</v>
      </c>
      <c r="C434" s="1527"/>
      <c r="D434" s="1529"/>
      <c r="E434" s="1530"/>
      <c r="F434" s="1531"/>
      <c r="G434" s="1530"/>
      <c r="H434" s="1531">
        <v>0</v>
      </c>
      <c r="I434" s="1532"/>
      <c r="J434" s="1527"/>
      <c r="K434"/>
      <c r="L434" s="1527" t="str">
        <f t="shared" si="149"/>
        <v xml:space="preserve">G.1 </v>
      </c>
      <c r="M434" s="1836" t="str">
        <f t="shared" ref="M434:M462" si="150">+B434</f>
        <v xml:space="preserve">Tratamiento de humedades fachada </v>
      </c>
      <c r="N434" s="1837"/>
      <c r="O434" s="1837"/>
      <c r="P434" s="1837"/>
      <c r="Q434" s="1838"/>
      <c r="R434" s="1544"/>
      <c r="S434" s="1544"/>
      <c r="T434" s="1544"/>
      <c r="U434" s="1544"/>
      <c r="V434" s="1544"/>
      <c r="W434" s="1544"/>
      <c r="X434" s="1544"/>
      <c r="Y434" s="1544"/>
      <c r="Z434" s="1544"/>
      <c r="AA434" s="1544"/>
      <c r="AB434" s="1544"/>
      <c r="AC434" s="1544"/>
      <c r="AD434" s="1544"/>
      <c r="AE434" s="1544"/>
      <c r="AF434" s="1544"/>
      <c r="AG434" s="1544"/>
      <c r="AH434" s="1544"/>
      <c r="AI434" s="1544"/>
      <c r="AJ434" s="1544"/>
      <c r="AK434" s="1544"/>
      <c r="AL434" s="1544"/>
      <c r="AM434" s="1544"/>
      <c r="AN434" s="1544"/>
      <c r="AO434" s="1544"/>
      <c r="AP434" s="1544"/>
      <c r="AQ434" s="1544"/>
      <c r="AR434" s="1544"/>
      <c r="AS434" s="1544"/>
      <c r="AT434" s="1544"/>
      <c r="AU434" s="1544"/>
      <c r="AV434" s="1544"/>
      <c r="AW434" s="1544"/>
      <c r="AX434" s="1544"/>
      <c r="AY434" s="1544"/>
      <c r="AZ434" s="1544"/>
      <c r="BA434" s="1544"/>
      <c r="BB434" s="1544"/>
      <c r="BC434" s="1544"/>
      <c r="BD434" s="1544"/>
      <c r="BE434" s="1544"/>
      <c r="BF434" s="1544"/>
      <c r="BG434" s="1544"/>
      <c r="BH434" s="1544"/>
    </row>
    <row r="435" spans="1:60" ht="25.5" outlineLevel="1" x14ac:dyDescent="0.25">
      <c r="A435" s="386" t="s">
        <v>579</v>
      </c>
      <c r="B435" s="358" t="s">
        <v>529</v>
      </c>
      <c r="C435" s="356" t="s">
        <v>19</v>
      </c>
      <c r="D435" s="346">
        <v>33</v>
      </c>
      <c r="E435" s="353">
        <v>12500</v>
      </c>
      <c r="F435" s="376">
        <f>+E435*D435</f>
        <v>412500</v>
      </c>
      <c r="G435" s="387">
        <v>0</v>
      </c>
      <c r="H435" s="349">
        <f>+G435*D435</f>
        <v>0</v>
      </c>
      <c r="I435" s="1285"/>
      <c r="J435" s="349">
        <f t="shared" ref="J435:J462" si="151">+I435*D435</f>
        <v>0</v>
      </c>
      <c r="K435"/>
      <c r="L435" s="386" t="str">
        <f t="shared" si="149"/>
        <v>G. 1,1</v>
      </c>
      <c r="M435" s="358" t="str">
        <f t="shared" si="150"/>
        <v xml:space="preserve">suministro e instalación de protector sobre fachada en poli sombra, incluye accesorios y elementos para su fijación. </v>
      </c>
      <c r="N435" s="356" t="str">
        <f t="shared" ref="N435:O441" si="152">+C435</f>
        <v>M2</v>
      </c>
      <c r="O435" s="346">
        <f t="shared" si="152"/>
        <v>33</v>
      </c>
      <c r="P435" s="423">
        <f>VLOOKUP(L435,'selección precios unitario'!$A$5:$I$418,9,FALSE)</f>
        <v>12500</v>
      </c>
      <c r="Q435" s="423">
        <f t="shared" ref="Q435:Q441" si="153">ROUND(P435*O435,0)</f>
        <v>412500</v>
      </c>
    </row>
    <row r="436" spans="1:60" ht="25.5" outlineLevel="1" x14ac:dyDescent="0.25">
      <c r="A436" s="354" t="s">
        <v>580</v>
      </c>
      <c r="B436" s="358" t="s">
        <v>531</v>
      </c>
      <c r="C436" s="356" t="s">
        <v>19</v>
      </c>
      <c r="D436" s="346">
        <v>33</v>
      </c>
      <c r="E436" s="353">
        <v>14000</v>
      </c>
      <c r="F436" s="376">
        <f t="shared" ref="F436:F462" si="154">+E436*D436</f>
        <v>462000</v>
      </c>
      <c r="G436" s="349">
        <v>3731</v>
      </c>
      <c r="H436" s="349">
        <f t="shared" ref="H436:H462" si="155">+G436*D436</f>
        <v>123123</v>
      </c>
      <c r="I436" s="1285">
        <f>IFERROR(VLOOKUP(A436,'valores unit indexados'!$A$14:$O$197,15,FALSE),0)</f>
        <v>0</v>
      </c>
      <c r="J436" s="349">
        <f t="shared" si="151"/>
        <v>0</v>
      </c>
      <c r="K436"/>
      <c r="L436" s="354" t="str">
        <f t="shared" si="149"/>
        <v>G. 1,2</v>
      </c>
      <c r="M436" s="358" t="str">
        <f t="shared" si="150"/>
        <v>Lavada de fachada con agua a chorro de aspersión con hipoclorito.(incluye retiro de material extraño y piezas rotas)</v>
      </c>
      <c r="N436" s="356" t="str">
        <f t="shared" si="152"/>
        <v>M2</v>
      </c>
      <c r="O436" s="346">
        <f t="shared" si="152"/>
        <v>33</v>
      </c>
      <c r="P436" s="423">
        <f>VLOOKUP(L436,'selección precios unitario'!$A$5:$I$418,9,FALSE)</f>
        <v>9000</v>
      </c>
      <c r="Q436" s="423">
        <f t="shared" si="153"/>
        <v>297000</v>
      </c>
    </row>
    <row r="437" spans="1:60" ht="25.5" outlineLevel="1" x14ac:dyDescent="0.25">
      <c r="A437" s="386" t="s">
        <v>581</v>
      </c>
      <c r="B437" s="358" t="s">
        <v>582</v>
      </c>
      <c r="C437" s="356" t="s">
        <v>14</v>
      </c>
      <c r="D437" s="346">
        <v>5</v>
      </c>
      <c r="E437" s="353">
        <v>85000</v>
      </c>
      <c r="F437" s="376">
        <f t="shared" si="154"/>
        <v>425000</v>
      </c>
      <c r="G437" s="387">
        <v>0</v>
      </c>
      <c r="H437" s="349">
        <f t="shared" si="155"/>
        <v>0</v>
      </c>
      <c r="I437" s="1285">
        <f>IFERROR(VLOOKUP(A437,'valores unit indexados'!$A$14:$O$197,15,FALSE),0)</f>
        <v>0</v>
      </c>
      <c r="J437" s="349">
        <f t="shared" si="151"/>
        <v>0</v>
      </c>
      <c r="K437"/>
      <c r="L437" s="386" t="str">
        <f t="shared" si="149"/>
        <v>G. 1,3</v>
      </c>
      <c r="M437" s="358" t="str">
        <f t="shared" si="150"/>
        <v>Tratamiento de fisura el cual consiste en sellado con mortero especial para reparaciones.</v>
      </c>
      <c r="N437" s="356" t="str">
        <f t="shared" si="152"/>
        <v>ML</v>
      </c>
      <c r="O437" s="346">
        <f t="shared" si="152"/>
        <v>5</v>
      </c>
      <c r="P437" s="423">
        <f>VLOOKUP(L437,'selección precios unitario'!$A$5:$I$418,9,FALSE)</f>
        <v>85000</v>
      </c>
      <c r="Q437" s="423">
        <f t="shared" si="153"/>
        <v>425000</v>
      </c>
    </row>
    <row r="438" spans="1:60" ht="15" outlineLevel="1" x14ac:dyDescent="0.25">
      <c r="A438" s="354" t="s">
        <v>583</v>
      </c>
      <c r="B438" s="358" t="s">
        <v>533</v>
      </c>
      <c r="C438" s="356" t="s">
        <v>19</v>
      </c>
      <c r="D438" s="346">
        <v>20</v>
      </c>
      <c r="E438" s="353">
        <v>9000</v>
      </c>
      <c r="F438" s="376">
        <f t="shared" si="154"/>
        <v>180000</v>
      </c>
      <c r="G438" s="349">
        <v>4000</v>
      </c>
      <c r="H438" s="349">
        <f t="shared" si="155"/>
        <v>80000</v>
      </c>
      <c r="I438" s="1285">
        <f>IFERROR(VLOOKUP(A438,'valores unit indexados'!$A$14:$O$197,15,FALSE),0)</f>
        <v>6890</v>
      </c>
      <c r="J438" s="349">
        <f t="shared" si="151"/>
        <v>137800</v>
      </c>
      <c r="K438"/>
      <c r="L438" s="354" t="str">
        <f t="shared" si="149"/>
        <v>G. 1,4</v>
      </c>
      <c r="M438" s="358" t="str">
        <f t="shared" si="150"/>
        <v>Rasqueteada de pintura y retiro de material  en mal estado</v>
      </c>
      <c r="N438" s="356" t="str">
        <f t="shared" si="152"/>
        <v>M2</v>
      </c>
      <c r="O438" s="346">
        <f t="shared" si="152"/>
        <v>20</v>
      </c>
      <c r="P438" s="423">
        <f>VLOOKUP(L438,'selección precios unitario'!$A$5:$I$418,9,FALSE)</f>
        <v>6630</v>
      </c>
      <c r="Q438" s="423">
        <f t="shared" si="153"/>
        <v>132600</v>
      </c>
    </row>
    <row r="439" spans="1:60" ht="25.5" outlineLevel="1" x14ac:dyDescent="0.25">
      <c r="A439" s="386" t="s">
        <v>584</v>
      </c>
      <c r="B439" s="358" t="s">
        <v>1511</v>
      </c>
      <c r="C439" s="356" t="s">
        <v>19</v>
      </c>
      <c r="D439" s="346">
        <v>33</v>
      </c>
      <c r="E439" s="353">
        <v>22500</v>
      </c>
      <c r="F439" s="376">
        <f t="shared" si="154"/>
        <v>742500</v>
      </c>
      <c r="G439" s="387">
        <v>0</v>
      </c>
      <c r="H439" s="349">
        <f t="shared" si="155"/>
        <v>0</v>
      </c>
      <c r="I439" s="1285">
        <f>IFERROR(VLOOKUP(A439,'valores unit indexados'!$A$14:$O$197,15,FALSE),0)</f>
        <v>0</v>
      </c>
      <c r="J439" s="349">
        <f t="shared" si="151"/>
        <v>0</v>
      </c>
      <c r="K439"/>
      <c r="L439" s="386" t="str">
        <f t="shared" si="149"/>
        <v>G. 1,5</v>
      </c>
      <c r="M439" s="358" t="str">
        <f t="shared" si="150"/>
        <v xml:space="preserve">Suministro y aplicación de emulsión acrílica al 50% generador de adherencia, (o sellador acrílico) </v>
      </c>
      <c r="N439" s="356" t="str">
        <f t="shared" si="152"/>
        <v>M2</v>
      </c>
      <c r="O439" s="346">
        <f t="shared" si="152"/>
        <v>33</v>
      </c>
      <c r="P439" s="423">
        <f>VLOOKUP(L439,'selección precios unitario'!$A$5:$I$418,9,FALSE)</f>
        <v>22500</v>
      </c>
      <c r="Q439" s="423">
        <f t="shared" si="153"/>
        <v>742500</v>
      </c>
    </row>
    <row r="440" spans="1:60" ht="25.5" outlineLevel="1" x14ac:dyDescent="0.25">
      <c r="A440" s="354" t="s">
        <v>586</v>
      </c>
      <c r="B440" s="358" t="s">
        <v>1512</v>
      </c>
      <c r="C440" s="356" t="s">
        <v>19</v>
      </c>
      <c r="D440" s="346">
        <v>33</v>
      </c>
      <c r="E440" s="353">
        <v>24000</v>
      </c>
      <c r="F440" s="376">
        <f t="shared" si="154"/>
        <v>792000</v>
      </c>
      <c r="G440" s="412">
        <v>8710</v>
      </c>
      <c r="H440" s="349">
        <f t="shared" si="155"/>
        <v>287430</v>
      </c>
      <c r="I440" s="1285">
        <f>IFERROR(VLOOKUP(A440,'valores unit indexados'!$A$14:$O$197,15,FALSE),0)</f>
        <v>0</v>
      </c>
      <c r="J440" s="349">
        <f t="shared" si="151"/>
        <v>0</v>
      </c>
      <c r="K440"/>
      <c r="L440" s="354" t="str">
        <f t="shared" si="149"/>
        <v>G. 1,6</v>
      </c>
      <c r="M440" s="358" t="str">
        <f t="shared" si="150"/>
        <v xml:space="preserve">Suministro y aplicación de pintura acrílica para exterior a 3 manos - tipo 1 </v>
      </c>
      <c r="N440" s="356" t="str">
        <f t="shared" si="152"/>
        <v>M2</v>
      </c>
      <c r="O440" s="346">
        <f t="shared" si="152"/>
        <v>33</v>
      </c>
      <c r="P440" s="423">
        <f>VLOOKUP(L440,'selección precios unitario'!$A$5:$I$418,9,FALSE)</f>
        <v>21500</v>
      </c>
      <c r="Q440" s="423">
        <f t="shared" si="153"/>
        <v>709500</v>
      </c>
    </row>
    <row r="441" spans="1:60" ht="38.25" outlineLevel="1" x14ac:dyDescent="0.25">
      <c r="A441" s="354" t="s">
        <v>588</v>
      </c>
      <c r="B441" s="358" t="s">
        <v>86</v>
      </c>
      <c r="C441" s="356" t="s">
        <v>19</v>
      </c>
      <c r="D441" s="346">
        <v>20</v>
      </c>
      <c r="E441" s="353">
        <v>48000</v>
      </c>
      <c r="F441" s="376">
        <f t="shared" si="154"/>
        <v>960000</v>
      </c>
      <c r="G441" s="349">
        <v>45500</v>
      </c>
      <c r="H441" s="349">
        <f t="shared" si="155"/>
        <v>910000</v>
      </c>
      <c r="I441" s="1285">
        <f>IFERROR(VLOOKUP(A441,'valores unit indexados'!$A$14:$O$197,15,FALSE),0)</f>
        <v>43614</v>
      </c>
      <c r="J441" s="349">
        <f t="shared" si="151"/>
        <v>872280</v>
      </c>
      <c r="K441"/>
      <c r="L441" s="354" t="str">
        <f t="shared" si="149"/>
        <v>G. 1,7</v>
      </c>
      <c r="M441" s="358" t="str">
        <f t="shared" si="150"/>
        <v xml:space="preserve">Suministro e instalación de recubrimiento cementoso (Recubrimiento a base de cemento, arena y aditivos especiales), impermeable para muros color blanco </v>
      </c>
      <c r="N441" s="356" t="str">
        <f t="shared" si="152"/>
        <v>M2</v>
      </c>
      <c r="O441" s="346">
        <f t="shared" si="152"/>
        <v>20</v>
      </c>
      <c r="P441" s="423">
        <f>VLOOKUP(L441,'selección precios unitario'!$A$5:$I$418,9,FALSE)</f>
        <v>45053</v>
      </c>
      <c r="Q441" s="423">
        <f t="shared" si="153"/>
        <v>901060</v>
      </c>
    </row>
    <row r="442" spans="1:60" s="1533" customFormat="1" ht="24.75" customHeight="1" outlineLevel="1" x14ac:dyDescent="0.25">
      <c r="A442" s="1527" t="s">
        <v>589</v>
      </c>
      <c r="B442" s="1528" t="s">
        <v>590</v>
      </c>
      <c r="C442" s="1527"/>
      <c r="D442" s="1529"/>
      <c r="E442" s="1530"/>
      <c r="F442" s="1531">
        <f t="shared" si="154"/>
        <v>0</v>
      </c>
      <c r="G442" s="1530"/>
      <c r="H442" s="1531">
        <f t="shared" si="155"/>
        <v>0</v>
      </c>
      <c r="I442" s="1532"/>
      <c r="J442" s="1527"/>
      <c r="K442"/>
      <c r="L442" s="1527" t="str">
        <f t="shared" si="149"/>
        <v>G. 2</v>
      </c>
      <c r="M442" s="1836" t="str">
        <f t="shared" si="150"/>
        <v xml:space="preserve"> Tratamiento de humedades muros internos y fachada</v>
      </c>
      <c r="N442" s="1837"/>
      <c r="O442" s="1837"/>
      <c r="P442" s="1837"/>
      <c r="Q442" s="1838"/>
      <c r="R442" s="1544"/>
      <c r="S442" s="1544"/>
      <c r="T442" s="1544"/>
      <c r="U442" s="1544"/>
      <c r="V442" s="1544"/>
      <c r="W442" s="1544"/>
      <c r="X442" s="1544"/>
      <c r="Y442" s="1544"/>
      <c r="Z442" s="1544"/>
      <c r="AA442" s="1544"/>
      <c r="AB442" s="1544"/>
      <c r="AC442" s="1544"/>
      <c r="AD442" s="1544"/>
      <c r="AE442" s="1544"/>
      <c r="AF442" s="1544"/>
      <c r="AG442" s="1544"/>
      <c r="AH442" s="1544"/>
      <c r="AI442" s="1544"/>
      <c r="AJ442" s="1544"/>
      <c r="AK442" s="1544"/>
      <c r="AL442" s="1544"/>
      <c r="AM442" s="1544"/>
      <c r="AN442" s="1544"/>
      <c r="AO442" s="1544"/>
      <c r="AP442" s="1544"/>
      <c r="AQ442" s="1544"/>
      <c r="AR442" s="1544"/>
      <c r="AS442" s="1544"/>
      <c r="AT442" s="1544"/>
      <c r="AU442" s="1544"/>
      <c r="AV442" s="1544"/>
      <c r="AW442" s="1544"/>
      <c r="AX442" s="1544"/>
      <c r="AY442" s="1544"/>
      <c r="AZ442" s="1544"/>
      <c r="BA442" s="1544"/>
      <c r="BB442" s="1544"/>
      <c r="BC442" s="1544"/>
      <c r="BD442" s="1544"/>
      <c r="BE442" s="1544"/>
      <c r="BF442" s="1544"/>
      <c r="BG442" s="1544"/>
      <c r="BH442" s="1544"/>
    </row>
    <row r="443" spans="1:60" ht="25.5" outlineLevel="1" x14ac:dyDescent="0.25">
      <c r="A443" s="386" t="s">
        <v>591</v>
      </c>
      <c r="B443" s="402" t="s">
        <v>1513</v>
      </c>
      <c r="C443" s="389" t="s">
        <v>14</v>
      </c>
      <c r="D443" s="346">
        <v>20</v>
      </c>
      <c r="E443" s="353">
        <v>85000</v>
      </c>
      <c r="F443" s="376">
        <f t="shared" si="154"/>
        <v>1700000</v>
      </c>
      <c r="G443" s="349">
        <v>62000</v>
      </c>
      <c r="H443" s="349">
        <f t="shared" si="155"/>
        <v>1240000</v>
      </c>
      <c r="I443" s="1285">
        <f>IFERROR(VLOOKUP(A443,'valores unit indexados'!$A$14:$O$197,15,FALSE),0)</f>
        <v>0</v>
      </c>
      <c r="J443" s="349">
        <f t="shared" si="151"/>
        <v>0</v>
      </c>
      <c r="K443"/>
      <c r="L443" s="386" t="str">
        <f t="shared" si="149"/>
        <v>G. 2,1</v>
      </c>
      <c r="M443" s="402" t="str">
        <f t="shared" si="150"/>
        <v>Fabricación e instalación filtro francés tubería  4" ( incluye retiro de tierra a mano)</v>
      </c>
      <c r="N443" s="389" t="str">
        <f t="shared" ref="N443:N454" si="156">+C443</f>
        <v>ML</v>
      </c>
      <c r="O443" s="346">
        <f t="shared" ref="O443:O454" si="157">+D443</f>
        <v>20</v>
      </c>
      <c r="P443" s="423">
        <f>VLOOKUP(L443,'selección precios unitario'!$A$5:$I$418,9,FALSE)</f>
        <v>73500</v>
      </c>
      <c r="Q443" s="423">
        <f t="shared" ref="Q443:Q454" si="158">ROUND(P443*O443,0)</f>
        <v>1470000</v>
      </c>
    </row>
    <row r="444" spans="1:60" ht="15" outlineLevel="1" x14ac:dyDescent="0.25">
      <c r="A444" s="386" t="s">
        <v>593</v>
      </c>
      <c r="B444" s="364" t="s">
        <v>84</v>
      </c>
      <c r="C444" s="367" t="s">
        <v>19</v>
      </c>
      <c r="D444" s="346">
        <v>50</v>
      </c>
      <c r="E444" s="353">
        <v>9000</v>
      </c>
      <c r="F444" s="376">
        <f t="shared" si="154"/>
        <v>450000</v>
      </c>
      <c r="G444" s="349">
        <v>5200</v>
      </c>
      <c r="H444" s="349">
        <f t="shared" si="155"/>
        <v>260000</v>
      </c>
      <c r="I444" s="1285">
        <f>IFERROR(VLOOKUP(A444,'valores unit indexados'!$A$14:$O$197,15,FALSE),0)</f>
        <v>6890</v>
      </c>
      <c r="J444" s="349">
        <f t="shared" si="151"/>
        <v>344500</v>
      </c>
      <c r="K444"/>
      <c r="L444" s="386" t="str">
        <f t="shared" si="149"/>
        <v>G. 2,2</v>
      </c>
      <c r="M444" s="364" t="str">
        <f t="shared" si="150"/>
        <v xml:space="preserve">Rasqueteada de pintura y retiro de mortero en mal estado  </v>
      </c>
      <c r="N444" s="367" t="str">
        <f t="shared" si="156"/>
        <v>M2</v>
      </c>
      <c r="O444" s="346">
        <f t="shared" si="157"/>
        <v>50</v>
      </c>
      <c r="P444" s="423">
        <f>VLOOKUP(L444,'selección precios unitario'!$A$5:$I$418,9,FALSE)</f>
        <v>6630</v>
      </c>
      <c r="Q444" s="423">
        <f t="shared" si="158"/>
        <v>331500</v>
      </c>
    </row>
    <row r="445" spans="1:60" ht="38.25" outlineLevel="1" x14ac:dyDescent="0.25">
      <c r="A445" s="386" t="s">
        <v>594</v>
      </c>
      <c r="B445" s="358" t="s">
        <v>86</v>
      </c>
      <c r="C445" s="356" t="s">
        <v>19</v>
      </c>
      <c r="D445" s="346">
        <v>50</v>
      </c>
      <c r="E445" s="353">
        <v>48000</v>
      </c>
      <c r="F445" s="376">
        <f t="shared" si="154"/>
        <v>2400000</v>
      </c>
      <c r="G445" s="349">
        <v>45500</v>
      </c>
      <c r="H445" s="349">
        <f t="shared" si="155"/>
        <v>2275000</v>
      </c>
      <c r="I445" s="1285">
        <f>IFERROR(VLOOKUP(A445,'valores unit indexados'!$A$14:$O$197,15,FALSE),0)</f>
        <v>43614</v>
      </c>
      <c r="J445" s="349">
        <f t="shared" si="151"/>
        <v>2180700</v>
      </c>
      <c r="K445"/>
      <c r="L445" s="386" t="str">
        <f t="shared" si="149"/>
        <v>G. 2,3</v>
      </c>
      <c r="M445" s="358" t="str">
        <f t="shared" si="150"/>
        <v xml:space="preserve">Suministro e instalación de recubrimiento cementoso (Recubrimiento a base de cemento, arena y aditivos especiales), impermeable para muros color blanco </v>
      </c>
      <c r="N445" s="356" t="str">
        <f t="shared" si="156"/>
        <v>M2</v>
      </c>
      <c r="O445" s="346">
        <f t="shared" si="157"/>
        <v>50</v>
      </c>
      <c r="P445" s="423">
        <f>VLOOKUP(L445,'selección precios unitario'!$A$5:$I$418,9,FALSE)</f>
        <v>45053</v>
      </c>
      <c r="Q445" s="423">
        <f t="shared" si="158"/>
        <v>2252650</v>
      </c>
    </row>
    <row r="446" spans="1:60" ht="15" outlineLevel="1" x14ac:dyDescent="0.25">
      <c r="A446" s="386" t="s">
        <v>595</v>
      </c>
      <c r="B446" s="358" t="s">
        <v>88</v>
      </c>
      <c r="C446" s="356" t="s">
        <v>19</v>
      </c>
      <c r="D446" s="346">
        <v>80</v>
      </c>
      <c r="E446" s="353">
        <v>28000</v>
      </c>
      <c r="F446" s="376">
        <f t="shared" si="154"/>
        <v>2240000</v>
      </c>
      <c r="G446" s="349">
        <v>11700</v>
      </c>
      <c r="H446" s="349">
        <f t="shared" si="155"/>
        <v>936000</v>
      </c>
      <c r="I446" s="1285">
        <f>IFERROR(VLOOKUP(A446,'valores unit indexados'!$A$14:$O$197,15,FALSE),0)</f>
        <v>24610</v>
      </c>
      <c r="J446" s="349">
        <f t="shared" si="151"/>
        <v>1968800</v>
      </c>
      <c r="K446"/>
      <c r="L446" s="386" t="str">
        <f t="shared" si="149"/>
        <v>G. 2,4</v>
      </c>
      <c r="M446" s="358" t="str">
        <f t="shared" si="150"/>
        <v xml:space="preserve">Suministro y aplicación de estuco plástico </v>
      </c>
      <c r="N446" s="356" t="str">
        <f t="shared" si="156"/>
        <v>M2</v>
      </c>
      <c r="O446" s="346">
        <f t="shared" si="157"/>
        <v>80</v>
      </c>
      <c r="P446" s="423">
        <f>VLOOKUP(L446,'selección precios unitario'!$A$5:$I$418,9,FALSE)</f>
        <v>26305</v>
      </c>
      <c r="Q446" s="423">
        <f t="shared" si="158"/>
        <v>2104400</v>
      </c>
    </row>
    <row r="447" spans="1:60" ht="15" outlineLevel="1" x14ac:dyDescent="0.25">
      <c r="A447" s="354" t="s">
        <v>596</v>
      </c>
      <c r="B447" s="358" t="s">
        <v>90</v>
      </c>
      <c r="C447" s="356" t="s">
        <v>19</v>
      </c>
      <c r="D447" s="346">
        <v>114</v>
      </c>
      <c r="E447" s="353">
        <v>19000</v>
      </c>
      <c r="F447" s="376">
        <f t="shared" si="154"/>
        <v>2166000</v>
      </c>
      <c r="G447" s="412">
        <v>8710</v>
      </c>
      <c r="H447" s="349">
        <f t="shared" si="155"/>
        <v>992940</v>
      </c>
      <c r="I447" s="1285">
        <f>IFERROR(VLOOKUP(A447,'valores unit indexados'!$A$14:$O$197,15,FALSE),0)</f>
        <v>0</v>
      </c>
      <c r="J447" s="349">
        <f t="shared" si="151"/>
        <v>0</v>
      </c>
      <c r="K447"/>
      <c r="L447" s="354" t="str">
        <f t="shared" si="149"/>
        <v>G. 2,5</v>
      </c>
      <c r="M447" s="358" t="str">
        <f t="shared" si="150"/>
        <v>Suministro y aplicación de vinilo tipo 1 (3 manos)</v>
      </c>
      <c r="N447" s="356" t="str">
        <f t="shared" si="156"/>
        <v>M2</v>
      </c>
      <c r="O447" s="346">
        <f t="shared" si="157"/>
        <v>114</v>
      </c>
      <c r="P447" s="423">
        <f>VLOOKUP(L447,'selección precios unitario'!$A$5:$I$418,9,FALSE)</f>
        <v>19000</v>
      </c>
      <c r="Q447" s="423">
        <f t="shared" si="158"/>
        <v>2166000</v>
      </c>
    </row>
    <row r="448" spans="1:60" ht="15" outlineLevel="1" x14ac:dyDescent="0.25">
      <c r="A448" s="386" t="s">
        <v>597</v>
      </c>
      <c r="B448" s="358" t="s">
        <v>92</v>
      </c>
      <c r="C448" s="356" t="s">
        <v>19</v>
      </c>
      <c r="D448" s="346">
        <v>23</v>
      </c>
      <c r="E448" s="353">
        <v>18000</v>
      </c>
      <c r="F448" s="376">
        <f t="shared" si="154"/>
        <v>414000</v>
      </c>
      <c r="G448" s="412">
        <v>8710</v>
      </c>
      <c r="H448" s="349">
        <f t="shared" si="155"/>
        <v>200330</v>
      </c>
      <c r="I448" s="1285">
        <f>IFERROR(VLOOKUP(A448,'valores unit indexados'!$A$14:$O$197,15,FALSE),0)</f>
        <v>17005</v>
      </c>
      <c r="J448" s="349">
        <f t="shared" si="151"/>
        <v>391115</v>
      </c>
      <c r="K448"/>
      <c r="L448" s="386" t="str">
        <f t="shared" si="149"/>
        <v>G. 2,6</v>
      </c>
      <c r="M448" s="358" t="str">
        <f t="shared" si="150"/>
        <v>Suministro y aplicación de pintura en esmalte</v>
      </c>
      <c r="N448" s="356" t="str">
        <f t="shared" si="156"/>
        <v>M2</v>
      </c>
      <c r="O448" s="346">
        <f t="shared" si="157"/>
        <v>23</v>
      </c>
      <c r="P448" s="423">
        <f>VLOOKUP(L448,'selección precios unitario'!$A$5:$I$418,9,FALSE)</f>
        <v>17503</v>
      </c>
      <c r="Q448" s="423">
        <f t="shared" si="158"/>
        <v>402569</v>
      </c>
    </row>
    <row r="449" spans="1:60" ht="15" outlineLevel="1" x14ac:dyDescent="0.25">
      <c r="A449" s="354" t="s">
        <v>598</v>
      </c>
      <c r="B449" s="358" t="s">
        <v>94</v>
      </c>
      <c r="C449" s="356" t="s">
        <v>19</v>
      </c>
      <c r="D449" s="346">
        <v>6</v>
      </c>
      <c r="E449" s="353">
        <v>17000</v>
      </c>
      <c r="F449" s="376">
        <f t="shared" si="154"/>
        <v>102000</v>
      </c>
      <c r="G449" s="412">
        <v>8710</v>
      </c>
      <c r="H449" s="349">
        <f t="shared" si="155"/>
        <v>52260</v>
      </c>
      <c r="I449" s="1285">
        <f>IFERROR(VLOOKUP(A449,'valores unit indexados'!$A$14:$O$197,15,FALSE),0)</f>
        <v>0</v>
      </c>
      <c r="J449" s="349">
        <f t="shared" si="151"/>
        <v>0</v>
      </c>
      <c r="K449"/>
      <c r="L449" s="354" t="str">
        <f t="shared" si="149"/>
        <v>G. 2,7</v>
      </c>
      <c r="M449" s="358" t="str">
        <f t="shared" si="150"/>
        <v>Suministro y aplicación de pintura cielo vinilo tipo 1</v>
      </c>
      <c r="N449" s="356" t="str">
        <f t="shared" si="156"/>
        <v>M2</v>
      </c>
      <c r="O449" s="346">
        <f t="shared" si="157"/>
        <v>6</v>
      </c>
      <c r="P449" s="423">
        <f>VLOOKUP(L449,'selección precios unitario'!$A$5:$I$418,9,FALSE)</f>
        <v>17000</v>
      </c>
      <c r="Q449" s="423">
        <f t="shared" si="158"/>
        <v>102000</v>
      </c>
    </row>
    <row r="450" spans="1:60" ht="15" outlineLevel="1" x14ac:dyDescent="0.25">
      <c r="A450" s="386" t="s">
        <v>599</v>
      </c>
      <c r="B450" s="358" t="s">
        <v>84</v>
      </c>
      <c r="C450" s="356" t="s">
        <v>14</v>
      </c>
      <c r="D450" s="346">
        <v>3</v>
      </c>
      <c r="E450" s="353">
        <v>5400</v>
      </c>
      <c r="F450" s="376">
        <f t="shared" si="154"/>
        <v>16200</v>
      </c>
      <c r="G450" s="349">
        <v>5200</v>
      </c>
      <c r="H450" s="349">
        <f t="shared" si="155"/>
        <v>15600</v>
      </c>
      <c r="I450" s="1285">
        <f>IFERROR(VLOOKUP(A450,'valores unit indexados'!$A$14:$O$197,15,FALSE),0)</f>
        <v>0</v>
      </c>
      <c r="J450" s="349">
        <f t="shared" si="151"/>
        <v>0</v>
      </c>
      <c r="K450"/>
      <c r="L450" s="386" t="str">
        <f t="shared" si="149"/>
        <v>G. 2,8</v>
      </c>
      <c r="M450" s="358" t="str">
        <f t="shared" si="150"/>
        <v xml:space="preserve">Rasqueteada de pintura y retiro de mortero en mal estado  </v>
      </c>
      <c r="N450" s="356" t="str">
        <f t="shared" si="156"/>
        <v>ML</v>
      </c>
      <c r="O450" s="346">
        <f t="shared" si="157"/>
        <v>3</v>
      </c>
      <c r="P450" s="423">
        <f>VLOOKUP(L450,'selección precios unitario'!$A$5:$I$418,9,FALSE)</f>
        <v>4700</v>
      </c>
      <c r="Q450" s="423">
        <f t="shared" si="158"/>
        <v>14100</v>
      </c>
    </row>
    <row r="451" spans="1:60" ht="38.25" outlineLevel="1" x14ac:dyDescent="0.25">
      <c r="A451" s="354" t="s">
        <v>600</v>
      </c>
      <c r="B451" s="358" t="s">
        <v>86</v>
      </c>
      <c r="C451" s="356" t="s">
        <v>14</v>
      </c>
      <c r="D451" s="346">
        <v>3</v>
      </c>
      <c r="E451" s="353">
        <v>28800</v>
      </c>
      <c r="F451" s="376">
        <f t="shared" si="154"/>
        <v>86400</v>
      </c>
      <c r="G451" s="349">
        <v>6500</v>
      </c>
      <c r="H451" s="349">
        <f t="shared" si="155"/>
        <v>19500</v>
      </c>
      <c r="I451" s="1285">
        <f>IFERROR(VLOOKUP(A451,'valores unit indexados'!$A$14:$O$197,15,FALSE),0)</f>
        <v>0</v>
      </c>
      <c r="J451" s="349">
        <f t="shared" si="151"/>
        <v>0</v>
      </c>
      <c r="K451"/>
      <c r="L451" s="354" t="str">
        <f t="shared" si="149"/>
        <v>G. 2,9</v>
      </c>
      <c r="M451" s="358" t="str">
        <f t="shared" si="150"/>
        <v xml:space="preserve">Suministro e instalación de recubrimiento cementoso (Recubrimiento a base de cemento, arena y aditivos especiales), impermeable para muros color blanco </v>
      </c>
      <c r="N451" s="356" t="str">
        <f t="shared" si="156"/>
        <v>ML</v>
      </c>
      <c r="O451" s="346">
        <f t="shared" si="157"/>
        <v>3</v>
      </c>
      <c r="P451" s="423">
        <f>VLOOKUP(L451,'selección precios unitario'!$A$5:$I$418,9,FALSE)</f>
        <v>17650</v>
      </c>
      <c r="Q451" s="423">
        <f t="shared" si="158"/>
        <v>52950</v>
      </c>
    </row>
    <row r="452" spans="1:60" ht="15" outlineLevel="1" x14ac:dyDescent="0.25">
      <c r="A452" s="386" t="s">
        <v>601</v>
      </c>
      <c r="B452" s="358" t="s">
        <v>88</v>
      </c>
      <c r="C452" s="356" t="s">
        <v>14</v>
      </c>
      <c r="D452" s="346">
        <v>3</v>
      </c>
      <c r="E452" s="353">
        <v>16800</v>
      </c>
      <c r="F452" s="376">
        <f t="shared" si="154"/>
        <v>50400</v>
      </c>
      <c r="G452" s="349">
        <v>11700</v>
      </c>
      <c r="H452" s="349">
        <f t="shared" si="155"/>
        <v>35100</v>
      </c>
      <c r="I452" s="1285">
        <f>IFERROR(VLOOKUP(A452,'valores unit indexados'!$A$14:$O$197,15,FALSE),0)</f>
        <v>24610</v>
      </c>
      <c r="J452" s="349">
        <f t="shared" si="151"/>
        <v>73830</v>
      </c>
      <c r="K452"/>
      <c r="L452" s="386" t="str">
        <f t="shared" si="149"/>
        <v>G. 2,10</v>
      </c>
      <c r="M452" s="358" t="str">
        <f t="shared" si="150"/>
        <v xml:space="preserve">Suministro y aplicación de estuco plástico </v>
      </c>
      <c r="N452" s="356" t="str">
        <f t="shared" si="156"/>
        <v>ML</v>
      </c>
      <c r="O452" s="346">
        <f t="shared" si="157"/>
        <v>3</v>
      </c>
      <c r="P452" s="423">
        <f>VLOOKUP(L452,'selección precios unitario'!$A$5:$I$418,9,FALSE)</f>
        <v>20705</v>
      </c>
      <c r="Q452" s="423">
        <f t="shared" si="158"/>
        <v>62115</v>
      </c>
    </row>
    <row r="453" spans="1:60" ht="15" outlineLevel="1" x14ac:dyDescent="0.25">
      <c r="A453" s="354" t="s">
        <v>602</v>
      </c>
      <c r="B453" s="358" t="s">
        <v>98</v>
      </c>
      <c r="C453" s="356" t="s">
        <v>14</v>
      </c>
      <c r="D453" s="346">
        <v>3</v>
      </c>
      <c r="E453" s="353">
        <v>10200</v>
      </c>
      <c r="F453" s="376">
        <f t="shared" si="154"/>
        <v>30600</v>
      </c>
      <c r="G453" s="349">
        <v>5200</v>
      </c>
      <c r="H453" s="349">
        <f t="shared" si="155"/>
        <v>15600</v>
      </c>
      <c r="I453" s="1285">
        <f>IFERROR(VLOOKUP(A453,'valores unit indexados'!$A$14:$O$197,15,FALSE),0)</f>
        <v>0</v>
      </c>
      <c r="J453" s="349">
        <f t="shared" si="151"/>
        <v>0</v>
      </c>
      <c r="K453"/>
      <c r="L453" s="354" t="str">
        <f t="shared" si="149"/>
        <v>G. 2,11</v>
      </c>
      <c r="M453" s="358" t="str">
        <f t="shared" si="150"/>
        <v>Suministro y aplicación de vinilo tipo 2 (3 manos)</v>
      </c>
      <c r="N453" s="356" t="str">
        <f t="shared" si="156"/>
        <v>ML</v>
      </c>
      <c r="O453" s="346">
        <f t="shared" si="157"/>
        <v>3</v>
      </c>
      <c r="P453" s="423">
        <f>VLOOKUP(L453,'selección precios unitario'!$A$5:$I$418,9,FALSE)</f>
        <v>6120</v>
      </c>
      <c r="Q453" s="423">
        <f t="shared" si="158"/>
        <v>18360</v>
      </c>
    </row>
    <row r="454" spans="1:60" ht="15" outlineLevel="1" x14ac:dyDescent="0.25">
      <c r="A454" s="386" t="s">
        <v>603</v>
      </c>
      <c r="B454" s="358" t="s">
        <v>92</v>
      </c>
      <c r="C454" s="356" t="s">
        <v>14</v>
      </c>
      <c r="D454" s="346">
        <v>3</v>
      </c>
      <c r="E454" s="353">
        <v>10800</v>
      </c>
      <c r="F454" s="376">
        <f t="shared" si="154"/>
        <v>32400</v>
      </c>
      <c r="G454" s="349">
        <v>5200</v>
      </c>
      <c r="H454" s="349">
        <f t="shared" si="155"/>
        <v>15600</v>
      </c>
      <c r="I454" s="1285">
        <f>IFERROR(VLOOKUP(A454,'valores unit indexados'!$A$14:$O$197,15,FALSE),0)</f>
        <v>0</v>
      </c>
      <c r="J454" s="349">
        <f t="shared" si="151"/>
        <v>0</v>
      </c>
      <c r="K454"/>
      <c r="L454" s="386" t="str">
        <f t="shared" si="149"/>
        <v>G. 2,12</v>
      </c>
      <c r="M454" s="358" t="str">
        <f t="shared" si="150"/>
        <v>Suministro y aplicación de pintura en esmalte</v>
      </c>
      <c r="N454" s="356" t="str">
        <f t="shared" si="156"/>
        <v>ML</v>
      </c>
      <c r="O454" s="346">
        <f t="shared" si="157"/>
        <v>3</v>
      </c>
      <c r="P454" s="423">
        <f>VLOOKUP(L454,'selección precios unitario'!$A$5:$I$418,9,FALSE)</f>
        <v>8000</v>
      </c>
      <c r="Q454" s="423">
        <f t="shared" si="158"/>
        <v>24000</v>
      </c>
    </row>
    <row r="455" spans="1:60" s="1533" customFormat="1" ht="24.75" customHeight="1" outlineLevel="1" x14ac:dyDescent="0.25">
      <c r="A455" s="1527" t="s">
        <v>604</v>
      </c>
      <c r="B455" s="1528" t="s">
        <v>1514</v>
      </c>
      <c r="C455" s="1527"/>
      <c r="D455" s="1529"/>
      <c r="E455" s="1530"/>
      <c r="F455" s="1531">
        <f t="shared" si="154"/>
        <v>0</v>
      </c>
      <c r="G455" s="1530"/>
      <c r="H455" s="1531">
        <f t="shared" si="155"/>
        <v>0</v>
      </c>
      <c r="I455" s="1532"/>
      <c r="J455" s="1527"/>
      <c r="K455"/>
      <c r="L455" s="1527" t="str">
        <f t="shared" si="149"/>
        <v>G. 3</v>
      </c>
      <c r="M455" s="1836" t="str">
        <f t="shared" si="150"/>
        <v>Cubierta en teja plástica</v>
      </c>
      <c r="N455" s="1837"/>
      <c r="O455" s="1837"/>
      <c r="P455" s="1837"/>
      <c r="Q455" s="1838"/>
      <c r="R455" s="1544"/>
      <c r="S455" s="1544"/>
      <c r="T455" s="1544"/>
      <c r="U455" s="1544"/>
      <c r="V455" s="1544"/>
      <c r="W455" s="1544"/>
      <c r="X455" s="1544"/>
      <c r="Y455" s="1544"/>
      <c r="Z455" s="1544"/>
      <c r="AA455" s="1544"/>
      <c r="AB455" s="1544"/>
      <c r="AC455" s="1544"/>
      <c r="AD455" s="1544"/>
      <c r="AE455" s="1544"/>
      <c r="AF455" s="1544"/>
      <c r="AG455" s="1544"/>
      <c r="AH455" s="1544"/>
      <c r="AI455" s="1544"/>
      <c r="AJ455" s="1544"/>
      <c r="AK455" s="1544"/>
      <c r="AL455" s="1544"/>
      <c r="AM455" s="1544"/>
      <c r="AN455" s="1544"/>
      <c r="AO455" s="1544"/>
      <c r="AP455" s="1544"/>
      <c r="AQ455" s="1544"/>
      <c r="AR455" s="1544"/>
      <c r="AS455" s="1544"/>
      <c r="AT455" s="1544"/>
      <c r="AU455" s="1544"/>
      <c r="AV455" s="1544"/>
      <c r="AW455" s="1544"/>
      <c r="AX455" s="1544"/>
      <c r="AY455" s="1544"/>
      <c r="AZ455" s="1544"/>
      <c r="BA455" s="1544"/>
      <c r="BB455" s="1544"/>
      <c r="BC455" s="1544"/>
      <c r="BD455" s="1544"/>
      <c r="BE455" s="1544"/>
      <c r="BF455" s="1544"/>
      <c r="BG455" s="1544"/>
      <c r="BH455" s="1544"/>
    </row>
    <row r="456" spans="1:60" ht="15" outlineLevel="1" x14ac:dyDescent="0.25">
      <c r="A456" s="386" t="s">
        <v>606</v>
      </c>
      <c r="B456" s="388" t="s">
        <v>607</v>
      </c>
      <c r="C456" s="389" t="s">
        <v>19</v>
      </c>
      <c r="D456" s="346">
        <v>30</v>
      </c>
      <c r="E456" s="353">
        <v>9000</v>
      </c>
      <c r="F456" s="376">
        <f t="shared" si="154"/>
        <v>270000</v>
      </c>
      <c r="G456" s="349">
        <v>7000</v>
      </c>
      <c r="H456" s="349">
        <f t="shared" si="155"/>
        <v>210000</v>
      </c>
      <c r="I456" s="1285">
        <f>IFERROR(VLOOKUP(A456,'valores unit indexados'!$A$14:$O$197,15,FALSE),0)</f>
        <v>9646</v>
      </c>
      <c r="J456" s="349">
        <f t="shared" si="151"/>
        <v>289380</v>
      </c>
      <c r="K456"/>
      <c r="L456" s="386" t="str">
        <f t="shared" si="149"/>
        <v>G. 3,1</v>
      </c>
      <c r="M456" s="388" t="str">
        <f t="shared" si="150"/>
        <v xml:space="preserve">Desmonte de cubierta en teja plástica </v>
      </c>
      <c r="N456" s="389" t="str">
        <f t="shared" ref="N456:O459" si="159">+C456</f>
        <v>M2</v>
      </c>
      <c r="O456" s="346">
        <f t="shared" si="159"/>
        <v>30</v>
      </c>
      <c r="P456" s="423">
        <f>VLOOKUP(L456,'selección precios unitario'!$A$5:$I$418,9,FALSE)</f>
        <v>8549</v>
      </c>
      <c r="Q456" s="423">
        <f t="shared" ref="Q456:Q459" si="160">ROUND(P456*O456,0)</f>
        <v>256470</v>
      </c>
    </row>
    <row r="457" spans="1:60" ht="25.5" outlineLevel="1" x14ac:dyDescent="0.25">
      <c r="A457" s="386" t="s">
        <v>608</v>
      </c>
      <c r="B457" s="388" t="s">
        <v>609</v>
      </c>
      <c r="C457" s="389" t="s">
        <v>19</v>
      </c>
      <c r="D457" s="346">
        <v>30</v>
      </c>
      <c r="E457" s="353">
        <v>80000</v>
      </c>
      <c r="F457" s="376">
        <f t="shared" si="154"/>
        <v>2400000</v>
      </c>
      <c r="G457" s="349">
        <v>45000</v>
      </c>
      <c r="H457" s="349">
        <f t="shared" si="155"/>
        <v>1350000</v>
      </c>
      <c r="I457" s="1285">
        <f>IFERROR(VLOOKUP(A457,'valores unit indexados'!$A$14:$O$197,15,FALSE),0)</f>
        <v>60213</v>
      </c>
      <c r="J457" s="349">
        <f t="shared" si="151"/>
        <v>1806390</v>
      </c>
      <c r="K457"/>
      <c r="L457" s="386" t="str">
        <f t="shared" si="149"/>
        <v>G. 3,2</v>
      </c>
      <c r="M457" s="388" t="str">
        <f t="shared" si="150"/>
        <v>Suministro e instalación de cubierta en teja ondulada en Policarbonato, opalizado</v>
      </c>
      <c r="N457" s="389" t="str">
        <f t="shared" si="159"/>
        <v>M2</v>
      </c>
      <c r="O457" s="346">
        <f t="shared" si="159"/>
        <v>30</v>
      </c>
      <c r="P457" s="423">
        <f>VLOOKUP(L457,'selección precios unitario'!$A$5:$I$418,9,FALSE)</f>
        <v>61738</v>
      </c>
      <c r="Q457" s="423">
        <f t="shared" si="160"/>
        <v>1852140</v>
      </c>
    </row>
    <row r="458" spans="1:60" ht="15" outlineLevel="1" x14ac:dyDescent="0.25">
      <c r="A458" s="386" t="s">
        <v>610</v>
      </c>
      <c r="B458" s="383" t="s">
        <v>59</v>
      </c>
      <c r="C458" s="403" t="s">
        <v>14</v>
      </c>
      <c r="D458" s="386">
        <v>23</v>
      </c>
      <c r="E458" s="353">
        <v>16000</v>
      </c>
      <c r="F458" s="376">
        <f t="shared" si="154"/>
        <v>368000</v>
      </c>
      <c r="G458" s="349">
        <v>16848</v>
      </c>
      <c r="H458" s="349">
        <f t="shared" si="155"/>
        <v>387504</v>
      </c>
      <c r="I458" s="1285">
        <f>IFERROR(VLOOKUP(A458,'valores unit indexados'!$A$14:$O$197,15,FALSE),0)</f>
        <v>13382</v>
      </c>
      <c r="J458" s="349">
        <f t="shared" si="151"/>
        <v>307786</v>
      </c>
      <c r="K458"/>
      <c r="L458" s="386" t="str">
        <f t="shared" si="149"/>
        <v>G. 3,3</v>
      </c>
      <c r="M458" s="383" t="str">
        <f t="shared" si="150"/>
        <v>Corte de muro con pulidora</v>
      </c>
      <c r="N458" s="403" t="str">
        <f t="shared" si="159"/>
        <v>ML</v>
      </c>
      <c r="O458" s="386">
        <f t="shared" si="159"/>
        <v>23</v>
      </c>
      <c r="P458" s="423">
        <f>VLOOKUP(L458,'selección precios unitario'!$A$5:$I$418,9,FALSE)</f>
        <v>15410</v>
      </c>
      <c r="Q458" s="423">
        <f t="shared" si="160"/>
        <v>354430</v>
      </c>
    </row>
    <row r="459" spans="1:60" ht="25.5" outlineLevel="1" x14ac:dyDescent="0.25">
      <c r="A459" s="386" t="s">
        <v>611</v>
      </c>
      <c r="B459" s="358" t="s">
        <v>61</v>
      </c>
      <c r="C459" s="356" t="s">
        <v>14</v>
      </c>
      <c r="D459" s="385">
        <v>23</v>
      </c>
      <c r="E459" s="353">
        <v>46000</v>
      </c>
      <c r="F459" s="376">
        <f t="shared" si="154"/>
        <v>1058000</v>
      </c>
      <c r="G459" s="349">
        <v>57837</v>
      </c>
      <c r="H459" s="349">
        <f t="shared" si="155"/>
        <v>1330251</v>
      </c>
      <c r="I459" s="1285">
        <f>IFERROR(VLOOKUP(A459,'valores unit indexados'!$A$14:$O$197,15,FALSE),0)</f>
        <v>0</v>
      </c>
      <c r="J459" s="349">
        <f t="shared" si="151"/>
        <v>0</v>
      </c>
      <c r="K459"/>
      <c r="L459" s="386" t="str">
        <f t="shared" si="149"/>
        <v>G. 3,4</v>
      </c>
      <c r="M459" s="358" t="str">
        <f t="shared" si="150"/>
        <v>Suministro e instalación de Solapa en lamina galvanizada Cal 24, incluye sellador sobre muro</v>
      </c>
      <c r="N459" s="356" t="str">
        <f t="shared" si="159"/>
        <v>ML</v>
      </c>
      <c r="O459" s="385">
        <f t="shared" si="159"/>
        <v>23</v>
      </c>
      <c r="P459" s="423">
        <f>VLOOKUP(L459,'selección precios unitario'!$A$5:$I$418,9,FALSE)</f>
        <v>51919</v>
      </c>
      <c r="Q459" s="423">
        <f t="shared" si="160"/>
        <v>1194137</v>
      </c>
    </row>
    <row r="460" spans="1:60" s="1533" customFormat="1" ht="24.75" customHeight="1" outlineLevel="1" x14ac:dyDescent="0.25">
      <c r="A460" s="1527" t="s">
        <v>612</v>
      </c>
      <c r="B460" s="1528" t="s">
        <v>294</v>
      </c>
      <c r="C460" s="1527"/>
      <c r="D460" s="1529"/>
      <c r="E460" s="1530"/>
      <c r="F460" s="1531">
        <f t="shared" si="154"/>
        <v>0</v>
      </c>
      <c r="G460" s="1530"/>
      <c r="H460" s="1531">
        <f t="shared" si="155"/>
        <v>0</v>
      </c>
      <c r="I460" s="1532"/>
      <c r="J460" s="1527"/>
      <c r="K460"/>
      <c r="L460" s="1527" t="str">
        <f t="shared" si="149"/>
        <v>G. 4</v>
      </c>
      <c r="M460" s="1836" t="str">
        <f t="shared" si="150"/>
        <v xml:space="preserve">otros </v>
      </c>
      <c r="N460" s="1837"/>
      <c r="O460" s="1837"/>
      <c r="P460" s="1837"/>
      <c r="Q460" s="1838"/>
      <c r="R460" s="1544"/>
      <c r="S460" s="1544"/>
      <c r="T460" s="1544"/>
      <c r="U460" s="1544"/>
      <c r="V460" s="1544"/>
      <c r="W460" s="1544"/>
      <c r="X460" s="1544"/>
      <c r="Y460" s="1544"/>
      <c r="Z460" s="1544"/>
      <c r="AA460" s="1544"/>
      <c r="AB460" s="1544"/>
      <c r="AC460" s="1544"/>
      <c r="AD460" s="1544"/>
      <c r="AE460" s="1544"/>
      <c r="AF460" s="1544"/>
      <c r="AG460" s="1544"/>
      <c r="AH460" s="1544"/>
      <c r="AI460" s="1544"/>
      <c r="AJ460" s="1544"/>
      <c r="AK460" s="1544"/>
      <c r="AL460" s="1544"/>
      <c r="AM460" s="1544"/>
      <c r="AN460" s="1544"/>
      <c r="AO460" s="1544"/>
      <c r="AP460" s="1544"/>
      <c r="AQ460" s="1544"/>
      <c r="AR460" s="1544"/>
      <c r="AS460" s="1544"/>
      <c r="AT460" s="1544"/>
      <c r="AU460" s="1544"/>
      <c r="AV460" s="1544"/>
      <c r="AW460" s="1544"/>
      <c r="AX460" s="1544"/>
      <c r="AY460" s="1544"/>
      <c r="AZ460" s="1544"/>
      <c r="BA460" s="1544"/>
      <c r="BB460" s="1544"/>
      <c r="BC460" s="1544"/>
      <c r="BD460" s="1544"/>
      <c r="BE460" s="1544"/>
      <c r="BF460" s="1544"/>
      <c r="BG460" s="1544"/>
      <c r="BH460" s="1544"/>
    </row>
    <row r="461" spans="1:60" ht="15" outlineLevel="1" x14ac:dyDescent="0.25">
      <c r="A461" s="386" t="s">
        <v>613</v>
      </c>
      <c r="B461" s="358" t="s">
        <v>614</v>
      </c>
      <c r="C461" s="389" t="s">
        <v>19</v>
      </c>
      <c r="D461" s="385">
        <v>30</v>
      </c>
      <c r="E461" s="353">
        <v>110000</v>
      </c>
      <c r="F461" s="376">
        <f t="shared" si="154"/>
        <v>3300000</v>
      </c>
      <c r="G461" s="349">
        <v>38000</v>
      </c>
      <c r="H461" s="349">
        <f t="shared" si="155"/>
        <v>1140000</v>
      </c>
      <c r="I461" s="1285">
        <f>IFERROR(VLOOKUP(A461,'valores unit indexados'!$A$14:$O$197,15,FALSE),0)</f>
        <v>56170</v>
      </c>
      <c r="J461" s="349">
        <f t="shared" si="151"/>
        <v>1685100</v>
      </c>
      <c r="K461"/>
      <c r="L461" s="386" t="str">
        <f t="shared" si="149"/>
        <v>G. 4,1</v>
      </c>
      <c r="M461" s="358" t="str">
        <f t="shared" si="150"/>
        <v xml:space="preserve">Suministro e instalación de película opalizada para ventanas </v>
      </c>
      <c r="N461" s="389" t="str">
        <f>+C461</f>
        <v>M2</v>
      </c>
      <c r="O461" s="385">
        <f>+D461</f>
        <v>30</v>
      </c>
      <c r="P461" s="423">
        <f>VLOOKUP(L461,'selección precios unitario'!$A$5:$I$418,9,FALSE)</f>
        <v>56170</v>
      </c>
      <c r="Q461" s="423">
        <f t="shared" ref="Q461:Q462" si="161">ROUND(P461*O461,0)</f>
        <v>1685100</v>
      </c>
    </row>
    <row r="462" spans="1:60" ht="15.75" outlineLevel="1" thickBot="1" x14ac:dyDescent="0.3">
      <c r="A462" s="386" t="s">
        <v>615</v>
      </c>
      <c r="B462" s="358" t="s">
        <v>195</v>
      </c>
      <c r="C462" s="389" t="s">
        <v>19</v>
      </c>
      <c r="D462" s="385">
        <v>30</v>
      </c>
      <c r="E462" s="353">
        <v>70000</v>
      </c>
      <c r="F462" s="376">
        <f t="shared" si="154"/>
        <v>2100000</v>
      </c>
      <c r="G462" s="349">
        <v>4200</v>
      </c>
      <c r="H462" s="349">
        <f t="shared" si="155"/>
        <v>126000</v>
      </c>
      <c r="I462" s="1285">
        <f>IFERROR(VLOOKUP(A462,'valores unit indexados'!$A$14:$O$197,15,FALSE),0)</f>
        <v>5300</v>
      </c>
      <c r="J462" s="349">
        <f t="shared" si="151"/>
        <v>159000</v>
      </c>
      <c r="K462"/>
      <c r="L462" s="386" t="str">
        <f t="shared" si="149"/>
        <v>G. 4,2</v>
      </c>
      <c r="M462" s="358" t="str">
        <f t="shared" si="150"/>
        <v>Aseo general.</v>
      </c>
      <c r="N462" s="389" t="str">
        <f>+C462</f>
        <v>M2</v>
      </c>
      <c r="O462" s="385">
        <f>+D462</f>
        <v>30</v>
      </c>
      <c r="P462" s="423">
        <f>VLOOKUP(L462,'selección precios unitario'!$A$5:$I$418,9,FALSE)</f>
        <v>5500</v>
      </c>
      <c r="Q462" s="423">
        <f t="shared" si="161"/>
        <v>165000</v>
      </c>
    </row>
    <row r="463" spans="1:60" ht="15.75" thickBot="1" x14ac:dyDescent="0.3">
      <c r="A463"/>
      <c r="B463"/>
      <c r="C463" s="1712" t="s">
        <v>196</v>
      </c>
      <c r="D463" s="1775"/>
      <c r="E463" s="1714"/>
      <c r="F463" s="1715">
        <f>SUM(F435:F462)</f>
        <v>23158000</v>
      </c>
      <c r="G463" s="1716"/>
      <c r="H463" s="1715">
        <f>SUM(H435:H462)</f>
        <v>12002238</v>
      </c>
      <c r="I463" s="1717"/>
      <c r="J463" s="1722">
        <f>SUM(J435:J462)</f>
        <v>10216681</v>
      </c>
      <c r="K463"/>
      <c r="L463" s="1777"/>
      <c r="M463" s="1721"/>
      <c r="N463" s="1839" t="str">
        <f t="shared" ref="N463:N468" si="162">+C463</f>
        <v>COSTO DIRECTO</v>
      </c>
      <c r="O463" s="1840"/>
      <c r="P463" s="1841"/>
      <c r="Q463" s="1722">
        <f>SUM(Q433:Q462)</f>
        <v>18128081</v>
      </c>
    </row>
    <row r="464" spans="1:60" ht="15" x14ac:dyDescent="0.25">
      <c r="A464"/>
      <c r="B464"/>
      <c r="C464" s="1773" t="s">
        <v>197</v>
      </c>
      <c r="D464" s="1774"/>
      <c r="E464" s="1708">
        <v>0.35</v>
      </c>
      <c r="F464" s="1709">
        <f>+F$463*E464</f>
        <v>8105299.9999999991</v>
      </c>
      <c r="G464" s="1708">
        <v>0.24</v>
      </c>
      <c r="H464" s="1709">
        <f>+H$463*G464</f>
        <v>2880537.12</v>
      </c>
      <c r="I464" s="1708">
        <v>0</v>
      </c>
      <c r="J464" s="1709">
        <f>+J$463*I464</f>
        <v>0</v>
      </c>
      <c r="K464"/>
      <c r="L464" s="1298"/>
      <c r="M464" s="1645"/>
      <c r="N464" s="1845" t="str">
        <f t="shared" si="162"/>
        <v xml:space="preserve">ADMINISTRACION </v>
      </c>
      <c r="O464" s="1846"/>
      <c r="P464" s="1710">
        <v>0.185</v>
      </c>
      <c r="Q464" s="1711">
        <f>ROUND(P464*$Q$463,0)</f>
        <v>3353695</v>
      </c>
    </row>
    <row r="465" spans="1:60" ht="15" x14ac:dyDescent="0.25">
      <c r="A465"/>
      <c r="B465"/>
      <c r="C465" s="1769" t="s">
        <v>198</v>
      </c>
      <c r="D465" s="1770"/>
      <c r="E465" s="375">
        <v>0.02</v>
      </c>
      <c r="F465" s="376">
        <f t="shared" ref="F465:H466" si="163">+F$463*E465</f>
        <v>463160</v>
      </c>
      <c r="G465" s="375">
        <v>0.01</v>
      </c>
      <c r="H465" s="376">
        <f t="shared" si="163"/>
        <v>120022.38</v>
      </c>
      <c r="I465" s="375">
        <v>0</v>
      </c>
      <c r="J465" s="376">
        <f t="shared" ref="J465:J466" si="164">+J$463*I465</f>
        <v>0</v>
      </c>
      <c r="K465"/>
      <c r="L465" s="1298"/>
      <c r="M465" s="1645"/>
      <c r="N465" s="1847" t="str">
        <f t="shared" si="162"/>
        <v xml:space="preserve">IMPREVISTO </v>
      </c>
      <c r="O465" s="1848"/>
      <c r="P465" s="1296">
        <v>0.02</v>
      </c>
      <c r="Q465" s="1711">
        <f t="shared" ref="Q465:Q466" si="165">ROUND(P465*$Q$463,0)</f>
        <v>362562</v>
      </c>
    </row>
    <row r="466" spans="1:60" ht="15" x14ac:dyDescent="0.25">
      <c r="A466"/>
      <c r="B466"/>
      <c r="C466" s="1769" t="s">
        <v>199</v>
      </c>
      <c r="D466" s="1770"/>
      <c r="E466" s="375">
        <v>0.05</v>
      </c>
      <c r="F466" s="376">
        <f t="shared" si="163"/>
        <v>1157900</v>
      </c>
      <c r="G466" s="375">
        <v>0.05</v>
      </c>
      <c r="H466" s="376">
        <f t="shared" si="163"/>
        <v>600111.9</v>
      </c>
      <c r="I466" s="375">
        <v>0</v>
      </c>
      <c r="J466" s="376">
        <f t="shared" si="164"/>
        <v>0</v>
      </c>
      <c r="K466"/>
      <c r="L466" s="1298"/>
      <c r="M466" s="1645"/>
      <c r="N466" s="1847" t="str">
        <f t="shared" si="162"/>
        <v>UTILIDAD</v>
      </c>
      <c r="O466" s="1848"/>
      <c r="P466" s="1296">
        <v>4.4999999999999998E-2</v>
      </c>
      <c r="Q466" s="1711">
        <f t="shared" si="165"/>
        <v>815764</v>
      </c>
    </row>
    <row r="467" spans="1:60" ht="15.75" thickBot="1" x14ac:dyDescent="0.3">
      <c r="A467"/>
      <c r="B467"/>
      <c r="C467" s="1771" t="s">
        <v>200</v>
      </c>
      <c r="D467" s="1772"/>
      <c r="E467" s="1725">
        <v>0.19</v>
      </c>
      <c r="F467" s="1726">
        <f>+F466*E467</f>
        <v>220001</v>
      </c>
      <c r="G467" s="1725">
        <v>0.19</v>
      </c>
      <c r="H467" s="1726">
        <f>+H466*G467</f>
        <v>114021.261</v>
      </c>
      <c r="I467" s="1725">
        <v>0</v>
      </c>
      <c r="J467" s="1726">
        <f>+J466*I467</f>
        <v>0</v>
      </c>
      <c r="K467"/>
      <c r="L467" s="1298"/>
      <c r="M467" s="1645"/>
      <c r="N467" s="1849" t="str">
        <f t="shared" si="162"/>
        <v xml:space="preserve">IVA SOBRE UTILIDAD </v>
      </c>
      <c r="O467" s="1850"/>
      <c r="P467" s="1727">
        <v>0.19</v>
      </c>
      <c r="Q467" s="1711">
        <f>ROUND(P467*$Q$466,0)</f>
        <v>154995</v>
      </c>
    </row>
    <row r="468" spans="1:60" ht="15.75" thickBot="1" x14ac:dyDescent="0.3">
      <c r="A468"/>
      <c r="B468"/>
      <c r="C468" s="1728" t="s">
        <v>201</v>
      </c>
      <c r="D468" s="1729"/>
      <c r="E468" s="1730"/>
      <c r="F468" s="1731">
        <f>SUM(F463:F467)</f>
        <v>33104361</v>
      </c>
      <c r="G468" s="1730"/>
      <c r="H468" s="1731">
        <f>SUM(H463:H467)</f>
        <v>15716930.661000002</v>
      </c>
      <c r="I468" s="1732"/>
      <c r="J468" s="1779">
        <f>SUM(J463:J467)</f>
        <v>10216681</v>
      </c>
      <c r="K468"/>
      <c r="L468" s="1777"/>
      <c r="M468" s="1721"/>
      <c r="N468" s="1842" t="str">
        <f t="shared" si="162"/>
        <v xml:space="preserve">VALOR TOTAL INCLUIDO AIU E IVA </v>
      </c>
      <c r="O468" s="1843"/>
      <c r="P468" s="1844"/>
      <c r="Q468" s="1733">
        <f>SUM(Q463:Q467)</f>
        <v>22815097</v>
      </c>
    </row>
    <row r="469" spans="1:60" ht="15.75" thickBot="1" x14ac:dyDescent="0.3">
      <c r="K469"/>
      <c r="L469" s="1298"/>
      <c r="M469"/>
      <c r="N469"/>
      <c r="O469"/>
      <c r="P469"/>
      <c r="Q469"/>
    </row>
    <row r="470" spans="1:60" ht="15.75" thickBot="1" x14ac:dyDescent="0.3">
      <c r="A470" s="1801" t="s">
        <v>616</v>
      </c>
      <c r="B470" s="1802" t="s">
        <v>617</v>
      </c>
      <c r="C470" s="1802"/>
      <c r="D470" s="1802"/>
      <c r="E470" s="1802"/>
      <c r="F470" s="1802"/>
      <c r="G470" s="1802"/>
      <c r="H470" s="1802">
        <v>0</v>
      </c>
      <c r="I470" s="1802"/>
      <c r="J470" s="1818"/>
      <c r="K470"/>
      <c r="L470" s="1819" t="str">
        <f t="shared" ref="L470:L502" si="166">+A470</f>
        <v>H</v>
      </c>
      <c r="M470" s="1853" t="str">
        <f>+B470</f>
        <v>Juzgado Promiscuo Municipal de San José del Palmar</v>
      </c>
      <c r="N470" s="1854"/>
      <c r="O470" s="1854"/>
      <c r="P470" s="1854"/>
      <c r="Q470" s="1855"/>
    </row>
    <row r="471" spans="1:60" s="1533" customFormat="1" ht="24.75" customHeight="1" outlineLevel="1" x14ac:dyDescent="0.25">
      <c r="A471" s="1527" t="s">
        <v>618</v>
      </c>
      <c r="B471" s="1528" t="s">
        <v>619</v>
      </c>
      <c r="C471" s="1527"/>
      <c r="D471" s="1529"/>
      <c r="E471" s="1530"/>
      <c r="F471" s="1531"/>
      <c r="G471" s="1530"/>
      <c r="H471" s="1531">
        <v>0</v>
      </c>
      <c r="I471" s="1532"/>
      <c r="J471" s="1527"/>
      <c r="K471"/>
      <c r="L471" s="1527" t="str">
        <f t="shared" si="166"/>
        <v>H. 1</v>
      </c>
      <c r="M471" s="1836" t="str">
        <f t="shared" ref="M471:M502" si="167">+B471</f>
        <v xml:space="preserve"> Tratamiento de humedades fachada</v>
      </c>
      <c r="N471" s="1837"/>
      <c r="O471" s="1837"/>
      <c r="P471" s="1837"/>
      <c r="Q471" s="1838"/>
      <c r="R471" s="1544"/>
      <c r="S471" s="1544"/>
      <c r="T471" s="1544"/>
      <c r="U471" s="1544"/>
      <c r="V471" s="1544"/>
      <c r="W471" s="1544"/>
      <c r="X471" s="1544"/>
      <c r="Y471" s="1544"/>
      <c r="Z471" s="1544"/>
      <c r="AA471" s="1544"/>
      <c r="AB471" s="1544"/>
      <c r="AC471" s="1544"/>
      <c r="AD471" s="1544"/>
      <c r="AE471" s="1544"/>
      <c r="AF471" s="1544"/>
      <c r="AG471" s="1544"/>
      <c r="AH471" s="1544"/>
      <c r="AI471" s="1544"/>
      <c r="AJ471" s="1544"/>
      <c r="AK471" s="1544"/>
      <c r="AL471" s="1544"/>
      <c r="AM471" s="1544"/>
      <c r="AN471" s="1544"/>
      <c r="AO471" s="1544"/>
      <c r="AP471" s="1544"/>
      <c r="AQ471" s="1544"/>
      <c r="AR471" s="1544"/>
      <c r="AS471" s="1544"/>
      <c r="AT471" s="1544"/>
      <c r="AU471" s="1544"/>
      <c r="AV471" s="1544"/>
      <c r="AW471" s="1544"/>
      <c r="AX471" s="1544"/>
      <c r="AY471" s="1544"/>
      <c r="AZ471" s="1544"/>
      <c r="BA471" s="1544"/>
      <c r="BB471" s="1544"/>
      <c r="BC471" s="1544"/>
      <c r="BD471" s="1544"/>
      <c r="BE471" s="1544"/>
      <c r="BF471" s="1544"/>
      <c r="BG471" s="1544"/>
      <c r="BH471" s="1544"/>
    </row>
    <row r="472" spans="1:60" ht="38.25" outlineLevel="1" x14ac:dyDescent="0.25">
      <c r="A472" s="346" t="s">
        <v>620</v>
      </c>
      <c r="B472" s="358" t="s">
        <v>621</v>
      </c>
      <c r="C472" s="356" t="s">
        <v>19</v>
      </c>
      <c r="D472" s="346">
        <v>17</v>
      </c>
      <c r="E472" s="353">
        <v>14000</v>
      </c>
      <c r="F472" s="353">
        <f>+E472*D472</f>
        <v>238000</v>
      </c>
      <c r="G472" s="387">
        <v>0</v>
      </c>
      <c r="H472" s="349">
        <f>+G472*D472</f>
        <v>0</v>
      </c>
      <c r="I472" s="1285">
        <f>IFERROR(VLOOKUP(A472,'valores unit indexados'!$A$14:$O$197,15,FALSE),0)</f>
        <v>0</v>
      </c>
      <c r="J472" s="349">
        <f t="shared" ref="J472:J502" si="168">+I472*D472</f>
        <v>0</v>
      </c>
      <c r="K472"/>
      <c r="L472" s="346" t="str">
        <f t="shared" si="166"/>
        <v>H. 1,1</v>
      </c>
      <c r="M472" s="358" t="str">
        <f t="shared" si="167"/>
        <v>Lavada de fachada con agua a chorro de aspersión con hipoclorito.(incluye ventaneria y retiro de material afectado por humedad)</v>
      </c>
      <c r="N472" s="356" t="str">
        <f>+C472</f>
        <v>M2</v>
      </c>
      <c r="O472" s="346">
        <f>+D472</f>
        <v>17</v>
      </c>
      <c r="P472" s="423">
        <f>VLOOKUP(L472,'selección precios unitario'!$A$5:$I$418,9,FALSE)</f>
        <v>9000</v>
      </c>
      <c r="Q472" s="423">
        <f t="shared" ref="Q472:Q476" si="169">ROUND(P472*O472,0)</f>
        <v>153000</v>
      </c>
    </row>
    <row r="473" spans="1:60" ht="38.25" outlineLevel="1" x14ac:dyDescent="0.25">
      <c r="A473" s="346" t="s">
        <v>622</v>
      </c>
      <c r="B473" s="360" t="s">
        <v>86</v>
      </c>
      <c r="C473" s="389" t="s">
        <v>19</v>
      </c>
      <c r="D473" s="346">
        <v>10</v>
      </c>
      <c r="E473" s="353">
        <v>48000</v>
      </c>
      <c r="F473" s="353">
        <f t="shared" ref="F473:F502" si="170">+E473*D473</f>
        <v>480000</v>
      </c>
      <c r="G473" s="349">
        <v>45500</v>
      </c>
      <c r="H473" s="349">
        <f t="shared" ref="H473:H502" si="171">+G473*D473</f>
        <v>455000</v>
      </c>
      <c r="I473" s="1285">
        <f>IFERROR(VLOOKUP(A473,'valores unit indexados'!$A$14:$O$197,15,FALSE),0)</f>
        <v>43614</v>
      </c>
      <c r="J473" s="349">
        <f t="shared" si="168"/>
        <v>436140</v>
      </c>
      <c r="K473"/>
      <c r="L473" s="346" t="str">
        <f t="shared" si="166"/>
        <v>H. 1,2</v>
      </c>
      <c r="M473" s="360" t="str">
        <f t="shared" si="167"/>
        <v xml:space="preserve">Suministro e instalación de recubrimiento cementoso (Recubrimiento a base de cemento, arena y aditivos especiales), impermeable para muros color blanco </v>
      </c>
      <c r="N473" s="389" t="str">
        <f t="shared" ref="N473:O476" si="172">+C473</f>
        <v>M2</v>
      </c>
      <c r="O473" s="346">
        <f t="shared" si="172"/>
        <v>10</v>
      </c>
      <c r="P473" s="423">
        <f>VLOOKUP(L473,'selección precios unitario'!$A$5:$I$418,9,FALSE)</f>
        <v>45053</v>
      </c>
      <c r="Q473" s="423">
        <f t="shared" si="169"/>
        <v>450530</v>
      </c>
    </row>
    <row r="474" spans="1:60" ht="15" outlineLevel="1" x14ac:dyDescent="0.25">
      <c r="A474" s="346" t="s">
        <v>623</v>
      </c>
      <c r="B474" s="358" t="s">
        <v>533</v>
      </c>
      <c r="C474" s="356" t="s">
        <v>19</v>
      </c>
      <c r="D474" s="346">
        <v>10</v>
      </c>
      <c r="E474" s="353">
        <v>9000</v>
      </c>
      <c r="F474" s="353">
        <f t="shared" si="170"/>
        <v>90000</v>
      </c>
      <c r="G474" s="349">
        <v>4000</v>
      </c>
      <c r="H474" s="349">
        <f t="shared" si="171"/>
        <v>40000</v>
      </c>
      <c r="I474" s="1285">
        <f>IFERROR(VLOOKUP(A474,'valores unit indexados'!$A$14:$O$197,15,FALSE),0)</f>
        <v>6890</v>
      </c>
      <c r="J474" s="349">
        <f t="shared" si="168"/>
        <v>68900</v>
      </c>
      <c r="K474"/>
      <c r="L474" s="346" t="str">
        <f t="shared" si="166"/>
        <v>H. 1,3</v>
      </c>
      <c r="M474" s="358" t="str">
        <f t="shared" si="167"/>
        <v>Rasqueteada de pintura y retiro de material  en mal estado</v>
      </c>
      <c r="N474" s="356" t="str">
        <f t="shared" si="172"/>
        <v>M2</v>
      </c>
      <c r="O474" s="346">
        <f t="shared" si="172"/>
        <v>10</v>
      </c>
      <c r="P474" s="423">
        <f>VLOOKUP(L474,'selección precios unitario'!$A$5:$I$418,9,FALSE)</f>
        <v>6630</v>
      </c>
      <c r="Q474" s="423">
        <f t="shared" si="169"/>
        <v>66300</v>
      </c>
    </row>
    <row r="475" spans="1:60" ht="25.5" outlineLevel="1" x14ac:dyDescent="0.25">
      <c r="A475" s="346" t="s">
        <v>624</v>
      </c>
      <c r="B475" s="358" t="s">
        <v>536</v>
      </c>
      <c r="C475" s="356" t="s">
        <v>19</v>
      </c>
      <c r="D475" s="346">
        <v>17</v>
      </c>
      <c r="E475" s="353">
        <v>14000</v>
      </c>
      <c r="F475" s="353">
        <f t="shared" si="170"/>
        <v>238000</v>
      </c>
      <c r="G475" s="387">
        <v>0</v>
      </c>
      <c r="H475" s="349">
        <f t="shared" si="171"/>
        <v>0</v>
      </c>
      <c r="I475" s="1285">
        <f>IFERROR(VLOOKUP(A475,'valores unit indexados'!$A$14:$O$197,15,FALSE),0)</f>
        <v>0</v>
      </c>
      <c r="J475" s="349">
        <f t="shared" si="168"/>
        <v>0</v>
      </c>
      <c r="K475"/>
      <c r="L475" s="346" t="str">
        <f t="shared" si="166"/>
        <v>H. 1,4</v>
      </c>
      <c r="M475" s="358" t="str">
        <f t="shared" si="167"/>
        <v>Suministro y aplicación de sellador para superficie altamente alcalina</v>
      </c>
      <c r="N475" s="356" t="str">
        <f t="shared" si="172"/>
        <v>M2</v>
      </c>
      <c r="O475" s="346">
        <f t="shared" si="172"/>
        <v>17</v>
      </c>
      <c r="P475" s="423">
        <f>VLOOKUP(L475,'selección precios unitario'!$A$5:$I$418,9,FALSE)</f>
        <v>14644</v>
      </c>
      <c r="Q475" s="423">
        <f t="shared" si="169"/>
        <v>248948</v>
      </c>
    </row>
    <row r="476" spans="1:60" ht="38.25" outlineLevel="1" x14ac:dyDescent="0.25">
      <c r="A476" s="346" t="s">
        <v>625</v>
      </c>
      <c r="B476" s="358" t="s">
        <v>1506</v>
      </c>
      <c r="C476" s="356" t="s">
        <v>19</v>
      </c>
      <c r="D476" s="346">
        <v>17</v>
      </c>
      <c r="E476" s="353">
        <v>28000</v>
      </c>
      <c r="F476" s="353">
        <f t="shared" si="170"/>
        <v>476000</v>
      </c>
      <c r="G476" s="349">
        <v>15000</v>
      </c>
      <c r="H476" s="349">
        <f t="shared" si="171"/>
        <v>255000</v>
      </c>
      <c r="I476" s="1285">
        <f>IFERROR(VLOOKUP(A476,'valores unit indexados'!$A$14:$O$197,15,FALSE),0)</f>
        <v>0</v>
      </c>
      <c r="J476" s="349">
        <f t="shared" si="168"/>
        <v>0</v>
      </c>
      <c r="K476"/>
      <c r="L476" s="346" t="str">
        <f t="shared" si="166"/>
        <v>H. 1,5</v>
      </c>
      <c r="M476" s="358" t="str">
        <f t="shared" si="167"/>
        <v xml:space="preserve">Suministro y aplicación de pintura acrílica resistente a climas tropicales como la humedad y el calor extremo (para exterior)  a 3 manos </v>
      </c>
      <c r="N476" s="356" t="str">
        <f t="shared" si="172"/>
        <v>M2</v>
      </c>
      <c r="O476" s="346">
        <f t="shared" si="172"/>
        <v>17</v>
      </c>
      <c r="P476" s="423">
        <f>VLOOKUP(L476,'selección precios unitario'!$A$5:$I$418,9,FALSE)</f>
        <v>21500</v>
      </c>
      <c r="Q476" s="423">
        <f t="shared" si="169"/>
        <v>365500</v>
      </c>
    </row>
    <row r="477" spans="1:60" s="1533" customFormat="1" ht="24.75" customHeight="1" outlineLevel="1" x14ac:dyDescent="0.25">
      <c r="A477" s="1527" t="s">
        <v>626</v>
      </c>
      <c r="B477" s="1528" t="s">
        <v>627</v>
      </c>
      <c r="C477" s="1527"/>
      <c r="D477" s="1529"/>
      <c r="E477" s="1530"/>
      <c r="F477" s="1531">
        <f t="shared" si="170"/>
        <v>0</v>
      </c>
      <c r="G477" s="1530"/>
      <c r="H477" s="1531">
        <f t="shared" si="171"/>
        <v>0</v>
      </c>
      <c r="I477" s="1532"/>
      <c r="J477" s="1527"/>
      <c r="K477"/>
      <c r="L477" s="1527" t="str">
        <f t="shared" si="166"/>
        <v>H. 2</v>
      </c>
      <c r="M477" s="1836" t="str">
        <f t="shared" si="167"/>
        <v xml:space="preserve"> Tratamiento de humedades muros internos </v>
      </c>
      <c r="N477" s="1837"/>
      <c r="O477" s="1837"/>
      <c r="P477" s="1837" t="e">
        <f t="shared" ref="P477" si="173">ROUND(IF(I477&gt;0,I477:I477,AVERAGE(G477,E477)),0)</f>
        <v>#DIV/0!</v>
      </c>
      <c r="Q477" s="1838"/>
      <c r="R477" s="1544"/>
      <c r="S477" s="1544"/>
      <c r="T477" s="1544"/>
      <c r="U477" s="1544"/>
      <c r="V477" s="1544"/>
      <c r="W477" s="1544"/>
      <c r="X477" s="1544"/>
      <c r="Y477" s="1544"/>
      <c r="Z477" s="1544"/>
      <c r="AA477" s="1544"/>
      <c r="AB477" s="1544"/>
      <c r="AC477" s="1544"/>
      <c r="AD477" s="1544"/>
      <c r="AE477" s="1544"/>
      <c r="AF477" s="1544"/>
      <c r="AG477" s="1544"/>
      <c r="AH477" s="1544"/>
      <c r="AI477" s="1544"/>
      <c r="AJ477" s="1544"/>
      <c r="AK477" s="1544"/>
      <c r="AL477" s="1544"/>
      <c r="AM477" s="1544"/>
      <c r="AN477" s="1544"/>
      <c r="AO477" s="1544"/>
      <c r="AP477" s="1544"/>
      <c r="AQ477" s="1544"/>
      <c r="AR477" s="1544"/>
      <c r="AS477" s="1544"/>
      <c r="AT477" s="1544"/>
      <c r="AU477" s="1544"/>
      <c r="AV477" s="1544"/>
      <c r="AW477" s="1544"/>
      <c r="AX477" s="1544"/>
      <c r="AY477" s="1544"/>
      <c r="AZ477" s="1544"/>
      <c r="BA477" s="1544"/>
      <c r="BB477" s="1544"/>
      <c r="BC477" s="1544"/>
      <c r="BD477" s="1544"/>
      <c r="BE477" s="1544"/>
      <c r="BF477" s="1544"/>
      <c r="BG477" s="1544"/>
      <c r="BH477" s="1544"/>
    </row>
    <row r="478" spans="1:60" ht="15" outlineLevel="1" x14ac:dyDescent="0.25">
      <c r="A478" s="386" t="s">
        <v>628</v>
      </c>
      <c r="B478" s="364" t="s">
        <v>84</v>
      </c>
      <c r="C478" s="367" t="s">
        <v>19</v>
      </c>
      <c r="D478" s="385">
        <v>192</v>
      </c>
      <c r="E478" s="353">
        <v>9000</v>
      </c>
      <c r="F478" s="353">
        <f t="shared" si="170"/>
        <v>1728000</v>
      </c>
      <c r="G478" s="349">
        <v>5200</v>
      </c>
      <c r="H478" s="349">
        <f t="shared" si="171"/>
        <v>998400</v>
      </c>
      <c r="I478" s="1285">
        <f>IFERROR(VLOOKUP(A478,'valores unit indexados'!$A$14:$O$197,15,FALSE),0)</f>
        <v>6890</v>
      </c>
      <c r="J478" s="349">
        <f t="shared" si="168"/>
        <v>1322880</v>
      </c>
      <c r="K478"/>
      <c r="L478" s="386" t="str">
        <f t="shared" si="166"/>
        <v>H. 2,1</v>
      </c>
      <c r="M478" s="364" t="str">
        <f t="shared" si="167"/>
        <v xml:space="preserve">Rasqueteada de pintura y retiro de mortero en mal estado  </v>
      </c>
      <c r="N478" s="367" t="str">
        <f t="shared" ref="N478:N487" si="174">+C478</f>
        <v>M2</v>
      </c>
      <c r="O478" s="385">
        <f t="shared" ref="O478:O487" si="175">+D478</f>
        <v>192</v>
      </c>
      <c r="P478" s="423">
        <f>VLOOKUP(L478,'selección precios unitario'!$A$5:$I$418,9,FALSE)</f>
        <v>6630</v>
      </c>
      <c r="Q478" s="423">
        <f t="shared" ref="Q478:Q487" si="176">ROUND(P478*O478,0)</f>
        <v>1272960</v>
      </c>
    </row>
    <row r="479" spans="1:60" ht="38.25" outlineLevel="1" x14ac:dyDescent="0.25">
      <c r="A479" s="386" t="s">
        <v>629</v>
      </c>
      <c r="B479" s="368" t="s">
        <v>86</v>
      </c>
      <c r="C479" s="367" t="s">
        <v>19</v>
      </c>
      <c r="D479" s="385">
        <v>192</v>
      </c>
      <c r="E479" s="353">
        <v>48000</v>
      </c>
      <c r="F479" s="353">
        <f t="shared" si="170"/>
        <v>9216000</v>
      </c>
      <c r="G479" s="349">
        <v>45500</v>
      </c>
      <c r="H479" s="349">
        <f t="shared" si="171"/>
        <v>8736000</v>
      </c>
      <c r="I479" s="1285">
        <f>IFERROR(VLOOKUP(A479,'valores unit indexados'!$A$14:$O$197,15,FALSE),0)</f>
        <v>43614</v>
      </c>
      <c r="J479" s="349">
        <f t="shared" si="168"/>
        <v>8373888</v>
      </c>
      <c r="K479"/>
      <c r="L479" s="386" t="str">
        <f t="shared" si="166"/>
        <v>H. 2,2</v>
      </c>
      <c r="M479" s="368" t="str">
        <f t="shared" si="167"/>
        <v xml:space="preserve">Suministro e instalación de recubrimiento cementoso (Recubrimiento a base de cemento, arena y aditivos especiales), impermeable para muros color blanco </v>
      </c>
      <c r="N479" s="367" t="str">
        <f t="shared" si="174"/>
        <v>M2</v>
      </c>
      <c r="O479" s="385">
        <f t="shared" si="175"/>
        <v>192</v>
      </c>
      <c r="P479" s="423">
        <f>VLOOKUP(L479,'selección precios unitario'!$A$5:$I$418,9,FALSE)</f>
        <v>45053</v>
      </c>
      <c r="Q479" s="423">
        <f t="shared" si="176"/>
        <v>8650176</v>
      </c>
    </row>
    <row r="480" spans="1:60" ht="15" outlineLevel="1" x14ac:dyDescent="0.25">
      <c r="A480" s="386" t="s">
        <v>630</v>
      </c>
      <c r="B480" s="368" t="s">
        <v>88</v>
      </c>
      <c r="C480" s="367" t="s">
        <v>19</v>
      </c>
      <c r="D480" s="385">
        <v>274</v>
      </c>
      <c r="E480" s="353">
        <v>28000</v>
      </c>
      <c r="F480" s="353">
        <f t="shared" si="170"/>
        <v>7672000</v>
      </c>
      <c r="G480" s="349">
        <v>11700</v>
      </c>
      <c r="H480" s="349">
        <f t="shared" si="171"/>
        <v>3205800</v>
      </c>
      <c r="I480" s="1285">
        <f>IFERROR(VLOOKUP(A480,'valores unit indexados'!$A$14:$O$197,15,FALSE),0)</f>
        <v>24610</v>
      </c>
      <c r="J480" s="349">
        <f t="shared" si="168"/>
        <v>6743140</v>
      </c>
      <c r="K480"/>
      <c r="L480" s="386" t="str">
        <f t="shared" si="166"/>
        <v>H. 2,3</v>
      </c>
      <c r="M480" s="368" t="str">
        <f t="shared" si="167"/>
        <v xml:space="preserve">Suministro y aplicación de estuco plástico </v>
      </c>
      <c r="N480" s="367" t="str">
        <f t="shared" si="174"/>
        <v>M2</v>
      </c>
      <c r="O480" s="385">
        <f t="shared" si="175"/>
        <v>274</v>
      </c>
      <c r="P480" s="423">
        <f>VLOOKUP(L480,'selección precios unitario'!$A$5:$I$418,9,FALSE)</f>
        <v>26305</v>
      </c>
      <c r="Q480" s="423">
        <f t="shared" si="176"/>
        <v>7207570</v>
      </c>
    </row>
    <row r="481" spans="1:60" ht="15" outlineLevel="1" x14ac:dyDescent="0.25">
      <c r="A481" s="386" t="s">
        <v>631</v>
      </c>
      <c r="B481" s="364" t="s">
        <v>632</v>
      </c>
      <c r="C481" s="367" t="s">
        <v>19</v>
      </c>
      <c r="D481" s="385">
        <v>274</v>
      </c>
      <c r="E481" s="353">
        <v>19000</v>
      </c>
      <c r="F481" s="353">
        <f t="shared" si="170"/>
        <v>5206000</v>
      </c>
      <c r="G481" s="412">
        <v>8710</v>
      </c>
      <c r="H481" s="349">
        <f t="shared" si="171"/>
        <v>2386540</v>
      </c>
      <c r="I481" s="1285">
        <f>IFERROR(VLOOKUP(A481,'valores unit indexados'!$A$14:$O$197,15,FALSE),0)</f>
        <v>0</v>
      </c>
      <c r="J481" s="349">
        <f t="shared" si="168"/>
        <v>0</v>
      </c>
      <c r="K481"/>
      <c r="L481" s="386" t="str">
        <f t="shared" si="166"/>
        <v>H. 2,4</v>
      </c>
      <c r="M481" s="364" t="str">
        <f t="shared" si="167"/>
        <v>Suministro y aplicación de vinilo tipo 1 (2 manos)</v>
      </c>
      <c r="N481" s="367" t="str">
        <f t="shared" si="174"/>
        <v>M2</v>
      </c>
      <c r="O481" s="385">
        <f t="shared" si="175"/>
        <v>274</v>
      </c>
      <c r="P481" s="423">
        <f>VLOOKUP(L481,'selección precios unitario'!$A$5:$I$418,9,FALSE)</f>
        <v>19000</v>
      </c>
      <c r="Q481" s="423">
        <f t="shared" si="176"/>
        <v>5206000</v>
      </c>
    </row>
    <row r="482" spans="1:60" ht="15" outlineLevel="1" x14ac:dyDescent="0.25">
      <c r="A482" s="386" t="s">
        <v>633</v>
      </c>
      <c r="B482" s="368" t="s">
        <v>92</v>
      </c>
      <c r="C482" s="367" t="s">
        <v>19</v>
      </c>
      <c r="D482" s="385">
        <v>137</v>
      </c>
      <c r="E482" s="353">
        <v>18000</v>
      </c>
      <c r="F482" s="353">
        <f t="shared" si="170"/>
        <v>2466000</v>
      </c>
      <c r="G482" s="412">
        <v>8710</v>
      </c>
      <c r="H482" s="349">
        <f t="shared" si="171"/>
        <v>1193270</v>
      </c>
      <c r="I482" s="1285">
        <f>IFERROR(VLOOKUP(A482,'valores unit indexados'!$A$14:$O$197,15,FALSE),0)</f>
        <v>0</v>
      </c>
      <c r="J482" s="349">
        <f t="shared" si="168"/>
        <v>0</v>
      </c>
      <c r="K482"/>
      <c r="L482" s="386" t="str">
        <f t="shared" si="166"/>
        <v>H. 2,5</v>
      </c>
      <c r="M482" s="368" t="str">
        <f t="shared" si="167"/>
        <v>Suministro y aplicación de pintura en esmalte</v>
      </c>
      <c r="N482" s="367" t="str">
        <f t="shared" si="174"/>
        <v>M2</v>
      </c>
      <c r="O482" s="385">
        <f t="shared" si="175"/>
        <v>137</v>
      </c>
      <c r="P482" s="423">
        <f>VLOOKUP(L482,'selección precios unitario'!$A$5:$I$418,9,FALSE)</f>
        <v>17503</v>
      </c>
      <c r="Q482" s="423">
        <f t="shared" si="176"/>
        <v>2397911</v>
      </c>
    </row>
    <row r="483" spans="1:60" ht="15" outlineLevel="1" x14ac:dyDescent="0.25">
      <c r="A483" s="386" t="s">
        <v>634</v>
      </c>
      <c r="B483" s="364" t="s">
        <v>84</v>
      </c>
      <c r="C483" s="367" t="s">
        <v>14</v>
      </c>
      <c r="D483" s="385">
        <v>46</v>
      </c>
      <c r="E483" s="353">
        <v>5400</v>
      </c>
      <c r="F483" s="353">
        <f t="shared" si="170"/>
        <v>248400</v>
      </c>
      <c r="G483" s="412">
        <v>5200</v>
      </c>
      <c r="H483" s="349">
        <f t="shared" si="171"/>
        <v>239200</v>
      </c>
      <c r="I483" s="1285">
        <f>IFERROR(VLOOKUP(A483,'valores unit indexados'!$A$14:$O$197,15,FALSE),0)</f>
        <v>0</v>
      </c>
      <c r="J483" s="349">
        <f t="shared" si="168"/>
        <v>0</v>
      </c>
      <c r="K483"/>
      <c r="L483" s="386" t="str">
        <f t="shared" si="166"/>
        <v>H. 2,6</v>
      </c>
      <c r="M483" s="364" t="str">
        <f t="shared" si="167"/>
        <v xml:space="preserve">Rasqueteada de pintura y retiro de mortero en mal estado  </v>
      </c>
      <c r="N483" s="367" t="str">
        <f t="shared" si="174"/>
        <v>ML</v>
      </c>
      <c r="O483" s="385">
        <f t="shared" si="175"/>
        <v>46</v>
      </c>
      <c r="P483" s="423">
        <f>VLOOKUP(L483,'selección precios unitario'!$A$5:$I$418,9,FALSE)</f>
        <v>4700</v>
      </c>
      <c r="Q483" s="423">
        <f t="shared" si="176"/>
        <v>216200</v>
      </c>
    </row>
    <row r="484" spans="1:60" ht="38.25" outlineLevel="1" x14ac:dyDescent="0.25">
      <c r="A484" s="386" t="s">
        <v>635</v>
      </c>
      <c r="B484" s="358" t="s">
        <v>636</v>
      </c>
      <c r="C484" s="356" t="s">
        <v>14</v>
      </c>
      <c r="D484" s="385">
        <v>46</v>
      </c>
      <c r="E484" s="353">
        <v>28800</v>
      </c>
      <c r="F484" s="353">
        <f t="shared" si="170"/>
        <v>1324800</v>
      </c>
      <c r="G484" s="349">
        <v>6500</v>
      </c>
      <c r="H484" s="349">
        <f t="shared" si="171"/>
        <v>299000</v>
      </c>
      <c r="I484" s="1285">
        <f>IFERROR(VLOOKUP(A484,'valores unit indexados'!$A$14:$O$197,15,FALSE),0)</f>
        <v>0</v>
      </c>
      <c r="J484" s="349">
        <f t="shared" si="168"/>
        <v>0</v>
      </c>
      <c r="K484"/>
      <c r="L484" s="386" t="str">
        <f t="shared" si="166"/>
        <v>H. 2,7</v>
      </c>
      <c r="M484" s="358" t="str">
        <f t="shared" si="167"/>
        <v xml:space="preserve">Suministro e instalación de recubrimiento cementoso (Recubrimiento a base de cemento, arena y aditivos especiales), impermeable para muros </v>
      </c>
      <c r="N484" s="356" t="str">
        <f t="shared" si="174"/>
        <v>ML</v>
      </c>
      <c r="O484" s="385">
        <f t="shared" si="175"/>
        <v>46</v>
      </c>
      <c r="P484" s="423">
        <f>VLOOKUP(L484,'selección precios unitario'!$A$5:$I$418,9,FALSE)</f>
        <v>17650</v>
      </c>
      <c r="Q484" s="423">
        <f t="shared" si="176"/>
        <v>811900</v>
      </c>
    </row>
    <row r="485" spans="1:60" ht="15" outlineLevel="1" x14ac:dyDescent="0.25">
      <c r="A485" s="386" t="s">
        <v>637</v>
      </c>
      <c r="B485" s="358" t="s">
        <v>88</v>
      </c>
      <c r="C485" s="356" t="s">
        <v>14</v>
      </c>
      <c r="D485" s="385">
        <v>46</v>
      </c>
      <c r="E485" s="353">
        <v>16800</v>
      </c>
      <c r="F485" s="353">
        <f t="shared" si="170"/>
        <v>772800</v>
      </c>
      <c r="G485" s="349">
        <v>11700</v>
      </c>
      <c r="H485" s="349">
        <f t="shared" si="171"/>
        <v>538200</v>
      </c>
      <c r="I485" s="1285">
        <f>IFERROR(VLOOKUP(A485,'valores unit indexados'!$A$14:$O$197,15,FALSE),0)</f>
        <v>0</v>
      </c>
      <c r="J485" s="349">
        <f t="shared" si="168"/>
        <v>0</v>
      </c>
      <c r="K485"/>
      <c r="L485" s="386" t="str">
        <f t="shared" si="166"/>
        <v>H. 2,8</v>
      </c>
      <c r="M485" s="358" t="str">
        <f t="shared" si="167"/>
        <v xml:space="preserve">Suministro y aplicación de estuco plástico </v>
      </c>
      <c r="N485" s="356" t="str">
        <f t="shared" si="174"/>
        <v>ML</v>
      </c>
      <c r="O485" s="385">
        <f t="shared" si="175"/>
        <v>46</v>
      </c>
      <c r="P485" s="423">
        <f>VLOOKUP(L485,'selección precios unitario'!$A$5:$I$418,9,FALSE)</f>
        <v>20705</v>
      </c>
      <c r="Q485" s="423">
        <f t="shared" si="176"/>
        <v>952430</v>
      </c>
    </row>
    <row r="486" spans="1:60" ht="15" outlineLevel="1" x14ac:dyDescent="0.25">
      <c r="A486" s="386" t="s">
        <v>638</v>
      </c>
      <c r="B486" s="358" t="s">
        <v>639</v>
      </c>
      <c r="C486" s="356" t="s">
        <v>14</v>
      </c>
      <c r="D486" s="385">
        <v>65</v>
      </c>
      <c r="E486" s="353">
        <v>11400</v>
      </c>
      <c r="F486" s="353">
        <f t="shared" si="170"/>
        <v>741000</v>
      </c>
      <c r="G486" s="349">
        <v>5200</v>
      </c>
      <c r="H486" s="349">
        <f t="shared" si="171"/>
        <v>338000</v>
      </c>
      <c r="I486" s="1285">
        <f>IFERROR(VLOOKUP(A486,'valores unit indexados'!$A$14:$O$197,15,FALSE),0)</f>
        <v>0</v>
      </c>
      <c r="J486" s="349">
        <f t="shared" si="168"/>
        <v>0</v>
      </c>
      <c r="K486"/>
      <c r="L486" s="386" t="str">
        <f t="shared" si="166"/>
        <v>H. 2,9</v>
      </c>
      <c r="M486" s="358" t="str">
        <f t="shared" si="167"/>
        <v>Suministro y aplicación de vinilo tipo 2 (2 manos)</v>
      </c>
      <c r="N486" s="356" t="str">
        <f t="shared" si="174"/>
        <v>ML</v>
      </c>
      <c r="O486" s="385">
        <f t="shared" si="175"/>
        <v>65</v>
      </c>
      <c r="P486" s="423">
        <f>VLOOKUP(L486,'selección precios unitario'!$A$5:$I$418,9,FALSE)</f>
        <v>6120</v>
      </c>
      <c r="Q486" s="423">
        <f t="shared" si="176"/>
        <v>397800</v>
      </c>
    </row>
    <row r="487" spans="1:60" ht="15" outlineLevel="1" x14ac:dyDescent="0.25">
      <c r="A487" s="386" t="s">
        <v>640</v>
      </c>
      <c r="B487" s="358" t="s">
        <v>92</v>
      </c>
      <c r="C487" s="356" t="s">
        <v>14</v>
      </c>
      <c r="D487" s="385">
        <v>20</v>
      </c>
      <c r="E487" s="353">
        <v>10800</v>
      </c>
      <c r="F487" s="353">
        <f t="shared" si="170"/>
        <v>216000</v>
      </c>
      <c r="G487" s="349">
        <v>5200</v>
      </c>
      <c r="H487" s="349">
        <f t="shared" si="171"/>
        <v>104000</v>
      </c>
      <c r="I487" s="1285">
        <f>IFERROR(VLOOKUP(A487,'valores unit indexados'!$A$14:$O$197,15,FALSE),0)</f>
        <v>0</v>
      </c>
      <c r="J487" s="349">
        <f t="shared" si="168"/>
        <v>0</v>
      </c>
      <c r="K487"/>
      <c r="L487" s="386" t="str">
        <f t="shared" si="166"/>
        <v>H. 2,10</v>
      </c>
      <c r="M487" s="358" t="str">
        <f t="shared" si="167"/>
        <v>Suministro y aplicación de pintura en esmalte</v>
      </c>
      <c r="N487" s="356" t="str">
        <f t="shared" si="174"/>
        <v>ML</v>
      </c>
      <c r="O487" s="385">
        <f t="shared" si="175"/>
        <v>20</v>
      </c>
      <c r="P487" s="423">
        <f>VLOOKUP(L487,'selección precios unitario'!$A$5:$I$418,9,FALSE)</f>
        <v>8000</v>
      </c>
      <c r="Q487" s="423">
        <f t="shared" si="176"/>
        <v>160000</v>
      </c>
    </row>
    <row r="488" spans="1:60" s="1533" customFormat="1" ht="24.75" customHeight="1" outlineLevel="1" x14ac:dyDescent="0.25">
      <c r="A488" s="1527" t="s">
        <v>641</v>
      </c>
      <c r="B488" s="1528" t="s">
        <v>642</v>
      </c>
      <c r="C488" s="1527"/>
      <c r="D488" s="1529"/>
      <c r="E488" s="1530"/>
      <c r="F488" s="1531">
        <f t="shared" si="170"/>
        <v>0</v>
      </c>
      <c r="G488" s="1530"/>
      <c r="H488" s="1531">
        <f t="shared" si="171"/>
        <v>0</v>
      </c>
      <c r="I488" s="1532"/>
      <c r="J488" s="1527"/>
      <c r="K488"/>
      <c r="L488" s="1527" t="str">
        <f t="shared" si="166"/>
        <v>H. 3</v>
      </c>
      <c r="M488" s="1836" t="str">
        <f t="shared" si="167"/>
        <v>Otros</v>
      </c>
      <c r="N488" s="1837"/>
      <c r="O488" s="1837"/>
      <c r="P488" s="1837"/>
      <c r="Q488" s="1838"/>
      <c r="R488" s="1544"/>
      <c r="S488" s="1544"/>
      <c r="T488" s="1544"/>
      <c r="U488" s="1544"/>
      <c r="V488" s="1544"/>
      <c r="W488" s="1544"/>
      <c r="X488" s="1544"/>
      <c r="Y488" s="1544"/>
      <c r="Z488" s="1544"/>
      <c r="AA488" s="1544"/>
      <c r="AB488" s="1544"/>
      <c r="AC488" s="1544"/>
      <c r="AD488" s="1544"/>
      <c r="AE488" s="1544"/>
      <c r="AF488" s="1544"/>
      <c r="AG488" s="1544"/>
      <c r="AH488" s="1544"/>
      <c r="AI488" s="1544"/>
      <c r="AJ488" s="1544"/>
      <c r="AK488" s="1544"/>
      <c r="AL488" s="1544"/>
      <c r="AM488" s="1544"/>
      <c r="AN488" s="1544"/>
      <c r="AO488" s="1544"/>
      <c r="AP488" s="1544"/>
      <c r="AQ488" s="1544"/>
      <c r="AR488" s="1544"/>
      <c r="AS488" s="1544"/>
      <c r="AT488" s="1544"/>
      <c r="AU488" s="1544"/>
      <c r="AV488" s="1544"/>
      <c r="AW488" s="1544"/>
      <c r="AX488" s="1544"/>
      <c r="AY488" s="1544"/>
      <c r="AZ488" s="1544"/>
      <c r="BA488" s="1544"/>
      <c r="BB488" s="1544"/>
      <c r="BC488" s="1544"/>
      <c r="BD488" s="1544"/>
      <c r="BE488" s="1544"/>
      <c r="BF488" s="1544"/>
      <c r="BG488" s="1544"/>
      <c r="BH488" s="1544"/>
    </row>
    <row r="489" spans="1:60" ht="25.5" outlineLevel="1" x14ac:dyDescent="0.25">
      <c r="A489" s="386" t="s">
        <v>643</v>
      </c>
      <c r="B489" s="360" t="s">
        <v>644</v>
      </c>
      <c r="C489" s="404" t="s">
        <v>19</v>
      </c>
      <c r="D489" s="385">
        <v>10</v>
      </c>
      <c r="E489" s="353">
        <v>50000</v>
      </c>
      <c r="F489" s="353">
        <f t="shared" si="170"/>
        <v>500000</v>
      </c>
      <c r="G489" s="387">
        <v>0</v>
      </c>
      <c r="H489" s="349">
        <f t="shared" si="171"/>
        <v>0</v>
      </c>
      <c r="I489" s="1285">
        <f>IFERROR(VLOOKUP(A489,'valores unit indexados'!$A$14:$O$197,15,FALSE),0)</f>
        <v>0</v>
      </c>
      <c r="J489" s="349">
        <f t="shared" si="168"/>
        <v>0</v>
      </c>
      <c r="K489"/>
      <c r="L489" s="386" t="str">
        <f t="shared" si="166"/>
        <v>H. 3,1</v>
      </c>
      <c r="M489" s="360" t="str">
        <f t="shared" si="167"/>
        <v>Mantenimiento de reja exterior existente  con puerta de 2 naves, consiste en soldar, lijar y pintar colo crema.</v>
      </c>
      <c r="N489" s="404" t="str">
        <f>+C489</f>
        <v>M2</v>
      </c>
      <c r="O489" s="385">
        <f>+D489</f>
        <v>10</v>
      </c>
      <c r="P489" s="423">
        <f>VLOOKUP(L489,'selección precios unitario'!$A$5:$I$418,9,FALSE)</f>
        <v>50000</v>
      </c>
      <c r="Q489" s="423">
        <f t="shared" ref="Q489:Q502" si="177">ROUND(P489*O489,0)</f>
        <v>500000</v>
      </c>
    </row>
    <row r="490" spans="1:60" ht="15" outlineLevel="1" x14ac:dyDescent="0.25">
      <c r="A490" s="386" t="s">
        <v>645</v>
      </c>
      <c r="B490" s="390" t="s">
        <v>646</v>
      </c>
      <c r="C490" s="363" t="s">
        <v>150</v>
      </c>
      <c r="D490" s="405">
        <v>9</v>
      </c>
      <c r="E490" s="353">
        <v>65000</v>
      </c>
      <c r="F490" s="353">
        <f t="shared" si="170"/>
        <v>585000</v>
      </c>
      <c r="G490" s="349">
        <v>17797</v>
      </c>
      <c r="H490" s="349">
        <f t="shared" si="171"/>
        <v>160173</v>
      </c>
      <c r="I490" s="1285">
        <f>IFERROR(VLOOKUP(A490,'valores unit indexados'!$A$14:$O$197,15,FALSE),0)</f>
        <v>0</v>
      </c>
      <c r="J490" s="349">
        <f t="shared" si="168"/>
        <v>0</v>
      </c>
      <c r="K490"/>
      <c r="L490" s="386" t="str">
        <f t="shared" si="166"/>
        <v>H. 3,2</v>
      </c>
      <c r="M490" s="390" t="str">
        <f t="shared" si="167"/>
        <v>excavación tierra  a mano (tipo terraceo), incluye retiro</v>
      </c>
      <c r="N490" s="363" t="str">
        <f t="shared" ref="N490:N502" si="178">+C490</f>
        <v>M3</v>
      </c>
      <c r="O490" s="405">
        <f t="shared" ref="O490:O502" si="179">+D490</f>
        <v>9</v>
      </c>
      <c r="P490" s="423">
        <f>VLOOKUP(L490,'selección precios unitario'!$A$5:$I$418,9,FALSE)</f>
        <v>41757</v>
      </c>
      <c r="Q490" s="423">
        <f t="shared" si="177"/>
        <v>375813</v>
      </c>
    </row>
    <row r="491" spans="1:60" ht="25.5" outlineLevel="1" x14ac:dyDescent="0.25">
      <c r="A491" s="386" t="s">
        <v>647</v>
      </c>
      <c r="B491" s="391" t="s">
        <v>648</v>
      </c>
      <c r="C491" s="340" t="s">
        <v>150</v>
      </c>
      <c r="D491" s="385">
        <v>1</v>
      </c>
      <c r="E491" s="353">
        <v>920000</v>
      </c>
      <c r="F491" s="353">
        <f t="shared" si="170"/>
        <v>920000</v>
      </c>
      <c r="G491" s="349">
        <v>830024</v>
      </c>
      <c r="H491" s="349">
        <f t="shared" si="171"/>
        <v>830024</v>
      </c>
      <c r="I491" s="1285">
        <f>IFERROR(VLOOKUP(A491,'valores unit indexados'!$A$14:$O$197,15,FALSE),0)</f>
        <v>0</v>
      </c>
      <c r="J491" s="349">
        <f t="shared" si="168"/>
        <v>0</v>
      </c>
      <c r="K491"/>
      <c r="L491" s="386" t="str">
        <f t="shared" si="166"/>
        <v>H. 3,3</v>
      </c>
      <c r="M491" s="391" t="str">
        <f t="shared" si="167"/>
        <v>Suministro y fabricación de Viga en concreto  H=30-40 cm de 21 Mpa incluye acero y flejes de 3/8"</v>
      </c>
      <c r="N491" s="340" t="str">
        <f t="shared" si="178"/>
        <v>M3</v>
      </c>
      <c r="O491" s="385">
        <f t="shared" si="179"/>
        <v>1</v>
      </c>
      <c r="P491" s="423">
        <f>VLOOKUP(L491,'selección precios unitario'!$A$5:$I$418,9,FALSE)</f>
        <v>875012</v>
      </c>
      <c r="Q491" s="423">
        <f t="shared" si="177"/>
        <v>875012</v>
      </c>
    </row>
    <row r="492" spans="1:60" ht="25.5" outlineLevel="1" x14ac:dyDescent="0.25">
      <c r="A492" s="386" t="s">
        <v>649</v>
      </c>
      <c r="B492" s="358" t="s">
        <v>650</v>
      </c>
      <c r="C492" s="363" t="s">
        <v>19</v>
      </c>
      <c r="D492" s="385">
        <v>52</v>
      </c>
      <c r="E492" s="353">
        <v>45000</v>
      </c>
      <c r="F492" s="353">
        <f t="shared" si="170"/>
        <v>2340000</v>
      </c>
      <c r="G492" s="412">
        <v>180661</v>
      </c>
      <c r="H492" s="349">
        <f t="shared" si="171"/>
        <v>9394372</v>
      </c>
      <c r="I492" s="1285">
        <f>IFERROR(VLOOKUP(A492,'valores unit indexados'!$A$14:$O$197,15,FALSE),0)</f>
        <v>0</v>
      </c>
      <c r="J492" s="349">
        <f t="shared" si="168"/>
        <v>0</v>
      </c>
      <c r="K492"/>
      <c r="L492" s="386" t="str">
        <f t="shared" si="166"/>
        <v>H. 3,4</v>
      </c>
      <c r="M492" s="358" t="str">
        <f t="shared" si="167"/>
        <v>Suministro e instalación de cerramiento en malla eslabonada calibre 12 hueco 2 1/2" altura 200 cm</v>
      </c>
      <c r="N492" s="363" t="str">
        <f t="shared" si="178"/>
        <v>M2</v>
      </c>
      <c r="O492" s="385">
        <f t="shared" si="179"/>
        <v>52</v>
      </c>
      <c r="P492" s="423">
        <f>VLOOKUP(L492,'selección precios unitario'!$A$5:$I$418,9,FALSE)</f>
        <v>45000</v>
      </c>
      <c r="Q492" s="423">
        <f t="shared" si="177"/>
        <v>2340000</v>
      </c>
    </row>
    <row r="493" spans="1:60" ht="25.5" outlineLevel="1" x14ac:dyDescent="0.25">
      <c r="A493" s="386" t="s">
        <v>651</v>
      </c>
      <c r="B493" s="358" t="s">
        <v>1515</v>
      </c>
      <c r="C493" s="356" t="s">
        <v>14</v>
      </c>
      <c r="D493" s="355">
        <v>12</v>
      </c>
      <c r="E493" s="353">
        <v>120000</v>
      </c>
      <c r="F493" s="353">
        <f t="shared" si="170"/>
        <v>1440000</v>
      </c>
      <c r="G493" s="349">
        <v>18317</v>
      </c>
      <c r="H493" s="349">
        <f t="shared" si="171"/>
        <v>219804</v>
      </c>
      <c r="I493" s="1285">
        <f>IFERROR(VLOOKUP(A493,'valores unit indexados'!$A$14:$O$197,15,FALSE),0)</f>
        <v>0</v>
      </c>
      <c r="J493" s="349">
        <f t="shared" si="168"/>
        <v>0</v>
      </c>
      <c r="K493"/>
      <c r="L493" s="386" t="str">
        <f t="shared" si="166"/>
        <v>H. 3,5</v>
      </c>
      <c r="M493" s="358" t="str">
        <f t="shared" si="167"/>
        <v>Suministro e instalación de poste cilíndrico con brazo, diámetro 2 1/2" para cerramiento., incluye alambre de pues y concertina</v>
      </c>
      <c r="N493" s="356" t="str">
        <f t="shared" si="178"/>
        <v>ML</v>
      </c>
      <c r="O493" s="355">
        <f t="shared" si="179"/>
        <v>12</v>
      </c>
      <c r="P493" s="423">
        <f>VLOOKUP(L493,'selección precios unitario'!$A$5:$I$418,9,FALSE)</f>
        <v>69159</v>
      </c>
      <c r="Q493" s="423">
        <f t="shared" si="177"/>
        <v>829908</v>
      </c>
    </row>
    <row r="494" spans="1:60" ht="51" outlineLevel="1" x14ac:dyDescent="0.25">
      <c r="A494" s="386" t="s">
        <v>653</v>
      </c>
      <c r="B494" s="391" t="s">
        <v>1516</v>
      </c>
      <c r="C494" s="363" t="s">
        <v>19</v>
      </c>
      <c r="D494" s="385">
        <v>22</v>
      </c>
      <c r="E494" s="353">
        <v>250000</v>
      </c>
      <c r="F494" s="353">
        <f t="shared" si="170"/>
        <v>5500000</v>
      </c>
      <c r="G494" s="349">
        <v>252694</v>
      </c>
      <c r="H494" s="349">
        <f t="shared" si="171"/>
        <v>5559268</v>
      </c>
      <c r="I494" s="1285">
        <f>IFERROR(VLOOKUP(A494,'valores unit indexados'!$A$14:$O$197,15,FALSE),0)</f>
        <v>0</v>
      </c>
      <c r="J494" s="349">
        <f t="shared" si="168"/>
        <v>0</v>
      </c>
      <c r="K494"/>
      <c r="L494" s="386" t="str">
        <f t="shared" si="166"/>
        <v>H. 3,6</v>
      </c>
      <c r="M494" s="391" t="str">
        <f t="shared" si="167"/>
        <v>Suministro e instalación de reja de seguridad en tubo cuadrado de 1" x 1" fabricada en fundición, separación entre barras de 10 cm, , incluye  perforación, pernos y demás elementos para su correcta instalación.</v>
      </c>
      <c r="N494" s="363" t="str">
        <f t="shared" si="178"/>
        <v>M2</v>
      </c>
      <c r="O494" s="385">
        <f t="shared" si="179"/>
        <v>22</v>
      </c>
      <c r="P494" s="423">
        <f>VLOOKUP(L494,'selección precios unitario'!$A$5:$I$418,9,FALSE)</f>
        <v>251347</v>
      </c>
      <c r="Q494" s="423">
        <f t="shared" si="177"/>
        <v>5529634</v>
      </c>
    </row>
    <row r="495" spans="1:60" ht="15" outlineLevel="1" x14ac:dyDescent="0.25">
      <c r="A495" s="386" t="s">
        <v>655</v>
      </c>
      <c r="B495" s="392" t="s">
        <v>1517</v>
      </c>
      <c r="C495" s="340" t="s">
        <v>19</v>
      </c>
      <c r="D495" s="385">
        <v>17</v>
      </c>
      <c r="E495" s="353">
        <v>30000</v>
      </c>
      <c r="F495" s="353">
        <f t="shared" si="170"/>
        <v>510000</v>
      </c>
      <c r="G495" s="349">
        <v>25935</v>
      </c>
      <c r="H495" s="349">
        <f t="shared" si="171"/>
        <v>440895</v>
      </c>
      <c r="I495" s="1285">
        <f>IFERROR(VLOOKUP(A495,'valores unit indexados'!$A$14:$O$197,15,FALSE),0)</f>
        <v>0</v>
      </c>
      <c r="J495" s="349">
        <f t="shared" si="168"/>
        <v>0</v>
      </c>
      <c r="K495"/>
      <c r="L495" s="386" t="str">
        <f t="shared" si="166"/>
        <v>H. 3,7</v>
      </c>
      <c r="M495" s="392" t="str">
        <f t="shared" si="167"/>
        <v>Desmonte ventana metálica existente</v>
      </c>
      <c r="N495" s="340" t="str">
        <f t="shared" si="178"/>
        <v>M2</v>
      </c>
      <c r="O495" s="385">
        <f t="shared" si="179"/>
        <v>17</v>
      </c>
      <c r="P495" s="423">
        <f>VLOOKUP(L495,'selección precios unitario'!$A$5:$I$418,9,FALSE)</f>
        <v>27968</v>
      </c>
      <c r="Q495" s="423">
        <f t="shared" si="177"/>
        <v>475456</v>
      </c>
    </row>
    <row r="496" spans="1:60" ht="15" outlineLevel="1" x14ac:dyDescent="0.25">
      <c r="A496" s="386" t="s">
        <v>657</v>
      </c>
      <c r="B496" s="392" t="s">
        <v>658</v>
      </c>
      <c r="C496" s="340" t="s">
        <v>19</v>
      </c>
      <c r="D496" s="385">
        <v>17</v>
      </c>
      <c r="E496" s="1290"/>
      <c r="F496" s="353">
        <f t="shared" si="170"/>
        <v>0</v>
      </c>
      <c r="G496" s="349">
        <v>349323</v>
      </c>
      <c r="H496" s="349">
        <f t="shared" si="171"/>
        <v>5938491</v>
      </c>
      <c r="I496" s="1285">
        <f>IFERROR(VLOOKUP(A496,'valores unit indexados'!$A$14:$O$197,15,FALSE),0)</f>
        <v>0</v>
      </c>
      <c r="J496" s="349">
        <f t="shared" si="168"/>
        <v>0</v>
      </c>
      <c r="K496"/>
      <c r="L496" s="386" t="str">
        <f t="shared" si="166"/>
        <v>H. 3,8</v>
      </c>
      <c r="M496" s="392" t="str">
        <f t="shared" si="167"/>
        <v xml:space="preserve">Suministro e instalación de ventana  en aluminio corrediza </v>
      </c>
      <c r="N496" s="340" t="str">
        <f t="shared" si="178"/>
        <v>M2</v>
      </c>
      <c r="O496" s="385">
        <f t="shared" si="179"/>
        <v>17</v>
      </c>
      <c r="P496" s="423">
        <f>VLOOKUP(L496,'selección precios unitario'!$A$5:$I$418,9,FALSE)</f>
        <v>349323</v>
      </c>
      <c r="Q496" s="423">
        <f t="shared" si="177"/>
        <v>5938491</v>
      </c>
    </row>
    <row r="497" spans="1:60" ht="15" outlineLevel="1" x14ac:dyDescent="0.25">
      <c r="A497" s="354" t="s">
        <v>659</v>
      </c>
      <c r="B497" s="393" t="s">
        <v>195</v>
      </c>
      <c r="C497" s="363" t="s">
        <v>19</v>
      </c>
      <c r="D497" s="385">
        <v>165</v>
      </c>
      <c r="E497" s="353">
        <v>7000</v>
      </c>
      <c r="F497" s="353">
        <f t="shared" si="170"/>
        <v>1155000</v>
      </c>
      <c r="G497" s="349">
        <v>4200</v>
      </c>
      <c r="H497" s="349">
        <f t="shared" si="171"/>
        <v>693000</v>
      </c>
      <c r="I497" s="1285">
        <f>IFERROR(VLOOKUP(A497,'valores unit indexados'!$A$14:$O$197,15,FALSE),0)</f>
        <v>5300</v>
      </c>
      <c r="J497" s="349">
        <f t="shared" si="168"/>
        <v>874500</v>
      </c>
      <c r="K497"/>
      <c r="L497" s="354" t="str">
        <f t="shared" si="166"/>
        <v>H. 3,9</v>
      </c>
      <c r="M497" s="393" t="str">
        <f t="shared" si="167"/>
        <v>Aseo general.</v>
      </c>
      <c r="N497" s="363" t="str">
        <f t="shared" si="178"/>
        <v>M2</v>
      </c>
      <c r="O497" s="385">
        <f t="shared" si="179"/>
        <v>165</v>
      </c>
      <c r="P497" s="423">
        <f>VLOOKUP(L497,'selección precios unitario'!$A$5:$I$418,9,FALSE)</f>
        <v>5500</v>
      </c>
      <c r="Q497" s="423">
        <f t="shared" si="177"/>
        <v>907500</v>
      </c>
    </row>
    <row r="498" spans="1:60" ht="25.5" outlineLevel="1" x14ac:dyDescent="0.25">
      <c r="A498" s="354" t="s">
        <v>660</v>
      </c>
      <c r="B498" s="402" t="s">
        <v>1518</v>
      </c>
      <c r="C498" s="389" t="s">
        <v>14</v>
      </c>
      <c r="D498" s="385">
        <v>15</v>
      </c>
      <c r="E498" s="353">
        <v>85000</v>
      </c>
      <c r="F498" s="353">
        <f t="shared" si="170"/>
        <v>1275000</v>
      </c>
      <c r="G498" s="349">
        <v>62000</v>
      </c>
      <c r="H498" s="349">
        <f t="shared" si="171"/>
        <v>930000</v>
      </c>
      <c r="I498" s="1285">
        <f>IFERROR(VLOOKUP(A498,'valores unit indexados'!$A$14:$O$197,15,FALSE),0)</f>
        <v>0</v>
      </c>
      <c r="J498" s="349">
        <f t="shared" si="168"/>
        <v>0</v>
      </c>
      <c r="K498"/>
      <c r="L498" s="354" t="str">
        <f t="shared" si="166"/>
        <v>H. 3,10</v>
      </c>
      <c r="M498" s="402" t="str">
        <f t="shared" si="167"/>
        <v>Fabricación e instalación filtro francés tubería 4" ( incluye retiro de tierra a mano)</v>
      </c>
      <c r="N498" s="389" t="str">
        <f t="shared" si="178"/>
        <v>ML</v>
      </c>
      <c r="O498" s="385">
        <f t="shared" si="179"/>
        <v>15</v>
      </c>
      <c r="P498" s="423">
        <f>VLOOKUP(L498,'selección precios unitario'!$A$5:$I$418,9,FALSE)</f>
        <v>73500</v>
      </c>
      <c r="Q498" s="423">
        <f t="shared" si="177"/>
        <v>1102500</v>
      </c>
    </row>
    <row r="499" spans="1:60" ht="38.25" outlineLevel="1" x14ac:dyDescent="0.25">
      <c r="A499" s="354" t="s">
        <v>662</v>
      </c>
      <c r="B499" s="391" t="s">
        <v>663</v>
      </c>
      <c r="C499" s="363" t="s">
        <v>19</v>
      </c>
      <c r="D499" s="385">
        <v>45</v>
      </c>
      <c r="E499" s="353">
        <v>75000</v>
      </c>
      <c r="F499" s="353">
        <f t="shared" si="170"/>
        <v>3375000</v>
      </c>
      <c r="G499" s="387">
        <v>0</v>
      </c>
      <c r="H499" s="349">
        <f t="shared" si="171"/>
        <v>0</v>
      </c>
      <c r="I499" s="1285">
        <f>IFERROR(VLOOKUP(A499,'valores unit indexados'!$A$14:$O$197,15,FALSE),0)</f>
        <v>0</v>
      </c>
      <c r="J499" s="349">
        <f t="shared" si="168"/>
        <v>0</v>
      </c>
      <c r="K499"/>
      <c r="L499" s="354" t="str">
        <f t="shared" si="166"/>
        <v>H. 3,11</v>
      </c>
      <c r="M499" s="391" t="str">
        <f t="shared" si="167"/>
        <v>Suministro y fabricación de protección a talud existente- consiste en suministrar e instalar un manto control de erosión, incluye manto geotextil, malla y varilla de acero 1/2" </v>
      </c>
      <c r="N499" s="363" t="str">
        <f t="shared" si="178"/>
        <v>M2</v>
      </c>
      <c r="O499" s="385">
        <f t="shared" si="179"/>
        <v>45</v>
      </c>
      <c r="P499" s="423">
        <f>VLOOKUP(L499,'selección precios unitario'!$A$5:$I$418,9,FALSE)</f>
        <v>75000</v>
      </c>
      <c r="Q499" s="423">
        <f t="shared" si="177"/>
        <v>3375000</v>
      </c>
    </row>
    <row r="500" spans="1:60" ht="25.5" outlineLevel="1" x14ac:dyDescent="0.25">
      <c r="A500" s="354" t="s">
        <v>664</v>
      </c>
      <c r="B500" s="358" t="s">
        <v>1519</v>
      </c>
      <c r="C500" s="356" t="s">
        <v>6</v>
      </c>
      <c r="D500" s="385">
        <v>2</v>
      </c>
      <c r="E500" s="353">
        <v>160000</v>
      </c>
      <c r="F500" s="353">
        <f t="shared" si="170"/>
        <v>320000</v>
      </c>
      <c r="G500" s="349">
        <v>245778</v>
      </c>
      <c r="H500" s="349">
        <f t="shared" si="171"/>
        <v>491556</v>
      </c>
      <c r="I500" s="1285">
        <f>IFERROR(VLOOKUP(A500,'valores unit indexados'!$A$14:$O$197,15,FALSE),0)</f>
        <v>0</v>
      </c>
      <c r="J500" s="349">
        <f t="shared" si="168"/>
        <v>0</v>
      </c>
      <c r="K500"/>
      <c r="L500" s="354" t="str">
        <f t="shared" si="166"/>
        <v>H. 3,12</v>
      </c>
      <c r="M500" s="358" t="str">
        <f t="shared" si="167"/>
        <v>Suministro e instalación de marco metálico cuyas  medidas oscilan entre 100 cm de ancho x 247 cm de alto</v>
      </c>
      <c r="N500" s="356" t="str">
        <f t="shared" si="178"/>
        <v>UND</v>
      </c>
      <c r="O500" s="385">
        <f t="shared" si="179"/>
        <v>2</v>
      </c>
      <c r="P500" s="423">
        <f>VLOOKUP(L500,'selección precios unitario'!$A$5:$I$418,9,FALSE)</f>
        <v>202889</v>
      </c>
      <c r="Q500" s="423">
        <f t="shared" si="177"/>
        <v>405778</v>
      </c>
    </row>
    <row r="501" spans="1:60" ht="15" outlineLevel="1" x14ac:dyDescent="0.25">
      <c r="A501" s="354" t="s">
        <v>666</v>
      </c>
      <c r="B501" s="392" t="s">
        <v>1520</v>
      </c>
      <c r="C501" s="340" t="s">
        <v>6</v>
      </c>
      <c r="D501" s="385">
        <v>1</v>
      </c>
      <c r="E501" s="353">
        <v>80000</v>
      </c>
      <c r="F501" s="353">
        <f t="shared" si="170"/>
        <v>80000</v>
      </c>
      <c r="G501" s="349">
        <v>47398</v>
      </c>
      <c r="H501" s="349">
        <f t="shared" si="171"/>
        <v>47398</v>
      </c>
      <c r="I501" s="1285">
        <f>IFERROR(VLOOKUP(A501,'valores unit indexados'!$A$14:$O$197,15,FALSE),0)</f>
        <v>0</v>
      </c>
      <c r="J501" s="349">
        <f t="shared" si="168"/>
        <v>0</v>
      </c>
      <c r="K501"/>
      <c r="L501" s="354" t="str">
        <f t="shared" si="166"/>
        <v>H. 3,13</v>
      </c>
      <c r="M501" s="392" t="str">
        <f t="shared" si="167"/>
        <v>Desmonte de puerta metálica existente 100 cm x 200 cm</v>
      </c>
      <c r="N501" s="340" t="str">
        <f t="shared" si="178"/>
        <v>UND</v>
      </c>
      <c r="O501" s="385">
        <f t="shared" si="179"/>
        <v>1</v>
      </c>
      <c r="P501" s="423">
        <f>VLOOKUP(L501,'selección precios unitario'!$A$5:$I$418,9,FALSE)</f>
        <v>62500</v>
      </c>
      <c r="Q501" s="423">
        <f t="shared" si="177"/>
        <v>62500</v>
      </c>
    </row>
    <row r="502" spans="1:60" ht="15.75" outlineLevel="1" thickBot="1" x14ac:dyDescent="0.3">
      <c r="A502" s="354" t="s">
        <v>668</v>
      </c>
      <c r="B502" s="347" t="s">
        <v>669</v>
      </c>
      <c r="C502" s="340" t="s">
        <v>6</v>
      </c>
      <c r="D502" s="385">
        <v>1</v>
      </c>
      <c r="E502" s="379">
        <v>800000</v>
      </c>
      <c r="F502" s="353">
        <f t="shared" si="170"/>
        <v>800000</v>
      </c>
      <c r="G502" s="349">
        <v>455624</v>
      </c>
      <c r="H502" s="349">
        <f t="shared" si="171"/>
        <v>455624</v>
      </c>
      <c r="I502" s="1285">
        <f>IFERROR(VLOOKUP(A502,'valores unit indexados'!$A$14:$O$197,15,FALSE),0)</f>
        <v>0</v>
      </c>
      <c r="J502" s="349">
        <f t="shared" si="168"/>
        <v>0</v>
      </c>
      <c r="K502"/>
      <c r="L502" s="354" t="str">
        <f t="shared" si="166"/>
        <v>H. 3,14</v>
      </c>
      <c r="M502" s="347" t="str">
        <f t="shared" si="167"/>
        <v>Suministro e instalación de puerta metálica 100 cm x 200 cm</v>
      </c>
      <c r="N502" s="340" t="str">
        <f t="shared" si="178"/>
        <v>UND</v>
      </c>
      <c r="O502" s="385">
        <f t="shared" si="179"/>
        <v>1</v>
      </c>
      <c r="P502" s="423">
        <f>VLOOKUP(L502,'selección precios unitario'!$A$5:$I$418,9,FALSE)</f>
        <v>455624</v>
      </c>
      <c r="Q502" s="423">
        <f t="shared" si="177"/>
        <v>455624</v>
      </c>
    </row>
    <row r="503" spans="1:60" ht="15.75" thickBot="1" x14ac:dyDescent="0.3">
      <c r="A503"/>
      <c r="B503"/>
      <c r="C503" s="1712" t="s">
        <v>196</v>
      </c>
      <c r="D503" s="1775"/>
      <c r="E503" s="1714"/>
      <c r="F503" s="1715">
        <f>SUM(F472:F502)</f>
        <v>49913000</v>
      </c>
      <c r="G503" s="1716"/>
      <c r="H503" s="1715">
        <f>SUM(H472:H502)</f>
        <v>43949015</v>
      </c>
      <c r="I503" s="1717"/>
      <c r="J503" s="1722">
        <f>SUM(J472:J502)</f>
        <v>17819448</v>
      </c>
      <c r="K503"/>
      <c r="L503" s="1777"/>
      <c r="M503" s="1721"/>
      <c r="N503" s="1839" t="str">
        <f t="shared" ref="N503:N508" si="180">+C503</f>
        <v>COSTO DIRECTO</v>
      </c>
      <c r="O503" s="1840"/>
      <c r="P503" s="1841"/>
      <c r="Q503" s="1722">
        <f>SUM(Q470:Q502)</f>
        <v>51730441</v>
      </c>
    </row>
    <row r="504" spans="1:60" ht="15" x14ac:dyDescent="0.25">
      <c r="A504"/>
      <c r="B504"/>
      <c r="C504" s="1773" t="s">
        <v>197</v>
      </c>
      <c r="D504" s="1774"/>
      <c r="E504" s="1708">
        <v>0.35</v>
      </c>
      <c r="F504" s="1709">
        <f>+F$503*E504</f>
        <v>17469550</v>
      </c>
      <c r="G504" s="1708">
        <v>0.24</v>
      </c>
      <c r="H504" s="1709">
        <f>+H$503*G504</f>
        <v>10547763.6</v>
      </c>
      <c r="I504" s="1708">
        <v>0</v>
      </c>
      <c r="J504" s="1709">
        <f>+J$503*I504</f>
        <v>0</v>
      </c>
      <c r="K504"/>
      <c r="L504" s="1298"/>
      <c r="M504" s="1645"/>
      <c r="N504" s="1845" t="str">
        <f t="shared" si="180"/>
        <v xml:space="preserve">ADMINISTRACION </v>
      </c>
      <c r="O504" s="1846"/>
      <c r="P504" s="1710">
        <f t="shared" ref="P504:P507" si="181">P464</f>
        <v>0.185</v>
      </c>
      <c r="Q504" s="1711">
        <f>ROUND(P504*$Q$503,0)</f>
        <v>9570132</v>
      </c>
    </row>
    <row r="505" spans="1:60" ht="15" x14ac:dyDescent="0.25">
      <c r="A505"/>
      <c r="B505"/>
      <c r="C505" s="1769" t="s">
        <v>198</v>
      </c>
      <c r="D505" s="1770"/>
      <c r="E505" s="375">
        <v>0.02</v>
      </c>
      <c r="F505" s="376">
        <f t="shared" ref="F505:H506" si="182">+F$503*E505</f>
        <v>998260</v>
      </c>
      <c r="G505" s="375">
        <v>0.01</v>
      </c>
      <c r="H505" s="376">
        <f t="shared" si="182"/>
        <v>439490.15</v>
      </c>
      <c r="I505" s="375">
        <v>0</v>
      </c>
      <c r="J505" s="376">
        <f t="shared" ref="J505:J506" si="183">+J$503*I505</f>
        <v>0</v>
      </c>
      <c r="K505"/>
      <c r="L505" s="1298"/>
      <c r="M505" s="1645"/>
      <c r="N505" s="1847" t="str">
        <f t="shared" si="180"/>
        <v xml:space="preserve">IMPREVISTO </v>
      </c>
      <c r="O505" s="1848"/>
      <c r="P505" s="1296">
        <f t="shared" si="181"/>
        <v>0.02</v>
      </c>
      <c r="Q505" s="1711">
        <f t="shared" ref="Q505:Q506" si="184">ROUND(P505*$Q$503,0)</f>
        <v>1034609</v>
      </c>
    </row>
    <row r="506" spans="1:60" ht="15" x14ac:dyDescent="0.25">
      <c r="A506"/>
      <c r="B506"/>
      <c r="C506" s="1769" t="s">
        <v>199</v>
      </c>
      <c r="D506" s="1770"/>
      <c r="E506" s="375">
        <v>0.05</v>
      </c>
      <c r="F506" s="376">
        <f t="shared" si="182"/>
        <v>2495650</v>
      </c>
      <c r="G506" s="375">
        <v>0.05</v>
      </c>
      <c r="H506" s="376">
        <f t="shared" si="182"/>
        <v>2197450.75</v>
      </c>
      <c r="I506" s="375">
        <v>0</v>
      </c>
      <c r="J506" s="376">
        <f t="shared" si="183"/>
        <v>0</v>
      </c>
      <c r="K506"/>
      <c r="L506" s="1298"/>
      <c r="M506" s="1645"/>
      <c r="N506" s="1847" t="str">
        <f t="shared" si="180"/>
        <v>UTILIDAD</v>
      </c>
      <c r="O506" s="1848"/>
      <c r="P506" s="1296">
        <f t="shared" si="181"/>
        <v>4.4999999999999998E-2</v>
      </c>
      <c r="Q506" s="1711">
        <f t="shared" si="184"/>
        <v>2327870</v>
      </c>
    </row>
    <row r="507" spans="1:60" ht="15.75" thickBot="1" x14ac:dyDescent="0.3">
      <c r="A507"/>
      <c r="B507"/>
      <c r="C507" s="1771" t="s">
        <v>200</v>
      </c>
      <c r="D507" s="1772"/>
      <c r="E507" s="1725">
        <v>0.19</v>
      </c>
      <c r="F507" s="1726">
        <f>+F$506*E507</f>
        <v>474173.5</v>
      </c>
      <c r="G507" s="1725">
        <v>0.19</v>
      </c>
      <c r="H507" s="1726">
        <f>+H$506*G507</f>
        <v>417515.64250000002</v>
      </c>
      <c r="I507" s="1725">
        <v>0</v>
      </c>
      <c r="J507" s="1726">
        <f>+J$506*I507</f>
        <v>0</v>
      </c>
      <c r="K507"/>
      <c r="L507" s="1298"/>
      <c r="M507" s="1645"/>
      <c r="N507" s="1849" t="str">
        <f t="shared" si="180"/>
        <v xml:space="preserve">IVA SOBRE UTILIDAD </v>
      </c>
      <c r="O507" s="1850"/>
      <c r="P507" s="1727">
        <f t="shared" si="181"/>
        <v>0.19</v>
      </c>
      <c r="Q507" s="1711">
        <f>ROUND(P507*$Q$506,0)</f>
        <v>442295</v>
      </c>
    </row>
    <row r="508" spans="1:60" ht="15.75" thickBot="1" x14ac:dyDescent="0.3">
      <c r="A508"/>
      <c r="B508"/>
      <c r="C508" s="1728" t="s">
        <v>201</v>
      </c>
      <c r="D508" s="1729"/>
      <c r="E508" s="1730"/>
      <c r="F508" s="1731">
        <f>SUM(F503:F507)</f>
        <v>71350633.5</v>
      </c>
      <c r="G508" s="1730"/>
      <c r="H508" s="1731">
        <f>SUM(H503:H507)</f>
        <v>57551235.142499998</v>
      </c>
      <c r="I508" s="1732"/>
      <c r="J508" s="1779">
        <f>SUM(J503:J507)</f>
        <v>17819448</v>
      </c>
      <c r="K508"/>
      <c r="L508" s="1777"/>
      <c r="M508" s="1721"/>
      <c r="N508" s="1842" t="str">
        <f t="shared" si="180"/>
        <v xml:space="preserve">VALOR TOTAL INCLUIDO AIU E IVA </v>
      </c>
      <c r="O508" s="1843"/>
      <c r="P508" s="1844"/>
      <c r="Q508" s="1733">
        <f>SUM(Q503:Q507)</f>
        <v>65105347</v>
      </c>
    </row>
    <row r="509" spans="1:60" ht="15.75" thickBot="1" x14ac:dyDescent="0.3">
      <c r="K509"/>
      <c r="L509" s="1298"/>
      <c r="M509"/>
      <c r="N509"/>
      <c r="O509"/>
      <c r="P509"/>
      <c r="Q509"/>
    </row>
    <row r="510" spans="1:60" ht="15.75" thickBot="1" x14ac:dyDescent="0.3">
      <c r="A510" s="1801" t="s">
        <v>670</v>
      </c>
      <c r="B510" s="1802" t="s">
        <v>671</v>
      </c>
      <c r="C510" s="1802"/>
      <c r="D510" s="1802"/>
      <c r="E510" s="1802"/>
      <c r="F510" s="1802"/>
      <c r="G510" s="1802"/>
      <c r="H510" s="1802"/>
      <c r="I510" s="1802"/>
      <c r="J510" s="1818"/>
      <c r="K510"/>
      <c r="L510" s="1819" t="str">
        <f t="shared" ref="L510:L552" si="185">+A510</f>
        <v xml:space="preserve">I </v>
      </c>
      <c r="M510" s="1853" t="str">
        <f>+B510</f>
        <v>Palacio de Justicia "Oscar Lerma Trujillo" Roldanillo</v>
      </c>
      <c r="N510" s="1854"/>
      <c r="O510" s="1854"/>
      <c r="P510" s="1854"/>
      <c r="Q510" s="1855"/>
    </row>
    <row r="511" spans="1:60" s="1533" customFormat="1" ht="36.75" customHeight="1" outlineLevel="1" x14ac:dyDescent="0.25">
      <c r="A511" s="1527" t="s">
        <v>672</v>
      </c>
      <c r="B511" s="1836" t="s">
        <v>1529</v>
      </c>
      <c r="C511" s="1837"/>
      <c r="D511" s="1837"/>
      <c r="E511" s="1837"/>
      <c r="F511" s="1837"/>
      <c r="G511" s="1837"/>
      <c r="H511" s="1837"/>
      <c r="I511" s="1837"/>
      <c r="J511" s="1838"/>
      <c r="K511"/>
      <c r="L511" s="1527" t="str">
        <f t="shared" si="185"/>
        <v>I.1</v>
      </c>
      <c r="M511" s="1836" t="str">
        <f t="shared" ref="M511:M552" si="186">+B511</f>
        <v>Restauración de puertas en madera, consiste en realizar verificación del estado de la ventana, se procede con desmontar la ventana, limpiar polvo o suciedad, lijar para corregir irregularidades de la superficie, masillar, aplicar inmunizante, aplicar pintura o tinte según corresponda y posteriormente reinstalarla.</v>
      </c>
      <c r="N511" s="1837"/>
      <c r="O511" s="1837"/>
      <c r="P511" s="1837"/>
      <c r="Q511" s="1838"/>
      <c r="R511" s="1544"/>
      <c r="S511" s="1544"/>
      <c r="T511" s="1544"/>
      <c r="U511" s="1544"/>
      <c r="V511" s="1544"/>
      <c r="W511" s="1544"/>
      <c r="X511" s="1544"/>
      <c r="Y511" s="1544"/>
      <c r="Z511" s="1544"/>
      <c r="AA511" s="1544"/>
      <c r="AB511" s="1544"/>
      <c r="AC511" s="1544"/>
      <c r="AD511" s="1544"/>
      <c r="AE511" s="1544"/>
      <c r="AF511" s="1544"/>
      <c r="AG511" s="1544"/>
      <c r="AH511" s="1544"/>
      <c r="AI511" s="1544"/>
      <c r="AJ511" s="1544"/>
      <c r="AK511" s="1544"/>
      <c r="AL511" s="1544"/>
      <c r="AM511" s="1544"/>
      <c r="AN511" s="1544"/>
      <c r="AO511" s="1544"/>
      <c r="AP511" s="1544"/>
      <c r="AQ511" s="1544"/>
      <c r="AR511" s="1544"/>
      <c r="AS511" s="1544"/>
      <c r="AT511" s="1544"/>
      <c r="AU511" s="1544"/>
      <c r="AV511" s="1544"/>
      <c r="AW511" s="1544"/>
      <c r="AX511" s="1544"/>
      <c r="AY511" s="1544"/>
      <c r="AZ511" s="1544"/>
      <c r="BA511" s="1544"/>
      <c r="BB511" s="1544"/>
      <c r="BC511" s="1544"/>
      <c r="BD511" s="1544"/>
      <c r="BE511" s="1544"/>
      <c r="BF511" s="1544"/>
      <c r="BG511" s="1544"/>
      <c r="BH511" s="1544"/>
    </row>
    <row r="512" spans="1:60" ht="89.25" outlineLevel="1" x14ac:dyDescent="0.25">
      <c r="A512" s="386" t="s">
        <v>674</v>
      </c>
      <c r="B512" s="347" t="s">
        <v>675</v>
      </c>
      <c r="C512" s="340" t="s">
        <v>6</v>
      </c>
      <c r="D512" s="346">
        <v>2</v>
      </c>
      <c r="E512" s="353">
        <v>850000</v>
      </c>
      <c r="F512" s="353">
        <f>+E512*D512</f>
        <v>1700000</v>
      </c>
      <c r="G512" s="349">
        <v>600000</v>
      </c>
      <c r="H512" s="349">
        <f>+G512*D512</f>
        <v>1200000</v>
      </c>
      <c r="I512" s="1285">
        <f>IFERROR(VLOOKUP(A512,'valores unit indexados'!$A$14:$O$197,15,FALSE),0)</f>
        <v>0</v>
      </c>
      <c r="J512" s="349">
        <f t="shared" ref="J512:J552" si="187">+I512*D512</f>
        <v>0</v>
      </c>
      <c r="K512"/>
      <c r="L512" s="386" t="str">
        <f t="shared" si="185"/>
        <v>I. 1,1</v>
      </c>
      <c r="M512" s="347" t="str">
        <f t="shared" si="186"/>
        <v>Mantenimiento de puertas en madera maciza con diseño de dos naves cuyas medidas son de 150 cm de ancho x 350 cm de alto, (Consiste en desmontar naves, cambiar piezas en mal estado, inmunizar, cambiar bisagras, lijar recuperar color natural, inmunizar y aplicar Barniz, suministrar e instalar tapa luz, suministro e instalar burlete en U en caucho incluye mantenimiento del marco )</v>
      </c>
      <c r="N512" s="340" t="str">
        <f t="shared" ref="N512:O519" si="188">+C512</f>
        <v>UND</v>
      </c>
      <c r="O512" s="346">
        <f t="shared" si="188"/>
        <v>2</v>
      </c>
      <c r="P512" s="423">
        <f>VLOOKUP(L512,'selección precios unitario'!$A$5:$I$418,9,FALSE)</f>
        <v>725000</v>
      </c>
      <c r="Q512" s="423">
        <f t="shared" ref="Q512:Q519" si="189">ROUND(P512*O512,0)</f>
        <v>1450000</v>
      </c>
    </row>
    <row r="513" spans="1:60" ht="89.25" outlineLevel="1" x14ac:dyDescent="0.25">
      <c r="A513" s="354" t="s">
        <v>676</v>
      </c>
      <c r="B513" s="347" t="s">
        <v>677</v>
      </c>
      <c r="C513" s="340" t="s">
        <v>6</v>
      </c>
      <c r="D513" s="385">
        <v>34</v>
      </c>
      <c r="E513" s="353">
        <v>800000</v>
      </c>
      <c r="F513" s="353">
        <f t="shared" ref="F513:F552" si="190">+E513*D513</f>
        <v>27200000</v>
      </c>
      <c r="G513" s="349">
        <v>481000</v>
      </c>
      <c r="H513" s="349">
        <f t="shared" ref="H513:H552" si="191">+G513*D513</f>
        <v>16354000</v>
      </c>
      <c r="I513" s="1285">
        <f>IFERROR(VLOOKUP(A513,'valores unit indexados'!$A$14:$O$197,15,FALSE),0)</f>
        <v>0</v>
      </c>
      <c r="J513" s="349">
        <f t="shared" si="187"/>
        <v>0</v>
      </c>
      <c r="K513"/>
      <c r="L513" s="354" t="str">
        <f t="shared" si="185"/>
        <v>I. 1,2</v>
      </c>
      <c r="M513" s="347" t="str">
        <f t="shared" si="186"/>
        <v>Mantenimiento de puertas en madera maciza con diseño de dos naves cuyas medidas son de 120- 140 cm de ancho x 290 - 310 cm de alto, (Consiste en desmontar naves, cambiar piezas en mal estado, inmunizar, cambiar bisagras, lijar recuperar color natural, inmunizar y aplicar Barniz, suministrar e instalar tapa luz, suministro e instalar burlete en U en caucho incluye mantenimiento del marco )</v>
      </c>
      <c r="N513" s="340" t="str">
        <f t="shared" si="188"/>
        <v>UND</v>
      </c>
      <c r="O513" s="1662">
        <f>+D513-7</f>
        <v>27</v>
      </c>
      <c r="P513" s="423">
        <f>VLOOKUP(L513,'selección precios unitario'!$A$5:$I$418,9,FALSE)</f>
        <v>640500</v>
      </c>
      <c r="Q513" s="423">
        <f t="shared" si="189"/>
        <v>17293500</v>
      </c>
      <c r="R513" s="1544" t="s">
        <v>1622</v>
      </c>
    </row>
    <row r="514" spans="1:60" ht="89.25" outlineLevel="1" x14ac:dyDescent="0.25">
      <c r="A514" s="386" t="s">
        <v>678</v>
      </c>
      <c r="B514" s="347" t="s">
        <v>679</v>
      </c>
      <c r="C514" s="340" t="s">
        <v>6</v>
      </c>
      <c r="D514" s="385">
        <v>17</v>
      </c>
      <c r="E514" s="353">
        <v>800000</v>
      </c>
      <c r="F514" s="353">
        <f t="shared" si="190"/>
        <v>13600000</v>
      </c>
      <c r="G514" s="349">
        <v>550000</v>
      </c>
      <c r="H514" s="349">
        <f t="shared" si="191"/>
        <v>9350000</v>
      </c>
      <c r="I514" s="1285">
        <f>IFERROR(VLOOKUP(A514,'valores unit indexados'!$A$14:$O$197,15,FALSE),0)</f>
        <v>0</v>
      </c>
      <c r="J514" s="349">
        <f t="shared" si="187"/>
        <v>0</v>
      </c>
      <c r="K514"/>
      <c r="L514" s="386" t="str">
        <f t="shared" si="185"/>
        <v>I. 1,3</v>
      </c>
      <c r="M514" s="347" t="str">
        <f t="shared" si="186"/>
        <v>Mantenimiento de puertas en madera maciza con diseño de dos naves y baranda en madera- cuyas medidas son de 130 cm de ancho x 290 cm de alto, (Consiste en desmontar naves, cambiar piezas en mal estado, inmunizar, cambiar bisagras, lijar recuperar color natural, inmunizar y aplicar Barniz, suministrar e instalar tapa luz, suministro e instalar burlete en U en caucho incluye mantenimiento del marco )</v>
      </c>
      <c r="N514" s="340" t="str">
        <f t="shared" si="188"/>
        <v>UND</v>
      </c>
      <c r="O514" s="385">
        <f t="shared" si="188"/>
        <v>17</v>
      </c>
      <c r="P514" s="423">
        <f>VLOOKUP(L514,'selección precios unitario'!$A$5:$I$418,9,FALSE)</f>
        <v>640500</v>
      </c>
      <c r="Q514" s="423">
        <f t="shared" si="189"/>
        <v>10888500</v>
      </c>
    </row>
    <row r="515" spans="1:60" ht="89.25" outlineLevel="1" x14ac:dyDescent="0.25">
      <c r="A515" s="354" t="s">
        <v>680</v>
      </c>
      <c r="B515" s="347" t="s">
        <v>681</v>
      </c>
      <c r="C515" s="340" t="s">
        <v>6</v>
      </c>
      <c r="D515" s="385">
        <v>13</v>
      </c>
      <c r="E515" s="353">
        <v>700000</v>
      </c>
      <c r="F515" s="353">
        <f t="shared" si="190"/>
        <v>9100000</v>
      </c>
      <c r="G515" s="349">
        <v>550000</v>
      </c>
      <c r="H515" s="349">
        <f t="shared" si="191"/>
        <v>7150000</v>
      </c>
      <c r="I515" s="1285">
        <f>IFERROR(VLOOKUP(A515,'valores unit indexados'!$A$14:$O$197,15,FALSE),0)</f>
        <v>0</v>
      </c>
      <c r="J515" s="349">
        <f t="shared" si="187"/>
        <v>0</v>
      </c>
      <c r="K515"/>
      <c r="L515" s="354" t="str">
        <f t="shared" si="185"/>
        <v>I. 1,4</v>
      </c>
      <c r="M515" s="347" t="str">
        <f t="shared" si="186"/>
        <v>Mantenimiento de puertas en madera maciza de una nave cuyas medidas son entre 60 - 100 cm de ancho x 170 -300 cm de alto, (Consiste en desmontar naves, cambiar piezas en mal estado, inmunizar, cambiar bisagras, lijar recuperar color natural, inmunizar y aplicar Barniz, suministrar e instalar tapa luz, suministro e instalar burlete en U en caucho incluye mantenimiento del marco )</v>
      </c>
      <c r="N515" s="340" t="str">
        <f t="shared" si="188"/>
        <v>UND</v>
      </c>
      <c r="O515" s="385">
        <f t="shared" si="188"/>
        <v>13</v>
      </c>
      <c r="P515" s="423">
        <f>VLOOKUP(L515,'selección precios unitario'!$A$5:$I$418,9,FALSE)</f>
        <v>625000</v>
      </c>
      <c r="Q515" s="423">
        <f t="shared" si="189"/>
        <v>8125000</v>
      </c>
    </row>
    <row r="516" spans="1:60" ht="63.75" outlineLevel="1" x14ac:dyDescent="0.25">
      <c r="A516" s="386" t="s">
        <v>682</v>
      </c>
      <c r="B516" s="347" t="s">
        <v>683</v>
      </c>
      <c r="C516" s="356" t="s">
        <v>6</v>
      </c>
      <c r="D516" s="385">
        <v>1</v>
      </c>
      <c r="E516" s="353">
        <v>2900000</v>
      </c>
      <c r="F516" s="353">
        <f t="shared" si="190"/>
        <v>2900000</v>
      </c>
      <c r="G516" s="349">
        <v>4000000</v>
      </c>
      <c r="H516" s="349">
        <f t="shared" si="191"/>
        <v>4000000</v>
      </c>
      <c r="I516" s="1285">
        <f>IFERROR(VLOOKUP(A516,'valores unit indexados'!$A$14:$O$197,15,FALSE),0)</f>
        <v>0</v>
      </c>
      <c r="J516" s="349">
        <f t="shared" si="187"/>
        <v>0</v>
      </c>
      <c r="K516"/>
      <c r="L516" s="386" t="str">
        <f t="shared" si="185"/>
        <v>I. 1,5</v>
      </c>
      <c r="M516" s="347" t="str">
        <f t="shared" si="186"/>
        <v>Suministro e instalación de puertas de 2 naves de madera maciza inmunizada, diseño y color igual a las existentes, debidamente lijada, masillada y pintada, cuyas medidas son  120- 140 cm de ancho x 290 - 310 cm de alto, incluye marco,  tapa luz, bisagras y pestillo con diseño igual a la existente.</v>
      </c>
      <c r="N516" s="356" t="str">
        <f t="shared" si="188"/>
        <v>UND</v>
      </c>
      <c r="O516" s="385">
        <f t="shared" si="188"/>
        <v>1</v>
      </c>
      <c r="P516" s="423">
        <f>VLOOKUP(L516,'selección precios unitario'!$A$5:$I$418,9,FALSE)</f>
        <v>3450000</v>
      </c>
      <c r="Q516" s="423">
        <f t="shared" si="189"/>
        <v>3450000</v>
      </c>
    </row>
    <row r="517" spans="1:60" ht="76.5" outlineLevel="1" x14ac:dyDescent="0.25">
      <c r="A517" s="354" t="s">
        <v>684</v>
      </c>
      <c r="B517" s="347" t="s">
        <v>685</v>
      </c>
      <c r="C517" s="356" t="s">
        <v>6</v>
      </c>
      <c r="D517" s="385">
        <v>1</v>
      </c>
      <c r="E517" s="353">
        <v>2700000</v>
      </c>
      <c r="F517" s="353">
        <f t="shared" si="190"/>
        <v>2700000</v>
      </c>
      <c r="G517" s="349">
        <v>3500000</v>
      </c>
      <c r="H517" s="349">
        <f t="shared" si="191"/>
        <v>3500000</v>
      </c>
      <c r="I517" s="1285">
        <f>IFERROR(VLOOKUP(A517,'valores unit indexados'!$A$14:$O$197,15,FALSE),0)</f>
        <v>0</v>
      </c>
      <c r="J517" s="349">
        <f t="shared" si="187"/>
        <v>0</v>
      </c>
      <c r="K517"/>
      <c r="L517" s="354" t="str">
        <f t="shared" si="185"/>
        <v>I. 1,6</v>
      </c>
      <c r="M517" s="347" t="str">
        <f t="shared" si="186"/>
        <v>Suministro e instalación de puertas de una nave de madera maciza inmunizada, diseño y color igual a las existentes, debidamente lijada, masillada y pintada, cuyas medidas son entre 60 - 100 cm de ancho x 170 -230 cm de alto, incluye marco,  tapa luz, bisagras y pestillo con diseño igual a la existente.</v>
      </c>
      <c r="N517" s="356" t="str">
        <f t="shared" si="188"/>
        <v>UND</v>
      </c>
      <c r="O517" s="385">
        <f t="shared" si="188"/>
        <v>1</v>
      </c>
      <c r="P517" s="423">
        <f>VLOOKUP(L517,'selección precios unitario'!$A$5:$I$418,9,FALSE)</f>
        <v>3100000</v>
      </c>
      <c r="Q517" s="423">
        <f t="shared" si="189"/>
        <v>3100000</v>
      </c>
    </row>
    <row r="518" spans="1:60" ht="25.5" outlineLevel="1" x14ac:dyDescent="0.25">
      <c r="A518" s="386" t="s">
        <v>686</v>
      </c>
      <c r="B518" s="347" t="s">
        <v>687</v>
      </c>
      <c r="C518" s="340" t="s">
        <v>6</v>
      </c>
      <c r="D518" s="385">
        <v>1</v>
      </c>
      <c r="E518" s="353">
        <v>60000</v>
      </c>
      <c r="F518" s="353">
        <f t="shared" si="190"/>
        <v>60000</v>
      </c>
      <c r="G518" s="349">
        <v>65000</v>
      </c>
      <c r="H518" s="349">
        <f t="shared" si="191"/>
        <v>65000</v>
      </c>
      <c r="I518" s="1285">
        <f>IFERROR(VLOOKUP(A518,'valores unit indexados'!$A$14:$O$197,15,FALSE),0)</f>
        <v>0</v>
      </c>
      <c r="J518" s="349">
        <f t="shared" si="187"/>
        <v>0</v>
      </c>
      <c r="K518"/>
      <c r="L518" s="386" t="str">
        <f t="shared" si="185"/>
        <v>I. 1,7</v>
      </c>
      <c r="M518" s="347" t="str">
        <f t="shared" si="186"/>
        <v>Desmonte de puertas en madera, incluye  marco (se refiere a las que no se reinstalaran)</v>
      </c>
      <c r="N518" s="340" t="str">
        <f t="shared" si="188"/>
        <v>UND</v>
      </c>
      <c r="O518" s="385">
        <f t="shared" si="188"/>
        <v>1</v>
      </c>
      <c r="P518" s="423">
        <f>VLOOKUP(L518,'selección precios unitario'!$A$5:$I$418,9,FALSE)</f>
        <v>62500</v>
      </c>
      <c r="Q518" s="423">
        <f t="shared" si="189"/>
        <v>62500</v>
      </c>
    </row>
    <row r="519" spans="1:60" ht="25.5" outlineLevel="1" x14ac:dyDescent="0.25">
      <c r="A519" s="354" t="s">
        <v>688</v>
      </c>
      <c r="B519" s="347" t="s">
        <v>689</v>
      </c>
      <c r="C519" s="340" t="s">
        <v>6</v>
      </c>
      <c r="D519" s="385">
        <v>15</v>
      </c>
      <c r="E519" s="353">
        <v>80000</v>
      </c>
      <c r="F519" s="353">
        <f t="shared" si="190"/>
        <v>1200000</v>
      </c>
      <c r="G519" s="349">
        <v>95000</v>
      </c>
      <c r="H519" s="349">
        <f t="shared" si="191"/>
        <v>1425000</v>
      </c>
      <c r="I519" s="1285">
        <f>IFERROR(VLOOKUP(A519,'valores unit indexados'!$A$14:$O$197,15,FALSE),0)</f>
        <v>0</v>
      </c>
      <c r="J519" s="349">
        <f t="shared" si="187"/>
        <v>0</v>
      </c>
      <c r="K519"/>
      <c r="L519" s="354" t="str">
        <f t="shared" si="185"/>
        <v>I. 1,8</v>
      </c>
      <c r="M519" s="347" t="str">
        <f t="shared" si="186"/>
        <v>Suministro e instalación de pestillo- manilas o herrajes según diseño existente</v>
      </c>
      <c r="N519" s="340" t="str">
        <f t="shared" si="188"/>
        <v>UND</v>
      </c>
      <c r="O519" s="385">
        <f t="shared" si="188"/>
        <v>15</v>
      </c>
      <c r="P519" s="423">
        <f>VLOOKUP(L519,'selección precios unitario'!$A$5:$I$418,9,FALSE)</f>
        <v>87500</v>
      </c>
      <c r="Q519" s="423">
        <f t="shared" si="189"/>
        <v>1312500</v>
      </c>
    </row>
    <row r="520" spans="1:60" s="1533" customFormat="1" ht="24.75" customHeight="1" outlineLevel="1" x14ac:dyDescent="0.25">
      <c r="A520" s="1527" t="s">
        <v>690</v>
      </c>
      <c r="B520" s="1528" t="s">
        <v>627</v>
      </c>
      <c r="C520" s="1527"/>
      <c r="D520" s="1529"/>
      <c r="E520" s="1530"/>
      <c r="F520" s="1531">
        <f t="shared" si="190"/>
        <v>0</v>
      </c>
      <c r="G520" s="1530"/>
      <c r="H520" s="1531">
        <f t="shared" si="191"/>
        <v>0</v>
      </c>
      <c r="I520" s="1532"/>
      <c r="J520" s="1527"/>
      <c r="K520"/>
      <c r="L520" s="1527" t="str">
        <f t="shared" si="185"/>
        <v>I. 2</v>
      </c>
      <c r="M520" s="1836" t="str">
        <f t="shared" si="186"/>
        <v xml:space="preserve"> Tratamiento de humedades muros internos </v>
      </c>
      <c r="N520" s="1837"/>
      <c r="O520" s="1837"/>
      <c r="P520" s="1837" t="e">
        <f t="shared" ref="P520:P532" si="192">ROUND(IF(I520&gt;0,I520:I520,AVERAGE(G520,E520)),0)</f>
        <v>#DIV/0!</v>
      </c>
      <c r="Q520" s="1838"/>
      <c r="R520" s="1544"/>
      <c r="S520" s="1544"/>
      <c r="T520" s="1544"/>
      <c r="U520" s="1544"/>
      <c r="V520" s="1544"/>
      <c r="W520" s="1544"/>
      <c r="X520" s="1544"/>
      <c r="Y520" s="1544"/>
      <c r="Z520" s="1544"/>
      <c r="AA520" s="1544"/>
      <c r="AB520" s="1544"/>
      <c r="AC520" s="1544"/>
      <c r="AD520" s="1544"/>
      <c r="AE520" s="1544"/>
      <c r="AF520" s="1544"/>
      <c r="AG520" s="1544"/>
      <c r="AH520" s="1544"/>
      <c r="AI520" s="1544"/>
      <c r="AJ520" s="1544"/>
      <c r="AK520" s="1544"/>
      <c r="AL520" s="1544"/>
      <c r="AM520" s="1544"/>
      <c r="AN520" s="1544"/>
      <c r="AO520" s="1544"/>
      <c r="AP520" s="1544"/>
      <c r="AQ520" s="1544"/>
      <c r="AR520" s="1544"/>
      <c r="AS520" s="1544"/>
      <c r="AT520" s="1544"/>
      <c r="AU520" s="1544"/>
      <c r="AV520" s="1544"/>
      <c r="AW520" s="1544"/>
      <c r="AX520" s="1544"/>
      <c r="AY520" s="1544"/>
      <c r="AZ520" s="1544"/>
      <c r="BA520" s="1544"/>
      <c r="BB520" s="1544"/>
      <c r="BC520" s="1544"/>
      <c r="BD520" s="1544"/>
      <c r="BE520" s="1544"/>
      <c r="BF520" s="1544"/>
      <c r="BG520" s="1544"/>
      <c r="BH520" s="1544"/>
    </row>
    <row r="521" spans="1:60" ht="15" outlineLevel="1" x14ac:dyDescent="0.25">
      <c r="A521" s="386" t="s">
        <v>691</v>
      </c>
      <c r="B521" s="364" t="s">
        <v>84</v>
      </c>
      <c r="C521" s="367" t="s">
        <v>19</v>
      </c>
      <c r="D521" s="385">
        <v>320</v>
      </c>
      <c r="E521" s="353">
        <v>9000</v>
      </c>
      <c r="F521" s="353">
        <f t="shared" si="190"/>
        <v>2880000</v>
      </c>
      <c r="G521" s="349">
        <v>5200</v>
      </c>
      <c r="H521" s="349">
        <f t="shared" si="191"/>
        <v>1664000</v>
      </c>
      <c r="I521" s="1285">
        <f>IFERROR(VLOOKUP(A521,'valores unit indexados'!$A$14:$O$197,15,FALSE),0)</f>
        <v>6890</v>
      </c>
      <c r="J521" s="349">
        <f t="shared" si="187"/>
        <v>2204800</v>
      </c>
      <c r="K521"/>
      <c r="L521" s="386" t="str">
        <f t="shared" si="185"/>
        <v>I. 2,1</v>
      </c>
      <c r="M521" s="364" t="str">
        <f t="shared" si="186"/>
        <v xml:space="preserve">Rasqueteada de pintura y retiro de mortero en mal estado  </v>
      </c>
      <c r="N521" s="367" t="str">
        <f t="shared" ref="N521:N531" si="193">+C521</f>
        <v>M2</v>
      </c>
      <c r="O521" s="385">
        <f t="shared" ref="O521:O531" si="194">+D521</f>
        <v>320</v>
      </c>
      <c r="P521" s="423">
        <f>VLOOKUP(L521,'selección precios unitario'!$A$5:$I$418,9,FALSE)</f>
        <v>6630</v>
      </c>
      <c r="Q521" s="423">
        <f t="shared" ref="Q521:Q531" si="195">ROUND(P521*O521,0)</f>
        <v>2121600</v>
      </c>
    </row>
    <row r="522" spans="1:60" ht="38.25" outlineLevel="1" x14ac:dyDescent="0.25">
      <c r="A522" s="386" t="s">
        <v>692</v>
      </c>
      <c r="B522" s="368" t="s">
        <v>86</v>
      </c>
      <c r="C522" s="367" t="s">
        <v>19</v>
      </c>
      <c r="D522" s="385">
        <v>320</v>
      </c>
      <c r="E522" s="353">
        <v>48000</v>
      </c>
      <c r="F522" s="353">
        <f t="shared" si="190"/>
        <v>15360000</v>
      </c>
      <c r="G522" s="349">
        <v>45500</v>
      </c>
      <c r="H522" s="349">
        <f t="shared" si="191"/>
        <v>14560000</v>
      </c>
      <c r="I522" s="1285">
        <f>IFERROR(VLOOKUP(A522,'valores unit indexados'!$A$14:$O$197,15,FALSE),0)</f>
        <v>43614</v>
      </c>
      <c r="J522" s="349">
        <f t="shared" si="187"/>
        <v>13956480</v>
      </c>
      <c r="K522"/>
      <c r="L522" s="386" t="str">
        <f t="shared" si="185"/>
        <v>I. 2,2</v>
      </c>
      <c r="M522" s="368" t="str">
        <f t="shared" si="186"/>
        <v xml:space="preserve">Suministro e instalación de recubrimiento cementoso (Recubrimiento a base de cemento, arena y aditivos especiales), impermeable para muros color blanco </v>
      </c>
      <c r="N522" s="367" t="str">
        <f t="shared" si="193"/>
        <v>M2</v>
      </c>
      <c r="O522" s="385">
        <f t="shared" si="194"/>
        <v>320</v>
      </c>
      <c r="P522" s="423">
        <f>VLOOKUP(L522,'selección precios unitario'!$A$5:$I$418,9,FALSE)</f>
        <v>45053</v>
      </c>
      <c r="Q522" s="423">
        <f t="shared" si="195"/>
        <v>14416960</v>
      </c>
    </row>
    <row r="523" spans="1:60" ht="15" outlineLevel="1" x14ac:dyDescent="0.25">
      <c r="A523" s="386" t="s">
        <v>693</v>
      </c>
      <c r="B523" s="368" t="s">
        <v>88</v>
      </c>
      <c r="C523" s="367" t="s">
        <v>19</v>
      </c>
      <c r="D523" s="385">
        <v>448</v>
      </c>
      <c r="E523" s="353">
        <v>28000</v>
      </c>
      <c r="F523" s="353">
        <f t="shared" si="190"/>
        <v>12544000</v>
      </c>
      <c r="G523" s="349">
        <v>11700</v>
      </c>
      <c r="H523" s="349">
        <f t="shared" si="191"/>
        <v>5241600</v>
      </c>
      <c r="I523" s="1285">
        <f>IFERROR(VLOOKUP(A523,'valores unit indexados'!$A$14:$O$197,15,FALSE),0)</f>
        <v>24610</v>
      </c>
      <c r="J523" s="349">
        <f t="shared" si="187"/>
        <v>11025280</v>
      </c>
      <c r="K523"/>
      <c r="L523" s="386" t="str">
        <f t="shared" si="185"/>
        <v>I. 2,3</v>
      </c>
      <c r="M523" s="368" t="str">
        <f t="shared" si="186"/>
        <v xml:space="preserve">Suministro y aplicación de estuco plástico </v>
      </c>
      <c r="N523" s="367" t="str">
        <f t="shared" si="193"/>
        <v>M2</v>
      </c>
      <c r="O523" s="385">
        <f t="shared" si="194"/>
        <v>448</v>
      </c>
      <c r="P523" s="423">
        <f>VLOOKUP(L523,'selección precios unitario'!$A$5:$I$418,9,FALSE)</f>
        <v>26305</v>
      </c>
      <c r="Q523" s="423">
        <f t="shared" si="195"/>
        <v>11784640</v>
      </c>
    </row>
    <row r="524" spans="1:60" ht="15" outlineLevel="1" x14ac:dyDescent="0.25">
      <c r="A524" s="386" t="s">
        <v>694</v>
      </c>
      <c r="B524" s="364" t="s">
        <v>90</v>
      </c>
      <c r="C524" s="367" t="s">
        <v>19</v>
      </c>
      <c r="D524" s="385">
        <v>641</v>
      </c>
      <c r="E524" s="353">
        <v>19000</v>
      </c>
      <c r="F524" s="353">
        <f t="shared" si="190"/>
        <v>12179000</v>
      </c>
      <c r="G524" s="412">
        <v>8710</v>
      </c>
      <c r="H524" s="349">
        <f t="shared" si="191"/>
        <v>5583110</v>
      </c>
      <c r="I524" s="1285">
        <f>IFERROR(VLOOKUP(A524,'valores unit indexados'!$A$14:$O$197,15,FALSE),0)</f>
        <v>0</v>
      </c>
      <c r="J524" s="349">
        <f t="shared" si="187"/>
        <v>0</v>
      </c>
      <c r="K524"/>
      <c r="L524" s="386" t="str">
        <f t="shared" si="185"/>
        <v>I. 2,4</v>
      </c>
      <c r="M524" s="364" t="str">
        <f t="shared" si="186"/>
        <v>Suministro y aplicación de vinilo tipo 1 (3 manos)</v>
      </c>
      <c r="N524" s="367" t="str">
        <f t="shared" si="193"/>
        <v>M2</v>
      </c>
      <c r="O524" s="385">
        <f t="shared" si="194"/>
        <v>641</v>
      </c>
      <c r="P524" s="423">
        <f>VLOOKUP(L524,'selección precios unitario'!$A$5:$I$418,9,FALSE)</f>
        <v>19000</v>
      </c>
      <c r="Q524" s="423">
        <f t="shared" si="195"/>
        <v>12179000</v>
      </c>
    </row>
    <row r="525" spans="1:60" ht="15" outlineLevel="1" x14ac:dyDescent="0.25">
      <c r="A525" s="386" t="s">
        <v>695</v>
      </c>
      <c r="B525" s="368" t="s">
        <v>92</v>
      </c>
      <c r="C525" s="367" t="s">
        <v>19</v>
      </c>
      <c r="D525" s="385">
        <v>128</v>
      </c>
      <c r="E525" s="353">
        <v>18000</v>
      </c>
      <c r="F525" s="353">
        <f t="shared" si="190"/>
        <v>2304000</v>
      </c>
      <c r="G525" s="412">
        <v>8710</v>
      </c>
      <c r="H525" s="349">
        <f t="shared" si="191"/>
        <v>1114880</v>
      </c>
      <c r="I525" s="1285">
        <f>IFERROR(VLOOKUP(A525,'valores unit indexados'!$A$14:$O$197,15,FALSE),0)</f>
        <v>17005</v>
      </c>
      <c r="J525" s="349">
        <f t="shared" si="187"/>
        <v>2176640</v>
      </c>
      <c r="K525"/>
      <c r="L525" s="386" t="str">
        <f t="shared" si="185"/>
        <v>I. 2,5</v>
      </c>
      <c r="M525" s="368" t="str">
        <f t="shared" si="186"/>
        <v>Suministro y aplicación de pintura en esmalte</v>
      </c>
      <c r="N525" s="367" t="str">
        <f t="shared" si="193"/>
        <v>M2</v>
      </c>
      <c r="O525" s="385">
        <f t="shared" si="194"/>
        <v>128</v>
      </c>
      <c r="P525" s="423">
        <f>VLOOKUP(L525,'selección precios unitario'!$A$5:$I$418,9,FALSE)</f>
        <v>17503</v>
      </c>
      <c r="Q525" s="423">
        <f t="shared" si="195"/>
        <v>2240384</v>
      </c>
    </row>
    <row r="526" spans="1:60" ht="15" outlineLevel="1" x14ac:dyDescent="0.25">
      <c r="A526" s="386" t="s">
        <v>696</v>
      </c>
      <c r="B526" s="401" t="s">
        <v>94</v>
      </c>
      <c r="C526" s="367" t="s">
        <v>19</v>
      </c>
      <c r="D526" s="385">
        <v>3</v>
      </c>
      <c r="E526" s="353">
        <v>17000</v>
      </c>
      <c r="F526" s="353">
        <f t="shared" si="190"/>
        <v>51000</v>
      </c>
      <c r="G526" s="412">
        <v>8710</v>
      </c>
      <c r="H526" s="349">
        <f t="shared" si="191"/>
        <v>26130</v>
      </c>
      <c r="I526" s="1285">
        <f>IFERROR(VLOOKUP(A526,'valores unit indexados'!$A$14:$O$197,15,FALSE),0)</f>
        <v>0</v>
      </c>
      <c r="J526" s="349">
        <f t="shared" si="187"/>
        <v>0</v>
      </c>
      <c r="K526"/>
      <c r="L526" s="386" t="str">
        <f t="shared" si="185"/>
        <v>I. 2,6</v>
      </c>
      <c r="M526" s="401" t="str">
        <f t="shared" si="186"/>
        <v>Suministro y aplicación de pintura cielo vinilo tipo 1</v>
      </c>
      <c r="N526" s="367" t="str">
        <f t="shared" si="193"/>
        <v>M2</v>
      </c>
      <c r="O526" s="385">
        <f t="shared" si="194"/>
        <v>3</v>
      </c>
      <c r="P526" s="423">
        <f>VLOOKUP(L526,'selección precios unitario'!$A$5:$I$418,9,FALSE)</f>
        <v>17000</v>
      </c>
      <c r="Q526" s="423">
        <f t="shared" si="195"/>
        <v>51000</v>
      </c>
    </row>
    <row r="527" spans="1:60" ht="15" outlineLevel="1" x14ac:dyDescent="0.25">
      <c r="A527" s="386" t="s">
        <v>697</v>
      </c>
      <c r="B527" s="364" t="s">
        <v>84</v>
      </c>
      <c r="C527" s="367" t="s">
        <v>14</v>
      </c>
      <c r="D527" s="385">
        <v>5</v>
      </c>
      <c r="E527" s="353">
        <v>5400</v>
      </c>
      <c r="F527" s="353">
        <f t="shared" si="190"/>
        <v>27000</v>
      </c>
      <c r="G527" s="349">
        <v>5200</v>
      </c>
      <c r="H527" s="349">
        <f t="shared" si="191"/>
        <v>26000</v>
      </c>
      <c r="I527" s="1285">
        <f>IFERROR(VLOOKUP(A527,'valores unit indexados'!$A$14:$O$197,15,FALSE),0)</f>
        <v>0</v>
      </c>
      <c r="J527" s="349">
        <f t="shared" si="187"/>
        <v>0</v>
      </c>
      <c r="K527"/>
      <c r="L527" s="386" t="str">
        <f t="shared" si="185"/>
        <v>I. 2,7</v>
      </c>
      <c r="M527" s="364" t="str">
        <f t="shared" si="186"/>
        <v xml:space="preserve">Rasqueteada de pintura y retiro de mortero en mal estado  </v>
      </c>
      <c r="N527" s="367" t="str">
        <f t="shared" si="193"/>
        <v>ML</v>
      </c>
      <c r="O527" s="385">
        <f t="shared" si="194"/>
        <v>5</v>
      </c>
      <c r="P527" s="423">
        <f>VLOOKUP(L527,'selección precios unitario'!$A$5:$I$418,9,FALSE)</f>
        <v>4700</v>
      </c>
      <c r="Q527" s="423">
        <f t="shared" si="195"/>
        <v>23500</v>
      </c>
    </row>
    <row r="528" spans="1:60" ht="38.25" outlineLevel="1" x14ac:dyDescent="0.25">
      <c r="A528" s="386" t="s">
        <v>698</v>
      </c>
      <c r="B528" s="368" t="s">
        <v>86</v>
      </c>
      <c r="C528" s="367" t="s">
        <v>14</v>
      </c>
      <c r="D528" s="385">
        <v>5</v>
      </c>
      <c r="E528" s="353">
        <v>28800</v>
      </c>
      <c r="F528" s="353">
        <f t="shared" si="190"/>
        <v>144000</v>
      </c>
      <c r="G528" s="349">
        <v>6500</v>
      </c>
      <c r="H528" s="349">
        <f t="shared" si="191"/>
        <v>32500</v>
      </c>
      <c r="I528" s="1285">
        <f>IFERROR(VLOOKUP(A528,'valores unit indexados'!$A$14:$O$197,15,FALSE),0)</f>
        <v>0</v>
      </c>
      <c r="J528" s="349">
        <f t="shared" si="187"/>
        <v>0</v>
      </c>
      <c r="K528"/>
      <c r="L528" s="386" t="str">
        <f t="shared" si="185"/>
        <v>I. 2,8</v>
      </c>
      <c r="M528" s="368" t="str">
        <f t="shared" si="186"/>
        <v xml:space="preserve">Suministro e instalación de recubrimiento cementoso (Recubrimiento a base de cemento, arena y aditivos especiales), impermeable para muros color blanco </v>
      </c>
      <c r="N528" s="367" t="str">
        <f t="shared" si="193"/>
        <v>ML</v>
      </c>
      <c r="O528" s="385">
        <f t="shared" si="194"/>
        <v>5</v>
      </c>
      <c r="P528" s="423">
        <f>VLOOKUP(L528,'selección precios unitario'!$A$5:$I$418,9,FALSE)</f>
        <v>17650</v>
      </c>
      <c r="Q528" s="423">
        <f t="shared" si="195"/>
        <v>88250</v>
      </c>
    </row>
    <row r="529" spans="1:60" ht="15" outlineLevel="1" x14ac:dyDescent="0.25">
      <c r="A529" s="386" t="s">
        <v>699</v>
      </c>
      <c r="B529" s="368" t="s">
        <v>88</v>
      </c>
      <c r="C529" s="367" t="s">
        <v>14</v>
      </c>
      <c r="D529" s="385">
        <v>5</v>
      </c>
      <c r="E529" s="353">
        <v>16800</v>
      </c>
      <c r="F529" s="353">
        <f t="shared" si="190"/>
        <v>84000</v>
      </c>
      <c r="G529" s="349">
        <v>11700</v>
      </c>
      <c r="H529" s="349">
        <f t="shared" si="191"/>
        <v>58500</v>
      </c>
      <c r="I529" s="1285">
        <f>IFERROR(VLOOKUP(A529,'valores unit indexados'!$A$14:$O$197,15,FALSE),0)</f>
        <v>0</v>
      </c>
      <c r="J529" s="349">
        <f t="shared" si="187"/>
        <v>0</v>
      </c>
      <c r="K529"/>
      <c r="L529" s="386" t="str">
        <f t="shared" si="185"/>
        <v>I. 2,9</v>
      </c>
      <c r="M529" s="368" t="str">
        <f t="shared" si="186"/>
        <v xml:space="preserve">Suministro y aplicación de estuco plástico </v>
      </c>
      <c r="N529" s="367" t="str">
        <f t="shared" si="193"/>
        <v>ML</v>
      </c>
      <c r="O529" s="385">
        <f t="shared" si="194"/>
        <v>5</v>
      </c>
      <c r="P529" s="423">
        <f>VLOOKUP(L529,'selección precios unitario'!$A$5:$I$418,9,FALSE)</f>
        <v>20705</v>
      </c>
      <c r="Q529" s="423">
        <f t="shared" si="195"/>
        <v>103525</v>
      </c>
    </row>
    <row r="530" spans="1:60" ht="15" outlineLevel="1" x14ac:dyDescent="0.25">
      <c r="A530" s="386" t="s">
        <v>700</v>
      </c>
      <c r="B530" s="368" t="s">
        <v>98</v>
      </c>
      <c r="C530" s="367" t="s">
        <v>14</v>
      </c>
      <c r="D530" s="385">
        <v>5</v>
      </c>
      <c r="E530" s="353">
        <v>10200</v>
      </c>
      <c r="F530" s="353">
        <f t="shared" si="190"/>
        <v>51000</v>
      </c>
      <c r="G530" s="349">
        <v>5200</v>
      </c>
      <c r="H530" s="349">
        <f t="shared" si="191"/>
        <v>26000</v>
      </c>
      <c r="I530" s="1285">
        <f>IFERROR(VLOOKUP(A530,'valores unit indexados'!$A$14:$O$197,15,FALSE),0)</f>
        <v>0</v>
      </c>
      <c r="J530" s="349">
        <f t="shared" si="187"/>
        <v>0</v>
      </c>
      <c r="K530"/>
      <c r="L530" s="386" t="str">
        <f t="shared" si="185"/>
        <v>I. 2,10</v>
      </c>
      <c r="M530" s="368" t="str">
        <f t="shared" si="186"/>
        <v>Suministro y aplicación de vinilo tipo 2 (3 manos)</v>
      </c>
      <c r="N530" s="367" t="str">
        <f t="shared" si="193"/>
        <v>ML</v>
      </c>
      <c r="O530" s="385">
        <f t="shared" si="194"/>
        <v>5</v>
      </c>
      <c r="P530" s="423">
        <f>VLOOKUP(L530,'selección precios unitario'!$A$5:$I$418,9,FALSE)</f>
        <v>6120</v>
      </c>
      <c r="Q530" s="423">
        <f t="shared" si="195"/>
        <v>30600</v>
      </c>
    </row>
    <row r="531" spans="1:60" ht="15" outlineLevel="1" x14ac:dyDescent="0.25">
      <c r="A531" s="386" t="s">
        <v>701</v>
      </c>
      <c r="B531" s="368" t="s">
        <v>92</v>
      </c>
      <c r="C531" s="367" t="s">
        <v>14</v>
      </c>
      <c r="D531" s="385">
        <v>5</v>
      </c>
      <c r="E531" s="353">
        <v>10800</v>
      </c>
      <c r="F531" s="353">
        <f t="shared" si="190"/>
        <v>54000</v>
      </c>
      <c r="G531" s="349">
        <v>5200</v>
      </c>
      <c r="H531" s="349">
        <f t="shared" si="191"/>
        <v>26000</v>
      </c>
      <c r="I531" s="1285">
        <f>IFERROR(VLOOKUP(A531,'valores unit indexados'!$A$14:$O$197,15,FALSE),0)</f>
        <v>0</v>
      </c>
      <c r="J531" s="349">
        <f t="shared" si="187"/>
        <v>0</v>
      </c>
      <c r="K531"/>
      <c r="L531" s="386" t="str">
        <f t="shared" si="185"/>
        <v>I. 2,11</v>
      </c>
      <c r="M531" s="368" t="str">
        <f t="shared" si="186"/>
        <v>Suministro y aplicación de pintura en esmalte</v>
      </c>
      <c r="N531" s="367" t="str">
        <f t="shared" si="193"/>
        <v>ML</v>
      </c>
      <c r="O531" s="385">
        <f t="shared" si="194"/>
        <v>5</v>
      </c>
      <c r="P531" s="423">
        <f>VLOOKUP(L531,'selección precios unitario'!$A$5:$I$418,9,FALSE)</f>
        <v>8000</v>
      </c>
      <c r="Q531" s="423">
        <f t="shared" si="195"/>
        <v>40000</v>
      </c>
    </row>
    <row r="532" spans="1:60" s="1533" customFormat="1" ht="24.75" customHeight="1" outlineLevel="1" x14ac:dyDescent="0.25">
      <c r="A532" s="1527" t="s">
        <v>702</v>
      </c>
      <c r="B532" s="1528" t="s">
        <v>744</v>
      </c>
      <c r="C532" s="1527"/>
      <c r="D532" s="1529"/>
      <c r="E532" s="1530"/>
      <c r="F532" s="1531">
        <f t="shared" si="190"/>
        <v>0</v>
      </c>
      <c r="G532" s="1530"/>
      <c r="H532" s="1531">
        <f t="shared" si="191"/>
        <v>0</v>
      </c>
      <c r="I532" s="1532"/>
      <c r="J532" s="1527"/>
      <c r="K532"/>
      <c r="L532" s="1527" t="str">
        <f t="shared" si="185"/>
        <v>I. 3</v>
      </c>
      <c r="M532" s="1836" t="str">
        <f t="shared" si="186"/>
        <v>Reparación de cubierta en teja de barro</v>
      </c>
      <c r="N532" s="1837"/>
      <c r="O532" s="1837"/>
      <c r="P532" s="1837" t="e">
        <f t="shared" si="192"/>
        <v>#DIV/0!</v>
      </c>
      <c r="Q532" s="1838"/>
      <c r="R532" s="1544"/>
      <c r="S532" s="1544"/>
      <c r="T532" s="1544"/>
      <c r="U532" s="1544"/>
      <c r="V532" s="1544"/>
      <c r="W532" s="1544"/>
      <c r="X532" s="1544"/>
      <c r="Y532" s="1544"/>
      <c r="Z532" s="1544"/>
      <c r="AA532" s="1544"/>
      <c r="AB532" s="1544"/>
      <c r="AC532" s="1544"/>
      <c r="AD532" s="1544"/>
      <c r="AE532" s="1544"/>
      <c r="AF532" s="1544"/>
      <c r="AG532" s="1544"/>
      <c r="AH532" s="1544"/>
      <c r="AI532" s="1544"/>
      <c r="AJ532" s="1544"/>
      <c r="AK532" s="1544"/>
      <c r="AL532" s="1544"/>
      <c r="AM532" s="1544"/>
      <c r="AN532" s="1544"/>
      <c r="AO532" s="1544"/>
      <c r="AP532" s="1544"/>
      <c r="AQ532" s="1544"/>
      <c r="AR532" s="1544"/>
      <c r="AS532" s="1544"/>
      <c r="AT532" s="1544"/>
      <c r="AU532" s="1544"/>
      <c r="AV532" s="1544"/>
      <c r="AW532" s="1544"/>
      <c r="AX532" s="1544"/>
      <c r="AY532" s="1544"/>
      <c r="AZ532" s="1544"/>
      <c r="BA532" s="1544"/>
      <c r="BB532" s="1544"/>
      <c r="BC532" s="1544"/>
      <c r="BD532" s="1544"/>
      <c r="BE532" s="1544"/>
      <c r="BF532" s="1544"/>
      <c r="BG532" s="1544"/>
      <c r="BH532" s="1544"/>
    </row>
    <row r="533" spans="1:60" ht="51" outlineLevel="1" x14ac:dyDescent="0.25">
      <c r="A533" s="386" t="s">
        <v>704</v>
      </c>
      <c r="B533" s="358" t="s">
        <v>1521</v>
      </c>
      <c r="C533" s="389" t="s">
        <v>19</v>
      </c>
      <c r="D533" s="385">
        <v>40</v>
      </c>
      <c r="E533" s="353">
        <v>145000</v>
      </c>
      <c r="F533" s="353">
        <f t="shared" si="190"/>
        <v>5800000</v>
      </c>
      <c r="G533" s="349">
        <v>64150</v>
      </c>
      <c r="H533" s="349">
        <f t="shared" si="191"/>
        <v>2566000</v>
      </c>
      <c r="I533" s="1285">
        <f>IFERROR(VLOOKUP(A533,'valores unit indexados'!$A$14:$O$197,15,FALSE),0)</f>
        <v>0</v>
      </c>
      <c r="J533" s="349">
        <f t="shared" si="187"/>
        <v>0</v>
      </c>
      <c r="K533"/>
      <c r="L533" s="386" t="str">
        <f t="shared" si="185"/>
        <v>I. 3,1</v>
      </c>
      <c r="M533" s="358" t="str">
        <f t="shared" si="186"/>
        <v>mantenimiento general de cubierta tipo colonial, incluye cambio de tejas en mal estado, reacomodación y atraques nuevos para el área general de cubierta, manto asfaltico, incluir el retiro de escombros. </v>
      </c>
      <c r="N533" s="389" t="str">
        <f t="shared" ref="N533:O539" si="196">+C533</f>
        <v>M2</v>
      </c>
      <c r="O533" s="385">
        <f t="shared" si="196"/>
        <v>40</v>
      </c>
      <c r="P533" s="423">
        <f>VLOOKUP(L533,'selección precios unitario'!$A$5:$I$418,9,FALSE)</f>
        <v>104575</v>
      </c>
      <c r="Q533" s="423">
        <f t="shared" ref="Q533:Q539" si="197">ROUND(P533*O533,0)</f>
        <v>4183000</v>
      </c>
    </row>
    <row r="534" spans="1:60" ht="25.5" outlineLevel="1" x14ac:dyDescent="0.25">
      <c r="A534" s="386" t="s">
        <v>706</v>
      </c>
      <c r="B534" s="388" t="s">
        <v>707</v>
      </c>
      <c r="C534" s="389" t="s">
        <v>14</v>
      </c>
      <c r="D534" s="385">
        <v>60</v>
      </c>
      <c r="E534" s="353">
        <v>35000</v>
      </c>
      <c r="F534" s="353">
        <f t="shared" si="190"/>
        <v>2100000</v>
      </c>
      <c r="G534" s="349">
        <v>36340</v>
      </c>
      <c r="H534" s="349">
        <f t="shared" si="191"/>
        <v>2180400</v>
      </c>
      <c r="I534" s="1285">
        <f>IFERROR(VLOOKUP(A534,'valores unit indexados'!$A$14:$O$197,15,FALSE),0)</f>
        <v>0</v>
      </c>
      <c r="J534" s="349">
        <f t="shared" si="187"/>
        <v>0</v>
      </c>
      <c r="K534"/>
      <c r="L534" s="386" t="str">
        <f t="shared" si="185"/>
        <v>I. 3,2</v>
      </c>
      <c r="M534" s="388" t="str">
        <f t="shared" si="186"/>
        <v xml:space="preserve">Pega de teja existente incluye retiro de teja, limpieza y alineación </v>
      </c>
      <c r="N534" s="389" t="str">
        <f t="shared" si="196"/>
        <v>ML</v>
      </c>
      <c r="O534" s="385">
        <f t="shared" si="196"/>
        <v>60</v>
      </c>
      <c r="P534" s="423">
        <f>VLOOKUP(L534,'selección precios unitario'!$A$5:$I$418,9,FALSE)</f>
        <v>35670</v>
      </c>
      <c r="Q534" s="423">
        <f t="shared" si="197"/>
        <v>2140200</v>
      </c>
    </row>
    <row r="535" spans="1:60" ht="38.25" outlineLevel="1" x14ac:dyDescent="0.25">
      <c r="A535" s="386" t="s">
        <v>708</v>
      </c>
      <c r="B535" s="368" t="s">
        <v>709</v>
      </c>
      <c r="C535" s="367" t="s">
        <v>19</v>
      </c>
      <c r="D535" s="385">
        <v>3</v>
      </c>
      <c r="E535" s="353">
        <v>20000</v>
      </c>
      <c r="F535" s="353">
        <f t="shared" si="190"/>
        <v>60000</v>
      </c>
      <c r="G535" s="349">
        <v>18700</v>
      </c>
      <c r="H535" s="349">
        <f t="shared" si="191"/>
        <v>56100</v>
      </c>
      <c r="I535" s="1285">
        <f>IFERROR(VLOOKUP(A535,'valores unit indexados'!$A$14:$O$197,15,FALSE),0)</f>
        <v>17183</v>
      </c>
      <c r="J535" s="349">
        <f t="shared" si="187"/>
        <v>51549</v>
      </c>
      <c r="K535"/>
      <c r="L535" s="386" t="str">
        <f t="shared" si="185"/>
        <v>I. 3,3</v>
      </c>
      <c r="M535" s="368" t="str">
        <f t="shared" si="186"/>
        <v>Demolición y limpieza de revestimiento (Boñiga o repello) en área afectada del Cielo falso, resguardando la integridad de la construcción.</v>
      </c>
      <c r="N535" s="367" t="str">
        <f t="shared" si="196"/>
        <v>M2</v>
      </c>
      <c r="O535" s="385">
        <f t="shared" si="196"/>
        <v>3</v>
      </c>
      <c r="P535" s="423">
        <f>VLOOKUP(L535,'selección precios unitario'!$A$5:$I$418,9,FALSE)</f>
        <v>18628</v>
      </c>
      <c r="Q535" s="423">
        <f t="shared" si="197"/>
        <v>55884</v>
      </c>
    </row>
    <row r="536" spans="1:60" ht="15" outlineLevel="1" x14ac:dyDescent="0.25">
      <c r="A536" s="386" t="s">
        <v>710</v>
      </c>
      <c r="B536" s="368" t="s">
        <v>711</v>
      </c>
      <c r="C536" s="367" t="s">
        <v>14</v>
      </c>
      <c r="D536" s="385">
        <v>5</v>
      </c>
      <c r="E536" s="353">
        <v>25000</v>
      </c>
      <c r="F536" s="353">
        <f t="shared" si="190"/>
        <v>125000</v>
      </c>
      <c r="G536" s="349">
        <v>29810.000000000004</v>
      </c>
      <c r="H536" s="349">
        <f t="shared" si="191"/>
        <v>149050.00000000003</v>
      </c>
      <c r="I536" s="1285">
        <f>IFERROR(VLOOKUP(A536,'valores unit indexados'!$A$14:$O$197,15,FALSE),0)</f>
        <v>28983</v>
      </c>
      <c r="J536" s="349">
        <f t="shared" si="187"/>
        <v>144915</v>
      </c>
      <c r="K536"/>
      <c r="L536" s="386" t="str">
        <f t="shared" si="185"/>
        <v>I. 3,4</v>
      </c>
      <c r="M536" s="368" t="str">
        <f t="shared" si="186"/>
        <v xml:space="preserve">Suministro e instalación de varillones en caña menuda </v>
      </c>
      <c r="N536" s="367" t="str">
        <f t="shared" si="196"/>
        <v>ML</v>
      </c>
      <c r="O536" s="385">
        <f t="shared" si="196"/>
        <v>5</v>
      </c>
      <c r="P536" s="423">
        <f>VLOOKUP(L536,'selección precios unitario'!$A$5:$I$418,9,FALSE)</f>
        <v>27931</v>
      </c>
      <c r="Q536" s="423">
        <f t="shared" si="197"/>
        <v>139655</v>
      </c>
    </row>
    <row r="537" spans="1:60" ht="25.5" outlineLevel="1" x14ac:dyDescent="0.25">
      <c r="A537" s="354" t="s">
        <v>712</v>
      </c>
      <c r="B537" s="368" t="s">
        <v>713</v>
      </c>
      <c r="C537" s="367" t="s">
        <v>19</v>
      </c>
      <c r="D537" s="385">
        <v>3</v>
      </c>
      <c r="E537" s="353">
        <v>40000</v>
      </c>
      <c r="F537" s="353">
        <f t="shared" si="190"/>
        <v>120000</v>
      </c>
      <c r="G537" s="349">
        <v>40700</v>
      </c>
      <c r="H537" s="349">
        <f t="shared" si="191"/>
        <v>122100</v>
      </c>
      <c r="I537" s="1285">
        <f>IFERROR(VLOOKUP(A537,'valores unit indexados'!$A$14:$O$197,15,FALSE),0)</f>
        <v>36498</v>
      </c>
      <c r="J537" s="349">
        <f t="shared" si="187"/>
        <v>109494</v>
      </c>
      <c r="K537"/>
      <c r="L537" s="354" t="str">
        <f t="shared" si="185"/>
        <v>I. 3,5</v>
      </c>
      <c r="M537" s="368" t="str">
        <f t="shared" si="186"/>
        <v>Suministro e instalación de malla venada, incluye los elementos necesarios para su fijación a la estructura de cielo falso.</v>
      </c>
      <c r="N537" s="367" t="str">
        <f t="shared" si="196"/>
        <v>M2</v>
      </c>
      <c r="O537" s="385">
        <f t="shared" si="196"/>
        <v>3</v>
      </c>
      <c r="P537" s="423">
        <f>VLOOKUP(L537,'selección precios unitario'!$A$5:$I$418,9,FALSE)</f>
        <v>39066</v>
      </c>
      <c r="Q537" s="423">
        <f t="shared" si="197"/>
        <v>117198</v>
      </c>
    </row>
    <row r="538" spans="1:60" ht="15" outlineLevel="1" x14ac:dyDescent="0.25">
      <c r="A538" s="386" t="s">
        <v>714</v>
      </c>
      <c r="B538" s="368" t="s">
        <v>715</v>
      </c>
      <c r="C538" s="367" t="s">
        <v>19</v>
      </c>
      <c r="D538" s="385">
        <v>3</v>
      </c>
      <c r="E538" s="353">
        <v>35000</v>
      </c>
      <c r="F538" s="353">
        <f t="shared" si="190"/>
        <v>105000</v>
      </c>
      <c r="G538" s="349">
        <v>46200.000000000007</v>
      </c>
      <c r="H538" s="349">
        <f t="shared" si="191"/>
        <v>138600.00000000003</v>
      </c>
      <c r="I538" s="1285">
        <f>IFERROR(VLOOKUP(A538,'valores unit indexados'!$A$14:$O$197,15,FALSE),0)</f>
        <v>41917</v>
      </c>
      <c r="J538" s="349">
        <f t="shared" si="187"/>
        <v>125751</v>
      </c>
      <c r="K538"/>
      <c r="L538" s="386" t="str">
        <f t="shared" si="185"/>
        <v>I. 3,6</v>
      </c>
      <c r="M538" s="368" t="str">
        <f t="shared" si="186"/>
        <v>Suministro y aplicación de Cal y canto</v>
      </c>
      <c r="N538" s="367" t="str">
        <f t="shared" si="196"/>
        <v>M2</v>
      </c>
      <c r="O538" s="385">
        <f t="shared" si="196"/>
        <v>3</v>
      </c>
      <c r="P538" s="423">
        <f>VLOOKUP(L538,'selección precios unitario'!$A$5:$I$418,9,FALSE)</f>
        <v>41039</v>
      </c>
      <c r="Q538" s="423">
        <f t="shared" si="197"/>
        <v>123117</v>
      </c>
    </row>
    <row r="539" spans="1:60" ht="15" outlineLevel="1" x14ac:dyDescent="0.25">
      <c r="A539" s="354" t="s">
        <v>716</v>
      </c>
      <c r="B539" s="368" t="s">
        <v>717</v>
      </c>
      <c r="C539" s="367" t="s">
        <v>19</v>
      </c>
      <c r="D539" s="385">
        <v>3</v>
      </c>
      <c r="E539" s="353">
        <v>50000</v>
      </c>
      <c r="F539" s="353">
        <f t="shared" si="190"/>
        <v>150000</v>
      </c>
      <c r="G539" s="349">
        <v>18700</v>
      </c>
      <c r="H539" s="349">
        <f t="shared" si="191"/>
        <v>56100</v>
      </c>
      <c r="I539" s="1285">
        <f>IFERROR(VLOOKUP(A539,'valores unit indexados'!$A$14:$O$197,15,FALSE),0)</f>
        <v>0</v>
      </c>
      <c r="J539" s="349">
        <f t="shared" si="187"/>
        <v>0</v>
      </c>
      <c r="K539"/>
      <c r="L539" s="354" t="str">
        <f t="shared" si="185"/>
        <v>I. 3,7</v>
      </c>
      <c r="M539" s="368" t="str">
        <f t="shared" si="186"/>
        <v>Restauración de cielo en boñiga</v>
      </c>
      <c r="N539" s="367" t="str">
        <f t="shared" si="196"/>
        <v>M2</v>
      </c>
      <c r="O539" s="385">
        <f t="shared" si="196"/>
        <v>3</v>
      </c>
      <c r="P539" s="423">
        <f>VLOOKUP(L539,'selección precios unitario'!$A$5:$I$418,9,FALSE)</f>
        <v>34350</v>
      </c>
      <c r="Q539" s="423">
        <f t="shared" si="197"/>
        <v>103050</v>
      </c>
    </row>
    <row r="540" spans="1:60" s="1533" customFormat="1" ht="24.75" customHeight="1" outlineLevel="1" x14ac:dyDescent="0.25">
      <c r="A540" s="1527" t="s">
        <v>718</v>
      </c>
      <c r="B540" s="1528" t="s">
        <v>642</v>
      </c>
      <c r="C540" s="1527"/>
      <c r="D540" s="1529"/>
      <c r="E540" s="1530"/>
      <c r="F540" s="1531">
        <f t="shared" si="190"/>
        <v>0</v>
      </c>
      <c r="G540" s="1530"/>
      <c r="H540" s="1531">
        <f t="shared" si="191"/>
        <v>0</v>
      </c>
      <c r="I540" s="1532"/>
      <c r="J540" s="1527"/>
      <c r="K540"/>
      <c r="L540" s="1527" t="str">
        <f t="shared" si="185"/>
        <v>I. 4</v>
      </c>
      <c r="M540" s="1836" t="str">
        <f t="shared" si="186"/>
        <v>Otros</v>
      </c>
      <c r="N540" s="1837"/>
      <c r="O540" s="1837"/>
      <c r="P540" s="1837"/>
      <c r="Q540" s="1838"/>
      <c r="R540" s="1544"/>
      <c r="S540" s="1544"/>
      <c r="T540" s="1544"/>
      <c r="U540" s="1544"/>
      <c r="V540" s="1544"/>
      <c r="W540" s="1544"/>
      <c r="X540" s="1544"/>
      <c r="Y540" s="1544"/>
      <c r="Z540" s="1544"/>
      <c r="AA540" s="1544"/>
      <c r="AB540" s="1544"/>
      <c r="AC540" s="1544"/>
      <c r="AD540" s="1544"/>
      <c r="AE540" s="1544"/>
      <c r="AF540" s="1544"/>
      <c r="AG540" s="1544"/>
      <c r="AH540" s="1544"/>
      <c r="AI540" s="1544"/>
      <c r="AJ540" s="1544"/>
      <c r="AK540" s="1544"/>
      <c r="AL540" s="1544"/>
      <c r="AM540" s="1544"/>
      <c r="AN540" s="1544"/>
      <c r="AO540" s="1544"/>
      <c r="AP540" s="1544"/>
      <c r="AQ540" s="1544"/>
      <c r="AR540" s="1544"/>
      <c r="AS540" s="1544"/>
      <c r="AT540" s="1544"/>
      <c r="AU540" s="1544"/>
      <c r="AV540" s="1544"/>
      <c r="AW540" s="1544"/>
      <c r="AX540" s="1544"/>
      <c r="AY540" s="1544"/>
      <c r="AZ540" s="1544"/>
      <c r="BA540" s="1544"/>
      <c r="BB540" s="1544"/>
      <c r="BC540" s="1544"/>
      <c r="BD540" s="1544"/>
      <c r="BE540" s="1544"/>
      <c r="BF540" s="1544"/>
      <c r="BG540" s="1544"/>
      <c r="BH540" s="1544"/>
    </row>
    <row r="541" spans="1:60" ht="15" outlineLevel="1" x14ac:dyDescent="0.25">
      <c r="A541" s="354" t="s">
        <v>719</v>
      </c>
      <c r="B541" s="388" t="s">
        <v>720</v>
      </c>
      <c r="C541" s="389" t="s">
        <v>6</v>
      </c>
      <c r="D541" s="385">
        <v>6</v>
      </c>
      <c r="E541" s="353">
        <v>20000</v>
      </c>
      <c r="F541" s="353">
        <f t="shared" si="190"/>
        <v>120000</v>
      </c>
      <c r="G541" s="349">
        <v>24362</v>
      </c>
      <c r="H541" s="349">
        <f t="shared" si="191"/>
        <v>146172</v>
      </c>
      <c r="I541" s="1285">
        <f>IFERROR(VLOOKUP(A541,'valores unit indexados'!$A$14:$O$197,15,FALSE),0)</f>
        <v>0</v>
      </c>
      <c r="J541" s="349">
        <f t="shared" si="187"/>
        <v>0</v>
      </c>
      <c r="K541"/>
      <c r="L541" s="354" t="str">
        <f t="shared" si="185"/>
        <v>I. 4,1</v>
      </c>
      <c r="M541" s="388" t="str">
        <f t="shared" si="186"/>
        <v>Desmonte grifo de lavamanos existente</v>
      </c>
      <c r="N541" s="389" t="str">
        <f t="shared" ref="N541:O548" si="198">+C541</f>
        <v>UND</v>
      </c>
      <c r="O541" s="385">
        <f t="shared" si="198"/>
        <v>6</v>
      </c>
      <c r="P541" s="423">
        <f>VLOOKUP(L541,'selección precios unitario'!$A$5:$I$418,9,FALSE)</f>
        <v>22181</v>
      </c>
      <c r="Q541" s="423">
        <f t="shared" ref="Q541:Q548" si="199">ROUND(P541*O541,0)</f>
        <v>133086</v>
      </c>
    </row>
    <row r="542" spans="1:60" ht="25.5" outlineLevel="1" x14ac:dyDescent="0.25">
      <c r="A542" s="386" t="s">
        <v>721</v>
      </c>
      <c r="B542" s="388" t="s">
        <v>722</v>
      </c>
      <c r="C542" s="389" t="s">
        <v>6</v>
      </c>
      <c r="D542" s="385">
        <v>6</v>
      </c>
      <c r="E542" s="353">
        <v>350000</v>
      </c>
      <c r="F542" s="353">
        <f t="shared" si="190"/>
        <v>2100000</v>
      </c>
      <c r="G542" s="349">
        <v>480870</v>
      </c>
      <c r="H542" s="349">
        <f t="shared" si="191"/>
        <v>2885220</v>
      </c>
      <c r="I542" s="1285">
        <f>IFERROR(VLOOKUP(A542,'valores unit indexados'!$A$14:$O$197,15,FALSE),0)</f>
        <v>93544</v>
      </c>
      <c r="J542" s="349">
        <f t="shared" si="187"/>
        <v>561264</v>
      </c>
      <c r="K542"/>
      <c r="L542" s="386" t="str">
        <f t="shared" si="185"/>
        <v>I. 4,2</v>
      </c>
      <c r="M542" s="388" t="str">
        <f t="shared" si="186"/>
        <v>Suministro e instalación de grifo para lavamanos conexión 1/2", acabado cromo.</v>
      </c>
      <c r="N542" s="389" t="str">
        <f t="shared" si="198"/>
        <v>UND</v>
      </c>
      <c r="O542" s="385">
        <f t="shared" si="198"/>
        <v>6</v>
      </c>
      <c r="P542" s="423">
        <f>VLOOKUP(L542,'selección precios unitario'!$A$5:$I$418,9,FALSE)</f>
        <v>93544</v>
      </c>
      <c r="Q542" s="423">
        <f t="shared" si="199"/>
        <v>561264</v>
      </c>
    </row>
    <row r="543" spans="1:60" ht="15" outlineLevel="1" x14ac:dyDescent="0.25">
      <c r="A543" s="354" t="s">
        <v>723</v>
      </c>
      <c r="B543" s="388" t="s">
        <v>1522</v>
      </c>
      <c r="C543" s="389"/>
      <c r="D543" s="385">
        <v>2</v>
      </c>
      <c r="E543" s="353">
        <v>30000</v>
      </c>
      <c r="F543" s="353">
        <f t="shared" si="190"/>
        <v>60000</v>
      </c>
      <c r="G543" s="349">
        <v>41800</v>
      </c>
      <c r="H543" s="349">
        <f t="shared" si="191"/>
        <v>83600</v>
      </c>
      <c r="I543" s="1285">
        <f>IFERROR(VLOOKUP(A543,'valores unit indexados'!$A$14:$O$197,15,FALSE),0)</f>
        <v>0</v>
      </c>
      <c r="J543" s="349">
        <f t="shared" si="187"/>
        <v>0</v>
      </c>
      <c r="K543"/>
      <c r="L543" s="354" t="str">
        <f t="shared" si="185"/>
        <v>I. 4,3</v>
      </c>
      <c r="M543" s="388" t="str">
        <f t="shared" si="186"/>
        <v>Desmonte de desagüe de orinal existente</v>
      </c>
      <c r="N543" s="389">
        <f t="shared" si="198"/>
        <v>0</v>
      </c>
      <c r="O543" s="385">
        <f t="shared" si="198"/>
        <v>2</v>
      </c>
      <c r="P543" s="423">
        <f>VLOOKUP(L543,'selección precios unitario'!$A$5:$I$418,9,FALSE)</f>
        <v>35900</v>
      </c>
      <c r="Q543" s="423">
        <f t="shared" si="199"/>
        <v>71800</v>
      </c>
    </row>
    <row r="544" spans="1:60" ht="15" outlineLevel="1" x14ac:dyDescent="0.25">
      <c r="A544" s="386" t="s">
        <v>725</v>
      </c>
      <c r="B544" s="388" t="s">
        <v>1523</v>
      </c>
      <c r="C544" s="389" t="s">
        <v>6</v>
      </c>
      <c r="D544" s="385">
        <v>2</v>
      </c>
      <c r="E544" s="353">
        <v>65000</v>
      </c>
      <c r="F544" s="353">
        <f t="shared" si="190"/>
        <v>130000</v>
      </c>
      <c r="G544" s="349">
        <v>133679</v>
      </c>
      <c r="H544" s="349">
        <f t="shared" si="191"/>
        <v>267358</v>
      </c>
      <c r="I544" s="1285">
        <f>IFERROR(VLOOKUP(A544,'valores unit indexados'!$A$14:$O$197,15,FALSE),0)</f>
        <v>0</v>
      </c>
      <c r="J544" s="349">
        <f t="shared" si="187"/>
        <v>0</v>
      </c>
      <c r="K544"/>
      <c r="L544" s="386" t="str">
        <f t="shared" si="185"/>
        <v>I. 4,4</v>
      </c>
      <c r="M544" s="388" t="str">
        <f t="shared" si="186"/>
        <v xml:space="preserve">suministro e instalación sifón para orinales </v>
      </c>
      <c r="N544" s="389" t="str">
        <f t="shared" si="198"/>
        <v>UND</v>
      </c>
      <c r="O544" s="385">
        <f t="shared" si="198"/>
        <v>2</v>
      </c>
      <c r="P544" s="423">
        <f>VLOOKUP(L544,'selección precios unitario'!$A$5:$I$418,9,FALSE)</f>
        <v>99340</v>
      </c>
      <c r="Q544" s="423">
        <f t="shared" si="199"/>
        <v>198680</v>
      </c>
    </row>
    <row r="545" spans="1:60" ht="38.25" outlineLevel="1" x14ac:dyDescent="0.25">
      <c r="A545" s="354" t="s">
        <v>727</v>
      </c>
      <c r="B545" s="388" t="s">
        <v>728</v>
      </c>
      <c r="C545" s="389" t="s">
        <v>6</v>
      </c>
      <c r="D545" s="385">
        <v>1</v>
      </c>
      <c r="E545" s="353">
        <v>850000</v>
      </c>
      <c r="F545" s="353">
        <f t="shared" si="190"/>
        <v>850000</v>
      </c>
      <c r="G545" s="349">
        <v>205080</v>
      </c>
      <c r="H545" s="349">
        <f t="shared" si="191"/>
        <v>205080</v>
      </c>
      <c r="I545" s="1285">
        <f>IFERROR(VLOOKUP(A545,'valores unit indexados'!$A$14:$O$197,15,FALSE),0)</f>
        <v>0</v>
      </c>
      <c r="J545" s="349">
        <f t="shared" si="187"/>
        <v>0</v>
      </c>
      <c r="K545"/>
      <c r="L545" s="354" t="str">
        <f t="shared" si="185"/>
        <v>I. 4,5</v>
      </c>
      <c r="M545" s="388" t="str">
        <f t="shared" si="186"/>
        <v xml:space="preserve">Suministro e instalación de juego de accesorios (check en bronce, flotador en cobre, registro   para tanque de agua de reserva </v>
      </c>
      <c r="N545" s="389" t="str">
        <f t="shared" si="198"/>
        <v>UND</v>
      </c>
      <c r="O545" s="385">
        <f t="shared" si="198"/>
        <v>1</v>
      </c>
      <c r="P545" s="423">
        <f>VLOOKUP(L545,'selección precios unitario'!$A$5:$I$418,9,FALSE)</f>
        <v>527540</v>
      </c>
      <c r="Q545" s="423">
        <f t="shared" si="199"/>
        <v>527540</v>
      </c>
    </row>
    <row r="546" spans="1:60" ht="25.5" outlineLevel="1" x14ac:dyDescent="0.25">
      <c r="A546" s="386" t="s">
        <v>729</v>
      </c>
      <c r="B546" s="358" t="s">
        <v>61</v>
      </c>
      <c r="C546" s="356" t="s">
        <v>14</v>
      </c>
      <c r="D546" s="385">
        <v>5</v>
      </c>
      <c r="E546" s="353">
        <v>46000</v>
      </c>
      <c r="F546" s="353">
        <f t="shared" si="190"/>
        <v>230000</v>
      </c>
      <c r="G546" s="349">
        <v>57837</v>
      </c>
      <c r="H546" s="349">
        <f t="shared" si="191"/>
        <v>289185</v>
      </c>
      <c r="I546" s="1285">
        <f>IFERROR(VLOOKUP(A546,'valores unit indexados'!$A$14:$O$197,15,FALSE),0)</f>
        <v>0</v>
      </c>
      <c r="J546" s="349">
        <f t="shared" si="187"/>
        <v>0</v>
      </c>
      <c r="K546"/>
      <c r="L546" s="386" t="str">
        <f t="shared" si="185"/>
        <v>I. 4,6</v>
      </c>
      <c r="M546" s="358" t="str">
        <f t="shared" si="186"/>
        <v>Suministro e instalación de Solapa en lamina galvanizada Cal 24, incluye sellador sobre muro</v>
      </c>
      <c r="N546" s="356" t="str">
        <f t="shared" si="198"/>
        <v>ML</v>
      </c>
      <c r="O546" s="385">
        <f t="shared" si="198"/>
        <v>5</v>
      </c>
      <c r="P546" s="423">
        <f>VLOOKUP(L546,'selección precios unitario'!$A$5:$I$418,9,FALSE)</f>
        <v>51919</v>
      </c>
      <c r="Q546" s="423">
        <f t="shared" si="199"/>
        <v>259595</v>
      </c>
    </row>
    <row r="547" spans="1:60" ht="25.5" outlineLevel="1" x14ac:dyDescent="0.25">
      <c r="A547" s="354" t="s">
        <v>730</v>
      </c>
      <c r="B547" s="358" t="s">
        <v>731</v>
      </c>
      <c r="C547" s="356" t="s">
        <v>19</v>
      </c>
      <c r="D547" s="385">
        <v>12</v>
      </c>
      <c r="E547" s="353">
        <v>38000</v>
      </c>
      <c r="F547" s="353">
        <f t="shared" si="190"/>
        <v>456000</v>
      </c>
      <c r="G547" s="349">
        <v>44980</v>
      </c>
      <c r="H547" s="349">
        <f t="shared" si="191"/>
        <v>539760</v>
      </c>
      <c r="I547" s="1285">
        <f>IFERROR(VLOOKUP(A547,'valores unit indexados'!$A$14:$O$197,15,FALSE),0)</f>
        <v>0</v>
      </c>
      <c r="J547" s="349">
        <f t="shared" si="187"/>
        <v>0</v>
      </c>
      <c r="K547"/>
      <c r="L547" s="354" t="str">
        <f t="shared" si="185"/>
        <v>I. 4,7</v>
      </c>
      <c r="M547" s="358" t="str">
        <f t="shared" si="186"/>
        <v xml:space="preserve">Suministro y aplicación de mortero 1:3 con aditivo impermeabilizante espesor 4cm </v>
      </c>
      <c r="N547" s="356" t="str">
        <f t="shared" si="198"/>
        <v>M2</v>
      </c>
      <c r="O547" s="385">
        <f t="shared" si="198"/>
        <v>12</v>
      </c>
      <c r="P547" s="423">
        <f>VLOOKUP(L547,'selección precios unitario'!$A$5:$I$418,9,FALSE)</f>
        <v>35250</v>
      </c>
      <c r="Q547" s="423">
        <f t="shared" si="199"/>
        <v>423000</v>
      </c>
    </row>
    <row r="548" spans="1:60" ht="15" outlineLevel="1" x14ac:dyDescent="0.25">
      <c r="A548" s="386" t="s">
        <v>732</v>
      </c>
      <c r="B548" s="358" t="s">
        <v>195</v>
      </c>
      <c r="C548" s="356" t="s">
        <v>19</v>
      </c>
      <c r="D548" s="385">
        <v>390</v>
      </c>
      <c r="E548" s="353">
        <v>7000</v>
      </c>
      <c r="F548" s="353">
        <f t="shared" si="190"/>
        <v>2730000</v>
      </c>
      <c r="G548" s="349">
        <v>4200</v>
      </c>
      <c r="H548" s="349">
        <f t="shared" si="191"/>
        <v>1638000</v>
      </c>
      <c r="I548" s="1285">
        <f>IFERROR(VLOOKUP(A548,'valores unit indexados'!$A$14:$O$197,15,FALSE),0)</f>
        <v>5300</v>
      </c>
      <c r="J548" s="349">
        <f t="shared" si="187"/>
        <v>2067000</v>
      </c>
      <c r="K548"/>
      <c r="L548" s="386" t="str">
        <f t="shared" si="185"/>
        <v>I. 4,8</v>
      </c>
      <c r="M548" s="358" t="str">
        <f t="shared" si="186"/>
        <v>Aseo general.</v>
      </c>
      <c r="N548" s="356" t="str">
        <f t="shared" si="198"/>
        <v>M2</v>
      </c>
      <c r="O548" s="385">
        <f t="shared" si="198"/>
        <v>390</v>
      </c>
      <c r="P548" s="423">
        <f>VLOOKUP(L548,'selección precios unitario'!$A$5:$I$418,9,FALSE)</f>
        <v>5500</v>
      </c>
      <c r="Q548" s="423">
        <f t="shared" si="199"/>
        <v>2145000</v>
      </c>
    </row>
    <row r="549" spans="1:60" s="1533" customFormat="1" ht="24.75" customHeight="1" outlineLevel="1" x14ac:dyDescent="0.25">
      <c r="A549" s="1527" t="s">
        <v>733</v>
      </c>
      <c r="B549" s="1528" t="s">
        <v>1524</v>
      </c>
      <c r="C549" s="1527"/>
      <c r="D549" s="1529"/>
      <c r="E549" s="1530"/>
      <c r="F549" s="1531">
        <f t="shared" si="190"/>
        <v>0</v>
      </c>
      <c r="G549" s="1530"/>
      <c r="H549" s="1531">
        <f t="shared" si="191"/>
        <v>0</v>
      </c>
      <c r="I549" s="1532"/>
      <c r="J549" s="1527"/>
      <c r="K549"/>
      <c r="L549" s="1527" t="str">
        <f t="shared" si="185"/>
        <v>I. 5</v>
      </c>
      <c r="M549" s="1836" t="str">
        <f t="shared" si="186"/>
        <v>Arreglo zócalo fachada</v>
      </c>
      <c r="N549" s="1837"/>
      <c r="O549" s="1837"/>
      <c r="P549" s="1837"/>
      <c r="Q549" s="1838"/>
      <c r="R549" s="1544"/>
      <c r="S549" s="1544"/>
      <c r="T549" s="1544"/>
      <c r="U549" s="1544"/>
      <c r="V549" s="1544"/>
      <c r="W549" s="1544"/>
      <c r="X549" s="1544"/>
      <c r="Y549" s="1544"/>
      <c r="Z549" s="1544"/>
      <c r="AA549" s="1544"/>
      <c r="AB549" s="1544"/>
      <c r="AC549" s="1544"/>
      <c r="AD549" s="1544"/>
      <c r="AE549" s="1544"/>
      <c r="AF549" s="1544"/>
      <c r="AG549" s="1544"/>
      <c r="AH549" s="1544"/>
      <c r="AI549" s="1544"/>
      <c r="AJ549" s="1544"/>
      <c r="AK549" s="1544"/>
      <c r="AL549" s="1544"/>
      <c r="AM549" s="1544"/>
      <c r="AN549" s="1544"/>
      <c r="AO549" s="1544"/>
      <c r="AP549" s="1544"/>
      <c r="AQ549" s="1544"/>
      <c r="AR549" s="1544"/>
      <c r="AS549" s="1544"/>
      <c r="AT549" s="1544"/>
      <c r="AU549" s="1544"/>
      <c r="AV549" s="1544"/>
      <c r="AW549" s="1544"/>
      <c r="AX549" s="1544"/>
      <c r="AY549" s="1544"/>
      <c r="AZ549" s="1544"/>
      <c r="BA549" s="1544"/>
      <c r="BB549" s="1544"/>
      <c r="BC549" s="1544"/>
      <c r="BD549" s="1544"/>
      <c r="BE549" s="1544"/>
      <c r="BF549" s="1544"/>
      <c r="BG549" s="1544"/>
      <c r="BH549" s="1544"/>
    </row>
    <row r="550" spans="1:60" ht="15" outlineLevel="1" x14ac:dyDescent="0.25">
      <c r="A550" s="354" t="s">
        <v>735</v>
      </c>
      <c r="B550" s="358" t="s">
        <v>1525</v>
      </c>
      <c r="C550" s="356" t="s">
        <v>19</v>
      </c>
      <c r="D550" s="385">
        <v>80</v>
      </c>
      <c r="E550" s="353">
        <v>17000</v>
      </c>
      <c r="F550" s="353">
        <f t="shared" si="190"/>
        <v>1360000</v>
      </c>
      <c r="G550" s="349">
        <v>10000</v>
      </c>
      <c r="H550" s="349">
        <f t="shared" si="191"/>
        <v>800000</v>
      </c>
      <c r="I550" s="1285">
        <f>IFERROR(VLOOKUP(A550,'valores unit indexados'!$A$14:$O$197,15,FALSE),0)</f>
        <v>0</v>
      </c>
      <c r="J550" s="349">
        <f t="shared" si="187"/>
        <v>0</v>
      </c>
      <c r="K550"/>
      <c r="L550" s="354" t="str">
        <f t="shared" si="185"/>
        <v>I. 5,1</v>
      </c>
      <c r="M550" s="358" t="str">
        <f t="shared" si="186"/>
        <v>Lavada de zócalo con ácido nítrico</v>
      </c>
      <c r="N550" s="356" t="str">
        <f t="shared" ref="N550:O552" si="200">+C550</f>
        <v>M2</v>
      </c>
      <c r="O550" s="385">
        <f t="shared" si="200"/>
        <v>80</v>
      </c>
      <c r="P550" s="423">
        <f>VLOOKUP(L550,'selección precios unitario'!$A$5:$I$418,9,FALSE)</f>
        <v>13500</v>
      </c>
      <c r="Q550" s="423">
        <f t="shared" ref="Q550:Q552" si="201">ROUND(P550*O550,0)</f>
        <v>1080000</v>
      </c>
    </row>
    <row r="551" spans="1:60" ht="15" outlineLevel="1" x14ac:dyDescent="0.25">
      <c r="A551" s="386" t="s">
        <v>737</v>
      </c>
      <c r="B551" s="358" t="s">
        <v>738</v>
      </c>
      <c r="C551" s="356" t="s">
        <v>19</v>
      </c>
      <c r="D551" s="385">
        <v>80</v>
      </c>
      <c r="E551" s="353">
        <v>5000</v>
      </c>
      <c r="F551" s="353">
        <f t="shared" si="190"/>
        <v>400000</v>
      </c>
      <c r="G551" s="387">
        <v>0</v>
      </c>
      <c r="H551" s="349">
        <f t="shared" si="191"/>
        <v>0</v>
      </c>
      <c r="I551" s="1285">
        <f>IFERROR(VLOOKUP(A551,'valores unit indexados'!$A$14:$O$197,15,FALSE),0)</f>
        <v>0</v>
      </c>
      <c r="J551" s="349">
        <f t="shared" si="187"/>
        <v>0</v>
      </c>
      <c r="K551"/>
      <c r="L551" s="386" t="str">
        <f t="shared" si="185"/>
        <v>I. 5,2</v>
      </c>
      <c r="M551" s="358" t="str">
        <f t="shared" si="186"/>
        <v>Suministro y aplicación de fragua color tabaco</v>
      </c>
      <c r="N551" s="356" t="str">
        <f t="shared" si="200"/>
        <v>M2</v>
      </c>
      <c r="O551" s="385">
        <f t="shared" si="200"/>
        <v>80</v>
      </c>
      <c r="P551" s="423">
        <f>VLOOKUP(L551,'selección precios unitario'!$A$5:$I$418,9,FALSE)</f>
        <v>5000</v>
      </c>
      <c r="Q551" s="423">
        <f t="shared" si="201"/>
        <v>400000</v>
      </c>
    </row>
    <row r="552" spans="1:60" ht="26.25" outlineLevel="1" thickBot="1" x14ac:dyDescent="0.3">
      <c r="A552" s="354" t="s">
        <v>739</v>
      </c>
      <c r="B552" s="358" t="s">
        <v>1279</v>
      </c>
      <c r="C552" s="356" t="s">
        <v>19</v>
      </c>
      <c r="D552" s="385">
        <v>80</v>
      </c>
      <c r="E552" s="353">
        <v>20000</v>
      </c>
      <c r="F552" s="353">
        <f t="shared" si="190"/>
        <v>1600000</v>
      </c>
      <c r="G552" s="387">
        <v>0</v>
      </c>
      <c r="H552" s="349">
        <f t="shared" si="191"/>
        <v>0</v>
      </c>
      <c r="I552" s="1285">
        <f>IFERROR(VLOOKUP(A552,'valores unit indexados'!$A$14:$O$197,15,FALSE),0)</f>
        <v>17652</v>
      </c>
      <c r="J552" s="349">
        <f t="shared" si="187"/>
        <v>1412160</v>
      </c>
      <c r="K552"/>
      <c r="L552" s="354" t="str">
        <f t="shared" si="185"/>
        <v>I. 5,3</v>
      </c>
      <c r="M552" s="358" t="str">
        <f t="shared" si="186"/>
        <v>Suministro y aplicación de hidrófugo-(protección de penetración de agua sobre piedra)</v>
      </c>
      <c r="N552" s="356" t="str">
        <f t="shared" si="200"/>
        <v>M2</v>
      </c>
      <c r="O552" s="385">
        <f t="shared" si="200"/>
        <v>80</v>
      </c>
      <c r="P552" s="423">
        <f>VLOOKUP(L552,'selección precios unitario'!$A$5:$I$418,9,FALSE)</f>
        <v>18826</v>
      </c>
      <c r="Q552" s="423">
        <f t="shared" si="201"/>
        <v>1506080</v>
      </c>
    </row>
    <row r="553" spans="1:60" ht="15.75" thickBot="1" x14ac:dyDescent="0.3">
      <c r="A553"/>
      <c r="B553"/>
      <c r="C553" s="1712" t="s">
        <v>196</v>
      </c>
      <c r="D553" s="1775"/>
      <c r="E553" s="1714"/>
      <c r="F553" s="1715">
        <f>SUM(F511:F552)</f>
        <v>122634000</v>
      </c>
      <c r="G553" s="1716"/>
      <c r="H553" s="1715">
        <f>SUM(H511:H552)</f>
        <v>83525445</v>
      </c>
      <c r="I553" s="1717"/>
      <c r="J553" s="1722">
        <f>SUM(J511:J552)</f>
        <v>33835333</v>
      </c>
      <c r="K553"/>
      <c r="L553" s="1777"/>
      <c r="M553" s="1721"/>
      <c r="N553" s="1839" t="str">
        <f t="shared" ref="N553:N558" si="202">+C553</f>
        <v>COSTO DIRECTO</v>
      </c>
      <c r="O553" s="1840"/>
      <c r="P553" s="1841"/>
      <c r="Q553" s="1722">
        <f>IF(C13="x",SUM(Q510:Q552),0)</f>
        <v>102929608</v>
      </c>
    </row>
    <row r="554" spans="1:60" ht="15" x14ac:dyDescent="0.25">
      <c r="A554"/>
      <c r="B554"/>
      <c r="C554" s="1773" t="s">
        <v>197</v>
      </c>
      <c r="D554" s="1774"/>
      <c r="E554" s="1708">
        <v>0.25</v>
      </c>
      <c r="F554" s="1709">
        <f>+F$553*E554</f>
        <v>30658500</v>
      </c>
      <c r="G554" s="1708">
        <v>0.24</v>
      </c>
      <c r="H554" s="1709">
        <f>+H$553*G554</f>
        <v>20046106.800000001</v>
      </c>
      <c r="I554" s="1708">
        <v>0</v>
      </c>
      <c r="J554" s="1709">
        <f>+J$553*I554</f>
        <v>0</v>
      </c>
      <c r="K554"/>
      <c r="L554" s="1298"/>
      <c r="M554" s="1645"/>
      <c r="N554" s="1845" t="str">
        <f t="shared" si="202"/>
        <v xml:space="preserve">ADMINISTRACION </v>
      </c>
      <c r="O554" s="1846"/>
      <c r="P554" s="1710">
        <f t="shared" ref="P554:P557" si="203">P504</f>
        <v>0.185</v>
      </c>
      <c r="Q554" s="1711">
        <f>ROUND(P554*$Q$553,0)</f>
        <v>19041977</v>
      </c>
    </row>
    <row r="555" spans="1:60" ht="15" x14ac:dyDescent="0.25">
      <c r="A555"/>
      <c r="B555"/>
      <c r="C555" s="1769" t="s">
        <v>198</v>
      </c>
      <c r="D555" s="1770"/>
      <c r="E555" s="375">
        <v>0.05</v>
      </c>
      <c r="F555" s="376">
        <f t="shared" ref="F555:H556" si="204">+F$553*E555</f>
        <v>6131700</v>
      </c>
      <c r="G555" s="375">
        <v>0.01</v>
      </c>
      <c r="H555" s="376">
        <f t="shared" si="204"/>
        <v>835254.45000000007</v>
      </c>
      <c r="I555" s="375">
        <v>0</v>
      </c>
      <c r="J555" s="376">
        <f t="shared" ref="J555:J556" si="205">+J$553*I555</f>
        <v>0</v>
      </c>
      <c r="K555"/>
      <c r="L555" s="1298"/>
      <c r="M555" s="1645"/>
      <c r="N555" s="1847" t="str">
        <f t="shared" si="202"/>
        <v xml:space="preserve">IMPREVISTO </v>
      </c>
      <c r="O555" s="1848"/>
      <c r="P555" s="1296">
        <f t="shared" si="203"/>
        <v>0.02</v>
      </c>
      <c r="Q555" s="1711">
        <f t="shared" ref="Q555:Q556" si="206">ROUND(P555*$Q$553,0)</f>
        <v>2058592</v>
      </c>
    </row>
    <row r="556" spans="1:60" ht="15" x14ac:dyDescent="0.25">
      <c r="A556"/>
      <c r="B556"/>
      <c r="C556" s="1769" t="s">
        <v>199</v>
      </c>
      <c r="D556" s="1770"/>
      <c r="E556" s="375">
        <v>0.02</v>
      </c>
      <c r="F556" s="376">
        <f t="shared" si="204"/>
        <v>2452680</v>
      </c>
      <c r="G556" s="375">
        <v>0.05</v>
      </c>
      <c r="H556" s="376">
        <f t="shared" si="204"/>
        <v>4176272.25</v>
      </c>
      <c r="I556" s="375">
        <v>0</v>
      </c>
      <c r="J556" s="376">
        <f t="shared" si="205"/>
        <v>0</v>
      </c>
      <c r="K556"/>
      <c r="L556" s="1298"/>
      <c r="M556" s="1645"/>
      <c r="N556" s="1847" t="str">
        <f t="shared" si="202"/>
        <v>UTILIDAD</v>
      </c>
      <c r="O556" s="1848"/>
      <c r="P556" s="1296">
        <f t="shared" si="203"/>
        <v>4.4999999999999998E-2</v>
      </c>
      <c r="Q556" s="1711">
        <f t="shared" si="206"/>
        <v>4631832</v>
      </c>
    </row>
    <row r="557" spans="1:60" ht="15.75" thickBot="1" x14ac:dyDescent="0.3">
      <c r="A557"/>
      <c r="B557"/>
      <c r="C557" s="1771" t="s">
        <v>200</v>
      </c>
      <c r="D557" s="1772"/>
      <c r="E557" s="1725">
        <v>0.19</v>
      </c>
      <c r="F557" s="1726">
        <f>+F556*E557</f>
        <v>466009.2</v>
      </c>
      <c r="G557" s="1725">
        <v>0.19</v>
      </c>
      <c r="H557" s="1726">
        <f>+H556*G557</f>
        <v>793491.72750000004</v>
      </c>
      <c r="I557" s="1725">
        <v>0</v>
      </c>
      <c r="J557" s="1726">
        <f>+J556*I557</f>
        <v>0</v>
      </c>
      <c r="K557"/>
      <c r="L557" s="1298"/>
      <c r="M557" s="1645"/>
      <c r="N557" s="1849" t="str">
        <f t="shared" si="202"/>
        <v xml:space="preserve">IVA SOBRE UTILIDAD </v>
      </c>
      <c r="O557" s="1850"/>
      <c r="P557" s="1727">
        <f t="shared" si="203"/>
        <v>0.19</v>
      </c>
      <c r="Q557" s="1711">
        <f>ROUND(P557*$Q$556,0)</f>
        <v>880048</v>
      </c>
    </row>
    <row r="558" spans="1:60" ht="15.75" thickBot="1" x14ac:dyDescent="0.3">
      <c r="A558"/>
      <c r="B558"/>
      <c r="C558" s="1728" t="s">
        <v>201</v>
      </c>
      <c r="D558" s="1729"/>
      <c r="E558" s="1730"/>
      <c r="F558" s="1731">
        <f>SUM(F553:F557)</f>
        <v>162342889.19999999</v>
      </c>
      <c r="G558" s="1730"/>
      <c r="H558" s="1731">
        <f>SUM(H553:H557)</f>
        <v>109376570.22750001</v>
      </c>
      <c r="I558" s="1732"/>
      <c r="J558" s="1779">
        <f>SUM(J553:J557)</f>
        <v>33835333</v>
      </c>
      <c r="K558"/>
      <c r="L558" s="1777"/>
      <c r="M558" s="1721"/>
      <c r="N558" s="1842" t="str">
        <f t="shared" si="202"/>
        <v xml:space="preserve">VALOR TOTAL INCLUIDO AIU E IVA </v>
      </c>
      <c r="O558" s="1843"/>
      <c r="P558" s="1844"/>
      <c r="Q558" s="1733">
        <f>SUM(Q553:Q557)</f>
        <v>129542057</v>
      </c>
    </row>
    <row r="559" spans="1:60" ht="15.75" thickBot="1" x14ac:dyDescent="0.3">
      <c r="K559"/>
      <c r="M559"/>
      <c r="N559"/>
      <c r="O559"/>
      <c r="P559"/>
      <c r="Q559"/>
    </row>
    <row r="560" spans="1:60" ht="15.75" thickBot="1" x14ac:dyDescent="0.3">
      <c r="A560" s="1801" t="s">
        <v>741</v>
      </c>
      <c r="B560" s="1802" t="s">
        <v>1526</v>
      </c>
      <c r="C560" s="1802"/>
      <c r="D560" s="1802"/>
      <c r="E560" s="1802"/>
      <c r="F560" s="1802"/>
      <c r="G560" s="1802"/>
      <c r="H560" s="1802"/>
      <c r="I560" s="1802"/>
      <c r="J560" s="1818"/>
      <c r="K560"/>
      <c r="L560" s="1819" t="str">
        <f t="shared" ref="L560:M565" si="207">+A560</f>
        <v>J</v>
      </c>
      <c r="M560" s="1853" t="str">
        <f>+B560</f>
        <v>Palacio de Justicia de Tuluá</v>
      </c>
      <c r="N560" s="1854"/>
      <c r="O560" s="1854"/>
      <c r="P560" s="1854"/>
      <c r="Q560" s="1855"/>
    </row>
    <row r="561" spans="1:60" s="1533" customFormat="1" ht="24.75" customHeight="1" outlineLevel="1" x14ac:dyDescent="0.25">
      <c r="A561" s="1527" t="s">
        <v>743</v>
      </c>
      <c r="B561" s="1528" t="s">
        <v>744</v>
      </c>
      <c r="C561" s="1527"/>
      <c r="D561" s="1529"/>
      <c r="E561" s="1530"/>
      <c r="F561" s="1531"/>
      <c r="G561" s="1530"/>
      <c r="H561" s="1531"/>
      <c r="I561" s="1532"/>
      <c r="J561" s="1527"/>
      <c r="K561"/>
      <c r="L561" s="1795" t="str">
        <f t="shared" si="207"/>
        <v>J. 1</v>
      </c>
      <c r="M561" s="1796" t="str">
        <f t="shared" si="207"/>
        <v>Reparación de cubierta en teja de barro</v>
      </c>
      <c r="N561" s="1795"/>
      <c r="O561" s="1797"/>
      <c r="P561" s="1799"/>
      <c r="Q561" s="1799"/>
      <c r="R561" s="1544"/>
      <c r="S561" s="1544"/>
      <c r="T561" s="1544"/>
      <c r="U561" s="1544"/>
      <c r="V561" s="1544"/>
      <c r="W561" s="1544"/>
      <c r="X561" s="1544"/>
      <c r="Y561" s="1544"/>
      <c r="Z561" s="1544"/>
      <c r="AA561" s="1544"/>
      <c r="AB561" s="1544"/>
      <c r="AC561" s="1544"/>
      <c r="AD561" s="1544"/>
      <c r="AE561" s="1544"/>
      <c r="AF561" s="1544"/>
      <c r="AG561" s="1544"/>
      <c r="AH561" s="1544"/>
      <c r="AI561" s="1544"/>
      <c r="AJ561" s="1544"/>
      <c r="AK561" s="1544"/>
      <c r="AL561" s="1544"/>
      <c r="AM561" s="1544"/>
      <c r="AN561" s="1544"/>
      <c r="AO561" s="1544"/>
      <c r="AP561" s="1544"/>
      <c r="AQ561" s="1544"/>
      <c r="AR561" s="1544"/>
      <c r="AS561" s="1544"/>
      <c r="AT561" s="1544"/>
      <c r="AU561" s="1544"/>
      <c r="AV561" s="1544"/>
      <c r="AW561" s="1544"/>
      <c r="AX561" s="1544"/>
      <c r="AY561" s="1544"/>
      <c r="AZ561" s="1544"/>
      <c r="BA561" s="1544"/>
      <c r="BB561" s="1544"/>
      <c r="BC561" s="1544"/>
      <c r="BD561" s="1544"/>
      <c r="BE561" s="1544"/>
      <c r="BF561" s="1544"/>
      <c r="BG561" s="1544"/>
      <c r="BH561" s="1544"/>
    </row>
    <row r="562" spans="1:60" ht="38.25" outlineLevel="1" x14ac:dyDescent="0.25">
      <c r="A562" s="386" t="s">
        <v>745</v>
      </c>
      <c r="B562" s="358" t="s">
        <v>746</v>
      </c>
      <c r="C562" s="389" t="s">
        <v>19</v>
      </c>
      <c r="D562" s="385">
        <v>156</v>
      </c>
      <c r="E562" s="353">
        <v>145000</v>
      </c>
      <c r="F562" s="353">
        <v>22620000</v>
      </c>
      <c r="G562" s="349">
        <v>64150</v>
      </c>
      <c r="H562" s="349">
        <v>10007400</v>
      </c>
      <c r="I562" s="1285">
        <f>IFERROR(VLOOKUP(A562,'valores unit indexados'!$A$14:$O$197,15,FALSE),0)</f>
        <v>0</v>
      </c>
      <c r="J562" s="349">
        <v>0</v>
      </c>
      <c r="K562"/>
      <c r="L562" s="386" t="str">
        <f t="shared" si="207"/>
        <v>J. 1,1</v>
      </c>
      <c r="M562" s="358" t="str">
        <f t="shared" si="207"/>
        <v>mantenimiento general de cubierta tipo colonial, incluye cambio de tejas en mal estado, reacomodación y atraques nuevos para el área general de cubierta, incluir el retiro de escombros. </v>
      </c>
      <c r="N562" s="389" t="str">
        <f t="shared" ref="N562:O565" si="208">+C562</f>
        <v>M2</v>
      </c>
      <c r="O562" s="385">
        <f t="shared" si="208"/>
        <v>156</v>
      </c>
      <c r="P562" s="423">
        <f>VLOOKUP(L562,'selección precios unitario'!$A$5:$I$418,9,FALSE)</f>
        <v>104575</v>
      </c>
      <c r="Q562" s="423">
        <f t="shared" ref="Q562:Q565" si="209">ROUND(P562*O562,0)</f>
        <v>16313700</v>
      </c>
    </row>
    <row r="563" spans="1:60" ht="15" outlineLevel="1" x14ac:dyDescent="0.25">
      <c r="A563" s="386" t="s">
        <v>747</v>
      </c>
      <c r="B563" s="358" t="s">
        <v>748</v>
      </c>
      <c r="C563" s="356" t="s">
        <v>19</v>
      </c>
      <c r="D563" s="385">
        <v>24</v>
      </c>
      <c r="E563" s="353">
        <v>45000</v>
      </c>
      <c r="F563" s="353">
        <v>1080000</v>
      </c>
      <c r="G563" s="349">
        <v>36340</v>
      </c>
      <c r="H563" s="349">
        <v>872160</v>
      </c>
      <c r="I563" s="1285">
        <f>IFERROR(VLOOKUP(A563,'valores unit indexados'!$A$14:$O$197,15,FALSE),0)</f>
        <v>0</v>
      </c>
      <c r="J563" s="349">
        <v>0</v>
      </c>
      <c r="K563"/>
      <c r="L563" s="386" t="str">
        <f t="shared" si="207"/>
        <v>J. 1,2</v>
      </c>
      <c r="M563" s="358" t="str">
        <f t="shared" si="207"/>
        <v>Suministro e instalación de teja de barro</v>
      </c>
      <c r="N563" s="356" t="str">
        <f t="shared" si="208"/>
        <v>M2</v>
      </c>
      <c r="O563" s="385">
        <f t="shared" si="208"/>
        <v>24</v>
      </c>
      <c r="P563" s="423">
        <f>VLOOKUP(L563,'selección precios unitario'!$A$5:$I$418,9,FALSE)</f>
        <v>40670</v>
      </c>
      <c r="Q563" s="423">
        <f t="shared" si="209"/>
        <v>976080</v>
      </c>
    </row>
    <row r="564" spans="1:60" ht="25.5" outlineLevel="1" x14ac:dyDescent="0.25">
      <c r="A564" s="386" t="s">
        <v>749</v>
      </c>
      <c r="B564" s="358" t="s">
        <v>61</v>
      </c>
      <c r="C564" s="356" t="s">
        <v>14</v>
      </c>
      <c r="D564" s="385">
        <v>24</v>
      </c>
      <c r="E564" s="353">
        <v>46000</v>
      </c>
      <c r="F564" s="353">
        <v>1104000</v>
      </c>
      <c r="G564" s="349">
        <v>57837</v>
      </c>
      <c r="H564" s="349">
        <v>1388088</v>
      </c>
      <c r="I564" s="1285">
        <f>IFERROR(VLOOKUP(A564,'valores unit indexados'!$A$14:$O$197,15,FALSE),0)</f>
        <v>0</v>
      </c>
      <c r="J564" s="349">
        <v>0</v>
      </c>
      <c r="K564"/>
      <c r="L564" s="386" t="str">
        <f t="shared" si="207"/>
        <v>J. 1,3</v>
      </c>
      <c r="M564" s="358" t="str">
        <f t="shared" si="207"/>
        <v>Suministro e instalación de Solapa en lamina galvanizada Cal 24, incluye sellador sobre muro</v>
      </c>
      <c r="N564" s="356" t="str">
        <f t="shared" si="208"/>
        <v>ML</v>
      </c>
      <c r="O564" s="385">
        <f t="shared" si="208"/>
        <v>24</v>
      </c>
      <c r="P564" s="423">
        <f>VLOOKUP(L564,'selección precios unitario'!$A$5:$I$418,9,FALSE)</f>
        <v>51919</v>
      </c>
      <c r="Q564" s="423">
        <f t="shared" si="209"/>
        <v>1246056</v>
      </c>
    </row>
    <row r="565" spans="1:60" ht="15.75" outlineLevel="1" thickBot="1" x14ac:dyDescent="0.3">
      <c r="A565" s="386" t="s">
        <v>752</v>
      </c>
      <c r="B565" s="406" t="s">
        <v>195</v>
      </c>
      <c r="C565" s="394" t="s">
        <v>19</v>
      </c>
      <c r="D565" s="385">
        <v>156</v>
      </c>
      <c r="E565" s="353">
        <v>7000</v>
      </c>
      <c r="F565" s="353">
        <v>1092000</v>
      </c>
      <c r="G565" s="349">
        <v>4200</v>
      </c>
      <c r="H565" s="349">
        <v>655200</v>
      </c>
      <c r="I565" s="1285">
        <f>IFERROR(VLOOKUP(A565,'valores unit indexados'!$A$14:$O$197,15,FALSE),0)</f>
        <v>5300</v>
      </c>
      <c r="J565" s="349">
        <v>826800</v>
      </c>
      <c r="K565"/>
      <c r="L565" s="386" t="str">
        <f t="shared" si="207"/>
        <v>J. 1,4</v>
      </c>
      <c r="M565" s="406" t="str">
        <f t="shared" si="207"/>
        <v>Aseo general.</v>
      </c>
      <c r="N565" s="394" t="str">
        <f t="shared" si="208"/>
        <v>M2</v>
      </c>
      <c r="O565" s="385">
        <f t="shared" si="208"/>
        <v>156</v>
      </c>
      <c r="P565" s="423">
        <f>VLOOKUP(L565,'selección precios unitario'!$A$5:$I$418,9,FALSE)</f>
        <v>5500</v>
      </c>
      <c r="Q565" s="423">
        <f t="shared" si="209"/>
        <v>858000</v>
      </c>
    </row>
    <row r="566" spans="1:60" ht="15.75" thickBot="1" x14ac:dyDescent="0.3">
      <c r="A566"/>
      <c r="B566"/>
      <c r="C566" s="1712" t="s">
        <v>196</v>
      </c>
      <c r="D566" s="1775"/>
      <c r="E566" s="1714"/>
      <c r="F566" s="1715">
        <f>SUM(F562:F565)</f>
        <v>25896000</v>
      </c>
      <c r="G566" s="1716"/>
      <c r="H566" s="1715">
        <f>SUM(H562:H565)</f>
        <v>12922848</v>
      </c>
      <c r="I566" s="1717"/>
      <c r="J566" s="1722">
        <f>SUM(J562:J565)</f>
        <v>826800</v>
      </c>
      <c r="K566"/>
      <c r="L566" s="1777"/>
      <c r="M566" s="1721"/>
      <c r="N566" s="1839" t="str">
        <f t="shared" ref="N566:N571" si="210">+C566</f>
        <v>COSTO DIRECTO</v>
      </c>
      <c r="O566" s="1840"/>
      <c r="P566" s="1841"/>
      <c r="Q566" s="1722">
        <f>SUM(Q560:Q565)</f>
        <v>19393836</v>
      </c>
    </row>
    <row r="567" spans="1:60" ht="15" x14ac:dyDescent="0.25">
      <c r="A567"/>
      <c r="B567"/>
      <c r="C567" s="1706" t="s">
        <v>197</v>
      </c>
      <c r="D567" s="1707"/>
      <c r="E567" s="1708">
        <v>0.35</v>
      </c>
      <c r="F567" s="1709">
        <f>ROUND(F$566*E567,0)</f>
        <v>9063600</v>
      </c>
      <c r="G567" s="1708">
        <v>0.24</v>
      </c>
      <c r="H567" s="1709">
        <f>ROUND(H$566*G567,0)</f>
        <v>3101484</v>
      </c>
      <c r="I567" s="1708">
        <v>0</v>
      </c>
      <c r="J567" s="1709">
        <f>+J$566*I567</f>
        <v>0</v>
      </c>
      <c r="K567"/>
      <c r="L567" s="1298"/>
      <c r="M567" s="1645"/>
      <c r="N567" s="1845" t="str">
        <f t="shared" si="210"/>
        <v xml:space="preserve">ADMINISTRACION </v>
      </c>
      <c r="O567" s="1846"/>
      <c r="P567" s="1710">
        <f t="shared" ref="P567:P570" si="211">P554</f>
        <v>0.185</v>
      </c>
      <c r="Q567" s="1711">
        <f>ROUND(P567*$Q$566,0)</f>
        <v>3587860</v>
      </c>
    </row>
    <row r="568" spans="1:60" ht="15" x14ac:dyDescent="0.25">
      <c r="A568"/>
      <c r="B568"/>
      <c r="C568" s="1671" t="s">
        <v>198</v>
      </c>
      <c r="D568" s="1672"/>
      <c r="E568" s="375">
        <v>0.02</v>
      </c>
      <c r="F568" s="376">
        <f>ROUND(F$566*E568,0)</f>
        <v>517920</v>
      </c>
      <c r="G568" s="375">
        <v>0.01</v>
      </c>
      <c r="H568" s="376">
        <f>ROUND(H$566*G568,0)</f>
        <v>129228</v>
      </c>
      <c r="I568" s="375">
        <v>0</v>
      </c>
      <c r="J568" s="376">
        <f t="shared" ref="J568:J569" si="212">+J$566*I568</f>
        <v>0</v>
      </c>
      <c r="K568"/>
      <c r="L568" s="1298"/>
      <c r="M568" s="1645"/>
      <c r="N568" s="1847" t="str">
        <f t="shared" si="210"/>
        <v xml:space="preserve">IMPREVISTO </v>
      </c>
      <c r="O568" s="1848"/>
      <c r="P568" s="1296">
        <f t="shared" si="211"/>
        <v>0.02</v>
      </c>
      <c r="Q568" s="1711">
        <f t="shared" ref="Q568:Q569" si="213">ROUND(P568*$Q$566,0)</f>
        <v>387877</v>
      </c>
    </row>
    <row r="569" spans="1:60" ht="15" x14ac:dyDescent="0.25">
      <c r="A569"/>
      <c r="B569"/>
      <c r="C569" s="1671" t="s">
        <v>199</v>
      </c>
      <c r="D569" s="1672"/>
      <c r="E569" s="375">
        <v>0.05</v>
      </c>
      <c r="F569" s="376">
        <f>ROUND(F$566*E569,0)</f>
        <v>1294800</v>
      </c>
      <c r="G569" s="375">
        <v>0.05</v>
      </c>
      <c r="H569" s="376">
        <f>ROUND(H$566*G569,0)</f>
        <v>646142</v>
      </c>
      <c r="I569" s="375">
        <v>0</v>
      </c>
      <c r="J569" s="376">
        <f t="shared" si="212"/>
        <v>0</v>
      </c>
      <c r="K569"/>
      <c r="L569" s="1298"/>
      <c r="M569" s="1645"/>
      <c r="N569" s="1847" t="str">
        <f t="shared" si="210"/>
        <v>UTILIDAD</v>
      </c>
      <c r="O569" s="1848"/>
      <c r="P569" s="1296">
        <f t="shared" si="211"/>
        <v>4.4999999999999998E-2</v>
      </c>
      <c r="Q569" s="1711">
        <f t="shared" si="213"/>
        <v>872723</v>
      </c>
    </row>
    <row r="570" spans="1:60" ht="15.75" thickBot="1" x14ac:dyDescent="0.3">
      <c r="A570"/>
      <c r="B570"/>
      <c r="C570" s="1723" t="s">
        <v>200</v>
      </c>
      <c r="D570" s="1724"/>
      <c r="E570" s="1725">
        <v>0.19</v>
      </c>
      <c r="F570" s="1726">
        <f>ROUND(F$569*E570,0)</f>
        <v>246012</v>
      </c>
      <c r="G570" s="1725">
        <v>0.19</v>
      </c>
      <c r="H570" s="1726">
        <f>ROUND(H$569*G570,0)</f>
        <v>122767</v>
      </c>
      <c r="I570" s="1725">
        <v>0</v>
      </c>
      <c r="J570" s="1726">
        <f>+J569*I570</f>
        <v>0</v>
      </c>
      <c r="K570"/>
      <c r="L570" s="1298"/>
      <c r="M570" s="1645"/>
      <c r="N570" s="1849" t="str">
        <f t="shared" si="210"/>
        <v xml:space="preserve">IVA SOBRE UTILIDAD </v>
      </c>
      <c r="O570" s="1850"/>
      <c r="P570" s="1727">
        <f t="shared" si="211"/>
        <v>0.19</v>
      </c>
      <c r="Q570" s="1711">
        <f>ROUND(P570*$Q$569,0)</f>
        <v>165817</v>
      </c>
    </row>
    <row r="571" spans="1:60" ht="15.75" thickBot="1" x14ac:dyDescent="0.3">
      <c r="A571"/>
      <c r="B571"/>
      <c r="C571" s="1728" t="s">
        <v>201</v>
      </c>
      <c r="D571" s="1729"/>
      <c r="E571" s="1730"/>
      <c r="F571" s="1731">
        <f>SUM(F566:F570)</f>
        <v>37018332</v>
      </c>
      <c r="G571" s="1730"/>
      <c r="H571" s="1731">
        <f>SUM(H566:H570)</f>
        <v>16922469</v>
      </c>
      <c r="I571" s="1732"/>
      <c r="J571" s="1779">
        <f>SUM(J566:J570)</f>
        <v>826800</v>
      </c>
      <c r="K571"/>
      <c r="L571" s="1777"/>
      <c r="M571" s="1721"/>
      <c r="N571" s="1842" t="str">
        <f t="shared" si="210"/>
        <v xml:space="preserve">VALOR TOTAL INCLUIDO AIU E IVA </v>
      </c>
      <c r="O571" s="1843"/>
      <c r="P571" s="1844"/>
      <c r="Q571" s="1733">
        <f>SUM(Q566:Q570)</f>
        <v>24408113</v>
      </c>
    </row>
    <row r="572" spans="1:60" ht="15.75" thickBot="1" x14ac:dyDescent="0.3">
      <c r="A572" s="395"/>
      <c r="B572" s="395"/>
      <c r="C572" s="395"/>
      <c r="D572" s="395"/>
      <c r="I572" s="395"/>
      <c r="J572" s="395"/>
      <c r="K572"/>
    </row>
    <row r="573" spans="1:60" ht="15.75" thickBot="1" x14ac:dyDescent="0.3">
      <c r="A573" s="395"/>
      <c r="B573" s="395"/>
      <c r="C573" s="1745" t="s">
        <v>1627</v>
      </c>
      <c r="D573" s="1738"/>
      <c r="E573" s="1739"/>
      <c r="F573" s="1740">
        <f>+F571+F558+F508+F468+F431+F390+F311+F231+F156+F137</f>
        <v>2528860219.007</v>
      </c>
      <c r="G573" s="1739"/>
      <c r="H573" s="1740">
        <f>+H571+H558+H508+H468+H431+H390+H311+H231+H156+H137</f>
        <v>1506560722.2732899</v>
      </c>
      <c r="I573" s="1741"/>
      <c r="J573" s="1778">
        <f>+J571+J558+J508+J468+J431+J390+J311+J231+J156+J137</f>
        <v>559575867.38</v>
      </c>
      <c r="K573"/>
      <c r="L573" s="1745" t="s">
        <v>1627</v>
      </c>
      <c r="M573" s="1784"/>
      <c r="N573" s="1785"/>
      <c r="O573" s="1785"/>
      <c r="P573" s="1785"/>
      <c r="Q573" s="1786">
        <f>+Q571+Q558+Q508+Q468+Q431+Q390+Q311+Q231+Q156+Q137</f>
        <v>1920953385</v>
      </c>
    </row>
    <row r="574" spans="1:60" ht="15" x14ac:dyDescent="0.25">
      <c r="J574"/>
      <c r="K574"/>
      <c r="L574"/>
      <c r="M574"/>
      <c r="N574"/>
      <c r="O574"/>
      <c r="P574"/>
      <c r="Q574"/>
    </row>
    <row r="575" spans="1:60" ht="15" x14ac:dyDescent="0.25">
      <c r="C575"/>
      <c r="D575"/>
      <c r="E575"/>
      <c r="F575"/>
      <c r="G575"/>
      <c r="H575"/>
      <c r="I575"/>
      <c r="J575"/>
      <c r="K575"/>
      <c r="L575"/>
      <c r="M575"/>
      <c r="N575"/>
      <c r="O575"/>
      <c r="P575"/>
      <c r="Q575"/>
    </row>
    <row r="576" spans="1:60" ht="15" x14ac:dyDescent="0.25">
      <c r="C576"/>
      <c r="D576"/>
      <c r="E576"/>
      <c r="F576"/>
      <c r="G576"/>
      <c r="H576"/>
      <c r="I576"/>
      <c r="J576"/>
      <c r="K576"/>
      <c r="L576"/>
      <c r="M576"/>
      <c r="N576"/>
      <c r="O576"/>
      <c r="P576"/>
      <c r="Q576"/>
    </row>
    <row r="577" spans="2:20" ht="15" x14ac:dyDescent="0.25">
      <c r="C577"/>
      <c r="D577"/>
      <c r="E577"/>
      <c r="F577"/>
      <c r="G577"/>
      <c r="H577"/>
      <c r="I577"/>
      <c r="J577"/>
      <c r="K577"/>
      <c r="L577"/>
      <c r="M577"/>
      <c r="N577"/>
      <c r="O577"/>
      <c r="P577"/>
      <c r="Q577"/>
    </row>
    <row r="578" spans="2:20" ht="15" x14ac:dyDescent="0.25">
      <c r="C578"/>
      <c r="D578"/>
      <c r="E578"/>
      <c r="F578"/>
      <c r="G578"/>
      <c r="H578"/>
      <c r="I578"/>
      <c r="J578"/>
      <c r="K578"/>
      <c r="L578"/>
      <c r="M578"/>
      <c r="N578"/>
      <c r="O578"/>
      <c r="P578"/>
      <c r="Q578"/>
    </row>
    <row r="579" spans="2:20" ht="15" x14ac:dyDescent="0.25">
      <c r="C579"/>
      <c r="D579"/>
      <c r="E579"/>
      <c r="F579"/>
      <c r="G579"/>
      <c r="H579"/>
      <c r="I579"/>
      <c r="J579"/>
      <c r="K579"/>
      <c r="L579"/>
      <c r="M579"/>
      <c r="N579"/>
      <c r="O579"/>
      <c r="P579"/>
      <c r="Q579"/>
    </row>
    <row r="580" spans="2:20" ht="15" x14ac:dyDescent="0.25">
      <c r="C580"/>
      <c r="D580"/>
      <c r="E580"/>
      <c r="F580"/>
      <c r="G580"/>
      <c r="H580"/>
      <c r="I580"/>
      <c r="J580"/>
      <c r="K580"/>
      <c r="L580"/>
      <c r="M580"/>
      <c r="N580"/>
      <c r="O580"/>
      <c r="P580"/>
      <c r="Q580"/>
    </row>
    <row r="581" spans="2:20" ht="15" x14ac:dyDescent="0.25">
      <c r="C581"/>
      <c r="D581"/>
      <c r="E581"/>
      <c r="F581"/>
      <c r="G581"/>
      <c r="H581"/>
      <c r="I581"/>
      <c r="J581"/>
      <c r="K581"/>
      <c r="L581"/>
      <c r="M581"/>
      <c r="N581"/>
      <c r="O581"/>
      <c r="P581"/>
      <c r="Q581"/>
    </row>
    <row r="582" spans="2:20" ht="15" x14ac:dyDescent="0.25">
      <c r="C582"/>
      <c r="D582"/>
      <c r="E582"/>
      <c r="F582"/>
      <c r="G582"/>
      <c r="H582"/>
      <c r="I582"/>
      <c r="J582"/>
      <c r="K582"/>
      <c r="L582"/>
      <c r="M582"/>
      <c r="N582"/>
      <c r="O582"/>
      <c r="P582"/>
      <c r="Q582"/>
    </row>
    <row r="583" spans="2:20" ht="15" x14ac:dyDescent="0.25">
      <c r="C583"/>
      <c r="D583"/>
      <c r="E583"/>
      <c r="F583"/>
      <c r="G583"/>
      <c r="H583"/>
      <c r="I583"/>
      <c r="J583"/>
      <c r="K583"/>
      <c r="L583"/>
      <c r="M583"/>
      <c r="N583"/>
      <c r="O583"/>
      <c r="P583"/>
      <c r="Q583"/>
    </row>
    <row r="584" spans="2:20" ht="15" x14ac:dyDescent="0.25">
      <c r="C584"/>
      <c r="D584"/>
      <c r="E584"/>
      <c r="F584"/>
      <c r="G584"/>
      <c r="H584"/>
      <c r="I584"/>
      <c r="J584"/>
      <c r="K584"/>
      <c r="L584"/>
      <c r="M584"/>
      <c r="N584"/>
      <c r="O584"/>
      <c r="P584"/>
      <c r="Q584"/>
    </row>
    <row r="585" spans="2:20" ht="15" x14ac:dyDescent="0.25">
      <c r="C585"/>
      <c r="D585"/>
      <c r="E585"/>
      <c r="F585"/>
      <c r="G585"/>
      <c r="H585"/>
      <c r="I585"/>
      <c r="J585"/>
      <c r="K585"/>
      <c r="L585"/>
      <c r="M585"/>
      <c r="N585"/>
      <c r="O585"/>
      <c r="P585"/>
      <c r="Q585"/>
    </row>
    <row r="586" spans="2:20" ht="15" x14ac:dyDescent="0.25">
      <c r="C586"/>
      <c r="D586"/>
    </row>
    <row r="588" spans="2:20" x14ac:dyDescent="0.2">
      <c r="B588" s="425" t="s">
        <v>809</v>
      </c>
    </row>
    <row r="589" spans="2:20" ht="15.75" x14ac:dyDescent="0.25">
      <c r="B589" s="1865" t="s">
        <v>1544</v>
      </c>
      <c r="C589" s="1865"/>
      <c r="D589" s="1865"/>
      <c r="E589" s="1865"/>
      <c r="N589"/>
      <c r="O589"/>
      <c r="P589"/>
      <c r="Q589"/>
      <c r="R589" s="1548"/>
      <c r="S589" s="1548"/>
      <c r="T589" s="1548"/>
    </row>
    <row r="590" spans="2:20" ht="15.75" x14ac:dyDescent="0.25">
      <c r="B590" s="1865" t="s">
        <v>1545</v>
      </c>
      <c r="C590" s="1865"/>
      <c r="D590" s="1865"/>
      <c r="E590" s="1865"/>
      <c r="N590"/>
      <c r="O590"/>
      <c r="P590"/>
      <c r="Q590"/>
      <c r="R590" s="1548"/>
      <c r="S590" s="1548"/>
      <c r="T590" s="1548"/>
    </row>
    <row r="591" spans="2:20" ht="15.75" x14ac:dyDescent="0.25">
      <c r="B591" s="1865" t="s">
        <v>1546</v>
      </c>
      <c r="C591" s="1865"/>
      <c r="D591" s="1865"/>
      <c r="E591" s="1865"/>
      <c r="N591"/>
      <c r="O591"/>
      <c r="P591"/>
      <c r="Q591"/>
      <c r="R591" s="1548"/>
      <c r="S591" s="1548"/>
      <c r="T591" s="1548"/>
    </row>
    <row r="592" spans="2:20" ht="15.75" x14ac:dyDescent="0.25">
      <c r="B592" s="1865" t="s">
        <v>1547</v>
      </c>
      <c r="C592" s="1865"/>
      <c r="D592" s="1865"/>
      <c r="E592" s="1865"/>
      <c r="H592" s="380"/>
      <c r="N592"/>
      <c r="O592"/>
      <c r="P592"/>
      <c r="Q592"/>
      <c r="R592" s="1548"/>
      <c r="S592" s="1548"/>
      <c r="T592" s="1548"/>
    </row>
    <row r="593" spans="2:20" ht="15.75" x14ac:dyDescent="0.25">
      <c r="B593" s="1588" t="s">
        <v>1548</v>
      </c>
      <c r="N593"/>
      <c r="O593"/>
      <c r="P593"/>
      <c r="Q593"/>
      <c r="R593" s="1548"/>
      <c r="S593" s="1548"/>
      <c r="T593" s="1548"/>
    </row>
    <row r="598" spans="2:20" x14ac:dyDescent="0.2">
      <c r="H598" s="380"/>
      <c r="J598" s="380"/>
    </row>
    <row r="599" spans="2:20" x14ac:dyDescent="0.2">
      <c r="H599" s="380"/>
      <c r="J599" s="380"/>
    </row>
    <row r="600" spans="2:20" x14ac:dyDescent="0.2">
      <c r="H600" s="380"/>
      <c r="J600" s="380"/>
    </row>
    <row r="601" spans="2:20" x14ac:dyDescent="0.2">
      <c r="H601" s="380"/>
      <c r="J601" s="380"/>
    </row>
    <row r="602" spans="2:20" x14ac:dyDescent="0.2">
      <c r="H602" s="380"/>
      <c r="J602" s="380"/>
    </row>
    <row r="603" spans="2:20" x14ac:dyDescent="0.2">
      <c r="H603" s="380"/>
      <c r="J603" s="380"/>
    </row>
    <row r="604" spans="2:20" x14ac:dyDescent="0.2">
      <c r="H604" s="380"/>
      <c r="J604" s="380"/>
    </row>
    <row r="605" spans="2:20" x14ac:dyDescent="0.2">
      <c r="H605" s="380"/>
      <c r="J605" s="380"/>
    </row>
    <row r="606" spans="2:20" x14ac:dyDescent="0.2">
      <c r="H606" s="380"/>
      <c r="J606" s="380"/>
    </row>
    <row r="607" spans="2:20" x14ac:dyDescent="0.2">
      <c r="H607" s="380"/>
      <c r="J607" s="380"/>
    </row>
  </sheetData>
  <mergeCells count="128">
    <mergeCell ref="B3:D3"/>
    <mergeCell ref="B589:E589"/>
    <mergeCell ref="B590:E590"/>
    <mergeCell ref="B591:E591"/>
    <mergeCell ref="B592:E592"/>
    <mergeCell ref="M560:Q560"/>
    <mergeCell ref="N555:O555"/>
    <mergeCell ref="N556:O556"/>
    <mergeCell ref="N557:O557"/>
    <mergeCell ref="N558:P558"/>
    <mergeCell ref="N427:O427"/>
    <mergeCell ref="N428:O428"/>
    <mergeCell ref="N429:O429"/>
    <mergeCell ref="N430:O430"/>
    <mergeCell ref="M511:Q511"/>
    <mergeCell ref="M520:Q520"/>
    <mergeCell ref="M314:Q314"/>
    <mergeCell ref="M330:Q330"/>
    <mergeCell ref="M322:Q322"/>
    <mergeCell ref="M361:Q361"/>
    <mergeCell ref="M379:Q379"/>
    <mergeCell ref="N389:O389"/>
    <mergeCell ref="N390:P390"/>
    <mergeCell ref="M393:Q393"/>
    <mergeCell ref="M400:Q400"/>
    <mergeCell ref="N388:O388"/>
    <mergeCell ref="N503:P503"/>
    <mergeCell ref="A29:Q30"/>
    <mergeCell ref="M32:Q32"/>
    <mergeCell ref="M139:Q139"/>
    <mergeCell ref="M158:Q158"/>
    <mergeCell ref="M233:Q233"/>
    <mergeCell ref="M313:Q313"/>
    <mergeCell ref="M392:Q392"/>
    <mergeCell ref="M433:Q433"/>
    <mergeCell ref="N431:P431"/>
    <mergeCell ref="N385:P385"/>
    <mergeCell ref="N386:O386"/>
    <mergeCell ref="N387:O387"/>
    <mergeCell ref="M34:Q34"/>
    <mergeCell ref="M48:Q48"/>
    <mergeCell ref="M69:Q69"/>
    <mergeCell ref="M63:Q63"/>
    <mergeCell ref="M80:Q80"/>
    <mergeCell ref="A31:B31"/>
    <mergeCell ref="B32:D32"/>
    <mergeCell ref="E32:F32"/>
    <mergeCell ref="G32:H32"/>
    <mergeCell ref="N566:P566"/>
    <mergeCell ref="N567:O567"/>
    <mergeCell ref="N568:O568"/>
    <mergeCell ref="N569:O569"/>
    <mergeCell ref="N570:O570"/>
    <mergeCell ref="N571:P571"/>
    <mergeCell ref="N553:P553"/>
    <mergeCell ref="N554:O554"/>
    <mergeCell ref="M470:Q470"/>
    <mergeCell ref="M510:Q510"/>
    <mergeCell ref="M532:Q532"/>
    <mergeCell ref="N506:O506"/>
    <mergeCell ref="N507:O507"/>
    <mergeCell ref="I32:J32"/>
    <mergeCell ref="M166:Q166"/>
    <mergeCell ref="M180:Q180"/>
    <mergeCell ref="M183:Q183"/>
    <mergeCell ref="M189:Q189"/>
    <mergeCell ref="M209:Q209"/>
    <mergeCell ref="M107:Q107"/>
    <mergeCell ref="M117:Q117"/>
    <mergeCell ref="M122:Q122"/>
    <mergeCell ref="M127:Q127"/>
    <mergeCell ref="M159:Q159"/>
    <mergeCell ref="N156:P156"/>
    <mergeCell ref="N132:P132"/>
    <mergeCell ref="N133:O133"/>
    <mergeCell ref="N134:O134"/>
    <mergeCell ref="N135:O135"/>
    <mergeCell ref="N136:O136"/>
    <mergeCell ref="N137:P137"/>
    <mergeCell ref="N151:P151"/>
    <mergeCell ref="N152:O152"/>
    <mergeCell ref="N153:O153"/>
    <mergeCell ref="N154:O154"/>
    <mergeCell ref="N155:O155"/>
    <mergeCell ref="M212:Q212"/>
    <mergeCell ref="M219:Q219"/>
    <mergeCell ref="M234:Q234"/>
    <mergeCell ref="M247:Q247"/>
    <mergeCell ref="M258:Q258"/>
    <mergeCell ref="N311:P311"/>
    <mergeCell ref="N226:P226"/>
    <mergeCell ref="N227:O227"/>
    <mergeCell ref="N228:O228"/>
    <mergeCell ref="N229:O229"/>
    <mergeCell ref="N230:O230"/>
    <mergeCell ref="N231:P231"/>
    <mergeCell ref="M273:Q273"/>
    <mergeCell ref="M281:Q281"/>
    <mergeCell ref="M303:Q303"/>
    <mergeCell ref="N306:P306"/>
    <mergeCell ref="N307:O307"/>
    <mergeCell ref="N308:O308"/>
    <mergeCell ref="N309:O309"/>
    <mergeCell ref="N310:O310"/>
    <mergeCell ref="M406:Q406"/>
    <mergeCell ref="M418:Q418"/>
    <mergeCell ref="N426:P426"/>
    <mergeCell ref="B27:Q27"/>
    <mergeCell ref="A28:Q28"/>
    <mergeCell ref="B511:J511"/>
    <mergeCell ref="M540:Q540"/>
    <mergeCell ref="M549:Q549"/>
    <mergeCell ref="M434:Q434"/>
    <mergeCell ref="M442:Q442"/>
    <mergeCell ref="M455:Q455"/>
    <mergeCell ref="M460:Q460"/>
    <mergeCell ref="M471:Q471"/>
    <mergeCell ref="N508:P508"/>
    <mergeCell ref="N463:P463"/>
    <mergeCell ref="N464:O464"/>
    <mergeCell ref="N465:O465"/>
    <mergeCell ref="N466:O466"/>
    <mergeCell ref="N467:O467"/>
    <mergeCell ref="N468:P468"/>
    <mergeCell ref="M477:Q477"/>
    <mergeCell ref="M488:Q488"/>
    <mergeCell ref="N504:O504"/>
    <mergeCell ref="N505:O505"/>
  </mergeCells>
  <pageMargins left="0.7" right="0.7" top="0.75" bottom="0.75" header="0.3" footer="0.3"/>
  <pageSetup paperSize="7" scale="31" orientation="landscape" r:id="rId1"/>
  <colBreaks count="1" manualBreakCount="1">
    <brk id="17" min="26" max="592"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tabColor rgb="FFC00000"/>
  </sheetPr>
  <dimension ref="A1:BH511"/>
  <sheetViews>
    <sheetView showGridLines="0" tabSelected="1" zoomScale="85" zoomScaleNormal="85" workbookViewId="0">
      <selection activeCell="D13" sqref="D1:N1048576"/>
    </sheetView>
  </sheetViews>
  <sheetFormatPr baseColWidth="10" defaultRowHeight="12.75" outlineLevelRow="1" x14ac:dyDescent="0.2"/>
  <cols>
    <col min="1" max="1" width="8.28515625" style="336" bestFit="1" customWidth="1"/>
    <col min="2" max="2" width="55.28515625" style="336" customWidth="1"/>
    <col min="3" max="3" width="10.42578125" style="336" customWidth="1"/>
    <col min="4" max="4" width="19.140625" style="336" hidden="1" customWidth="1"/>
    <col min="5" max="5" width="20.28515625" style="336" hidden="1" customWidth="1"/>
    <col min="6" max="6" width="24.5703125" style="336" hidden="1" customWidth="1"/>
    <col min="7" max="7" width="20.28515625" style="336" hidden="1" customWidth="1"/>
    <col min="8" max="8" width="25.140625" style="336" hidden="1" customWidth="1"/>
    <col min="9" max="9" width="17" style="336" hidden="1" customWidth="1"/>
    <col min="10" max="10" width="20" style="336" hidden="1" customWidth="1"/>
    <col min="11" max="11" width="3.7109375" style="1544" hidden="1" customWidth="1"/>
    <col min="12" max="12" width="11.42578125" style="1293" hidden="1" customWidth="1"/>
    <col min="13" max="13" width="58.7109375" style="336" hidden="1" customWidth="1"/>
    <col min="14" max="14" width="13.42578125" style="337" hidden="1" customWidth="1"/>
    <col min="15" max="15" width="21" style="337" customWidth="1"/>
    <col min="16" max="17" width="22.42578125" style="336" bestFit="1" customWidth="1"/>
    <col min="18" max="18" width="19.140625" style="1544" bestFit="1" customWidth="1"/>
    <col min="19" max="19" width="11.42578125" style="1544"/>
    <col min="20" max="20" width="24.7109375" style="1544" bestFit="1" customWidth="1"/>
    <col min="21" max="21" width="13.140625" style="1544" bestFit="1" customWidth="1"/>
    <col min="22" max="22" width="58.140625" style="1544" bestFit="1" customWidth="1"/>
    <col min="23" max="24" width="11.42578125" style="1544"/>
    <col min="25" max="26" width="18.140625" style="1544" bestFit="1" customWidth="1"/>
    <col min="27" max="60" width="11.42578125" style="1544"/>
    <col min="61" max="16384" width="11.42578125" style="336"/>
  </cols>
  <sheetData>
    <row r="1" spans="1:60" ht="23.25" x14ac:dyDescent="0.35">
      <c r="B1" s="1589" t="s">
        <v>1551</v>
      </c>
    </row>
    <row r="3" spans="1:60" x14ac:dyDescent="0.2">
      <c r="A3" s="1293"/>
      <c r="B3" s="1864" t="s">
        <v>1362</v>
      </c>
      <c r="C3" s="1864"/>
      <c r="D3" s="1866"/>
      <c r="E3" s="1864"/>
      <c r="H3" s="1295" t="s">
        <v>1605</v>
      </c>
      <c r="I3" s="1295" t="s">
        <v>1604</v>
      </c>
      <c r="J3" s="1664" t="s">
        <v>1620</v>
      </c>
      <c r="K3" s="1293"/>
      <c r="L3" s="336"/>
      <c r="M3" s="337"/>
      <c r="O3" s="336"/>
      <c r="Q3" s="1544"/>
      <c r="BH3" s="336"/>
    </row>
    <row r="4" spans="1:60" x14ac:dyDescent="0.2">
      <c r="A4" s="1293"/>
      <c r="B4" s="359" t="s">
        <v>1361</v>
      </c>
      <c r="C4" s="359" t="s">
        <v>1357</v>
      </c>
      <c r="D4" s="1749" t="s">
        <v>1364</v>
      </c>
      <c r="G4" s="1633" t="s">
        <v>1601</v>
      </c>
      <c r="H4" s="1637">
        <f>+O5</f>
        <v>458587652</v>
      </c>
      <c r="I4" s="1640">
        <f>+ejecución!C2</f>
        <v>3</v>
      </c>
      <c r="J4" s="1665">
        <f>+H4/$H$8</f>
        <v>0.35433612247412505</v>
      </c>
      <c r="K4" s="1293"/>
      <c r="L4" s="336"/>
      <c r="M4" s="337"/>
      <c r="O4" s="1295" t="s">
        <v>1365</v>
      </c>
      <c r="Q4" s="1544"/>
      <c r="BH4" s="336"/>
    </row>
    <row r="5" spans="1:60" ht="25.5" x14ac:dyDescent="0.2">
      <c r="A5" s="337" t="s">
        <v>1542</v>
      </c>
      <c r="B5" s="1632" t="str">
        <f>+B31</f>
        <v>Palacio de Justicia de Cali "PEDRO ELIAS SERRANO ABADIA</v>
      </c>
      <c r="C5" s="1283" t="s">
        <v>1358</v>
      </c>
      <c r="D5" s="1750">
        <f>+Q117</f>
        <v>364377777</v>
      </c>
      <c r="G5" s="1634" t="s">
        <v>1602</v>
      </c>
      <c r="H5" s="1637">
        <f>+O6+O11+O12</f>
        <v>92690320</v>
      </c>
      <c r="I5" s="1640">
        <f>+ejecución!C3</f>
        <v>1</v>
      </c>
      <c r="J5" s="1665">
        <f t="shared" ref="J5:J8" si="0">+H5/$H$8</f>
        <v>7.1618868141015368E-2</v>
      </c>
      <c r="K5" s="1293"/>
      <c r="L5" s="336"/>
      <c r="M5" s="337"/>
      <c r="O5" s="1663">
        <f>+Q122</f>
        <v>458587652</v>
      </c>
      <c r="Q5" s="1544"/>
      <c r="BH5" s="336"/>
    </row>
    <row r="6" spans="1:60" x14ac:dyDescent="0.2">
      <c r="A6" s="337" t="s">
        <v>202</v>
      </c>
      <c r="B6" s="1744" t="str">
        <f>+B124</f>
        <v>Juzgado Promiscuo Municipal de el Dovio -</v>
      </c>
      <c r="C6" s="1283" t="s">
        <v>1358</v>
      </c>
      <c r="D6" s="1750">
        <f>+Q136</f>
        <v>3789977</v>
      </c>
      <c r="G6" s="1636" t="s">
        <v>1600</v>
      </c>
      <c r="H6" s="1637">
        <f>+O10+O9</f>
        <v>335792733</v>
      </c>
      <c r="I6" s="1640">
        <f>+ejecución!C4</f>
        <v>2</v>
      </c>
      <c r="J6" s="1665">
        <f t="shared" si="0"/>
        <v>0.2594563862487278</v>
      </c>
      <c r="K6" s="1293"/>
      <c r="L6" s="336"/>
      <c r="M6" s="337"/>
      <c r="O6" s="1663">
        <f>+Q141</f>
        <v>4769876</v>
      </c>
      <c r="Q6" s="1544"/>
      <c r="BH6" s="336"/>
    </row>
    <row r="7" spans="1:60" ht="25.5" x14ac:dyDescent="0.2">
      <c r="A7" s="337" t="s">
        <v>217</v>
      </c>
      <c r="B7" s="1632" t="str">
        <f>+B143</f>
        <v>Palacio de Justicia "SIMON DAVID CARREJO BEJARANO" Palmira</v>
      </c>
      <c r="C7" s="1283" t="s">
        <v>1358</v>
      </c>
      <c r="D7" s="1750">
        <f>+Q204</f>
        <v>246446287</v>
      </c>
      <c r="G7" s="1635" t="s">
        <v>1603</v>
      </c>
      <c r="H7" s="1637">
        <f>+O13+O8+O7</f>
        <v>407145783</v>
      </c>
      <c r="I7" s="1640">
        <f>+ejecución!C5</f>
        <v>3</v>
      </c>
      <c r="J7" s="1665">
        <f t="shared" si="0"/>
        <v>0.31458862313613178</v>
      </c>
      <c r="K7" s="1293"/>
      <c r="L7" s="336"/>
      <c r="M7" s="337"/>
      <c r="O7" s="1663">
        <f>+Q209</f>
        <v>310164975</v>
      </c>
      <c r="Q7" s="1544"/>
      <c r="BH7" s="336"/>
    </row>
    <row r="8" spans="1:60" x14ac:dyDescent="0.2">
      <c r="A8" s="337" t="s">
        <v>317</v>
      </c>
      <c r="B8" s="1632" t="str">
        <f>+B211</f>
        <v>Sede de Familia de Palmira</v>
      </c>
      <c r="C8" s="1283" t="s">
        <v>1358</v>
      </c>
      <c r="D8" s="1750">
        <f>+Q276</f>
        <v>57663736</v>
      </c>
      <c r="G8" s="1638" t="s">
        <v>1559</v>
      </c>
      <c r="H8" s="1639">
        <f>SUM(H4:H7)</f>
        <v>1294216488</v>
      </c>
      <c r="I8" s="1295">
        <f>SUM(I4:I7)</f>
        <v>9</v>
      </c>
      <c r="J8" s="1666">
        <f t="shared" si="0"/>
        <v>1</v>
      </c>
      <c r="K8" s="1293"/>
      <c r="L8" s="336"/>
      <c r="M8" s="337"/>
      <c r="O8" s="1663">
        <f>+Q281</f>
        <v>72572695</v>
      </c>
      <c r="Q8" s="1544"/>
      <c r="BH8" s="336"/>
    </row>
    <row r="9" spans="1:60" x14ac:dyDescent="0.2">
      <c r="A9" s="337" t="s">
        <v>1543</v>
      </c>
      <c r="B9" s="1632" t="str">
        <f>+B283</f>
        <v>Palacio Nacional de Buenaventura</v>
      </c>
      <c r="C9" s="1283" t="s">
        <v>1358</v>
      </c>
      <c r="D9" s="1750">
        <f>+Q341</f>
        <v>183863257</v>
      </c>
      <c r="J9" s="1544"/>
      <c r="K9" s="1293"/>
      <c r="L9" s="336"/>
      <c r="M9" s="337"/>
      <c r="O9" s="1663">
        <f>+Q346</f>
        <v>231401103</v>
      </c>
      <c r="Q9" s="1544"/>
      <c r="BH9" s="336"/>
    </row>
    <row r="10" spans="1:60" x14ac:dyDescent="0.2">
      <c r="A10" s="337" t="s">
        <v>524</v>
      </c>
      <c r="B10" s="1632" t="str">
        <f>+B348</f>
        <v>Edificio de Transferencia de Buenaventura</v>
      </c>
      <c r="C10" s="1283" t="s">
        <v>1358</v>
      </c>
      <c r="D10" s="1750">
        <f>+Q380</f>
        <v>82945954</v>
      </c>
      <c r="O10" s="1663">
        <f>+Q385</f>
        <v>104391630</v>
      </c>
    </row>
    <row r="11" spans="1:60" x14ac:dyDescent="0.2">
      <c r="A11" s="337" t="s">
        <v>576</v>
      </c>
      <c r="B11" s="1744" t="str">
        <f>+B387</f>
        <v xml:space="preserve">Juzgado Promiscuo Municipal de Obando </v>
      </c>
      <c r="C11" s="1283" t="s">
        <v>1358</v>
      </c>
      <c r="D11" s="1750">
        <f>+Q417</f>
        <v>18128081</v>
      </c>
      <c r="O11" s="1663">
        <f>+Q422</f>
        <v>22815097</v>
      </c>
    </row>
    <row r="12" spans="1:60" x14ac:dyDescent="0.2">
      <c r="A12" s="337" t="s">
        <v>616</v>
      </c>
      <c r="B12" s="1744" t="str">
        <f>+B424</f>
        <v>Juzgado Promiscuo Municipal de San José del Palmar</v>
      </c>
      <c r="C12" s="1283" t="s">
        <v>1358</v>
      </c>
      <c r="D12" s="1750">
        <f>+Q457</f>
        <v>51730441</v>
      </c>
      <c r="O12" s="1663">
        <f>+Q462</f>
        <v>65105347</v>
      </c>
    </row>
    <row r="13" spans="1:60" x14ac:dyDescent="0.2">
      <c r="A13" s="337" t="s">
        <v>741</v>
      </c>
      <c r="B13" s="1632" t="str">
        <f>+B464</f>
        <v>Palacio de Justicia de Tuluá</v>
      </c>
      <c r="C13" s="1283" t="s">
        <v>1358</v>
      </c>
      <c r="D13" s="1750">
        <f>+Q470</f>
        <v>19393836</v>
      </c>
      <c r="O13" s="1663">
        <f>+Q475</f>
        <v>24408113</v>
      </c>
    </row>
    <row r="14" spans="1:60" x14ac:dyDescent="0.2">
      <c r="A14" s="1293"/>
      <c r="B14" s="1756" t="s">
        <v>1363</v>
      </c>
      <c r="C14" s="1757"/>
      <c r="D14" s="1751">
        <f>SUM(D5:D13)</f>
        <v>1028339346</v>
      </c>
      <c r="O14" s="1559">
        <f>SUM(O5:O13)</f>
        <v>1294216488</v>
      </c>
      <c r="V14" s="1751">
        <f>+D14*(1+$V$19)</f>
        <v>1294216484</v>
      </c>
    </row>
    <row r="15" spans="1:60" x14ac:dyDescent="0.2">
      <c r="A15" s="1293"/>
      <c r="B15" s="1753" t="str">
        <f>+N478</f>
        <v xml:space="preserve">ADMINISTRACION </v>
      </c>
      <c r="C15" s="1754">
        <f>+P478</f>
        <v>0.185</v>
      </c>
      <c r="D15" s="1750">
        <f>ROUND($D$14*C15,0)</f>
        <v>190242779</v>
      </c>
      <c r="V15" s="1761" t="str">
        <f>IF(D19=V14,"OK","REVISAR")</f>
        <v>OK</v>
      </c>
    </row>
    <row r="16" spans="1:60" ht="15" x14ac:dyDescent="0.25">
      <c r="A16" s="1293"/>
      <c r="B16" s="1753" t="str">
        <f>+N479</f>
        <v>IMPREVISTOS</v>
      </c>
      <c r="C16" s="1754">
        <f>+P479</f>
        <v>0.02</v>
      </c>
      <c r="D16" s="1750">
        <f t="shared" ref="D16:D17" si="1">ROUND($D$14*C16,0)</f>
        <v>20566787</v>
      </c>
      <c r="Q16"/>
      <c r="V16" s="1761"/>
    </row>
    <row r="17" spans="1:60" ht="15" x14ac:dyDescent="0.25">
      <c r="A17" s="1293"/>
      <c r="B17" s="1753" t="str">
        <f>+N480</f>
        <v>UTILIDAD</v>
      </c>
      <c r="C17" s="1754">
        <f>+P480</f>
        <v>4.4999999999999998E-2</v>
      </c>
      <c r="D17" s="1750">
        <f t="shared" si="1"/>
        <v>46275271</v>
      </c>
      <c r="Q17"/>
      <c r="V17" s="1761"/>
    </row>
    <row r="18" spans="1:60" ht="15" x14ac:dyDescent="0.25">
      <c r="A18" s="1293"/>
      <c r="B18" s="1753" t="str">
        <f>+N481</f>
        <v xml:space="preserve">IVA SOBRE UTILIDAD </v>
      </c>
      <c r="C18" s="1754">
        <f>+P481</f>
        <v>0.19</v>
      </c>
      <c r="D18" s="1750">
        <f>ROUND($D$17*C18,0)</f>
        <v>8792301</v>
      </c>
      <c r="Q18"/>
      <c r="V18" s="1761"/>
    </row>
    <row r="19" spans="1:60" x14ac:dyDescent="0.2">
      <c r="A19" s="1293"/>
      <c r="B19" s="1755" t="str">
        <f>+N482</f>
        <v xml:space="preserve">VALOR TOTAL INCLUIDO AIU E IVA </v>
      </c>
      <c r="C19" s="1755"/>
      <c r="D19" s="1752">
        <f>SUM(D14:D18)</f>
        <v>1294216484</v>
      </c>
      <c r="V19" s="1762">
        <f>(D19/D14)-1</f>
        <v>0.25855000008917295</v>
      </c>
    </row>
    <row r="20" spans="1:60" hidden="1" x14ac:dyDescent="0.2">
      <c r="M20" s="1302" t="s">
        <v>1359</v>
      </c>
      <c r="N20" s="1303"/>
      <c r="O20" s="1523">
        <v>1297000000</v>
      </c>
      <c r="R20" s="1547"/>
      <c r="V20" s="1761"/>
    </row>
    <row r="21" spans="1:60" ht="15.75" hidden="1" x14ac:dyDescent="0.2">
      <c r="M21" s="1300" t="s">
        <v>1360</v>
      </c>
      <c r="N21" s="1301"/>
      <c r="O21" s="1535">
        <f>+O20-D19</f>
        <v>2783516</v>
      </c>
      <c r="V21" s="1761"/>
    </row>
    <row r="22" spans="1:60" x14ac:dyDescent="0.2">
      <c r="P22" s="408"/>
      <c r="V22" s="1761"/>
    </row>
    <row r="23" spans="1:60" x14ac:dyDescent="0.2">
      <c r="P23" s="408"/>
    </row>
    <row r="24" spans="1:60" x14ac:dyDescent="0.2">
      <c r="P24" s="408"/>
    </row>
    <row r="25" spans="1:60" x14ac:dyDescent="0.2">
      <c r="P25" s="1524"/>
    </row>
    <row r="26" spans="1:60" ht="65.25" customHeight="1" x14ac:dyDescent="0.2">
      <c r="A26" s="1543"/>
      <c r="B26" s="1832" t="s">
        <v>0</v>
      </c>
      <c r="C26" s="1832"/>
      <c r="D26" s="1832"/>
      <c r="E26" s="1832"/>
      <c r="F26" s="1832"/>
      <c r="G26" s="1832"/>
      <c r="H26" s="1832"/>
      <c r="I26" s="1832"/>
      <c r="J26" s="1832"/>
      <c r="K26" s="1832"/>
      <c r="L26" s="1832"/>
      <c r="M26" s="1832"/>
      <c r="N26" s="1832"/>
      <c r="O26" s="1832"/>
      <c r="P26" s="1832"/>
      <c r="Q26" s="1832"/>
      <c r="R26" s="1553"/>
      <c r="S26" s="1553"/>
      <c r="T26" s="1553"/>
      <c r="U26" s="1553"/>
    </row>
    <row r="27" spans="1:60" ht="15" customHeight="1" x14ac:dyDescent="0.2">
      <c r="A27" s="1832" t="s">
        <v>1</v>
      </c>
      <c r="B27" s="1832"/>
      <c r="C27" s="1832"/>
      <c r="D27" s="1832"/>
      <c r="E27" s="1832"/>
      <c r="F27" s="1832"/>
      <c r="G27" s="1832"/>
      <c r="H27" s="1832"/>
      <c r="I27" s="1832"/>
      <c r="J27" s="1832"/>
      <c r="K27" s="1832"/>
      <c r="L27" s="1832"/>
      <c r="M27" s="1832"/>
      <c r="N27" s="1832"/>
      <c r="O27" s="1832"/>
      <c r="P27" s="1832"/>
      <c r="Q27" s="1832"/>
      <c r="R27" s="1553"/>
      <c r="S27" s="1553"/>
      <c r="T27" s="1553"/>
      <c r="U27" s="1553"/>
    </row>
    <row r="28" spans="1:60" ht="24" customHeight="1" x14ac:dyDescent="0.2">
      <c r="A28" s="1857" t="s">
        <v>1541</v>
      </c>
      <c r="B28" s="1857"/>
      <c r="C28" s="1857"/>
      <c r="D28" s="1857"/>
      <c r="E28" s="1857"/>
      <c r="F28" s="1857"/>
      <c r="G28" s="1857"/>
      <c r="H28" s="1857"/>
      <c r="I28" s="1857"/>
      <c r="J28" s="1857"/>
      <c r="K28" s="1857"/>
      <c r="L28" s="1857"/>
      <c r="M28" s="1857"/>
      <c r="N28" s="1857"/>
      <c r="O28" s="1857"/>
      <c r="P28" s="1857"/>
      <c r="Q28" s="1857"/>
      <c r="R28" s="419"/>
      <c r="S28" s="419"/>
      <c r="T28" s="419"/>
      <c r="U28" s="419"/>
    </row>
    <row r="29" spans="1:60" ht="30.75" customHeight="1" x14ac:dyDescent="0.2">
      <c r="A29" s="1857"/>
      <c r="B29" s="1857"/>
      <c r="C29" s="1857"/>
      <c r="D29" s="1857"/>
      <c r="E29" s="1857"/>
      <c r="F29" s="1857"/>
      <c r="G29" s="1857"/>
      <c r="H29" s="1857"/>
      <c r="I29" s="1857"/>
      <c r="J29" s="1857"/>
      <c r="K29" s="1857"/>
      <c r="L29" s="1857"/>
      <c r="M29" s="1857"/>
      <c r="N29" s="1857"/>
      <c r="O29" s="1857"/>
      <c r="P29" s="1857"/>
      <c r="Q29" s="1857"/>
      <c r="R29" s="419"/>
      <c r="S29" s="419"/>
      <c r="T29" s="419"/>
      <c r="U29" s="419"/>
    </row>
    <row r="30" spans="1:60" ht="51" customHeight="1" thickBot="1" x14ac:dyDescent="0.3">
      <c r="A30" s="1867" t="s">
        <v>2</v>
      </c>
      <c r="B30" s="1867"/>
      <c r="C30" s="1308"/>
      <c r="D30" s="1308"/>
      <c r="E30" s="421"/>
      <c r="F30" s="421"/>
      <c r="G30" s="421"/>
      <c r="H30" s="421"/>
      <c r="I30" s="1308"/>
      <c r="J30" s="1308"/>
      <c r="L30" s="1298"/>
      <c r="M30"/>
      <c r="N30" s="422"/>
      <c r="O30" s="422"/>
      <c r="P30"/>
      <c r="Q30"/>
    </row>
    <row r="31" spans="1:60" ht="13.5" thickBot="1" x14ac:dyDescent="0.25">
      <c r="A31" s="1801" t="s">
        <v>806</v>
      </c>
      <c r="B31" s="1802" t="s">
        <v>807</v>
      </c>
      <c r="C31" s="1802"/>
      <c r="D31" s="1802"/>
      <c r="E31" s="1802" t="str">
        <f>+'estudio inicial precios'!E32:F32</f>
        <v xml:space="preserve">COTIZACIÓN 1 - </v>
      </c>
      <c r="F31" s="1802"/>
      <c r="G31" s="1802" t="s">
        <v>1635</v>
      </c>
      <c r="H31" s="1802"/>
      <c r="I31" s="1802" t="s">
        <v>796</v>
      </c>
      <c r="J31" s="1802"/>
      <c r="K31" s="1719"/>
      <c r="L31" s="1803" t="s">
        <v>806</v>
      </c>
      <c r="M31" s="1853"/>
      <c r="N31" s="1854"/>
      <c r="O31" s="1854"/>
      <c r="P31" s="1854"/>
      <c r="Q31" s="1855"/>
    </row>
    <row r="32" spans="1:60" s="1293" customFormat="1" ht="38.25" customHeight="1" outlineLevel="1" x14ac:dyDescent="0.2">
      <c r="A32" s="339" t="s">
        <v>4</v>
      </c>
      <c r="B32" s="344" t="s">
        <v>5</v>
      </c>
      <c r="C32" s="339" t="s">
        <v>6</v>
      </c>
      <c r="D32" s="1526" t="s">
        <v>7</v>
      </c>
      <c r="E32" s="344" t="s">
        <v>8</v>
      </c>
      <c r="F32" s="344" t="s">
        <v>771</v>
      </c>
      <c r="G32" s="344" t="s">
        <v>772</v>
      </c>
      <c r="H32" s="344" t="s">
        <v>9</v>
      </c>
      <c r="I32" s="344" t="s">
        <v>1461</v>
      </c>
      <c r="J32" s="339" t="s">
        <v>9</v>
      </c>
      <c r="K32" s="1545"/>
      <c r="L32" s="1299" t="str">
        <f>+A32</f>
        <v>ITEM</v>
      </c>
      <c r="M32" s="1309" t="str">
        <f>+B32</f>
        <v>DESCRIPCION</v>
      </c>
      <c r="N32" s="1309" t="str">
        <f>+C32</f>
        <v>UND</v>
      </c>
      <c r="O32" s="1309" t="str">
        <f>+D32</f>
        <v xml:space="preserve">CANTIDAD </v>
      </c>
      <c r="P32" s="1309" t="s">
        <v>1628</v>
      </c>
      <c r="Q32" s="1309" t="s">
        <v>9</v>
      </c>
      <c r="R32" s="1545"/>
      <c r="S32" s="1545"/>
      <c r="T32" s="1545"/>
      <c r="U32" s="1545"/>
      <c r="V32" s="1545"/>
      <c r="W32" s="1545"/>
      <c r="X32" s="1545"/>
      <c r="Y32" s="1545"/>
      <c r="Z32" s="1545"/>
      <c r="AA32" s="1545"/>
      <c r="AB32" s="1545"/>
      <c r="AC32" s="1545"/>
      <c r="AD32" s="1545"/>
      <c r="AE32" s="1545"/>
      <c r="AF32" s="1545"/>
      <c r="AG32" s="1545"/>
      <c r="AH32" s="1545"/>
      <c r="AI32" s="1545"/>
      <c r="AJ32" s="1545"/>
      <c r="AK32" s="1545"/>
      <c r="AL32" s="1545"/>
      <c r="AM32" s="1545"/>
      <c r="AN32" s="1545"/>
      <c r="AO32" s="1545"/>
      <c r="AP32" s="1545"/>
      <c r="AQ32" s="1545"/>
      <c r="AR32" s="1545"/>
      <c r="AS32" s="1545"/>
      <c r="AT32" s="1545"/>
      <c r="AU32" s="1545"/>
      <c r="AV32" s="1545"/>
      <c r="AW32" s="1545"/>
      <c r="AX32" s="1545"/>
      <c r="AY32" s="1545"/>
      <c r="AZ32" s="1545"/>
      <c r="BA32" s="1545"/>
      <c r="BB32" s="1545"/>
      <c r="BC32" s="1545"/>
      <c r="BD32" s="1545"/>
      <c r="BE32" s="1545"/>
      <c r="BF32" s="1545"/>
      <c r="BG32" s="1545"/>
      <c r="BH32" s="1545"/>
    </row>
    <row r="33" spans="1:60" s="1533" customFormat="1" ht="24.75" customHeight="1" outlineLevel="1" x14ac:dyDescent="0.2">
      <c r="A33" s="1527" t="s">
        <v>40</v>
      </c>
      <c r="B33" s="1528" t="s">
        <v>41</v>
      </c>
      <c r="C33" s="1527"/>
      <c r="D33" s="1529"/>
      <c r="E33" s="1530"/>
      <c r="F33" s="1531">
        <f t="shared" ref="F33:F84" si="2">+E33*D33</f>
        <v>0</v>
      </c>
      <c r="G33" s="1530"/>
      <c r="H33" s="1531">
        <f t="shared" ref="H33:H84" si="3">+G33*D33</f>
        <v>0</v>
      </c>
      <c r="I33" s="1532"/>
      <c r="J33" s="1527"/>
      <c r="K33" s="1544"/>
      <c r="L33" s="1527" t="str">
        <f t="shared" ref="L33:O50" si="4">+A33</f>
        <v>A. 2</v>
      </c>
      <c r="M33" s="1836"/>
      <c r="N33" s="1837"/>
      <c r="O33" s="1837"/>
      <c r="P33" s="1837"/>
      <c r="Q33" s="1838"/>
      <c r="R33" s="1544"/>
      <c r="S33" s="1544"/>
      <c r="T33" s="1544"/>
      <c r="U33" s="1544"/>
      <c r="V33" s="1544"/>
      <c r="W33" s="1544"/>
      <c r="X33" s="1544"/>
      <c r="Y33" s="1544"/>
      <c r="Z33" s="1544"/>
      <c r="AA33" s="1544"/>
      <c r="AB33" s="1544"/>
      <c r="AC33" s="1544"/>
      <c r="AD33" s="1544"/>
      <c r="AE33" s="1544"/>
      <c r="AF33" s="1544"/>
      <c r="AG33" s="1544"/>
      <c r="AH33" s="1544"/>
      <c r="AI33" s="1544"/>
      <c r="AJ33" s="1544"/>
      <c r="AK33" s="1544"/>
      <c r="AL33" s="1544"/>
      <c r="AM33" s="1544"/>
      <c r="AN33" s="1544"/>
      <c r="AO33" s="1544"/>
      <c r="AP33" s="1544"/>
      <c r="AQ33" s="1544"/>
      <c r="AR33" s="1544"/>
      <c r="AS33" s="1544"/>
      <c r="AT33" s="1544"/>
      <c r="AU33" s="1544"/>
      <c r="AV33" s="1544"/>
      <c r="AW33" s="1544"/>
      <c r="AX33" s="1544"/>
      <c r="AY33" s="1544"/>
      <c r="AZ33" s="1544"/>
      <c r="BA33" s="1544"/>
      <c r="BB33" s="1544"/>
      <c r="BC33" s="1544"/>
      <c r="BD33" s="1544"/>
      <c r="BE33" s="1544"/>
      <c r="BF33" s="1544"/>
      <c r="BG33" s="1544"/>
      <c r="BH33" s="1544"/>
    </row>
    <row r="34" spans="1:60" ht="25.5" customHeight="1" outlineLevel="1" x14ac:dyDescent="0.2">
      <c r="A34" s="346" t="s">
        <v>42</v>
      </c>
      <c r="B34" s="360" t="s">
        <v>43</v>
      </c>
      <c r="C34" s="361" t="s">
        <v>6</v>
      </c>
      <c r="D34" s="348">
        <v>52</v>
      </c>
      <c r="E34" s="353">
        <v>66000</v>
      </c>
      <c r="F34" s="349">
        <f t="shared" si="2"/>
        <v>3432000</v>
      </c>
      <c r="G34" s="1292">
        <v>32500</v>
      </c>
      <c r="H34" s="349">
        <f t="shared" si="3"/>
        <v>1690000</v>
      </c>
      <c r="I34" s="1285">
        <f>IFERROR(VLOOKUP(A34,'valores unit indexados'!$A$14:$O$197,15,FALSE),0)</f>
        <v>64568</v>
      </c>
      <c r="J34" s="350">
        <f t="shared" ref="J34:J83" si="5">+I34*D34</f>
        <v>3357536</v>
      </c>
      <c r="L34" s="346" t="str">
        <f t="shared" si="4"/>
        <v>A. 2,1</v>
      </c>
      <c r="M34" s="360" t="str">
        <f t="shared" si="4"/>
        <v>Suministro e instalación de bases en concreto de 20 cm x 20 cm fundidos sobre losa de terraza</v>
      </c>
      <c r="N34" s="361" t="str">
        <f t="shared" si="4"/>
        <v>UND</v>
      </c>
      <c r="O34" s="348">
        <f t="shared" si="4"/>
        <v>52</v>
      </c>
      <c r="P34" s="423">
        <f>+'estudio inicial precios'!P49</f>
        <v>65284</v>
      </c>
      <c r="Q34" s="423">
        <f t="shared" ref="Q34:Q84" si="6">+P34*O34</f>
        <v>3394768</v>
      </c>
    </row>
    <row r="35" spans="1:60" ht="63.75" customHeight="1" outlineLevel="1" x14ac:dyDescent="0.2">
      <c r="A35" s="354" t="s">
        <v>44</v>
      </c>
      <c r="B35" s="358" t="s">
        <v>45</v>
      </c>
      <c r="C35" s="361" t="s">
        <v>6</v>
      </c>
      <c r="D35" s="348">
        <v>52</v>
      </c>
      <c r="E35" s="353">
        <v>66000</v>
      </c>
      <c r="F35" s="349">
        <f t="shared" si="2"/>
        <v>3432000</v>
      </c>
      <c r="G35" s="1292">
        <v>35581</v>
      </c>
      <c r="H35" s="349">
        <f t="shared" si="3"/>
        <v>1850212</v>
      </c>
      <c r="I35" s="1285">
        <f>IFERROR(VLOOKUP(A35,'valores unit indexados'!$A$14:$O$197,15,FALSE),0)</f>
        <v>64421</v>
      </c>
      <c r="J35" s="350">
        <f t="shared" si="5"/>
        <v>3349892</v>
      </c>
      <c r="L35" s="354" t="str">
        <f t="shared" si="4"/>
        <v>A. 2,2</v>
      </c>
      <c r="M35" s="358" t="str">
        <f t="shared" si="4"/>
        <v>Suministro e instalación de platina 3/8 cuyas medidas oscilan así: 10 cm x 15 cm y 15 cm x 15 cm, incluye materiales complementarios de conexión, acero, corte, soldadura, anclajes, cartelas, tornillos, varilla de 1/2 soldada para anclaje sobre bases de concreto.</v>
      </c>
      <c r="N35" s="361" t="str">
        <f t="shared" si="4"/>
        <v>UND</v>
      </c>
      <c r="O35" s="348">
        <f t="shared" si="4"/>
        <v>52</v>
      </c>
      <c r="P35" s="423">
        <f>+'estudio inicial precios'!P50</f>
        <v>65211</v>
      </c>
      <c r="Q35" s="423">
        <f t="shared" si="6"/>
        <v>3390972</v>
      </c>
    </row>
    <row r="36" spans="1:60" ht="25.5" customHeight="1" outlineLevel="1" x14ac:dyDescent="0.2">
      <c r="A36" s="340" t="s">
        <v>46</v>
      </c>
      <c r="B36" s="358" t="s">
        <v>47</v>
      </c>
      <c r="C36" s="356" t="s">
        <v>14</v>
      </c>
      <c r="D36" s="348">
        <v>97</v>
      </c>
      <c r="E36" s="353">
        <v>118000</v>
      </c>
      <c r="F36" s="349">
        <f t="shared" si="2"/>
        <v>11446000</v>
      </c>
      <c r="G36" s="350">
        <v>132301</v>
      </c>
      <c r="H36" s="349">
        <f t="shared" si="3"/>
        <v>12833197</v>
      </c>
      <c r="I36" s="1285">
        <f>IFERROR(VLOOKUP(A36,'valores unit indexados'!$A$14:$O$197,15,FALSE),0)</f>
        <v>115095</v>
      </c>
      <c r="J36" s="350">
        <f t="shared" si="5"/>
        <v>11164215</v>
      </c>
      <c r="L36" s="340" t="str">
        <f t="shared" si="4"/>
        <v>A. 2,3</v>
      </c>
      <c r="M36" s="358" t="str">
        <f t="shared" si="4"/>
        <v>Suministro e instalación de estructura metálica para cubierta en tubería 100 cm x 100 cm calibre 2 mm, incluye pintura 3 en 2</v>
      </c>
      <c r="N36" s="356" t="str">
        <f t="shared" si="4"/>
        <v>ML</v>
      </c>
      <c r="O36" s="348">
        <f t="shared" si="4"/>
        <v>97</v>
      </c>
      <c r="P36" s="423">
        <f>+'estudio inicial precios'!P51</f>
        <v>108965</v>
      </c>
      <c r="Q36" s="423">
        <f t="shared" si="6"/>
        <v>10569605</v>
      </c>
    </row>
    <row r="37" spans="1:60" ht="25.5" customHeight="1" outlineLevel="1" x14ac:dyDescent="0.2">
      <c r="A37" s="354" t="s">
        <v>48</v>
      </c>
      <c r="B37" s="358" t="s">
        <v>49</v>
      </c>
      <c r="C37" s="356" t="s">
        <v>14</v>
      </c>
      <c r="D37" s="348">
        <v>212</v>
      </c>
      <c r="E37" s="353">
        <v>110000</v>
      </c>
      <c r="F37" s="349">
        <f t="shared" si="2"/>
        <v>23320000</v>
      </c>
      <c r="G37" s="350">
        <v>110500</v>
      </c>
      <c r="H37" s="349">
        <f t="shared" si="3"/>
        <v>23426000</v>
      </c>
      <c r="I37" s="1285">
        <f>IFERROR(VLOOKUP(A37,'valores unit indexados'!$A$14:$O$197,15,FALSE),0)</f>
        <v>106395</v>
      </c>
      <c r="J37" s="350">
        <f t="shared" si="5"/>
        <v>22555740</v>
      </c>
      <c r="L37" s="354" t="str">
        <f t="shared" si="4"/>
        <v>A. 2,4</v>
      </c>
      <c r="M37" s="358" t="str">
        <f t="shared" si="4"/>
        <v>Suministro e instalación de estructura metálica para cubierta en tubería 100 cm x 50 cm calibre 2 mm, incluye pintura 3 en 1</v>
      </c>
      <c r="N37" s="356" t="str">
        <f t="shared" si="4"/>
        <v>ML</v>
      </c>
      <c r="O37" s="348">
        <f t="shared" si="4"/>
        <v>212</v>
      </c>
      <c r="P37" s="423">
        <f>+'estudio inicial precios'!P52</f>
        <v>108965</v>
      </c>
      <c r="Q37" s="423">
        <f t="shared" si="6"/>
        <v>23100580</v>
      </c>
    </row>
    <row r="38" spans="1:60" ht="38.25" customHeight="1" outlineLevel="1" x14ac:dyDescent="0.2">
      <c r="A38" s="362" t="s">
        <v>50</v>
      </c>
      <c r="B38" s="358" t="s">
        <v>51</v>
      </c>
      <c r="C38" s="356" t="s">
        <v>14</v>
      </c>
      <c r="D38" s="348">
        <v>255</v>
      </c>
      <c r="E38" s="353">
        <v>100000</v>
      </c>
      <c r="F38" s="349">
        <f t="shared" si="2"/>
        <v>25500000</v>
      </c>
      <c r="G38" s="350">
        <v>104000</v>
      </c>
      <c r="H38" s="349">
        <f t="shared" si="3"/>
        <v>26520000</v>
      </c>
      <c r="I38" s="1285">
        <f>IFERROR(VLOOKUP(A38,'valores unit indexados'!$A$14:$O$197,15,FALSE),0)</f>
        <v>97346</v>
      </c>
      <c r="J38" s="350">
        <f t="shared" si="5"/>
        <v>24823230</v>
      </c>
      <c r="L38" s="362" t="str">
        <f t="shared" si="4"/>
        <v>A. 2,5</v>
      </c>
      <c r="M38" s="358" t="str">
        <f t="shared" si="4"/>
        <v xml:space="preserve">Suministro e instalación de estructura metálica para cubierta en tubería 80 cm x 40 cm calibre 2 mm, incluye pintura 3 en 1 
</v>
      </c>
      <c r="N38" s="356" t="str">
        <f t="shared" si="4"/>
        <v>ML</v>
      </c>
      <c r="O38" s="348">
        <f t="shared" si="4"/>
        <v>255</v>
      </c>
      <c r="P38" s="423">
        <f>+'estudio inicial precios'!P53</f>
        <v>100449</v>
      </c>
      <c r="Q38" s="423">
        <f t="shared" si="6"/>
        <v>25614495</v>
      </c>
    </row>
    <row r="39" spans="1:60" ht="25.5" customHeight="1" outlineLevel="1" x14ac:dyDescent="0.2">
      <c r="A39" s="354" t="s">
        <v>52</v>
      </c>
      <c r="B39" s="360" t="s">
        <v>53</v>
      </c>
      <c r="C39" s="361" t="s">
        <v>19</v>
      </c>
      <c r="D39" s="348">
        <v>330</v>
      </c>
      <c r="E39" s="353">
        <v>80000</v>
      </c>
      <c r="F39" s="349">
        <f t="shared" si="2"/>
        <v>26400000</v>
      </c>
      <c r="G39" s="350">
        <v>65949</v>
      </c>
      <c r="H39" s="349">
        <f t="shared" si="3"/>
        <v>21763170</v>
      </c>
      <c r="I39" s="1285">
        <f>IFERROR(VLOOKUP(A39,'valores unit indexados'!$A$14:$O$197,15,FALSE),0)</f>
        <v>77917</v>
      </c>
      <c r="J39" s="350">
        <f t="shared" si="5"/>
        <v>25712610</v>
      </c>
      <c r="L39" s="354" t="str">
        <f t="shared" si="4"/>
        <v>A. 2,6</v>
      </c>
      <c r="M39" s="360" t="str">
        <f t="shared" si="4"/>
        <v>Suministro e instalación de teja upvc 2.5 mm, incluye tornillería para su correcta instalación sobre estructura metálica</v>
      </c>
      <c r="N39" s="361" t="str">
        <f t="shared" si="4"/>
        <v>M2</v>
      </c>
      <c r="O39" s="348">
        <f t="shared" si="4"/>
        <v>330</v>
      </c>
      <c r="P39" s="423">
        <f>+'estudio inicial precios'!P54</f>
        <v>74622</v>
      </c>
      <c r="Q39" s="423">
        <f t="shared" si="6"/>
        <v>24625260</v>
      </c>
    </row>
    <row r="40" spans="1:60" ht="25.5" customHeight="1" outlineLevel="1" x14ac:dyDescent="0.2">
      <c r="A40" s="362" t="s">
        <v>54</v>
      </c>
      <c r="B40" s="358" t="s">
        <v>55</v>
      </c>
      <c r="C40" s="356" t="s">
        <v>14</v>
      </c>
      <c r="D40" s="348">
        <v>28</v>
      </c>
      <c r="E40" s="353">
        <v>92000</v>
      </c>
      <c r="F40" s="349">
        <f t="shared" si="2"/>
        <v>2576000</v>
      </c>
      <c r="G40" s="350">
        <v>72813</v>
      </c>
      <c r="H40" s="349">
        <f t="shared" si="3"/>
        <v>2038764</v>
      </c>
      <c r="I40" s="1285">
        <f>IFERROR(VLOOKUP(A40,'valores unit indexados'!$A$14:$O$197,15,FALSE),0)</f>
        <v>89336</v>
      </c>
      <c r="J40" s="350">
        <f t="shared" si="5"/>
        <v>2501408</v>
      </c>
      <c r="L40" s="362" t="str">
        <f t="shared" si="4"/>
        <v>A. 2,7</v>
      </c>
      <c r="M40" s="358" t="str">
        <f t="shared" si="4"/>
        <v>Suministro e instalación de caballete para teja upvc 2.5 mm, incluye accesorios para su correcta instalación</v>
      </c>
      <c r="N40" s="356" t="str">
        <f t="shared" si="4"/>
        <v>ML</v>
      </c>
      <c r="O40" s="348">
        <f t="shared" si="4"/>
        <v>28</v>
      </c>
      <c r="P40" s="423">
        <f>+'estudio inicial precios'!P55</f>
        <v>84716</v>
      </c>
      <c r="Q40" s="423">
        <f t="shared" si="6"/>
        <v>2372048</v>
      </c>
    </row>
    <row r="41" spans="1:60" ht="25.5" customHeight="1" outlineLevel="1" x14ac:dyDescent="0.2">
      <c r="A41" s="354" t="s">
        <v>56</v>
      </c>
      <c r="B41" s="358" t="s">
        <v>57</v>
      </c>
      <c r="C41" s="356" t="s">
        <v>14</v>
      </c>
      <c r="D41" s="348">
        <v>40</v>
      </c>
      <c r="E41" s="353">
        <v>94000</v>
      </c>
      <c r="F41" s="349">
        <f t="shared" si="2"/>
        <v>3760000</v>
      </c>
      <c r="G41" s="350">
        <v>113048</v>
      </c>
      <c r="H41" s="349">
        <f t="shared" si="3"/>
        <v>4521920</v>
      </c>
      <c r="I41" s="1285">
        <f>IFERROR(VLOOKUP(A41,'valores unit indexados'!$A$14:$O$197,15,FALSE),0)</f>
        <v>91145</v>
      </c>
      <c r="J41" s="350">
        <f t="shared" si="5"/>
        <v>3645800</v>
      </c>
      <c r="L41" s="354" t="str">
        <f t="shared" si="4"/>
        <v>A. 2,8</v>
      </c>
      <c r="M41" s="358" t="str">
        <f t="shared" si="4"/>
        <v>Suministro e instalación de Canal en lamina galvanizada cal 22, incluye platina para soporte canal</v>
      </c>
      <c r="N41" s="356" t="str">
        <f t="shared" si="4"/>
        <v>ML</v>
      </c>
      <c r="O41" s="348">
        <f t="shared" si="4"/>
        <v>40</v>
      </c>
      <c r="P41" s="423">
        <f>+'estudio inicial precios'!P56</f>
        <v>92573</v>
      </c>
      <c r="Q41" s="423">
        <f t="shared" si="6"/>
        <v>3702920</v>
      </c>
    </row>
    <row r="42" spans="1:60" ht="12.75" customHeight="1" outlineLevel="1" x14ac:dyDescent="0.2">
      <c r="A42" s="362" t="s">
        <v>58</v>
      </c>
      <c r="B42" s="358" t="s">
        <v>59</v>
      </c>
      <c r="C42" s="356" t="s">
        <v>14</v>
      </c>
      <c r="D42" s="348">
        <v>40</v>
      </c>
      <c r="E42" s="353">
        <v>16000</v>
      </c>
      <c r="F42" s="349">
        <f t="shared" si="2"/>
        <v>640000</v>
      </c>
      <c r="G42" s="350">
        <v>16848</v>
      </c>
      <c r="H42" s="349">
        <f t="shared" si="3"/>
        <v>673920</v>
      </c>
      <c r="I42" s="1285">
        <f>IFERROR(VLOOKUP(A42,'valores unit indexados'!$A$14:$O$197,15,FALSE),0)</f>
        <v>13382</v>
      </c>
      <c r="J42" s="350">
        <f t="shared" si="5"/>
        <v>535280</v>
      </c>
      <c r="L42" s="362" t="str">
        <f t="shared" si="4"/>
        <v>A. 2,9</v>
      </c>
      <c r="M42" s="358" t="str">
        <f t="shared" si="4"/>
        <v>Corte de muro con pulidora</v>
      </c>
      <c r="N42" s="356" t="str">
        <f t="shared" si="4"/>
        <v>ML</v>
      </c>
      <c r="O42" s="348">
        <f t="shared" si="4"/>
        <v>40</v>
      </c>
      <c r="P42" s="423">
        <f>+'estudio inicial precios'!P57</f>
        <v>15410</v>
      </c>
      <c r="Q42" s="423">
        <f t="shared" si="6"/>
        <v>616400</v>
      </c>
    </row>
    <row r="43" spans="1:60" ht="25.5" customHeight="1" outlineLevel="1" x14ac:dyDescent="0.2">
      <c r="A43" s="354" t="s">
        <v>60</v>
      </c>
      <c r="B43" s="358" t="s">
        <v>61</v>
      </c>
      <c r="C43" s="356" t="s">
        <v>14</v>
      </c>
      <c r="D43" s="348">
        <v>70</v>
      </c>
      <c r="E43" s="353">
        <v>46000</v>
      </c>
      <c r="F43" s="349">
        <f t="shared" si="2"/>
        <v>3220000</v>
      </c>
      <c r="G43" s="350">
        <v>57837</v>
      </c>
      <c r="H43" s="349">
        <f t="shared" si="3"/>
        <v>4048590</v>
      </c>
      <c r="I43" s="1285">
        <f>IFERROR(VLOOKUP(A43,'valores unit indexados'!$A$14:$O$197,15,FALSE),0)</f>
        <v>0</v>
      </c>
      <c r="J43" s="350">
        <f t="shared" si="5"/>
        <v>0</v>
      </c>
      <c r="L43" s="354" t="str">
        <f t="shared" si="4"/>
        <v>A. 2,10</v>
      </c>
      <c r="M43" s="358" t="str">
        <f t="shared" si="4"/>
        <v>Suministro e instalación de Solapa en lamina galvanizada Cal 24, incluye sellador sobre muro</v>
      </c>
      <c r="N43" s="356" t="str">
        <f t="shared" si="4"/>
        <v>ML</v>
      </c>
      <c r="O43" s="348">
        <f t="shared" si="4"/>
        <v>70</v>
      </c>
      <c r="P43" s="423">
        <f>+'estudio inicial precios'!P58</f>
        <v>51919</v>
      </c>
      <c r="Q43" s="423">
        <f t="shared" si="6"/>
        <v>3634330</v>
      </c>
    </row>
    <row r="44" spans="1:60" ht="12.75" customHeight="1" outlineLevel="1" x14ac:dyDescent="0.2">
      <c r="A44" s="362" t="s">
        <v>62</v>
      </c>
      <c r="B44" s="358" t="s">
        <v>63</v>
      </c>
      <c r="C44" s="356" t="s">
        <v>6</v>
      </c>
      <c r="D44" s="348">
        <v>10</v>
      </c>
      <c r="E44" s="353">
        <v>27000</v>
      </c>
      <c r="F44" s="349">
        <f t="shared" si="2"/>
        <v>270000</v>
      </c>
      <c r="G44" s="350">
        <v>6667.1</v>
      </c>
      <c r="H44" s="349">
        <f t="shared" si="3"/>
        <v>66671</v>
      </c>
      <c r="I44" s="1285">
        <f>IFERROR(VLOOKUP(A44,'valores unit indexados'!$A$14:$O$197,15,FALSE),0)</f>
        <v>26036</v>
      </c>
      <c r="J44" s="350">
        <f t="shared" si="5"/>
        <v>260360</v>
      </c>
      <c r="L44" s="362" t="str">
        <f t="shared" si="4"/>
        <v>A. 2,11</v>
      </c>
      <c r="M44" s="358" t="str">
        <f t="shared" si="4"/>
        <v>Suministro e instalación de soscos para canal en 3"</v>
      </c>
      <c r="N44" s="356" t="str">
        <f t="shared" si="4"/>
        <v>UND</v>
      </c>
      <c r="O44" s="348">
        <f t="shared" si="4"/>
        <v>10</v>
      </c>
      <c r="P44" s="423">
        <f>+'estudio inicial precios'!P59</f>
        <v>26518</v>
      </c>
      <c r="Q44" s="423">
        <f t="shared" si="6"/>
        <v>265180</v>
      </c>
    </row>
    <row r="45" spans="1:60" ht="25.5" customHeight="1" outlineLevel="1" x14ac:dyDescent="0.2">
      <c r="A45" s="354" t="s">
        <v>64</v>
      </c>
      <c r="B45" s="358" t="s">
        <v>65</v>
      </c>
      <c r="C45" s="356" t="s">
        <v>14</v>
      </c>
      <c r="D45" s="348">
        <v>80</v>
      </c>
      <c r="E45" s="353">
        <v>48000</v>
      </c>
      <c r="F45" s="349">
        <f t="shared" si="2"/>
        <v>3840000</v>
      </c>
      <c r="G45" s="350">
        <v>36283</v>
      </c>
      <c r="H45" s="349">
        <f t="shared" si="3"/>
        <v>2902640</v>
      </c>
      <c r="I45" s="1285">
        <f>IFERROR(VLOOKUP(A45,'valores unit indexados'!$A$14:$O$197,15,FALSE),0)</f>
        <v>75401</v>
      </c>
      <c r="J45" s="350">
        <f t="shared" si="5"/>
        <v>6032080</v>
      </c>
      <c r="L45" s="354" t="str">
        <f t="shared" si="4"/>
        <v>A. 2,12</v>
      </c>
      <c r="M45" s="358" t="str">
        <f t="shared" si="4"/>
        <v>Suministro e instalación tubería sanitaria de 4 " incluye accesorios.</v>
      </c>
      <c r="N45" s="356" t="str">
        <f t="shared" si="4"/>
        <v>ML</v>
      </c>
      <c r="O45" s="348">
        <f t="shared" si="4"/>
        <v>80</v>
      </c>
      <c r="P45" s="423">
        <f>+'estudio inicial precios'!P60</f>
        <v>42142</v>
      </c>
      <c r="Q45" s="423">
        <f t="shared" si="6"/>
        <v>3371360</v>
      </c>
    </row>
    <row r="46" spans="1:60" ht="12.75" customHeight="1" outlineLevel="1" x14ac:dyDescent="0.2">
      <c r="A46" s="354" t="s">
        <v>66</v>
      </c>
      <c r="B46" s="358" t="s">
        <v>67</v>
      </c>
      <c r="C46" s="356" t="s">
        <v>14</v>
      </c>
      <c r="D46" s="348">
        <v>7</v>
      </c>
      <c r="E46" s="353">
        <v>145000</v>
      </c>
      <c r="F46" s="349">
        <f t="shared" si="2"/>
        <v>1015000</v>
      </c>
      <c r="G46" s="350">
        <v>106490.8</v>
      </c>
      <c r="H46" s="349">
        <f t="shared" si="3"/>
        <v>745435.6</v>
      </c>
      <c r="I46" s="1285">
        <f>IFERROR(VLOOKUP(A46,'valores unit indexados'!$A$14:$O$197,15,FALSE),0)</f>
        <v>0</v>
      </c>
      <c r="J46" s="350">
        <f t="shared" si="5"/>
        <v>0</v>
      </c>
      <c r="L46" s="354" t="str">
        <f t="shared" si="4"/>
        <v>A. 2,13</v>
      </c>
      <c r="M46" s="358" t="str">
        <f t="shared" si="4"/>
        <v>Suministro e instalación tubo de pasamanos de 2"</v>
      </c>
      <c r="N46" s="356" t="str">
        <f t="shared" si="4"/>
        <v>ML</v>
      </c>
      <c r="O46" s="348">
        <f t="shared" si="4"/>
        <v>7</v>
      </c>
      <c r="P46" s="423">
        <f>+'estudio inicial precios'!P61</f>
        <v>125745</v>
      </c>
      <c r="Q46" s="423">
        <f t="shared" si="6"/>
        <v>880215</v>
      </c>
    </row>
    <row r="47" spans="1:60" ht="51" customHeight="1" outlineLevel="1" x14ac:dyDescent="0.2">
      <c r="A47" s="354" t="s">
        <v>68</v>
      </c>
      <c r="B47" s="358" t="s">
        <v>1465</v>
      </c>
      <c r="C47" s="356" t="s">
        <v>6</v>
      </c>
      <c r="D47" s="348">
        <v>1</v>
      </c>
      <c r="E47" s="350">
        <v>1200000</v>
      </c>
      <c r="F47" s="349">
        <f t="shared" si="2"/>
        <v>1200000</v>
      </c>
      <c r="G47" s="350">
        <v>550000</v>
      </c>
      <c r="H47" s="349">
        <f t="shared" si="3"/>
        <v>550000</v>
      </c>
      <c r="I47" s="1285">
        <f>IFERROR(VLOOKUP(A47,'valores unit indexados'!$A$14:$O$197,15,FALSE),0)</f>
        <v>0</v>
      </c>
      <c r="J47" s="350">
        <f t="shared" si="5"/>
        <v>0</v>
      </c>
      <c r="L47" s="354" t="str">
        <f t="shared" si="4"/>
        <v>A. 2,14</v>
      </c>
      <c r="M47" s="358" t="str">
        <f t="shared" si="4"/>
        <v>Suministro e instalación pasarela o plataforma metálica en rejilla de acero con 2 pasos en cada extremo cuyas medidas son  80 cm ancho, 160cm de largo y 40 cm de latura, incluye  pasamanos</v>
      </c>
      <c r="N47" s="356" t="str">
        <f t="shared" si="4"/>
        <v>UND</v>
      </c>
      <c r="O47" s="348">
        <f t="shared" si="4"/>
        <v>1</v>
      </c>
      <c r="P47" s="423">
        <f>+'estudio inicial precios'!P62</f>
        <v>875000</v>
      </c>
      <c r="Q47" s="423">
        <f t="shared" si="6"/>
        <v>875000</v>
      </c>
    </row>
    <row r="48" spans="1:60" s="1533" customFormat="1" ht="24.75" customHeight="1" outlineLevel="1" x14ac:dyDescent="0.2">
      <c r="A48" s="1527" t="s">
        <v>69</v>
      </c>
      <c r="B48" s="1528" t="s">
        <v>70</v>
      </c>
      <c r="C48" s="1527"/>
      <c r="D48" s="1529"/>
      <c r="E48" s="1530"/>
      <c r="F48" s="1531">
        <f t="shared" si="2"/>
        <v>0</v>
      </c>
      <c r="G48" s="1530"/>
      <c r="H48" s="1531">
        <f t="shared" si="3"/>
        <v>0</v>
      </c>
      <c r="I48" s="1532"/>
      <c r="J48" s="1527"/>
      <c r="K48" s="1544"/>
      <c r="L48" s="1527" t="str">
        <f t="shared" si="4"/>
        <v>A. 3</v>
      </c>
      <c r="M48" s="1836"/>
      <c r="N48" s="1837"/>
      <c r="O48" s="1837"/>
      <c r="P48" s="1837"/>
      <c r="Q48" s="1838"/>
      <c r="R48" s="1544"/>
      <c r="S48" s="1544"/>
      <c r="T48" s="1544"/>
      <c r="U48" s="1544"/>
      <c r="V48" s="1544"/>
      <c r="W48" s="1544"/>
      <c r="X48" s="1544"/>
      <c r="Y48" s="1544"/>
      <c r="Z48" s="1544"/>
      <c r="AA48" s="1544"/>
      <c r="AB48" s="1544"/>
      <c r="AC48" s="1544"/>
      <c r="AD48" s="1544"/>
      <c r="AE48" s="1544"/>
      <c r="AF48" s="1544"/>
      <c r="AG48" s="1544"/>
      <c r="AH48" s="1544"/>
      <c r="AI48" s="1544"/>
      <c r="AJ48" s="1544"/>
      <c r="AK48" s="1544"/>
      <c r="AL48" s="1544"/>
      <c r="AM48" s="1544"/>
      <c r="AN48" s="1544"/>
      <c r="AO48" s="1544"/>
      <c r="AP48" s="1544"/>
      <c r="AQ48" s="1544"/>
      <c r="AR48" s="1544"/>
      <c r="AS48" s="1544"/>
      <c r="AT48" s="1544"/>
      <c r="AU48" s="1544"/>
      <c r="AV48" s="1544"/>
      <c r="AW48" s="1544"/>
      <c r="AX48" s="1544"/>
      <c r="AY48" s="1544"/>
      <c r="AZ48" s="1544"/>
      <c r="BA48" s="1544"/>
      <c r="BB48" s="1544"/>
      <c r="BC48" s="1544"/>
      <c r="BD48" s="1544"/>
      <c r="BE48" s="1544"/>
      <c r="BF48" s="1544"/>
      <c r="BG48" s="1544"/>
      <c r="BH48" s="1544"/>
    </row>
    <row r="49" spans="1:60" ht="25.5" customHeight="1" outlineLevel="1" x14ac:dyDescent="0.2">
      <c r="A49" s="340" t="s">
        <v>71</v>
      </c>
      <c r="B49" s="360" t="s">
        <v>72</v>
      </c>
      <c r="C49" s="363" t="s">
        <v>19</v>
      </c>
      <c r="D49" s="348">
        <v>191</v>
      </c>
      <c r="E49" s="379">
        <v>20000</v>
      </c>
      <c r="F49" s="412">
        <f t="shared" si="2"/>
        <v>3820000</v>
      </c>
      <c r="G49" s="412">
        <v>19500</v>
      </c>
      <c r="H49" s="349">
        <f t="shared" si="3"/>
        <v>3724500</v>
      </c>
      <c r="I49" s="1285">
        <f>IFERROR(VLOOKUP(A49,'valores unit indexados'!$A$14:$O$197,15,FALSE),0)</f>
        <v>14660</v>
      </c>
      <c r="J49" s="350">
        <f t="shared" si="5"/>
        <v>2800060</v>
      </c>
      <c r="L49" s="340" t="str">
        <f t="shared" si="4"/>
        <v>A. 3,1</v>
      </c>
      <c r="M49" s="360" t="str">
        <f t="shared" si="4"/>
        <v xml:space="preserve">Retiro de manto existente, incluye retiro de escombros
</v>
      </c>
      <c r="N49" s="363" t="str">
        <f t="shared" si="4"/>
        <v>M2</v>
      </c>
      <c r="O49" s="348">
        <f t="shared" si="4"/>
        <v>191</v>
      </c>
      <c r="P49" s="423">
        <f>+'estudio inicial precios'!P64</f>
        <v>18053</v>
      </c>
      <c r="Q49" s="423">
        <f t="shared" si="6"/>
        <v>3448123</v>
      </c>
    </row>
    <row r="50" spans="1:60" ht="25.5" customHeight="1" outlineLevel="1" x14ac:dyDescent="0.2">
      <c r="A50" s="362" t="s">
        <v>73</v>
      </c>
      <c r="B50" s="364" t="s">
        <v>74</v>
      </c>
      <c r="C50" s="363" t="s">
        <v>19</v>
      </c>
      <c r="D50" s="348">
        <v>191</v>
      </c>
      <c r="E50" s="379">
        <v>35000</v>
      </c>
      <c r="F50" s="412">
        <f t="shared" si="2"/>
        <v>6685000</v>
      </c>
      <c r="G50" s="412">
        <v>3731</v>
      </c>
      <c r="H50" s="349">
        <f t="shared" si="3"/>
        <v>712621</v>
      </c>
      <c r="I50" s="1285">
        <f>IFERROR(VLOOKUP(A50,'valores unit indexados'!$A$14:$O$197,15,FALSE),0)</f>
        <v>29150</v>
      </c>
      <c r="J50" s="350">
        <f t="shared" si="5"/>
        <v>5567650</v>
      </c>
      <c r="L50" s="362" t="str">
        <f t="shared" si="4"/>
        <v>A. 3,2</v>
      </c>
      <c r="M50" s="364" t="str">
        <f t="shared" si="4"/>
        <v>Lavada y destronque de terraza a máquina (para retirar material bituminoso, incluye retiro)</v>
      </c>
      <c r="N50" s="363" t="str">
        <f t="shared" si="4"/>
        <v>M2</v>
      </c>
      <c r="O50" s="348">
        <f t="shared" si="4"/>
        <v>191</v>
      </c>
      <c r="P50" s="423">
        <f>+'estudio inicial precios'!P65</f>
        <v>32075</v>
      </c>
      <c r="Q50" s="423">
        <f t="shared" si="6"/>
        <v>6126325</v>
      </c>
    </row>
    <row r="51" spans="1:60" ht="25.5" customHeight="1" outlineLevel="1" x14ac:dyDescent="0.2">
      <c r="A51" s="340" t="s">
        <v>75</v>
      </c>
      <c r="B51" s="365" t="s">
        <v>76</v>
      </c>
      <c r="C51" s="366" t="s">
        <v>19</v>
      </c>
      <c r="D51" s="348">
        <v>51</v>
      </c>
      <c r="E51" s="379">
        <v>280000</v>
      </c>
      <c r="F51" s="412">
        <f t="shared" si="2"/>
        <v>14280000</v>
      </c>
      <c r="G51" s="412">
        <v>128700</v>
      </c>
      <c r="H51" s="349">
        <f t="shared" si="3"/>
        <v>6563700</v>
      </c>
      <c r="I51" s="1285">
        <f>IFERROR(VLOOKUP(A51,'valores unit indexados'!$A$14:$O$197,15,FALSE),0)</f>
        <v>227816</v>
      </c>
      <c r="J51" s="350">
        <f t="shared" si="5"/>
        <v>11618616</v>
      </c>
      <c r="L51" s="340" t="str">
        <f t="shared" ref="L51:O82" si="7">+A51</f>
        <v>A. 3,3</v>
      </c>
      <c r="M51" s="365" t="str">
        <f t="shared" si="7"/>
        <v>Suministro e instalación de membrana pvc (incluye perlines de fijación)</v>
      </c>
      <c r="N51" s="366" t="str">
        <f t="shared" si="7"/>
        <v>M2</v>
      </c>
      <c r="O51" s="348">
        <f t="shared" si="7"/>
        <v>51</v>
      </c>
      <c r="P51" s="423">
        <f>+'estudio inicial precios'!P66</f>
        <v>212172</v>
      </c>
      <c r="Q51" s="423">
        <f t="shared" si="6"/>
        <v>10820772</v>
      </c>
    </row>
    <row r="52" spans="1:60" ht="12.75" customHeight="1" outlineLevel="1" x14ac:dyDescent="0.2">
      <c r="A52" s="362" t="s">
        <v>77</v>
      </c>
      <c r="B52" s="364" t="s">
        <v>78</v>
      </c>
      <c r="C52" s="363" t="s">
        <v>19</v>
      </c>
      <c r="D52" s="348">
        <v>140</v>
      </c>
      <c r="E52" s="379">
        <v>120000</v>
      </c>
      <c r="F52" s="412">
        <f t="shared" si="2"/>
        <v>16800000</v>
      </c>
      <c r="G52" s="412">
        <v>45981</v>
      </c>
      <c r="H52" s="349">
        <f t="shared" si="3"/>
        <v>6437340</v>
      </c>
      <c r="I52" s="1285">
        <f>IFERROR(VLOOKUP(A52,'valores unit indexados'!$A$14:$O$197,15,FALSE),0)</f>
        <v>0</v>
      </c>
      <c r="J52" s="350">
        <f t="shared" si="5"/>
        <v>0</v>
      </c>
      <c r="L52" s="362" t="str">
        <f t="shared" si="7"/>
        <v>A. 3,4</v>
      </c>
      <c r="M52" s="364" t="str">
        <f t="shared" si="7"/>
        <v xml:space="preserve">Suministro e instalación de enchape antideslizante </v>
      </c>
      <c r="N52" s="363" t="str">
        <f t="shared" si="7"/>
        <v>M2</v>
      </c>
      <c r="O52" s="348">
        <f t="shared" si="7"/>
        <v>140</v>
      </c>
      <c r="P52" s="423">
        <f>+'estudio inicial precios'!P67</f>
        <v>82991</v>
      </c>
      <c r="Q52" s="423">
        <f t="shared" si="6"/>
        <v>11618740</v>
      </c>
    </row>
    <row r="53" spans="1:60" ht="38.25" customHeight="1" outlineLevel="1" x14ac:dyDescent="0.2">
      <c r="A53" s="362" t="s">
        <v>79</v>
      </c>
      <c r="B53" s="347" t="s">
        <v>1466</v>
      </c>
      <c r="C53" s="340" t="s">
        <v>19</v>
      </c>
      <c r="D53" s="348">
        <v>140</v>
      </c>
      <c r="E53" s="379">
        <v>45000</v>
      </c>
      <c r="F53" s="412">
        <f t="shared" si="2"/>
        <v>6300000</v>
      </c>
      <c r="G53" s="412">
        <v>32500</v>
      </c>
      <c r="H53" s="349">
        <f t="shared" si="3"/>
        <v>4550000</v>
      </c>
      <c r="I53" s="1285">
        <f>IFERROR(VLOOKUP(A53,'valores unit indexados'!$A$14:$O$197,15,FALSE),0)</f>
        <v>0</v>
      </c>
      <c r="J53" s="350">
        <f t="shared" si="5"/>
        <v>0</v>
      </c>
      <c r="L53" s="362" t="str">
        <f t="shared" si="7"/>
        <v>A. 3,5</v>
      </c>
      <c r="M53" s="347" t="str">
        <f t="shared" si="7"/>
        <v>Suministro y aplicación de mortero 1:3 con aditivo impermeabilizante espesor 5 cm con pendiente y terminación en cero.</v>
      </c>
      <c r="N53" s="340" t="str">
        <f t="shared" si="7"/>
        <v>M2</v>
      </c>
      <c r="O53" s="348">
        <f t="shared" si="7"/>
        <v>140</v>
      </c>
      <c r="P53" s="423">
        <f>+'estudio inicial precios'!P68</f>
        <v>38750</v>
      </c>
      <c r="Q53" s="423">
        <f t="shared" si="6"/>
        <v>5425000</v>
      </c>
    </row>
    <row r="54" spans="1:60" s="1533" customFormat="1" ht="24.75" customHeight="1" outlineLevel="1" x14ac:dyDescent="0.2">
      <c r="A54" s="1527" t="s">
        <v>81</v>
      </c>
      <c r="B54" s="1528" t="s">
        <v>82</v>
      </c>
      <c r="C54" s="1527"/>
      <c r="D54" s="1529"/>
      <c r="E54" s="1530"/>
      <c r="F54" s="1531">
        <f t="shared" si="2"/>
        <v>0</v>
      </c>
      <c r="G54" s="1530"/>
      <c r="H54" s="1531">
        <f t="shared" si="3"/>
        <v>0</v>
      </c>
      <c r="I54" s="1532"/>
      <c r="J54" s="1527"/>
      <c r="K54" s="1544"/>
      <c r="L54" s="1527" t="str">
        <f t="shared" si="7"/>
        <v>A. 4</v>
      </c>
      <c r="M54" s="1836"/>
      <c r="N54" s="1837"/>
      <c r="O54" s="1837"/>
      <c r="P54" s="1837"/>
      <c r="Q54" s="1838"/>
      <c r="R54" s="1544"/>
      <c r="S54" s="1544"/>
      <c r="T54" s="1544"/>
      <c r="U54" s="1544"/>
      <c r="V54" s="1544"/>
      <c r="W54" s="1544"/>
      <c r="X54" s="1544"/>
      <c r="Y54" s="1544"/>
      <c r="Z54" s="1544"/>
      <c r="AA54" s="1544"/>
      <c r="AB54" s="1544"/>
      <c r="AC54" s="1544"/>
      <c r="AD54" s="1544"/>
      <c r="AE54" s="1544"/>
      <c r="AF54" s="1544"/>
      <c r="AG54" s="1544"/>
      <c r="AH54" s="1544"/>
      <c r="AI54" s="1544"/>
      <c r="AJ54" s="1544"/>
      <c r="AK54" s="1544"/>
      <c r="AL54" s="1544"/>
      <c r="AM54" s="1544"/>
      <c r="AN54" s="1544"/>
      <c r="AO54" s="1544"/>
      <c r="AP54" s="1544"/>
      <c r="AQ54" s="1544"/>
      <c r="AR54" s="1544"/>
      <c r="AS54" s="1544"/>
      <c r="AT54" s="1544"/>
      <c r="AU54" s="1544"/>
      <c r="AV54" s="1544"/>
      <c r="AW54" s="1544"/>
      <c r="AX54" s="1544"/>
      <c r="AY54" s="1544"/>
      <c r="AZ54" s="1544"/>
      <c r="BA54" s="1544"/>
      <c r="BB54" s="1544"/>
      <c r="BC54" s="1544"/>
      <c r="BD54" s="1544"/>
      <c r="BE54" s="1544"/>
      <c r="BF54" s="1544"/>
      <c r="BG54" s="1544"/>
      <c r="BH54" s="1544"/>
    </row>
    <row r="55" spans="1:60" ht="12.75" customHeight="1" outlineLevel="1" x14ac:dyDescent="0.2">
      <c r="A55" s="354" t="s">
        <v>83</v>
      </c>
      <c r="B55" s="364" t="s">
        <v>84</v>
      </c>
      <c r="C55" s="367" t="s">
        <v>19</v>
      </c>
      <c r="D55" s="348">
        <v>247</v>
      </c>
      <c r="E55" s="379">
        <v>9000</v>
      </c>
      <c r="F55" s="412">
        <f t="shared" si="2"/>
        <v>2223000</v>
      </c>
      <c r="G55" s="412">
        <v>5200</v>
      </c>
      <c r="H55" s="349">
        <f t="shared" si="3"/>
        <v>1284400</v>
      </c>
      <c r="I55" s="1285">
        <f>IFERROR(VLOOKUP(A55,'valores unit indexados'!$A$14:$O$197,15,FALSE),0)</f>
        <v>6890</v>
      </c>
      <c r="J55" s="350">
        <f t="shared" si="5"/>
        <v>1701830</v>
      </c>
      <c r="L55" s="354" t="str">
        <f t="shared" si="7"/>
        <v>A. 4,1</v>
      </c>
      <c r="M55" s="364" t="str">
        <f t="shared" si="7"/>
        <v xml:space="preserve">Rasqueteada de pintura y retiro de mortero en mal estado  </v>
      </c>
      <c r="N55" s="367" t="str">
        <f t="shared" si="7"/>
        <v>M2</v>
      </c>
      <c r="O55" s="348">
        <f t="shared" si="7"/>
        <v>247</v>
      </c>
      <c r="P55" s="423">
        <f>+'estudio inicial precios'!P70</f>
        <v>6630</v>
      </c>
      <c r="Q55" s="423">
        <f t="shared" si="6"/>
        <v>1637610</v>
      </c>
    </row>
    <row r="56" spans="1:60" ht="38.25" customHeight="1" outlineLevel="1" x14ac:dyDescent="0.2">
      <c r="A56" s="346" t="s">
        <v>85</v>
      </c>
      <c r="B56" s="368" t="s">
        <v>86</v>
      </c>
      <c r="C56" s="367" t="s">
        <v>19</v>
      </c>
      <c r="D56" s="348">
        <v>247</v>
      </c>
      <c r="E56" s="379">
        <v>48000</v>
      </c>
      <c r="F56" s="412">
        <f t="shared" si="2"/>
        <v>11856000</v>
      </c>
      <c r="G56" s="412">
        <v>45500</v>
      </c>
      <c r="H56" s="349">
        <f t="shared" si="3"/>
        <v>11238500</v>
      </c>
      <c r="I56" s="1285">
        <f>IFERROR(VLOOKUP(A56,'valores unit indexados'!$A$14:$O$197,15,FALSE),0)</f>
        <v>41660</v>
      </c>
      <c r="J56" s="350">
        <f t="shared" si="5"/>
        <v>10290020</v>
      </c>
      <c r="L56" s="346" t="str">
        <f t="shared" si="7"/>
        <v>A. 4,2</v>
      </c>
      <c r="M56" s="368" t="str">
        <f t="shared" si="7"/>
        <v xml:space="preserve">Suministro e instalación de recubrimiento cementoso (Recubrimiento a base de cemento, arena y aditivos especiales), impermeable para muros color blanco </v>
      </c>
      <c r="N56" s="367" t="str">
        <f t="shared" si="7"/>
        <v>M2</v>
      </c>
      <c r="O56" s="348">
        <f t="shared" si="7"/>
        <v>247</v>
      </c>
      <c r="P56" s="423">
        <f>+'estudio inicial precios'!P71</f>
        <v>45053</v>
      </c>
      <c r="Q56" s="423">
        <f t="shared" si="6"/>
        <v>11128091</v>
      </c>
    </row>
    <row r="57" spans="1:60" ht="12.75" customHeight="1" outlineLevel="1" x14ac:dyDescent="0.2">
      <c r="A57" s="354" t="s">
        <v>87</v>
      </c>
      <c r="B57" s="368" t="s">
        <v>88</v>
      </c>
      <c r="C57" s="367" t="s">
        <v>19</v>
      </c>
      <c r="D57" s="348">
        <v>247</v>
      </c>
      <c r="E57" s="379">
        <v>28000</v>
      </c>
      <c r="F57" s="412">
        <f t="shared" si="2"/>
        <v>6916000</v>
      </c>
      <c r="G57" s="412">
        <v>11700</v>
      </c>
      <c r="H57" s="349">
        <f t="shared" si="3"/>
        <v>2889900</v>
      </c>
      <c r="I57" s="1285">
        <f>IFERROR(VLOOKUP(A57,'valores unit indexados'!$A$14:$O$197,15,FALSE),0)</f>
        <v>24610</v>
      </c>
      <c r="J57" s="350">
        <f t="shared" si="5"/>
        <v>6078670</v>
      </c>
      <c r="L57" s="354" t="str">
        <f t="shared" si="7"/>
        <v>A. 4,3</v>
      </c>
      <c r="M57" s="368" t="str">
        <f t="shared" si="7"/>
        <v xml:space="preserve">Suministro y aplicación de estuco plástico </v>
      </c>
      <c r="N57" s="367" t="str">
        <f t="shared" si="7"/>
        <v>M2</v>
      </c>
      <c r="O57" s="348">
        <f t="shared" si="7"/>
        <v>247</v>
      </c>
      <c r="P57" s="423">
        <f>+'estudio inicial precios'!P72</f>
        <v>26305</v>
      </c>
      <c r="Q57" s="423">
        <f t="shared" si="6"/>
        <v>6497335</v>
      </c>
    </row>
    <row r="58" spans="1:60" ht="12.75" customHeight="1" outlineLevel="1" x14ac:dyDescent="0.2">
      <c r="A58" s="346" t="s">
        <v>89</v>
      </c>
      <c r="B58" s="364" t="s">
        <v>90</v>
      </c>
      <c r="C58" s="367" t="s">
        <v>19</v>
      </c>
      <c r="D58" s="348">
        <v>353</v>
      </c>
      <c r="E58" s="379">
        <v>19000</v>
      </c>
      <c r="F58" s="412">
        <f t="shared" si="2"/>
        <v>6707000</v>
      </c>
      <c r="G58" s="412">
        <v>8710</v>
      </c>
      <c r="H58" s="349">
        <f t="shared" si="3"/>
        <v>3074630</v>
      </c>
      <c r="I58" s="1285">
        <f>IFERROR(VLOOKUP(A58,'valores unit indexados'!$A$14:$O$197,15,FALSE),0)</f>
        <v>0</v>
      </c>
      <c r="J58" s="350">
        <f t="shared" si="5"/>
        <v>0</v>
      </c>
      <c r="L58" s="346" t="str">
        <f t="shared" si="7"/>
        <v>A. 4,4</v>
      </c>
      <c r="M58" s="364" t="str">
        <f t="shared" si="7"/>
        <v>Suministro y aplicación de vinilo tipo 1 (3 manos)</v>
      </c>
      <c r="N58" s="367" t="str">
        <f t="shared" si="7"/>
        <v>M2</v>
      </c>
      <c r="O58" s="348">
        <f t="shared" si="7"/>
        <v>353</v>
      </c>
      <c r="P58" s="423">
        <f>+'estudio inicial precios'!P73</f>
        <v>19000</v>
      </c>
      <c r="Q58" s="423">
        <f t="shared" si="6"/>
        <v>6707000</v>
      </c>
    </row>
    <row r="59" spans="1:60" ht="12.75" customHeight="1" outlineLevel="1" x14ac:dyDescent="0.2">
      <c r="A59" s="354" t="s">
        <v>91</v>
      </c>
      <c r="B59" s="368" t="s">
        <v>92</v>
      </c>
      <c r="C59" s="367" t="s">
        <v>19</v>
      </c>
      <c r="D59" s="348">
        <v>67.16200000000002</v>
      </c>
      <c r="E59" s="379">
        <v>18000</v>
      </c>
      <c r="F59" s="412">
        <f t="shared" si="2"/>
        <v>1208916.0000000005</v>
      </c>
      <c r="G59" s="412">
        <v>8710</v>
      </c>
      <c r="H59" s="349">
        <f t="shared" si="3"/>
        <v>584981.02000000014</v>
      </c>
      <c r="I59" s="1285">
        <f>IFERROR(VLOOKUP(A59,'valores unit indexados'!$A$14:$O$197,15,FALSE),0)</f>
        <v>17005</v>
      </c>
      <c r="J59" s="350">
        <f t="shared" si="5"/>
        <v>1142089.8100000003</v>
      </c>
      <c r="L59" s="354" t="str">
        <f t="shared" si="7"/>
        <v>A. 4,5</v>
      </c>
      <c r="M59" s="368" t="str">
        <f t="shared" si="7"/>
        <v>Suministro y aplicación de pintura en esmalte</v>
      </c>
      <c r="N59" s="367" t="str">
        <f t="shared" si="7"/>
        <v>M2</v>
      </c>
      <c r="O59" s="348">
        <f t="shared" si="7"/>
        <v>67.16200000000002</v>
      </c>
      <c r="P59" s="423">
        <f>+'estudio inicial precios'!P74</f>
        <v>17503</v>
      </c>
      <c r="Q59" s="423">
        <f>ROUND(P59*O59,0)</f>
        <v>1175536</v>
      </c>
    </row>
    <row r="60" spans="1:60" ht="12.75" customHeight="1" outlineLevel="1" x14ac:dyDescent="0.2">
      <c r="A60" s="346" t="s">
        <v>93</v>
      </c>
      <c r="B60" s="364" t="s">
        <v>94</v>
      </c>
      <c r="C60" s="367" t="s">
        <v>19</v>
      </c>
      <c r="D60" s="348">
        <v>66</v>
      </c>
      <c r="E60" s="379">
        <v>17000</v>
      </c>
      <c r="F60" s="412">
        <f t="shared" si="2"/>
        <v>1122000</v>
      </c>
      <c r="G60" s="412">
        <v>8710</v>
      </c>
      <c r="H60" s="349">
        <f t="shared" si="3"/>
        <v>574860</v>
      </c>
      <c r="I60" s="1285">
        <f>IFERROR(VLOOKUP(A60,'valores unit indexados'!$A$14:$O$197,15,FALSE),0)</f>
        <v>0</v>
      </c>
      <c r="J60" s="350">
        <f t="shared" si="5"/>
        <v>0</v>
      </c>
      <c r="L60" s="346" t="str">
        <f t="shared" si="7"/>
        <v>A. 4,6</v>
      </c>
      <c r="M60" s="364" t="str">
        <f t="shared" si="7"/>
        <v>Suministro y aplicación de pintura cielo vinilo tipo 1</v>
      </c>
      <c r="N60" s="367" t="str">
        <f t="shared" si="7"/>
        <v>M2</v>
      </c>
      <c r="O60" s="348">
        <f t="shared" si="7"/>
        <v>66</v>
      </c>
      <c r="P60" s="423">
        <f>+'estudio inicial precios'!P75</f>
        <v>17000</v>
      </c>
      <c r="Q60" s="423">
        <f t="shared" si="6"/>
        <v>1122000</v>
      </c>
    </row>
    <row r="61" spans="1:60" ht="12.75" customHeight="1" outlineLevel="1" x14ac:dyDescent="0.2">
      <c r="A61" s="354" t="s">
        <v>95</v>
      </c>
      <c r="B61" s="364" t="s">
        <v>84</v>
      </c>
      <c r="C61" s="367" t="s">
        <v>14</v>
      </c>
      <c r="D61" s="348">
        <v>73</v>
      </c>
      <c r="E61" s="379">
        <v>7500</v>
      </c>
      <c r="F61" s="412">
        <f t="shared" si="2"/>
        <v>547500</v>
      </c>
      <c r="G61" s="412">
        <v>5200</v>
      </c>
      <c r="H61" s="349">
        <f t="shared" si="3"/>
        <v>379600</v>
      </c>
      <c r="I61" s="1285">
        <f>IFERROR(VLOOKUP(A61,'valores unit indexados'!$A$14:$O$197,15,FALSE),0)</f>
        <v>0</v>
      </c>
      <c r="J61" s="350">
        <f t="shared" si="5"/>
        <v>0</v>
      </c>
      <c r="L61" s="354" t="str">
        <f t="shared" si="7"/>
        <v>A. 4,7</v>
      </c>
      <c r="M61" s="364" t="str">
        <f t="shared" si="7"/>
        <v xml:space="preserve">Rasqueteada de pintura y retiro de mortero en mal estado  </v>
      </c>
      <c r="N61" s="367" t="str">
        <f t="shared" si="7"/>
        <v>ML</v>
      </c>
      <c r="O61" s="348">
        <f t="shared" si="7"/>
        <v>73</v>
      </c>
      <c r="P61" s="423">
        <f>+'estudio inicial precios'!P76</f>
        <v>4700</v>
      </c>
      <c r="Q61" s="423">
        <f t="shared" si="6"/>
        <v>343100</v>
      </c>
    </row>
    <row r="62" spans="1:60" ht="12.75" customHeight="1" outlineLevel="1" x14ac:dyDescent="0.2">
      <c r="A62" s="346" t="s">
        <v>96</v>
      </c>
      <c r="B62" s="368" t="s">
        <v>88</v>
      </c>
      <c r="C62" s="367" t="s">
        <v>14</v>
      </c>
      <c r="D62" s="348">
        <v>121</v>
      </c>
      <c r="E62" s="379">
        <v>16800</v>
      </c>
      <c r="F62" s="412">
        <f t="shared" si="2"/>
        <v>2032800</v>
      </c>
      <c r="G62" s="412">
        <v>11700</v>
      </c>
      <c r="H62" s="349">
        <f t="shared" si="3"/>
        <v>1415700</v>
      </c>
      <c r="I62" s="1285">
        <f>IFERROR(VLOOKUP(A62,'valores unit indexados'!$A$14:$O$197,15,FALSE),0)</f>
        <v>24610</v>
      </c>
      <c r="J62" s="350">
        <f t="shared" si="5"/>
        <v>2977810</v>
      </c>
      <c r="L62" s="346" t="str">
        <f t="shared" si="7"/>
        <v>A. 4,8</v>
      </c>
      <c r="M62" s="368" t="str">
        <f t="shared" si="7"/>
        <v xml:space="preserve">Suministro y aplicación de estuco plástico </v>
      </c>
      <c r="N62" s="367" t="str">
        <f t="shared" si="7"/>
        <v>ML</v>
      </c>
      <c r="O62" s="348">
        <f t="shared" si="7"/>
        <v>121</v>
      </c>
      <c r="P62" s="423">
        <f>+'estudio inicial precios'!P77</f>
        <v>20705</v>
      </c>
      <c r="Q62" s="423">
        <f t="shared" si="6"/>
        <v>2505305</v>
      </c>
    </row>
    <row r="63" spans="1:60" ht="12.75" customHeight="1" outlineLevel="1" x14ac:dyDescent="0.2">
      <c r="A63" s="354" t="s">
        <v>97</v>
      </c>
      <c r="B63" s="358" t="s">
        <v>98</v>
      </c>
      <c r="C63" s="356" t="s">
        <v>14</v>
      </c>
      <c r="D63" s="348">
        <v>121</v>
      </c>
      <c r="E63" s="379">
        <v>10200</v>
      </c>
      <c r="F63" s="412">
        <f t="shared" si="2"/>
        <v>1234200</v>
      </c>
      <c r="G63" s="412">
        <v>5200</v>
      </c>
      <c r="H63" s="349">
        <f t="shared" si="3"/>
        <v>629200</v>
      </c>
      <c r="I63" s="1285">
        <f>IFERROR(VLOOKUP(A63,'valores unit indexados'!$A$14:$O$197,15,FALSE),0)</f>
        <v>0</v>
      </c>
      <c r="J63" s="350">
        <f t="shared" si="5"/>
        <v>0</v>
      </c>
      <c r="L63" s="354" t="str">
        <f t="shared" si="7"/>
        <v>A. 4,9</v>
      </c>
      <c r="M63" s="358" t="str">
        <f t="shared" si="7"/>
        <v>Suministro y aplicación de vinilo tipo 2 (3 manos)</v>
      </c>
      <c r="N63" s="356" t="str">
        <f t="shared" si="7"/>
        <v>ML</v>
      </c>
      <c r="O63" s="348">
        <f t="shared" si="7"/>
        <v>121</v>
      </c>
      <c r="P63" s="423">
        <f>+'estudio inicial precios'!P78</f>
        <v>6120</v>
      </c>
      <c r="Q63" s="423">
        <f t="shared" si="6"/>
        <v>740520</v>
      </c>
    </row>
    <row r="64" spans="1:60" ht="12.75" customHeight="1" outlineLevel="1" x14ac:dyDescent="0.2">
      <c r="A64" s="346" t="s">
        <v>99</v>
      </c>
      <c r="B64" s="358" t="s">
        <v>92</v>
      </c>
      <c r="C64" s="356" t="s">
        <v>14</v>
      </c>
      <c r="D64" s="348">
        <v>73</v>
      </c>
      <c r="E64" s="379">
        <v>10800</v>
      </c>
      <c r="F64" s="412">
        <f t="shared" si="2"/>
        <v>788400</v>
      </c>
      <c r="G64" s="412">
        <v>5200</v>
      </c>
      <c r="H64" s="349">
        <f t="shared" si="3"/>
        <v>379600</v>
      </c>
      <c r="I64" s="1285">
        <f>IFERROR(VLOOKUP(A64,'valores unit indexados'!$A$14:$O$197,15,FALSE),0)</f>
        <v>0</v>
      </c>
      <c r="J64" s="350">
        <f t="shared" si="5"/>
        <v>0</v>
      </c>
      <c r="L64" s="346" t="str">
        <f t="shared" si="7"/>
        <v>A. 4,10</v>
      </c>
      <c r="M64" s="358" t="str">
        <f t="shared" si="7"/>
        <v>Suministro y aplicación de pintura en esmalte</v>
      </c>
      <c r="N64" s="356" t="str">
        <f t="shared" si="7"/>
        <v>ML</v>
      </c>
      <c r="O64" s="348">
        <f t="shared" si="7"/>
        <v>73</v>
      </c>
      <c r="P64" s="423">
        <f>+'estudio inicial precios'!P79</f>
        <v>8000</v>
      </c>
      <c r="Q64" s="423">
        <f t="shared" si="6"/>
        <v>584000</v>
      </c>
    </row>
    <row r="65" spans="1:60" s="1533" customFormat="1" ht="24.75" customHeight="1" outlineLevel="1" x14ac:dyDescent="0.2">
      <c r="A65" s="1527" t="s">
        <v>100</v>
      </c>
      <c r="B65" s="1528" t="s">
        <v>1467</v>
      </c>
      <c r="C65" s="1527"/>
      <c r="D65" s="1529"/>
      <c r="E65" s="1530"/>
      <c r="F65" s="1531">
        <f t="shared" si="2"/>
        <v>0</v>
      </c>
      <c r="G65" s="1530"/>
      <c r="H65" s="1531">
        <f t="shared" si="3"/>
        <v>0</v>
      </c>
      <c r="I65" s="1532"/>
      <c r="J65" s="1527"/>
      <c r="K65" s="1544"/>
      <c r="L65" s="1527" t="str">
        <f t="shared" si="7"/>
        <v>A. 5</v>
      </c>
      <c r="M65" s="1836"/>
      <c r="N65" s="1837"/>
      <c r="O65" s="1837"/>
      <c r="P65" s="1837"/>
      <c r="Q65" s="1838"/>
      <c r="R65" s="1544"/>
      <c r="S65" s="1544"/>
      <c r="T65" s="1544"/>
      <c r="U65" s="1544"/>
      <c r="V65" s="1544"/>
      <c r="W65" s="1544"/>
      <c r="X65" s="1544"/>
      <c r="Y65" s="1544"/>
      <c r="Z65" s="1544"/>
      <c r="AA65" s="1544"/>
      <c r="AB65" s="1544"/>
      <c r="AC65" s="1544"/>
      <c r="AD65" s="1544"/>
      <c r="AE65" s="1544"/>
      <c r="AF65" s="1544"/>
      <c r="AG65" s="1544"/>
      <c r="AH65" s="1544"/>
      <c r="AI65" s="1544"/>
      <c r="AJ65" s="1544"/>
      <c r="AK65" s="1544"/>
      <c r="AL65" s="1544"/>
      <c r="AM65" s="1544"/>
      <c r="AN65" s="1544"/>
      <c r="AO65" s="1544"/>
      <c r="AP65" s="1544"/>
      <c r="AQ65" s="1544"/>
      <c r="AR65" s="1544"/>
      <c r="AS65" s="1544"/>
      <c r="AT65" s="1544"/>
      <c r="AU65" s="1544"/>
      <c r="AV65" s="1544"/>
      <c r="AW65" s="1544"/>
      <c r="AX65" s="1544"/>
      <c r="AY65" s="1544"/>
      <c r="AZ65" s="1544"/>
      <c r="BA65" s="1544"/>
      <c r="BB65" s="1544"/>
      <c r="BC65" s="1544"/>
      <c r="BD65" s="1544"/>
      <c r="BE65" s="1544"/>
      <c r="BF65" s="1544"/>
      <c r="BG65" s="1544"/>
      <c r="BH65" s="1544"/>
    </row>
    <row r="66" spans="1:60" ht="25.5" customHeight="1" outlineLevel="1" x14ac:dyDescent="0.2">
      <c r="A66" s="346" t="s">
        <v>102</v>
      </c>
      <c r="B66" s="358" t="s">
        <v>103</v>
      </c>
      <c r="C66" s="356" t="s">
        <v>19</v>
      </c>
      <c r="D66" s="348">
        <v>158</v>
      </c>
      <c r="E66" s="353">
        <v>130000</v>
      </c>
      <c r="F66" s="349">
        <f t="shared" si="2"/>
        <v>20540000</v>
      </c>
      <c r="G66" s="349">
        <v>122971.77200000001</v>
      </c>
      <c r="H66" s="349">
        <f t="shared" si="3"/>
        <v>19429539.976000004</v>
      </c>
      <c r="I66" s="1285">
        <f>IFERROR(VLOOKUP(A66,'valores unit indexados'!$A$14:$O$197,15,FALSE),0)</f>
        <v>113422</v>
      </c>
      <c r="J66" s="350">
        <f t="shared" si="5"/>
        <v>17920676</v>
      </c>
      <c r="L66" s="346" t="str">
        <f t="shared" si="7"/>
        <v>A. 5,1</v>
      </c>
      <c r="M66" s="358" t="str">
        <f t="shared" si="7"/>
        <v>Suministro e instalación muro en perfilería de 90mm en panel yeso de 1/2 , doble cara insonorizado. Altura piso techo</v>
      </c>
      <c r="N66" s="356" t="str">
        <f t="shared" si="7"/>
        <v>M2</v>
      </c>
      <c r="O66" s="1764">
        <f>+D66+98</f>
        <v>256</v>
      </c>
      <c r="P66" s="423">
        <f>+'estudio inicial precios'!P81</f>
        <v>122131</v>
      </c>
      <c r="Q66" s="423">
        <f t="shared" si="6"/>
        <v>31265536</v>
      </c>
    </row>
    <row r="67" spans="1:60" ht="12.75" customHeight="1" outlineLevel="1" x14ac:dyDescent="0.2">
      <c r="A67" s="346" t="s">
        <v>104</v>
      </c>
      <c r="B67" s="347" t="s">
        <v>105</v>
      </c>
      <c r="C67" s="356" t="s">
        <v>14</v>
      </c>
      <c r="D67" s="348">
        <v>40</v>
      </c>
      <c r="E67" s="379">
        <v>50000</v>
      </c>
      <c r="F67" s="412">
        <f t="shared" si="2"/>
        <v>2000000</v>
      </c>
      <c r="G67" s="412">
        <v>111069.57400000001</v>
      </c>
      <c r="H67" s="349">
        <f t="shared" si="3"/>
        <v>4442782.96</v>
      </c>
      <c r="I67" s="1285">
        <f>IFERROR(VLOOKUP(A67,'valores unit indexados'!$A$14:$O$197,15,FALSE),0)</f>
        <v>41152</v>
      </c>
      <c r="J67" s="350">
        <f t="shared" si="5"/>
        <v>1646080</v>
      </c>
      <c r="L67" s="346" t="str">
        <f t="shared" si="7"/>
        <v>A. 5,2</v>
      </c>
      <c r="M67" s="347" t="str">
        <f t="shared" si="7"/>
        <v>Suministro e instalación de alma en madera de 88mm</v>
      </c>
      <c r="N67" s="356" t="str">
        <f t="shared" si="7"/>
        <v>ML</v>
      </c>
      <c r="O67" s="1764">
        <f>+D67+20</f>
        <v>60</v>
      </c>
      <c r="P67" s="423">
        <f>+'estudio inicial precios'!P82</f>
        <v>45576</v>
      </c>
      <c r="Q67" s="423">
        <f t="shared" si="6"/>
        <v>2734560</v>
      </c>
    </row>
    <row r="68" spans="1:60" ht="51" customHeight="1" outlineLevel="1" x14ac:dyDescent="0.2">
      <c r="A68" s="346" t="s">
        <v>106</v>
      </c>
      <c r="B68" s="358" t="s">
        <v>1468</v>
      </c>
      <c r="C68" s="356" t="s">
        <v>14</v>
      </c>
      <c r="D68" s="348">
        <v>40</v>
      </c>
      <c r="E68" s="379">
        <v>78000</v>
      </c>
      <c r="F68" s="412">
        <f t="shared" si="2"/>
        <v>3120000</v>
      </c>
      <c r="G68" s="412">
        <v>76011.936000000002</v>
      </c>
      <c r="H68" s="349">
        <f t="shared" si="3"/>
        <v>3040477.44</v>
      </c>
      <c r="I68" s="1285">
        <f>IFERROR(VLOOKUP(A68,'valores unit indexados'!$A$14:$O$197,15,FALSE),0)</f>
        <v>46346</v>
      </c>
      <c r="J68" s="350">
        <f t="shared" si="5"/>
        <v>1853840</v>
      </c>
      <c r="L68" s="346" t="str">
        <f t="shared" si="7"/>
        <v>A. 5,3</v>
      </c>
      <c r="M68" s="358" t="str">
        <f t="shared" si="7"/>
        <v>Suministro e instalación de cartera en panel yeso de 12 cm incluye filos, con estructura galvanizada base 9 cal.24 encintada, masillada y rematada, con acabado en pintura de vinilo</v>
      </c>
      <c r="N68" s="356" t="str">
        <f t="shared" si="7"/>
        <v>ML</v>
      </c>
      <c r="O68" s="1764">
        <f>+D68+20</f>
        <v>60</v>
      </c>
      <c r="P68" s="423">
        <f>+'estudio inicial precios'!P83</f>
        <v>46346</v>
      </c>
      <c r="Q68" s="423">
        <f t="shared" si="6"/>
        <v>2780760</v>
      </c>
    </row>
    <row r="69" spans="1:60" ht="12.75" customHeight="1" outlineLevel="1" x14ac:dyDescent="0.2">
      <c r="A69" s="346" t="s">
        <v>108</v>
      </c>
      <c r="B69" s="347" t="s">
        <v>109</v>
      </c>
      <c r="C69" s="356" t="s">
        <v>14</v>
      </c>
      <c r="D69" s="348">
        <v>60</v>
      </c>
      <c r="E69" s="379">
        <v>50000</v>
      </c>
      <c r="F69" s="412">
        <f t="shared" si="2"/>
        <v>3000000</v>
      </c>
      <c r="G69" s="412">
        <v>17277</v>
      </c>
      <c r="H69" s="349">
        <f t="shared" si="3"/>
        <v>1036620</v>
      </c>
      <c r="I69" s="1285">
        <f>IFERROR(VLOOKUP(A69,'valores unit indexados'!$A$14:$O$197,15,FALSE),0)</f>
        <v>37101</v>
      </c>
      <c r="J69" s="350">
        <f t="shared" si="5"/>
        <v>2226060</v>
      </c>
      <c r="L69" s="346" t="str">
        <f t="shared" si="7"/>
        <v>A. 5,4</v>
      </c>
      <c r="M69" s="347" t="str">
        <f t="shared" si="7"/>
        <v>Suministro e instalación de guarda escoba en pvc</v>
      </c>
      <c r="N69" s="356" t="str">
        <f t="shared" si="7"/>
        <v>ML</v>
      </c>
      <c r="O69" s="1764">
        <f>+D69+12</f>
        <v>72</v>
      </c>
      <c r="P69" s="423">
        <f>+'estudio inicial precios'!P84</f>
        <v>37101</v>
      </c>
      <c r="Q69" s="423">
        <f t="shared" si="6"/>
        <v>2671272</v>
      </c>
    </row>
    <row r="70" spans="1:60" ht="51" customHeight="1" outlineLevel="1" x14ac:dyDescent="0.2">
      <c r="A70" s="362" t="s">
        <v>110</v>
      </c>
      <c r="B70" s="358" t="s">
        <v>111</v>
      </c>
      <c r="C70" s="363" t="s">
        <v>6</v>
      </c>
      <c r="D70" s="369">
        <v>8</v>
      </c>
      <c r="E70" s="1291">
        <v>650000</v>
      </c>
      <c r="F70" s="412">
        <f t="shared" si="2"/>
        <v>5200000</v>
      </c>
      <c r="G70" s="412">
        <v>802118.24000000011</v>
      </c>
      <c r="H70" s="349">
        <f t="shared" si="3"/>
        <v>6416945.9200000009</v>
      </c>
      <c r="I70" s="1285">
        <f>IFERROR(VLOOKUP(A70,'valores unit indexados'!$A$14:$O$197,15,FALSE),0)</f>
        <v>579485</v>
      </c>
      <c r="J70" s="350">
        <f t="shared" si="5"/>
        <v>4635880</v>
      </c>
      <c r="L70" s="362" t="str">
        <f t="shared" si="7"/>
        <v>A. 5,5</v>
      </c>
      <c r="M70" s="358" t="str">
        <f t="shared" si="7"/>
        <v>Suministro e instalación puerta entamborada (diseño similar a las existentes) cuyas medidas son de 80 cms de ancho x 200 cm alto, incluye marco y chapa, inmunización y pintura en Barniz</v>
      </c>
      <c r="N70" s="363" t="str">
        <f t="shared" si="7"/>
        <v>UND</v>
      </c>
      <c r="O70" s="1765">
        <f>+D70+4</f>
        <v>12</v>
      </c>
      <c r="P70" s="423">
        <f>+'estudio inicial precios'!P85</f>
        <v>614743</v>
      </c>
      <c r="Q70" s="423">
        <f t="shared" si="6"/>
        <v>7376916</v>
      </c>
    </row>
    <row r="71" spans="1:60" ht="12.75" customHeight="1" outlineLevel="1" x14ac:dyDescent="0.2">
      <c r="A71" s="362" t="s">
        <v>112</v>
      </c>
      <c r="B71" s="347" t="s">
        <v>871</v>
      </c>
      <c r="C71" s="356" t="s">
        <v>14</v>
      </c>
      <c r="D71" s="369">
        <v>1</v>
      </c>
      <c r="E71" s="1291">
        <v>55000</v>
      </c>
      <c r="F71" s="412">
        <f t="shared" si="2"/>
        <v>55000</v>
      </c>
      <c r="G71" s="412">
        <v>17979</v>
      </c>
      <c r="H71" s="349">
        <f t="shared" si="3"/>
        <v>17979</v>
      </c>
      <c r="I71" s="1285">
        <f>IFERROR(VLOOKUP(A71,'valores unit indexados'!$A$14:$O$197,15,FALSE),0)</f>
        <v>16829</v>
      </c>
      <c r="J71" s="350">
        <f t="shared" si="5"/>
        <v>16829</v>
      </c>
      <c r="L71" s="362" t="str">
        <f t="shared" si="7"/>
        <v>A. 5,6</v>
      </c>
      <c r="M71" s="347" t="str">
        <f t="shared" si="7"/>
        <v>Suministro e instalación de guarda escoba en cerámica</v>
      </c>
      <c r="N71" s="356" t="str">
        <f t="shared" si="7"/>
        <v>ML</v>
      </c>
      <c r="O71" s="369">
        <f t="shared" si="7"/>
        <v>1</v>
      </c>
      <c r="P71" s="423">
        <f>+'estudio inicial precios'!P86</f>
        <v>17404</v>
      </c>
      <c r="Q71" s="423">
        <f t="shared" si="6"/>
        <v>17404</v>
      </c>
    </row>
    <row r="72" spans="1:60" ht="38.25" customHeight="1" outlineLevel="1" x14ac:dyDescent="0.2">
      <c r="A72" s="362" t="s">
        <v>114</v>
      </c>
      <c r="B72" s="358" t="s">
        <v>115</v>
      </c>
      <c r="C72" s="356" t="s">
        <v>19</v>
      </c>
      <c r="D72" s="369">
        <v>16</v>
      </c>
      <c r="E72" s="1291">
        <v>80000</v>
      </c>
      <c r="F72" s="412">
        <f t="shared" si="2"/>
        <v>1280000</v>
      </c>
      <c r="G72" s="412">
        <v>47528</v>
      </c>
      <c r="H72" s="349">
        <f t="shared" si="3"/>
        <v>760448</v>
      </c>
      <c r="I72" s="1285">
        <f>IFERROR(VLOOKUP(A72,'valores unit indexados'!$A$14:$O$197,15,FALSE),0)</f>
        <v>0</v>
      </c>
      <c r="J72" s="350">
        <f t="shared" si="5"/>
        <v>0</v>
      </c>
      <c r="L72" s="362" t="str">
        <f t="shared" si="7"/>
        <v>A. 5,7</v>
      </c>
      <c r="M72" s="358" t="str">
        <f t="shared" si="7"/>
        <v>Suministro e instalación de panel yeso de 1/2 , una cara, encintada, masillada y rematada, con acabado en pintura de vinilo</v>
      </c>
      <c r="N72" s="356" t="str">
        <f t="shared" si="7"/>
        <v>M2</v>
      </c>
      <c r="O72" s="369">
        <f t="shared" si="7"/>
        <v>16</v>
      </c>
      <c r="P72" s="423">
        <f>+'estudio inicial precios'!P87</f>
        <v>63764</v>
      </c>
      <c r="Q72" s="423">
        <f t="shared" si="6"/>
        <v>1020224</v>
      </c>
    </row>
    <row r="73" spans="1:60" ht="51" customHeight="1" outlineLevel="1" x14ac:dyDescent="0.2">
      <c r="A73" s="354" t="s">
        <v>116</v>
      </c>
      <c r="B73" s="347" t="s">
        <v>117</v>
      </c>
      <c r="C73" s="363" t="s">
        <v>14</v>
      </c>
      <c r="D73" s="369">
        <v>139</v>
      </c>
      <c r="E73" s="1291">
        <v>75000</v>
      </c>
      <c r="F73" s="412">
        <f t="shared" si="2"/>
        <v>10425000</v>
      </c>
      <c r="G73" s="412">
        <v>31265</v>
      </c>
      <c r="H73" s="349">
        <f t="shared" si="3"/>
        <v>4345835</v>
      </c>
      <c r="I73" s="1285">
        <f>IFERROR(VLOOKUP(A73,'valores unit indexados'!$A$14:$O$197,15,FALSE),0)</f>
        <v>70329</v>
      </c>
      <c r="J73" s="350">
        <f t="shared" si="5"/>
        <v>9775731</v>
      </c>
      <c r="L73" s="354" t="str">
        <f t="shared" si="7"/>
        <v>A. 5,8</v>
      </c>
      <c r="M73" s="347" t="str">
        <f t="shared" si="7"/>
        <v>Suministro e instalación Canaleta 100 mm x 45 mm Plástica con división. Blanco PVC auto extinguible y Resistente a impactos hasta de 1 kg, Humedad, Aceites y Químicos., con sus respectivos elementos de Certificado_RETIE_</v>
      </c>
      <c r="N73" s="363" t="str">
        <f t="shared" si="7"/>
        <v>ML</v>
      </c>
      <c r="O73" s="1765">
        <f>+D73+102</f>
        <v>241</v>
      </c>
      <c r="P73" s="423">
        <f>+'estudio inicial precios'!P88</f>
        <v>72665</v>
      </c>
      <c r="Q73" s="423">
        <f t="shared" si="6"/>
        <v>17512265</v>
      </c>
    </row>
    <row r="74" spans="1:60" ht="38.25" customHeight="1" outlineLevel="1" x14ac:dyDescent="0.2">
      <c r="A74" s="348" t="s">
        <v>118</v>
      </c>
      <c r="B74" s="358" t="s">
        <v>119</v>
      </c>
      <c r="C74" s="356" t="s">
        <v>6</v>
      </c>
      <c r="D74" s="369">
        <v>105</v>
      </c>
      <c r="E74" s="1291">
        <v>38000</v>
      </c>
      <c r="F74" s="412">
        <f t="shared" si="2"/>
        <v>3990000</v>
      </c>
      <c r="G74" s="412">
        <v>16263</v>
      </c>
      <c r="H74" s="349">
        <f t="shared" si="3"/>
        <v>1707615</v>
      </c>
      <c r="I74" s="1285">
        <f>IFERROR(VLOOKUP(A74,'valores unit indexados'!$A$14:$O$197,15,FALSE),0)</f>
        <v>31702</v>
      </c>
      <c r="J74" s="350">
        <f t="shared" si="5"/>
        <v>3328710</v>
      </c>
      <c r="L74" s="348" t="str">
        <f t="shared" si="7"/>
        <v>A. 5,9</v>
      </c>
      <c r="M74" s="358" t="str">
        <f t="shared" si="7"/>
        <v xml:space="preserve">Suministro e instalación troquel para toma regulada, toma normal y toma de datos, incluye accesorios para su correcta instalación </v>
      </c>
      <c r="N74" s="356" t="str">
        <f t="shared" si="7"/>
        <v>UND</v>
      </c>
      <c r="O74" s="1765">
        <f>+D74+84</f>
        <v>189</v>
      </c>
      <c r="P74" s="423">
        <f>+'estudio inicial precios'!P89</f>
        <v>34851</v>
      </c>
      <c r="Q74" s="423">
        <f t="shared" si="6"/>
        <v>6586839</v>
      </c>
    </row>
    <row r="75" spans="1:60" ht="25.5" customHeight="1" outlineLevel="1" x14ac:dyDescent="0.2">
      <c r="A75" s="354" t="s">
        <v>120</v>
      </c>
      <c r="B75" s="358" t="s">
        <v>121</v>
      </c>
      <c r="C75" s="356" t="s">
        <v>14</v>
      </c>
      <c r="D75" s="369">
        <v>990</v>
      </c>
      <c r="E75" s="1291">
        <v>10550</v>
      </c>
      <c r="F75" s="412">
        <f t="shared" si="2"/>
        <v>10444500</v>
      </c>
      <c r="G75" s="412">
        <v>4732</v>
      </c>
      <c r="H75" s="349">
        <f t="shared" si="3"/>
        <v>4684680</v>
      </c>
      <c r="I75" s="1285">
        <f>IFERROR(VLOOKUP(A75,'valores unit indexados'!$A$14:$O$197,15,FALSE),0)</f>
        <v>10285</v>
      </c>
      <c r="J75" s="350">
        <f t="shared" si="5"/>
        <v>10182150</v>
      </c>
      <c r="L75" s="354" t="str">
        <f t="shared" si="7"/>
        <v>A. 5,10</v>
      </c>
      <c r="M75" s="358" t="str">
        <f t="shared" si="7"/>
        <v>Suministro e instalación de cable UTP Categoría 6A libre de halógeno LSZH</v>
      </c>
      <c r="N75" s="356" t="str">
        <f t="shared" si="7"/>
        <v>ML</v>
      </c>
      <c r="O75" s="1765">
        <f>+D75+980</f>
        <v>1970</v>
      </c>
      <c r="P75" s="423">
        <f>+'estudio inicial precios'!P90</f>
        <v>10418</v>
      </c>
      <c r="Q75" s="423">
        <f t="shared" si="6"/>
        <v>20523460</v>
      </c>
    </row>
    <row r="76" spans="1:60" ht="51" customHeight="1" outlineLevel="1" x14ac:dyDescent="0.2">
      <c r="A76" s="348" t="s">
        <v>122</v>
      </c>
      <c r="B76" s="358" t="s">
        <v>123</v>
      </c>
      <c r="C76" s="356" t="s">
        <v>6</v>
      </c>
      <c r="D76" s="369">
        <v>35</v>
      </c>
      <c r="E76" s="370">
        <v>72000</v>
      </c>
      <c r="F76" s="349">
        <f t="shared" si="2"/>
        <v>2520000</v>
      </c>
      <c r="G76" s="349">
        <v>112086</v>
      </c>
      <c r="H76" s="349">
        <f t="shared" si="3"/>
        <v>3923010</v>
      </c>
      <c r="I76" s="1285">
        <f>IFERROR(VLOOKUP(A76,'valores unit indexados'!$A$14:$O$197,15,FALSE),0)</f>
        <v>70740</v>
      </c>
      <c r="J76" s="350">
        <f t="shared" si="5"/>
        <v>2475900</v>
      </c>
      <c r="L76" s="348" t="str">
        <f t="shared" si="7"/>
        <v>A. 5,11</v>
      </c>
      <c r="M76" s="358" t="str">
        <f t="shared" si="7"/>
        <v>Suministro e instalación de toma hembra tipo jack rj 45 cat 6ª, utp, para puesto de trabajo o herraje. (incluye jacks rj45 cat. 6a amp, ponchada, maquillado y accesorios necesarios para su instalación)</v>
      </c>
      <c r="N76" s="356" t="str">
        <f t="shared" si="7"/>
        <v>UND</v>
      </c>
      <c r="O76" s="1765">
        <f>+D76+40</f>
        <v>75</v>
      </c>
      <c r="P76" s="423">
        <f>+'estudio inicial precios'!P91</f>
        <v>71370</v>
      </c>
      <c r="Q76" s="423">
        <f t="shared" si="6"/>
        <v>5352750</v>
      </c>
    </row>
    <row r="77" spans="1:60" ht="25.5" customHeight="1" outlineLevel="1" x14ac:dyDescent="0.2">
      <c r="A77" s="354" t="s">
        <v>124</v>
      </c>
      <c r="B77" s="358" t="s">
        <v>125</v>
      </c>
      <c r="C77" s="356" t="s">
        <v>6</v>
      </c>
      <c r="D77" s="369">
        <v>35</v>
      </c>
      <c r="E77" s="370">
        <v>20000</v>
      </c>
      <c r="F77" s="349">
        <f t="shared" si="2"/>
        <v>700000</v>
      </c>
      <c r="G77" s="349">
        <v>33267</v>
      </c>
      <c r="H77" s="349">
        <f t="shared" si="3"/>
        <v>1164345</v>
      </c>
      <c r="I77" s="1285">
        <f>IFERROR(VLOOKUP(A77,'valores unit indexados'!$A$14:$O$197,15,FALSE),0)</f>
        <v>20219</v>
      </c>
      <c r="J77" s="350">
        <f t="shared" si="5"/>
        <v>707665</v>
      </c>
      <c r="L77" s="354" t="str">
        <f t="shared" si="7"/>
        <v>A. 5,12</v>
      </c>
      <c r="M77" s="358" t="str">
        <f t="shared" si="7"/>
        <v>Suministro e instalación de faceplate de 1 salida (SOLO DATOS)</v>
      </c>
      <c r="N77" s="356" t="str">
        <f t="shared" si="7"/>
        <v>UND</v>
      </c>
      <c r="O77" s="1765">
        <f>+D77+28</f>
        <v>63</v>
      </c>
      <c r="P77" s="423">
        <f>+'estudio inicial precios'!P92</f>
        <v>20110</v>
      </c>
      <c r="Q77" s="423">
        <f t="shared" si="6"/>
        <v>1266930</v>
      </c>
    </row>
    <row r="78" spans="1:60" ht="51" customHeight="1" outlineLevel="1" x14ac:dyDescent="0.2">
      <c r="A78" s="348" t="s">
        <v>126</v>
      </c>
      <c r="B78" s="358" t="s">
        <v>127</v>
      </c>
      <c r="C78" s="356" t="s">
        <v>6</v>
      </c>
      <c r="D78" s="369">
        <v>35</v>
      </c>
      <c r="E78" s="370">
        <v>120000</v>
      </c>
      <c r="F78" s="349">
        <f t="shared" si="2"/>
        <v>4200000</v>
      </c>
      <c r="G78" s="371">
        <v>0</v>
      </c>
      <c r="H78" s="349">
        <f t="shared" si="3"/>
        <v>0</v>
      </c>
      <c r="I78" s="1285">
        <f>IFERROR(VLOOKUP(A78,'valores unit indexados'!$A$14:$O$197,15,FALSE),0)</f>
        <v>120233</v>
      </c>
      <c r="J78" s="350">
        <f t="shared" si="5"/>
        <v>4208155</v>
      </c>
      <c r="K78" s="1546"/>
      <c r="L78" s="348" t="str">
        <f t="shared" si="7"/>
        <v>A. 5,13</v>
      </c>
      <c r="M78" s="358" t="str">
        <f t="shared" si="7"/>
        <v>Suministro e instalación de salida eléctrica red regulada en puesto de trabajo con cable trenzado 3# 12 rojo, verde, blanco con aislamiento libre de halógeno, longitud de 1,5m incluye tomacorriente polo a tierra aislado</v>
      </c>
      <c r="N78" s="356" t="str">
        <f t="shared" si="7"/>
        <v>UND</v>
      </c>
      <c r="O78" s="1765">
        <f t="shared" si="7"/>
        <v>35</v>
      </c>
      <c r="P78" s="423">
        <f>+'estudio inicial precios'!P93</f>
        <v>119473</v>
      </c>
      <c r="Q78" s="423">
        <f t="shared" si="6"/>
        <v>4181555</v>
      </c>
    </row>
    <row r="79" spans="1:60" ht="51" customHeight="1" outlineLevel="1" x14ac:dyDescent="0.2">
      <c r="A79" s="354" t="s">
        <v>128</v>
      </c>
      <c r="B79" s="358" t="s">
        <v>129</v>
      </c>
      <c r="C79" s="356" t="s">
        <v>6</v>
      </c>
      <c r="D79" s="369">
        <v>35</v>
      </c>
      <c r="E79" s="370">
        <v>115000</v>
      </c>
      <c r="F79" s="349">
        <f t="shared" si="2"/>
        <v>4025000</v>
      </c>
      <c r="G79" s="371">
        <v>0</v>
      </c>
      <c r="H79" s="349">
        <f t="shared" si="3"/>
        <v>0</v>
      </c>
      <c r="I79" s="1285">
        <f>IFERROR(VLOOKUP(A79,'valores unit indexados'!$A$14:$O$197,15,FALSE),0)</f>
        <v>123946</v>
      </c>
      <c r="J79" s="350">
        <f t="shared" si="5"/>
        <v>4338110</v>
      </c>
      <c r="L79" s="354" t="str">
        <f t="shared" si="7"/>
        <v>A. 5,14</v>
      </c>
      <c r="M79" s="358" t="str">
        <f t="shared" si="7"/>
        <v xml:space="preserve">Suministro e instalación de salida eléctrica red normal en puesto de trabajo con  cable trenzado 3# 12 azul, verde, blanco con aislamiento libre de halógeno,  longitud de 1,5m incluye tomacorriente polo a tierra </v>
      </c>
      <c r="N79" s="356" t="str">
        <f t="shared" si="7"/>
        <v>UND</v>
      </c>
      <c r="O79" s="1765">
        <f>+D79+28</f>
        <v>63</v>
      </c>
      <c r="P79" s="423">
        <f>+'estudio inicial precios'!P94</f>
        <v>119473</v>
      </c>
      <c r="Q79" s="423">
        <f t="shared" si="6"/>
        <v>7526799</v>
      </c>
    </row>
    <row r="80" spans="1:60" ht="25.5" customHeight="1" outlineLevel="1" x14ac:dyDescent="0.2">
      <c r="A80" s="348" t="s">
        <v>130</v>
      </c>
      <c r="B80" s="358" t="s">
        <v>131</v>
      </c>
      <c r="C80" s="356" t="s">
        <v>6</v>
      </c>
      <c r="D80" s="369">
        <v>5</v>
      </c>
      <c r="E80" s="370">
        <v>95000</v>
      </c>
      <c r="F80" s="349">
        <f t="shared" si="2"/>
        <v>475000</v>
      </c>
      <c r="G80" s="349">
        <v>22000</v>
      </c>
      <c r="H80" s="349">
        <f t="shared" si="3"/>
        <v>110000</v>
      </c>
      <c r="I80" s="1285">
        <f>IFERROR(VLOOKUP(A80,'valores unit indexados'!$A$14:$O$197,15,FALSE),0)</f>
        <v>96760</v>
      </c>
      <c r="J80" s="350">
        <f t="shared" si="5"/>
        <v>483800</v>
      </c>
      <c r="L80" s="348" t="str">
        <f t="shared" si="7"/>
        <v>A. 5,15</v>
      </c>
      <c r="M80" s="358" t="str">
        <f t="shared" si="7"/>
        <v>Suministro e instalación de interruptor sencillo incluye caja de sobreponer y salida de iluminación</v>
      </c>
      <c r="N80" s="356" t="str">
        <f t="shared" si="7"/>
        <v>UND</v>
      </c>
      <c r="O80" s="1765">
        <f>+D80+4</f>
        <v>9</v>
      </c>
      <c r="P80" s="423">
        <f>+'estudio inicial precios'!P95</f>
        <v>95880</v>
      </c>
      <c r="Q80" s="423">
        <f t="shared" si="6"/>
        <v>862920</v>
      </c>
    </row>
    <row r="81" spans="1:60" ht="38.25" customHeight="1" outlineLevel="1" x14ac:dyDescent="0.2">
      <c r="A81" s="354" t="s">
        <v>132</v>
      </c>
      <c r="B81" s="358" t="s">
        <v>133</v>
      </c>
      <c r="C81" s="356" t="s">
        <v>6</v>
      </c>
      <c r="D81" s="369">
        <v>20</v>
      </c>
      <c r="E81" s="370">
        <v>115000</v>
      </c>
      <c r="F81" s="349">
        <f t="shared" si="2"/>
        <v>2300000</v>
      </c>
      <c r="G81" s="349">
        <v>80795</v>
      </c>
      <c r="H81" s="349">
        <f t="shared" si="3"/>
        <v>1615900</v>
      </c>
      <c r="I81" s="1285">
        <f>IFERROR(VLOOKUP(A81,'valores unit indexados'!$A$14:$O$197,15,FALSE),0)</f>
        <v>113729</v>
      </c>
      <c r="J81" s="350">
        <f t="shared" si="5"/>
        <v>2274580</v>
      </c>
      <c r="L81" s="354" t="str">
        <f t="shared" si="7"/>
        <v>A. 5,16</v>
      </c>
      <c r="M81" s="358" t="str">
        <f t="shared" si="7"/>
        <v>Suministro e instalación de Lámpara panel led de sobreponer 24w 100 -240 - 1680Lm de 6,500 K - horas mínimas de vida útil 25,000</v>
      </c>
      <c r="N81" s="356" t="str">
        <f t="shared" si="7"/>
        <v>UND</v>
      </c>
      <c r="O81" s="1765">
        <f t="shared" si="7"/>
        <v>20</v>
      </c>
      <c r="P81" s="423">
        <f>+'estudio inicial precios'!P96</f>
        <v>103175</v>
      </c>
      <c r="Q81" s="423">
        <f t="shared" si="6"/>
        <v>2063500</v>
      </c>
    </row>
    <row r="82" spans="1:60" ht="25.5" customHeight="1" outlineLevel="1" x14ac:dyDescent="0.2">
      <c r="A82" s="348" t="s">
        <v>134</v>
      </c>
      <c r="B82" s="358" t="s">
        <v>135</v>
      </c>
      <c r="C82" s="356" t="s">
        <v>14</v>
      </c>
      <c r="D82" s="369">
        <v>20</v>
      </c>
      <c r="E82" s="370">
        <v>17000</v>
      </c>
      <c r="F82" s="349">
        <f t="shared" si="2"/>
        <v>340000</v>
      </c>
      <c r="G82" s="349">
        <v>8736</v>
      </c>
      <c r="H82" s="349">
        <f t="shared" si="3"/>
        <v>174720</v>
      </c>
      <c r="I82" s="1285">
        <f>IFERROR(VLOOKUP(A82,'valores unit indexados'!$A$14:$O$197,15,FALSE),0)</f>
        <v>16536</v>
      </c>
      <c r="J82" s="350">
        <f t="shared" si="5"/>
        <v>330720</v>
      </c>
      <c r="L82" s="348" t="str">
        <f t="shared" si="7"/>
        <v>A. 5,17</v>
      </c>
      <c r="M82" s="358" t="str">
        <f t="shared" si="7"/>
        <v>Suministro e instalación de cable trenzado 3#12 AWG para circuito normal o regulado</v>
      </c>
      <c r="N82" s="356" t="str">
        <f t="shared" si="7"/>
        <v>ML</v>
      </c>
      <c r="O82" s="1765">
        <f t="shared" si="7"/>
        <v>20</v>
      </c>
      <c r="P82" s="423">
        <f>+'estudio inicial precios'!P97</f>
        <v>16768</v>
      </c>
      <c r="Q82" s="423">
        <f t="shared" si="6"/>
        <v>335360</v>
      </c>
    </row>
    <row r="83" spans="1:60" ht="12.75" customHeight="1" outlineLevel="1" x14ac:dyDescent="0.2">
      <c r="A83" s="354" t="s">
        <v>136</v>
      </c>
      <c r="B83" s="358" t="s">
        <v>1469</v>
      </c>
      <c r="C83" s="356" t="s">
        <v>6</v>
      </c>
      <c r="D83" s="369">
        <v>35</v>
      </c>
      <c r="E83" s="370">
        <v>38000</v>
      </c>
      <c r="F83" s="349">
        <f t="shared" si="2"/>
        <v>1330000</v>
      </c>
      <c r="G83" s="349">
        <v>12948</v>
      </c>
      <c r="H83" s="349">
        <f t="shared" si="3"/>
        <v>453180</v>
      </c>
      <c r="I83" s="1285">
        <f>IFERROR(VLOOKUP(A83,'valores unit indexados'!$A$14:$O$197,15,FALSE),0)</f>
        <v>34244</v>
      </c>
      <c r="J83" s="350">
        <f t="shared" si="5"/>
        <v>1198540</v>
      </c>
      <c r="L83" s="354" t="str">
        <f t="shared" ref="L83:O116" si="8">+A83</f>
        <v>A. 5,18</v>
      </c>
      <c r="M83" s="358" t="str">
        <f t="shared" si="8"/>
        <v>Suministro e instalación de patch cord 1.5mts CAT 6A</v>
      </c>
      <c r="N83" s="356" t="str">
        <f t="shared" si="8"/>
        <v>UND</v>
      </c>
      <c r="O83" s="1765">
        <f>+D83+28</f>
        <v>63</v>
      </c>
      <c r="P83" s="423">
        <f>+'estudio inicial precios'!P98</f>
        <v>36122</v>
      </c>
      <c r="Q83" s="423">
        <f t="shared" si="6"/>
        <v>2275686</v>
      </c>
    </row>
    <row r="84" spans="1:60" ht="12.75" customHeight="1" outlineLevel="1" x14ac:dyDescent="0.2">
      <c r="A84" s="348" t="s">
        <v>138</v>
      </c>
      <c r="B84" s="358" t="s">
        <v>1470</v>
      </c>
      <c r="C84" s="356" t="s">
        <v>6</v>
      </c>
      <c r="D84" s="369">
        <v>5</v>
      </c>
      <c r="E84" s="370">
        <v>48000</v>
      </c>
      <c r="F84" s="349">
        <f t="shared" si="2"/>
        <v>240000</v>
      </c>
      <c r="G84" s="349">
        <v>16848</v>
      </c>
      <c r="H84" s="349">
        <f t="shared" si="3"/>
        <v>84240</v>
      </c>
      <c r="I84" s="1285">
        <f>IFERROR(VLOOKUP(A84,'valores unit indexados'!$A$14:$O$197,15,FALSE),0)</f>
        <v>46067</v>
      </c>
      <c r="J84" s="350">
        <f t="shared" ref="J84:J116" si="9">+I84*D84</f>
        <v>230335</v>
      </c>
      <c r="L84" s="348" t="str">
        <f t="shared" si="8"/>
        <v>A. 5,19</v>
      </c>
      <c r="M84" s="358" t="str">
        <f t="shared" si="8"/>
        <v>Suministro e instalación de patch cord 3mts CAT 6A</v>
      </c>
      <c r="N84" s="356" t="str">
        <f t="shared" si="8"/>
        <v>UND</v>
      </c>
      <c r="O84" s="1765">
        <f t="shared" si="8"/>
        <v>5</v>
      </c>
      <c r="P84" s="423">
        <f>+'estudio inicial precios'!P99</f>
        <v>47034</v>
      </c>
      <c r="Q84" s="423">
        <f t="shared" si="6"/>
        <v>235170</v>
      </c>
    </row>
    <row r="85" spans="1:60" ht="25.5" customHeight="1" outlineLevel="1" x14ac:dyDescent="0.2">
      <c r="A85" s="354" t="s">
        <v>140</v>
      </c>
      <c r="B85" s="358" t="s">
        <v>141</v>
      </c>
      <c r="C85" s="356" t="s">
        <v>6</v>
      </c>
      <c r="D85" s="369">
        <v>1</v>
      </c>
      <c r="E85" s="370">
        <v>3500000</v>
      </c>
      <c r="F85" s="349">
        <f t="shared" ref="F85:F116" si="10">+E85*D85</f>
        <v>3500000</v>
      </c>
      <c r="G85" s="349">
        <v>2570000</v>
      </c>
      <c r="H85" s="349">
        <f t="shared" ref="H85:H116" si="11">+G85*D85</f>
        <v>2570000</v>
      </c>
      <c r="I85" s="1285">
        <f>IFERROR(VLOOKUP(A85,'valores unit indexados'!$A$14:$O$197,15,FALSE),0)</f>
        <v>3045320</v>
      </c>
      <c r="J85" s="350">
        <f t="shared" si="9"/>
        <v>3045320</v>
      </c>
      <c r="L85" s="354" t="str">
        <f t="shared" si="8"/>
        <v>A. 5,20</v>
      </c>
      <c r="M85" s="358" t="str">
        <f t="shared" si="8"/>
        <v>Suministro, instalación y configuración de Switch 24 puertos 10Base-T/100Base-T/1000Base-T</v>
      </c>
      <c r="N85" s="356" t="str">
        <f t="shared" si="8"/>
        <v>UND</v>
      </c>
      <c r="O85" s="1765">
        <f t="shared" si="8"/>
        <v>1</v>
      </c>
      <c r="P85" s="423">
        <f>+'estudio inicial precios'!P100</f>
        <v>3035000</v>
      </c>
      <c r="Q85" s="423">
        <f t="shared" ref="Q85:Q116" si="12">+P85*O85</f>
        <v>3035000</v>
      </c>
    </row>
    <row r="86" spans="1:60" ht="25.5" customHeight="1" outlineLevel="1" x14ac:dyDescent="0.2">
      <c r="A86" s="348" t="s">
        <v>142</v>
      </c>
      <c r="B86" s="358" t="s">
        <v>143</v>
      </c>
      <c r="C86" s="356" t="s">
        <v>6</v>
      </c>
      <c r="D86" s="369">
        <v>1</v>
      </c>
      <c r="E86" s="370">
        <v>450000</v>
      </c>
      <c r="F86" s="349">
        <f t="shared" si="10"/>
        <v>450000</v>
      </c>
      <c r="G86" s="349">
        <v>225498</v>
      </c>
      <c r="H86" s="349">
        <f t="shared" si="11"/>
        <v>225498</v>
      </c>
      <c r="I86" s="1285">
        <f>IFERROR(VLOOKUP(A86,'valores unit indexados'!$A$14:$O$197,15,FALSE),0)</f>
        <v>0</v>
      </c>
      <c r="J86" s="350">
        <f t="shared" si="9"/>
        <v>0</v>
      </c>
      <c r="L86" s="348" t="str">
        <f t="shared" si="8"/>
        <v>A. 5,21</v>
      </c>
      <c r="M86" s="358" t="str">
        <f t="shared" si="8"/>
        <v>Suministro e instalación de patch panel de 24 puertos cat. 6a (incluye elementos de fijación)</v>
      </c>
      <c r="N86" s="356" t="str">
        <f t="shared" si="8"/>
        <v>UND</v>
      </c>
      <c r="O86" s="1765">
        <f t="shared" si="8"/>
        <v>1</v>
      </c>
      <c r="P86" s="423">
        <f>+'estudio inicial precios'!P101</f>
        <v>337749</v>
      </c>
      <c r="Q86" s="423">
        <f t="shared" si="12"/>
        <v>337749</v>
      </c>
    </row>
    <row r="87" spans="1:60" ht="25.5" customHeight="1" outlineLevel="1" x14ac:dyDescent="0.2">
      <c r="A87" s="354" t="s">
        <v>144</v>
      </c>
      <c r="B87" s="368" t="s">
        <v>145</v>
      </c>
      <c r="C87" s="367" t="s">
        <v>19</v>
      </c>
      <c r="D87" s="369">
        <v>5</v>
      </c>
      <c r="E87" s="1291">
        <v>55000</v>
      </c>
      <c r="F87" s="349">
        <f t="shared" si="10"/>
        <v>275000</v>
      </c>
      <c r="G87" s="349">
        <v>9000</v>
      </c>
      <c r="H87" s="349">
        <f t="shared" si="11"/>
        <v>45000</v>
      </c>
      <c r="I87" s="1285">
        <f>IFERROR(VLOOKUP(A87,'valores unit indexados'!$A$14:$O$197,15,FALSE),0)</f>
        <v>18551</v>
      </c>
      <c r="J87" s="350">
        <f t="shared" si="9"/>
        <v>92755</v>
      </c>
      <c r="L87" s="354" t="str">
        <f t="shared" si="8"/>
        <v>A. 5,22</v>
      </c>
      <c r="M87" s="368" t="str">
        <f t="shared" si="8"/>
        <v xml:space="preserve">Apertura de vano en muro de panel yeso, incluye retiro de material </v>
      </c>
      <c r="N87" s="367" t="str">
        <f t="shared" si="8"/>
        <v>M2</v>
      </c>
      <c r="O87" s="1765">
        <f t="shared" si="8"/>
        <v>5</v>
      </c>
      <c r="P87" s="423">
        <f>+'estudio inicial precios'!P102</f>
        <v>18551</v>
      </c>
      <c r="Q87" s="423">
        <f t="shared" si="12"/>
        <v>92755</v>
      </c>
    </row>
    <row r="88" spans="1:60" ht="12.75" customHeight="1" outlineLevel="1" x14ac:dyDescent="0.2">
      <c r="A88" s="354" t="s">
        <v>757</v>
      </c>
      <c r="B88" s="368" t="s">
        <v>1471</v>
      </c>
      <c r="C88" s="356" t="s">
        <v>14</v>
      </c>
      <c r="D88" s="369">
        <v>15</v>
      </c>
      <c r="E88" s="373">
        <v>15700</v>
      </c>
      <c r="F88" s="349">
        <f t="shared" si="10"/>
        <v>235500</v>
      </c>
      <c r="G88" s="349">
        <v>25285</v>
      </c>
      <c r="H88" s="349">
        <f t="shared" si="11"/>
        <v>379275</v>
      </c>
      <c r="I88" s="1285">
        <f>IFERROR(VLOOKUP(A88,'valores unit indexados'!$A$14:$O$197,15,FALSE),0)</f>
        <v>0</v>
      </c>
      <c r="J88" s="350">
        <f t="shared" si="9"/>
        <v>0</v>
      </c>
      <c r="L88" s="354" t="str">
        <f t="shared" si="8"/>
        <v>A. 5,23</v>
      </c>
      <c r="M88" s="368" t="str">
        <f t="shared" si="8"/>
        <v>Suministro e instalación de tubería SCH 40  1"</v>
      </c>
      <c r="N88" s="356" t="str">
        <f t="shared" si="8"/>
        <v>ML</v>
      </c>
      <c r="O88" s="1765">
        <f t="shared" si="8"/>
        <v>15</v>
      </c>
      <c r="P88" s="423">
        <f>+'estudio inicial precios'!P103</f>
        <v>20493</v>
      </c>
      <c r="Q88" s="423">
        <f t="shared" si="12"/>
        <v>307395</v>
      </c>
    </row>
    <row r="89" spans="1:60" ht="12.75" customHeight="1" outlineLevel="1" x14ac:dyDescent="0.2">
      <c r="A89" s="354" t="s">
        <v>758</v>
      </c>
      <c r="B89" s="368" t="s">
        <v>1472</v>
      </c>
      <c r="C89" s="356" t="s">
        <v>14</v>
      </c>
      <c r="D89" s="369">
        <v>15</v>
      </c>
      <c r="E89" s="373">
        <v>37500</v>
      </c>
      <c r="F89" s="349">
        <f t="shared" si="10"/>
        <v>562500</v>
      </c>
      <c r="G89" s="349">
        <v>37362</v>
      </c>
      <c r="H89" s="349">
        <f t="shared" si="11"/>
        <v>560430</v>
      </c>
      <c r="I89" s="1285">
        <f>IFERROR(VLOOKUP(A89,'valores unit indexados'!$A$14:$O$197,15,FALSE),0)</f>
        <v>0</v>
      </c>
      <c r="J89" s="350">
        <f t="shared" si="9"/>
        <v>0</v>
      </c>
      <c r="L89" s="354" t="str">
        <f t="shared" si="8"/>
        <v>A. 5,24</v>
      </c>
      <c r="M89" s="368" t="str">
        <f t="shared" si="8"/>
        <v>Suministro e instalación de tubería SCH 40  1 1/2"</v>
      </c>
      <c r="N89" s="356" t="str">
        <f t="shared" si="8"/>
        <v>ML</v>
      </c>
      <c r="O89" s="1765">
        <f t="shared" si="8"/>
        <v>15</v>
      </c>
      <c r="P89" s="423">
        <f>+'estudio inicial precios'!P104</f>
        <v>37431</v>
      </c>
      <c r="Q89" s="423">
        <f t="shared" si="12"/>
        <v>561465</v>
      </c>
    </row>
    <row r="90" spans="1:60" ht="25.5" customHeight="1" outlineLevel="1" x14ac:dyDescent="0.2">
      <c r="A90" s="354" t="s">
        <v>760</v>
      </c>
      <c r="B90" s="358" t="s">
        <v>759</v>
      </c>
      <c r="C90" s="356" t="s">
        <v>6</v>
      </c>
      <c r="D90" s="369">
        <v>4</v>
      </c>
      <c r="E90" s="1292">
        <v>1900000</v>
      </c>
      <c r="F90" s="412">
        <f t="shared" si="10"/>
        <v>7600000</v>
      </c>
      <c r="G90" s="412">
        <v>138660</v>
      </c>
      <c r="H90" s="349">
        <f t="shared" si="11"/>
        <v>554640</v>
      </c>
      <c r="I90" s="1285">
        <f>IFERROR(VLOOKUP(A90,'valores unit indexados'!$A$14:$O$197,15,FALSE),0)</f>
        <v>0</v>
      </c>
      <c r="J90" s="350">
        <f t="shared" si="9"/>
        <v>0</v>
      </c>
      <c r="L90" s="354" t="str">
        <f t="shared" si="8"/>
        <v>A. 5,25</v>
      </c>
      <c r="M90" s="358" t="str">
        <f t="shared" si="8"/>
        <v>Suministro e instalación de vidrio templado incoloro de 8mm con perforaciones para dilatadores,  (ver imagen1)</v>
      </c>
      <c r="N90" s="356" t="str">
        <f t="shared" si="8"/>
        <v>UND</v>
      </c>
      <c r="O90" s="1765">
        <f>+D90+3</f>
        <v>7</v>
      </c>
      <c r="P90" s="423">
        <f>+'estudio inicial precios'!P105</f>
        <v>138660</v>
      </c>
      <c r="Q90" s="423">
        <f t="shared" si="12"/>
        <v>970620</v>
      </c>
    </row>
    <row r="91" spans="1:60" ht="38.25" customHeight="1" outlineLevel="1" x14ac:dyDescent="0.2">
      <c r="A91" s="354" t="s">
        <v>761</v>
      </c>
      <c r="B91" s="358" t="s">
        <v>409</v>
      </c>
      <c r="C91" s="356" t="s">
        <v>14</v>
      </c>
      <c r="D91" s="369">
        <v>10</v>
      </c>
      <c r="E91" s="1574">
        <v>290000</v>
      </c>
      <c r="F91" s="412">
        <f t="shared" si="10"/>
        <v>2900000</v>
      </c>
      <c r="G91" s="412">
        <v>700000</v>
      </c>
      <c r="H91" s="349">
        <f t="shared" si="11"/>
        <v>7000000</v>
      </c>
      <c r="I91" s="1285">
        <f>+'valores unit indexados'!O201</f>
        <v>226541</v>
      </c>
      <c r="J91" s="350">
        <f t="shared" si="9"/>
        <v>2265410</v>
      </c>
      <c r="L91" s="354" t="str">
        <f t="shared" si="8"/>
        <v>A. 5,26</v>
      </c>
      <c r="M91" s="358" t="str">
        <f t="shared" si="8"/>
        <v>Suministro e instalación mesón o cubierta en aglomerado RH de 30mm, ancho de 50cm, incluye soportes de fijación (color miel hacer  aprobar)</v>
      </c>
      <c r="N91" s="356" t="str">
        <f t="shared" si="8"/>
        <v>ML</v>
      </c>
      <c r="O91" s="1765">
        <f>+D91+7</f>
        <v>17</v>
      </c>
      <c r="P91" s="423">
        <f>+'estudio inicial precios'!P106</f>
        <v>243271</v>
      </c>
      <c r="Q91" s="423">
        <f t="shared" si="12"/>
        <v>4135607</v>
      </c>
    </row>
    <row r="92" spans="1:60" s="1533" customFormat="1" ht="24.75" customHeight="1" outlineLevel="1" x14ac:dyDescent="0.2">
      <c r="A92" s="1527" t="s">
        <v>146</v>
      </c>
      <c r="B92" s="1528" t="s">
        <v>147</v>
      </c>
      <c r="C92" s="1527"/>
      <c r="D92" s="1529"/>
      <c r="E92" s="1530"/>
      <c r="F92" s="1531">
        <f t="shared" si="10"/>
        <v>0</v>
      </c>
      <c r="G92" s="1530"/>
      <c r="H92" s="1531">
        <f t="shared" si="11"/>
        <v>0</v>
      </c>
      <c r="I92" s="1532"/>
      <c r="J92" s="1527"/>
      <c r="K92" s="1544"/>
      <c r="L92" s="1527" t="str">
        <f t="shared" si="8"/>
        <v>A. 6</v>
      </c>
      <c r="M92" s="1836"/>
      <c r="N92" s="1837"/>
      <c r="O92" s="1837"/>
      <c r="P92" s="1837"/>
      <c r="Q92" s="1838"/>
      <c r="R92" s="1544"/>
      <c r="S92" s="1544"/>
      <c r="T92" s="1544"/>
      <c r="U92" s="1544"/>
      <c r="V92" s="1544"/>
      <c r="W92" s="1544"/>
      <c r="X92" s="1544"/>
      <c r="Y92" s="1544"/>
      <c r="Z92" s="1544"/>
      <c r="AA92" s="1544"/>
      <c r="AB92" s="1544"/>
      <c r="AC92" s="1544"/>
      <c r="AD92" s="1544"/>
      <c r="AE92" s="1544"/>
      <c r="AF92" s="1544"/>
      <c r="AG92" s="1544"/>
      <c r="AH92" s="1544"/>
      <c r="AI92" s="1544"/>
      <c r="AJ92" s="1544"/>
      <c r="AK92" s="1544"/>
      <c r="AL92" s="1544"/>
      <c r="AM92" s="1544"/>
      <c r="AN92" s="1544"/>
      <c r="AO92" s="1544"/>
      <c r="AP92" s="1544"/>
      <c r="AQ92" s="1544"/>
      <c r="AR92" s="1544"/>
      <c r="AS92" s="1544"/>
      <c r="AT92" s="1544"/>
      <c r="AU92" s="1544"/>
      <c r="AV92" s="1544"/>
      <c r="AW92" s="1544"/>
      <c r="AX92" s="1544"/>
      <c r="AY92" s="1544"/>
      <c r="AZ92" s="1544"/>
      <c r="BA92" s="1544"/>
      <c r="BB92" s="1544"/>
      <c r="BC92" s="1544"/>
      <c r="BD92" s="1544"/>
      <c r="BE92" s="1544"/>
      <c r="BF92" s="1544"/>
      <c r="BG92" s="1544"/>
      <c r="BH92" s="1544"/>
    </row>
    <row r="93" spans="1:60" ht="12.75" customHeight="1" outlineLevel="1" x14ac:dyDescent="0.2">
      <c r="A93" s="348" t="s">
        <v>148</v>
      </c>
      <c r="B93" s="364" t="s">
        <v>1534</v>
      </c>
      <c r="C93" s="367" t="s">
        <v>150</v>
      </c>
      <c r="D93" s="369">
        <v>3</v>
      </c>
      <c r="E93" s="370">
        <v>180000</v>
      </c>
      <c r="F93" s="349">
        <f t="shared" si="10"/>
        <v>540000</v>
      </c>
      <c r="G93" s="412">
        <v>274603.33333333337</v>
      </c>
      <c r="H93" s="349">
        <f t="shared" si="11"/>
        <v>823810.00000000012</v>
      </c>
      <c r="I93" s="1285">
        <f>IFERROR(VLOOKUP(A93,'valores unit indexados'!$A$14:$O$197,15,FALSE),0)</f>
        <v>0</v>
      </c>
      <c r="J93" s="350">
        <f t="shared" si="9"/>
        <v>0</v>
      </c>
      <c r="L93" s="348" t="str">
        <f t="shared" si="8"/>
        <v>A. 6,1</v>
      </c>
      <c r="M93" s="364" t="str">
        <f t="shared" si="8"/>
        <v>Demolición muro existente  incluye retiro</v>
      </c>
      <c r="N93" s="367" t="str">
        <f t="shared" si="8"/>
        <v>M3</v>
      </c>
      <c r="O93" s="369">
        <f t="shared" si="8"/>
        <v>3</v>
      </c>
      <c r="P93" s="423">
        <f>+'estudio inicial precios'!P108</f>
        <v>180000</v>
      </c>
      <c r="Q93" s="423">
        <f t="shared" si="12"/>
        <v>540000</v>
      </c>
    </row>
    <row r="94" spans="1:60" ht="25.5" customHeight="1" outlineLevel="1" x14ac:dyDescent="0.2">
      <c r="A94" s="348" t="s">
        <v>151</v>
      </c>
      <c r="B94" s="347" t="s">
        <v>1473</v>
      </c>
      <c r="C94" s="340" t="s">
        <v>19</v>
      </c>
      <c r="D94" s="369">
        <v>17</v>
      </c>
      <c r="E94" s="370">
        <v>320000</v>
      </c>
      <c r="F94" s="349">
        <f t="shared" si="10"/>
        <v>5440000</v>
      </c>
      <c r="G94" s="412">
        <v>82368</v>
      </c>
      <c r="H94" s="349">
        <f t="shared" si="11"/>
        <v>1400256</v>
      </c>
      <c r="I94" s="1285">
        <f>IFERROR(VLOOKUP(A94,'valores unit indexados'!$A$14:$O$197,15,FALSE),0)</f>
        <v>0</v>
      </c>
      <c r="J94" s="350">
        <f t="shared" si="9"/>
        <v>0</v>
      </c>
      <c r="L94" s="348" t="str">
        <f t="shared" si="8"/>
        <v>A. 6,2</v>
      </c>
      <c r="M94" s="347" t="str">
        <f t="shared" si="8"/>
        <v>Fabricación muro en ladrillo estructural - altura 70 cm incluye viga, dovelas, grouting, ladrillo estructural 14x19x39 cm, mortero</v>
      </c>
      <c r="N94" s="340" t="str">
        <f t="shared" si="8"/>
        <v>M2</v>
      </c>
      <c r="O94" s="369">
        <f t="shared" si="8"/>
        <v>17</v>
      </c>
      <c r="P94" s="423">
        <f>+'estudio inicial precios'!P109</f>
        <v>320000</v>
      </c>
      <c r="Q94" s="423">
        <f t="shared" si="12"/>
        <v>5440000</v>
      </c>
    </row>
    <row r="95" spans="1:60" ht="25.5" customHeight="1" outlineLevel="1" x14ac:dyDescent="0.2">
      <c r="A95" s="348" t="s">
        <v>153</v>
      </c>
      <c r="B95" s="358" t="s">
        <v>154</v>
      </c>
      <c r="C95" s="356" t="s">
        <v>14</v>
      </c>
      <c r="D95" s="369">
        <v>33</v>
      </c>
      <c r="E95" s="370">
        <v>45000</v>
      </c>
      <c r="F95" s="349">
        <f t="shared" si="10"/>
        <v>1485000</v>
      </c>
      <c r="G95" s="349">
        <v>29133</v>
      </c>
      <c r="H95" s="349">
        <f t="shared" si="11"/>
        <v>961389</v>
      </c>
      <c r="I95" s="1285">
        <f>IFERROR(VLOOKUP(A95,'valores unit indexados'!$A$14:$O$197,15,FALSE),0)</f>
        <v>0</v>
      </c>
      <c r="J95" s="350">
        <f t="shared" si="9"/>
        <v>0</v>
      </c>
      <c r="L95" s="348" t="str">
        <f t="shared" si="8"/>
        <v>A. 6,3</v>
      </c>
      <c r="M95" s="358" t="str">
        <f t="shared" si="8"/>
        <v xml:space="preserve">Suministro y fabricación guardaescoba en concreto en media caña 10 cm </v>
      </c>
      <c r="N95" s="356" t="str">
        <f t="shared" si="8"/>
        <v>ML</v>
      </c>
      <c r="O95" s="369">
        <f t="shared" si="8"/>
        <v>33</v>
      </c>
      <c r="P95" s="423">
        <f>+'estudio inicial precios'!P110</f>
        <v>37067</v>
      </c>
      <c r="Q95" s="423">
        <f t="shared" si="12"/>
        <v>1223211</v>
      </c>
    </row>
    <row r="96" spans="1:60" ht="12.75" customHeight="1" outlineLevel="1" x14ac:dyDescent="0.2">
      <c r="A96" s="354" t="s">
        <v>155</v>
      </c>
      <c r="B96" s="358" t="s">
        <v>156</v>
      </c>
      <c r="C96" s="356" t="s">
        <v>19</v>
      </c>
      <c r="D96" s="369">
        <v>24</v>
      </c>
      <c r="E96" s="370">
        <v>42000</v>
      </c>
      <c r="F96" s="349">
        <f t="shared" si="10"/>
        <v>1008000</v>
      </c>
      <c r="G96" s="349">
        <v>32500</v>
      </c>
      <c r="H96" s="349">
        <f t="shared" si="11"/>
        <v>780000</v>
      </c>
      <c r="I96" s="1285">
        <f>IFERROR(VLOOKUP(A96,'valores unit indexados'!$A$14:$O$197,15,FALSE),0)</f>
        <v>0</v>
      </c>
      <c r="J96" s="350">
        <f t="shared" si="9"/>
        <v>0</v>
      </c>
      <c r="L96" s="354" t="str">
        <f t="shared" si="8"/>
        <v>A. 6,4</v>
      </c>
      <c r="M96" s="358" t="str">
        <f t="shared" si="8"/>
        <v>Suministro y aplicación de mortero 1:3 esmaltado</v>
      </c>
      <c r="N96" s="356" t="str">
        <f t="shared" si="8"/>
        <v>M2</v>
      </c>
      <c r="O96" s="369">
        <f t="shared" si="8"/>
        <v>24</v>
      </c>
      <c r="P96" s="423">
        <f>+'estudio inicial precios'!P111</f>
        <v>37250</v>
      </c>
      <c r="Q96" s="423">
        <f t="shared" si="12"/>
        <v>894000</v>
      </c>
    </row>
    <row r="97" spans="1:60" ht="12.75" customHeight="1" outlineLevel="1" x14ac:dyDescent="0.2">
      <c r="A97" s="348" t="s">
        <v>157</v>
      </c>
      <c r="B97" s="358" t="s">
        <v>158</v>
      </c>
      <c r="C97" s="340" t="s">
        <v>14</v>
      </c>
      <c r="D97" s="369">
        <v>3</v>
      </c>
      <c r="E97" s="370">
        <v>30000</v>
      </c>
      <c r="F97" s="349">
        <f t="shared" si="10"/>
        <v>90000</v>
      </c>
      <c r="G97" s="349">
        <v>16117.178000000002</v>
      </c>
      <c r="H97" s="349">
        <f t="shared" si="11"/>
        <v>48351.534000000007</v>
      </c>
      <c r="I97" s="1285">
        <f>IFERROR(VLOOKUP(A97,'valores unit indexados'!$A$14:$O$197,15,FALSE),0)</f>
        <v>13382</v>
      </c>
      <c r="J97" s="350">
        <f t="shared" si="9"/>
        <v>40146</v>
      </c>
      <c r="L97" s="348" t="str">
        <f t="shared" si="8"/>
        <v>A. 6,5</v>
      </c>
      <c r="M97" s="358" t="str">
        <f t="shared" si="8"/>
        <v>Corte de concreto con pulidora y/o cortadora</v>
      </c>
      <c r="N97" s="340" t="str">
        <f t="shared" si="8"/>
        <v>ML</v>
      </c>
      <c r="O97" s="369">
        <f t="shared" si="8"/>
        <v>3</v>
      </c>
      <c r="P97" s="423">
        <f>+'estudio inicial precios'!P112</f>
        <v>14833</v>
      </c>
      <c r="Q97" s="423">
        <f t="shared" si="12"/>
        <v>44499</v>
      </c>
    </row>
    <row r="98" spans="1:60" ht="12.75" customHeight="1" outlineLevel="1" x14ac:dyDescent="0.2">
      <c r="A98" s="348" t="s">
        <v>159</v>
      </c>
      <c r="B98" s="358" t="s">
        <v>160</v>
      </c>
      <c r="C98" s="356" t="s">
        <v>150</v>
      </c>
      <c r="D98" s="369">
        <v>1</v>
      </c>
      <c r="E98" s="1291">
        <v>120000</v>
      </c>
      <c r="F98" s="349">
        <f t="shared" si="10"/>
        <v>120000</v>
      </c>
      <c r="G98" s="349">
        <v>50000</v>
      </c>
      <c r="H98" s="349">
        <f t="shared" si="11"/>
        <v>50000</v>
      </c>
      <c r="I98" s="1285">
        <f>+'valores unit indexados'!O200</f>
        <v>33513</v>
      </c>
      <c r="J98" s="350">
        <f t="shared" si="9"/>
        <v>33513</v>
      </c>
      <c r="L98" s="348" t="str">
        <f t="shared" si="8"/>
        <v>A. 6,6</v>
      </c>
      <c r="M98" s="358" t="str">
        <f t="shared" si="8"/>
        <v>excavación tierra  a mano 30 cm</v>
      </c>
      <c r="N98" s="356" t="str">
        <f t="shared" si="8"/>
        <v>M3</v>
      </c>
      <c r="O98" s="369">
        <f t="shared" si="8"/>
        <v>1</v>
      </c>
      <c r="P98" s="423">
        <f>+'estudio inicial precios'!P113</f>
        <v>41757</v>
      </c>
      <c r="Q98" s="423">
        <f t="shared" si="12"/>
        <v>41757</v>
      </c>
    </row>
    <row r="99" spans="1:60" ht="25.5" customHeight="1" outlineLevel="1" x14ac:dyDescent="0.2">
      <c r="A99" s="348" t="s">
        <v>161</v>
      </c>
      <c r="B99" s="358" t="s">
        <v>1474</v>
      </c>
      <c r="C99" s="356" t="s">
        <v>14</v>
      </c>
      <c r="D99" s="369">
        <v>3</v>
      </c>
      <c r="E99" s="370">
        <v>45000</v>
      </c>
      <c r="F99" s="349">
        <f t="shared" si="10"/>
        <v>135000</v>
      </c>
      <c r="G99" s="349">
        <v>75897.668000000005</v>
      </c>
      <c r="H99" s="349">
        <f t="shared" si="11"/>
        <v>227693.00400000002</v>
      </c>
      <c r="I99" s="1285">
        <f>IFERROR(VLOOKUP(A99,'valores unit indexados'!$A$14:$O$197,15,FALSE),0)</f>
        <v>75401</v>
      </c>
      <c r="J99" s="350">
        <f t="shared" si="9"/>
        <v>226203</v>
      </c>
      <c r="L99" s="348" t="str">
        <f t="shared" si="8"/>
        <v>A. 6,7</v>
      </c>
      <c r="M99" s="358" t="str">
        <f t="shared" si="8"/>
        <v>Suministro e instalación tubería sanitaria PVC 4"  con sus respectivos accesorios</v>
      </c>
      <c r="N99" s="356" t="str">
        <f t="shared" si="8"/>
        <v>ML</v>
      </c>
      <c r="O99" s="369">
        <f t="shared" si="8"/>
        <v>3</v>
      </c>
      <c r="P99" s="423">
        <f>+'estudio inicial precios'!P114</f>
        <v>48692</v>
      </c>
      <c r="Q99" s="423">
        <f t="shared" si="12"/>
        <v>146076</v>
      </c>
    </row>
    <row r="100" spans="1:60" ht="25.5" customHeight="1" outlineLevel="1" x14ac:dyDescent="0.2">
      <c r="A100" s="348" t="s">
        <v>163</v>
      </c>
      <c r="B100" s="358" t="s">
        <v>164</v>
      </c>
      <c r="C100" s="356" t="s">
        <v>19</v>
      </c>
      <c r="D100" s="369">
        <v>20</v>
      </c>
      <c r="E100" s="370">
        <v>130000</v>
      </c>
      <c r="F100" s="349">
        <f t="shared" si="10"/>
        <v>2600000</v>
      </c>
      <c r="G100" s="349">
        <v>180000</v>
      </c>
      <c r="H100" s="349">
        <f t="shared" si="11"/>
        <v>3600000</v>
      </c>
      <c r="I100" s="1285">
        <f>IFERROR(VLOOKUP(A100,'valores unit indexados'!$A$14:$O$197,15,FALSE),0)</f>
        <v>0</v>
      </c>
      <c r="J100" s="350">
        <f t="shared" si="9"/>
        <v>0</v>
      </c>
      <c r="L100" s="348" t="str">
        <f t="shared" si="8"/>
        <v>A. 6,8</v>
      </c>
      <c r="M100" s="358" t="str">
        <f t="shared" si="8"/>
        <v>Suministro e instalación muro en perfilería de 90mm en placa de RF espesor 12,7 mm , una cara, incluye estructura</v>
      </c>
      <c r="N100" s="356" t="str">
        <f t="shared" si="8"/>
        <v>M2</v>
      </c>
      <c r="O100" s="369">
        <f t="shared" si="8"/>
        <v>20</v>
      </c>
      <c r="P100" s="423">
        <f>+'estudio inicial precios'!P115</f>
        <v>155000</v>
      </c>
      <c r="Q100" s="423">
        <f t="shared" si="12"/>
        <v>3100000</v>
      </c>
    </row>
    <row r="101" spans="1:60" ht="12.75" customHeight="1" outlineLevel="1" x14ac:dyDescent="0.2">
      <c r="A101" s="348" t="s">
        <v>165</v>
      </c>
      <c r="B101" s="358" t="s">
        <v>166</v>
      </c>
      <c r="C101" s="356" t="s">
        <v>150</v>
      </c>
      <c r="D101" s="369">
        <v>2</v>
      </c>
      <c r="E101" s="370">
        <v>100000</v>
      </c>
      <c r="F101" s="349">
        <f t="shared" si="10"/>
        <v>200000</v>
      </c>
      <c r="G101" s="349">
        <v>81356</v>
      </c>
      <c r="H101" s="349">
        <f t="shared" si="11"/>
        <v>162712</v>
      </c>
      <c r="I101" s="1285">
        <f>IFERROR(VLOOKUP(A101,'valores unit indexados'!$A$14:$O$197,15,FALSE),0)</f>
        <v>77455</v>
      </c>
      <c r="J101" s="350">
        <f t="shared" si="9"/>
        <v>154910</v>
      </c>
      <c r="L101" s="348" t="str">
        <f t="shared" si="8"/>
        <v>A. 6,9</v>
      </c>
      <c r="M101" s="358" t="str">
        <f t="shared" si="8"/>
        <v>Retiro escombros en Volqueta, a centro de acopio certificado</v>
      </c>
      <c r="N101" s="356" t="str">
        <f t="shared" si="8"/>
        <v>M3</v>
      </c>
      <c r="O101" s="369">
        <f t="shared" si="8"/>
        <v>2</v>
      </c>
      <c r="P101" s="423">
        <f>+'estudio inicial precios'!P116</f>
        <v>79406</v>
      </c>
      <c r="Q101" s="423">
        <f t="shared" si="12"/>
        <v>158812</v>
      </c>
    </row>
    <row r="102" spans="1:60" s="1533" customFormat="1" ht="24.75" customHeight="1" outlineLevel="1" x14ac:dyDescent="0.2">
      <c r="A102" s="1527" t="s">
        <v>167</v>
      </c>
      <c r="B102" s="1528" t="s">
        <v>168</v>
      </c>
      <c r="C102" s="1527"/>
      <c r="D102" s="1529"/>
      <c r="E102" s="1530"/>
      <c r="F102" s="1531">
        <f t="shared" si="10"/>
        <v>0</v>
      </c>
      <c r="G102" s="1530"/>
      <c r="H102" s="1531">
        <f t="shared" si="11"/>
        <v>0</v>
      </c>
      <c r="I102" s="1532"/>
      <c r="J102" s="1527"/>
      <c r="K102" s="1544"/>
      <c r="L102" s="1527" t="str">
        <f t="shared" si="8"/>
        <v>A. 7</v>
      </c>
      <c r="M102" s="1836"/>
      <c r="N102" s="1837"/>
      <c r="O102" s="1837"/>
      <c r="P102" s="1837"/>
      <c r="Q102" s="1838"/>
      <c r="R102" s="1544"/>
      <c r="S102" s="1544"/>
      <c r="T102" s="1544"/>
      <c r="U102" s="1544"/>
      <c r="V102" s="1544"/>
      <c r="W102" s="1544"/>
      <c r="X102" s="1544"/>
      <c r="Y102" s="1544"/>
      <c r="Z102" s="1544"/>
      <c r="AA102" s="1544"/>
      <c r="AB102" s="1544"/>
      <c r="AC102" s="1544"/>
      <c r="AD102" s="1544"/>
      <c r="AE102" s="1544"/>
      <c r="AF102" s="1544"/>
      <c r="AG102" s="1544"/>
      <c r="AH102" s="1544"/>
      <c r="AI102" s="1544"/>
      <c r="AJ102" s="1544"/>
      <c r="AK102" s="1544"/>
      <c r="AL102" s="1544"/>
      <c r="AM102" s="1544"/>
      <c r="AN102" s="1544"/>
      <c r="AO102" s="1544"/>
      <c r="AP102" s="1544"/>
      <c r="AQ102" s="1544"/>
      <c r="AR102" s="1544"/>
      <c r="AS102" s="1544"/>
      <c r="AT102" s="1544"/>
      <c r="AU102" s="1544"/>
      <c r="AV102" s="1544"/>
      <c r="AW102" s="1544"/>
      <c r="AX102" s="1544"/>
      <c r="AY102" s="1544"/>
      <c r="AZ102" s="1544"/>
      <c r="BA102" s="1544"/>
      <c r="BB102" s="1544"/>
      <c r="BC102" s="1544"/>
      <c r="BD102" s="1544"/>
      <c r="BE102" s="1544"/>
      <c r="BF102" s="1544"/>
      <c r="BG102" s="1544"/>
      <c r="BH102" s="1544"/>
    </row>
    <row r="103" spans="1:60" ht="12.75" customHeight="1" outlineLevel="1" x14ac:dyDescent="0.2">
      <c r="A103" s="374" t="s">
        <v>169</v>
      </c>
      <c r="B103" s="358" t="s">
        <v>158</v>
      </c>
      <c r="C103" s="340" t="s">
        <v>14</v>
      </c>
      <c r="D103" s="369">
        <v>220</v>
      </c>
      <c r="E103" s="370">
        <v>15000</v>
      </c>
      <c r="F103" s="349">
        <f t="shared" si="10"/>
        <v>3300000</v>
      </c>
      <c r="G103" s="349">
        <v>16117.178000000002</v>
      </c>
      <c r="H103" s="349">
        <f t="shared" si="11"/>
        <v>3545779.16</v>
      </c>
      <c r="I103" s="1285">
        <f>IFERROR(VLOOKUP(A103,'valores unit indexados'!$A$14:$O$197,15,FALSE),0)</f>
        <v>13382</v>
      </c>
      <c r="J103" s="350">
        <f t="shared" si="9"/>
        <v>2944040</v>
      </c>
      <c r="L103" s="374" t="str">
        <f t="shared" si="8"/>
        <v>A. 7,1</v>
      </c>
      <c r="M103" s="358" t="str">
        <f t="shared" si="8"/>
        <v>Corte de concreto con pulidora y/o cortadora</v>
      </c>
      <c r="N103" s="340" t="str">
        <f t="shared" si="8"/>
        <v>ML</v>
      </c>
      <c r="O103" s="369">
        <f t="shared" si="8"/>
        <v>220</v>
      </c>
      <c r="P103" s="423">
        <f>+'estudio inicial precios'!P118</f>
        <v>14833</v>
      </c>
      <c r="Q103" s="423">
        <f t="shared" si="12"/>
        <v>3263260</v>
      </c>
    </row>
    <row r="104" spans="1:60" ht="25.5" customHeight="1" outlineLevel="1" x14ac:dyDescent="0.2">
      <c r="A104" s="348" t="s">
        <v>170</v>
      </c>
      <c r="B104" s="364" t="s">
        <v>1475</v>
      </c>
      <c r="C104" s="340" t="s">
        <v>14</v>
      </c>
      <c r="D104" s="369">
        <v>120</v>
      </c>
      <c r="E104" s="370">
        <v>40000</v>
      </c>
      <c r="F104" s="349">
        <f t="shared" si="10"/>
        <v>4800000</v>
      </c>
      <c r="G104" s="349">
        <v>31213</v>
      </c>
      <c r="H104" s="349">
        <f t="shared" si="11"/>
        <v>3745560</v>
      </c>
      <c r="I104" s="1285">
        <f>IFERROR(VLOOKUP(A104,'valores unit indexados'!$A$14:$O$197,15,FALSE),0)</f>
        <v>39615</v>
      </c>
      <c r="J104" s="350">
        <f t="shared" si="9"/>
        <v>4753800</v>
      </c>
      <c r="L104" s="348" t="str">
        <f t="shared" si="8"/>
        <v>A. 7,2</v>
      </c>
      <c r="M104" s="364" t="str">
        <f t="shared" si="8"/>
        <v>suministro y aplicación de adhesivo  y sellador de juntas elástico para interior y exterior</v>
      </c>
      <c r="N104" s="340" t="str">
        <f t="shared" si="8"/>
        <v>ML</v>
      </c>
      <c r="O104" s="369">
        <f t="shared" si="8"/>
        <v>120</v>
      </c>
      <c r="P104" s="423">
        <f>+'estudio inicial precios'!P119</f>
        <v>36943</v>
      </c>
      <c r="Q104" s="423">
        <f t="shared" si="12"/>
        <v>4433160</v>
      </c>
    </row>
    <row r="105" spans="1:60" ht="12.75" customHeight="1" outlineLevel="1" x14ac:dyDescent="0.2">
      <c r="A105" s="348" t="s">
        <v>172</v>
      </c>
      <c r="B105" s="347" t="s">
        <v>1476</v>
      </c>
      <c r="C105" s="340" t="s">
        <v>14</v>
      </c>
      <c r="D105" s="369">
        <v>100</v>
      </c>
      <c r="E105" s="370">
        <v>25000</v>
      </c>
      <c r="F105" s="349">
        <f t="shared" si="10"/>
        <v>2500000</v>
      </c>
      <c r="G105" s="352">
        <v>0</v>
      </c>
      <c r="H105" s="349">
        <f t="shared" si="11"/>
        <v>0</v>
      </c>
      <c r="I105" s="1285">
        <f>IFERROR(VLOOKUP(A105,'valores unit indexados'!$A$14:$O$197,15,FALSE),0)</f>
        <v>26415</v>
      </c>
      <c r="J105" s="350">
        <f t="shared" si="9"/>
        <v>2641500</v>
      </c>
      <c r="L105" s="348" t="str">
        <f t="shared" si="8"/>
        <v>A. 7,3</v>
      </c>
      <c r="M105" s="347" t="str">
        <f t="shared" si="8"/>
        <v>Suministro e instalación de perfil o dilatación aluminio para piso</v>
      </c>
      <c r="N105" s="340" t="str">
        <f t="shared" si="8"/>
        <v>ML</v>
      </c>
      <c r="O105" s="369">
        <f t="shared" si="8"/>
        <v>100</v>
      </c>
      <c r="P105" s="423">
        <f>+'estudio inicial precios'!P120</f>
        <v>25708</v>
      </c>
      <c r="Q105" s="423">
        <f t="shared" si="12"/>
        <v>2570800</v>
      </c>
    </row>
    <row r="106" spans="1:60" ht="25.5" customHeight="1" outlineLevel="1" x14ac:dyDescent="0.2">
      <c r="A106" s="348" t="s">
        <v>174</v>
      </c>
      <c r="B106" s="347" t="s">
        <v>1477</v>
      </c>
      <c r="C106" s="340" t="s">
        <v>14</v>
      </c>
      <c r="D106" s="369">
        <v>100</v>
      </c>
      <c r="E106" s="370">
        <v>9000</v>
      </c>
      <c r="F106" s="349">
        <f t="shared" si="10"/>
        <v>900000</v>
      </c>
      <c r="G106" s="349">
        <v>7969</v>
      </c>
      <c r="H106" s="349">
        <f t="shared" si="11"/>
        <v>796900</v>
      </c>
      <c r="I106" s="1285">
        <f>IFERROR(VLOOKUP(A106,'valores unit indexados'!$A$14:$O$197,15,FALSE),0)</f>
        <v>0</v>
      </c>
      <c r="J106" s="350">
        <f t="shared" si="9"/>
        <v>0</v>
      </c>
      <c r="L106" s="348" t="str">
        <f t="shared" si="8"/>
        <v>A. 7,4</v>
      </c>
      <c r="M106" s="347" t="str">
        <f t="shared" si="8"/>
        <v>Suministro e instalación de dilatación  Z  plástica (junta de expansión drywall)</v>
      </c>
      <c r="N106" s="340" t="str">
        <f t="shared" si="8"/>
        <v>ML</v>
      </c>
      <c r="O106" s="369">
        <f t="shared" si="8"/>
        <v>100</v>
      </c>
      <c r="P106" s="423">
        <f>+'estudio inicial precios'!P121</f>
        <v>8485</v>
      </c>
      <c r="Q106" s="423">
        <f t="shared" si="12"/>
        <v>848500</v>
      </c>
    </row>
    <row r="107" spans="1:60" s="1533" customFormat="1" ht="24.75" customHeight="1" outlineLevel="1" x14ac:dyDescent="0.2">
      <c r="A107" s="1527" t="s">
        <v>176</v>
      </c>
      <c r="B107" s="1528" t="s">
        <v>177</v>
      </c>
      <c r="C107" s="1527"/>
      <c r="D107" s="1529"/>
      <c r="E107" s="1530"/>
      <c r="F107" s="1531">
        <f t="shared" si="10"/>
        <v>0</v>
      </c>
      <c r="G107" s="1530"/>
      <c r="H107" s="1531">
        <f t="shared" si="11"/>
        <v>0</v>
      </c>
      <c r="I107" s="1532"/>
      <c r="J107" s="1527"/>
      <c r="K107" s="1544"/>
      <c r="L107" s="1527" t="str">
        <f t="shared" si="8"/>
        <v>A. 8</v>
      </c>
      <c r="M107" s="1836"/>
      <c r="N107" s="1837"/>
      <c r="O107" s="1837"/>
      <c r="P107" s="1837"/>
      <c r="Q107" s="1838"/>
      <c r="R107" s="1544"/>
      <c r="S107" s="1544"/>
      <c r="T107" s="1544"/>
      <c r="U107" s="1544"/>
      <c r="V107" s="1544"/>
      <c r="W107" s="1544"/>
      <c r="X107" s="1544"/>
      <c r="Y107" s="1544"/>
      <c r="Z107" s="1544"/>
      <c r="AA107" s="1544"/>
      <c r="AB107" s="1544"/>
      <c r="AC107" s="1544"/>
      <c r="AD107" s="1544"/>
      <c r="AE107" s="1544"/>
      <c r="AF107" s="1544"/>
      <c r="AG107" s="1544"/>
      <c r="AH107" s="1544"/>
      <c r="AI107" s="1544"/>
      <c r="AJ107" s="1544"/>
      <c r="AK107" s="1544"/>
      <c r="AL107" s="1544"/>
      <c r="AM107" s="1544"/>
      <c r="AN107" s="1544"/>
      <c r="AO107" s="1544"/>
      <c r="AP107" s="1544"/>
      <c r="AQ107" s="1544"/>
      <c r="AR107" s="1544"/>
      <c r="AS107" s="1544"/>
      <c r="AT107" s="1544"/>
      <c r="AU107" s="1544"/>
      <c r="AV107" s="1544"/>
      <c r="AW107" s="1544"/>
      <c r="AX107" s="1544"/>
      <c r="AY107" s="1544"/>
      <c r="AZ107" s="1544"/>
      <c r="BA107" s="1544"/>
      <c r="BB107" s="1544"/>
      <c r="BC107" s="1544"/>
      <c r="BD107" s="1544"/>
      <c r="BE107" s="1544"/>
      <c r="BF107" s="1544"/>
      <c r="BG107" s="1544"/>
      <c r="BH107" s="1544"/>
    </row>
    <row r="108" spans="1:60" ht="12.75" customHeight="1" outlineLevel="1" x14ac:dyDescent="0.2">
      <c r="A108" s="374" t="s">
        <v>178</v>
      </c>
      <c r="B108" s="358" t="s">
        <v>179</v>
      </c>
      <c r="C108" s="356" t="s">
        <v>14</v>
      </c>
      <c r="D108" s="369">
        <v>170</v>
      </c>
      <c r="E108" s="1291">
        <v>45000</v>
      </c>
      <c r="F108" s="349">
        <f t="shared" si="10"/>
        <v>7650000</v>
      </c>
      <c r="G108" s="349">
        <v>5512</v>
      </c>
      <c r="H108" s="349">
        <f t="shared" si="11"/>
        <v>937040</v>
      </c>
      <c r="I108" s="1285">
        <f>IFERROR(VLOOKUP(A108,'valores unit indexados'!$A$14:$O$197,15,FALSE),0)</f>
        <v>0</v>
      </c>
      <c r="J108" s="350">
        <f t="shared" si="9"/>
        <v>0</v>
      </c>
      <c r="L108" s="374" t="str">
        <f t="shared" si="8"/>
        <v>A. 8,1</v>
      </c>
      <c r="M108" s="358" t="str">
        <f t="shared" si="8"/>
        <v>Desmonte de láminas metálicas en mal estado</v>
      </c>
      <c r="N108" s="356" t="str">
        <f t="shared" si="8"/>
        <v>ML</v>
      </c>
      <c r="O108" s="369">
        <f t="shared" si="8"/>
        <v>170</v>
      </c>
      <c r="P108" s="423">
        <f>+'estudio inicial precios'!P123</f>
        <v>5512</v>
      </c>
      <c r="Q108" s="423">
        <f t="shared" si="12"/>
        <v>937040</v>
      </c>
    </row>
    <row r="109" spans="1:60" ht="12.75" customHeight="1" outlineLevel="1" x14ac:dyDescent="0.2">
      <c r="A109" s="348" t="s">
        <v>180</v>
      </c>
      <c r="B109" s="358" t="s">
        <v>181</v>
      </c>
      <c r="C109" s="356" t="s">
        <v>14</v>
      </c>
      <c r="D109" s="369">
        <v>97</v>
      </c>
      <c r="E109" s="370">
        <v>20000</v>
      </c>
      <c r="F109" s="349">
        <f t="shared" si="10"/>
        <v>1940000</v>
      </c>
      <c r="G109" s="349">
        <v>5500</v>
      </c>
      <c r="H109" s="349">
        <f t="shared" si="11"/>
        <v>533500</v>
      </c>
      <c r="I109" s="1285">
        <f>IFERROR(VLOOKUP(A109,'valores unit indexados'!$A$14:$O$197,15,FALSE),0)</f>
        <v>0</v>
      </c>
      <c r="J109" s="350">
        <f t="shared" si="9"/>
        <v>0</v>
      </c>
      <c r="L109" s="348" t="str">
        <f t="shared" si="8"/>
        <v>A. 8,2</v>
      </c>
      <c r="M109" s="358" t="str">
        <f t="shared" si="8"/>
        <v>Desmonte de estructura metálica en mal estado</v>
      </c>
      <c r="N109" s="356" t="str">
        <f t="shared" si="8"/>
        <v>ML</v>
      </c>
      <c r="O109" s="369">
        <f t="shared" si="8"/>
        <v>97</v>
      </c>
      <c r="P109" s="423">
        <f>+'estudio inicial precios'!P124</f>
        <v>5500</v>
      </c>
      <c r="Q109" s="423">
        <f t="shared" si="12"/>
        <v>533500</v>
      </c>
    </row>
    <row r="110" spans="1:60" ht="25.5" customHeight="1" outlineLevel="1" x14ac:dyDescent="0.2">
      <c r="A110" s="354" t="s">
        <v>182</v>
      </c>
      <c r="B110" s="358" t="s">
        <v>183</v>
      </c>
      <c r="C110" s="356" t="s">
        <v>19</v>
      </c>
      <c r="D110" s="369">
        <v>50</v>
      </c>
      <c r="E110" s="370">
        <v>280000</v>
      </c>
      <c r="F110" s="349">
        <f t="shared" si="10"/>
        <v>14000000</v>
      </c>
      <c r="G110" s="349">
        <v>700000</v>
      </c>
      <c r="H110" s="349">
        <f t="shared" si="11"/>
        <v>35000000</v>
      </c>
      <c r="I110" s="1285">
        <f>IFERROR(VLOOKUP(A110,'valores unit indexados'!$A$14:$O$197,15,FALSE),0)</f>
        <v>0</v>
      </c>
      <c r="J110" s="350">
        <f t="shared" si="9"/>
        <v>0</v>
      </c>
      <c r="L110" s="354" t="str">
        <f t="shared" si="8"/>
        <v>A. 8,3</v>
      </c>
      <c r="M110" s="358" t="str">
        <f t="shared" si="8"/>
        <v>Suministro e instalación de lámina metálica perforada redonda 5mm calibre 3mm</v>
      </c>
      <c r="N110" s="356" t="str">
        <f t="shared" si="8"/>
        <v>M2</v>
      </c>
      <c r="O110" s="369">
        <f t="shared" si="8"/>
        <v>50</v>
      </c>
      <c r="P110" s="423">
        <f>+'estudio inicial precios'!P125</f>
        <v>490000</v>
      </c>
      <c r="Q110" s="423">
        <f t="shared" si="12"/>
        <v>24500000</v>
      </c>
    </row>
    <row r="111" spans="1:60" ht="25.5" customHeight="1" outlineLevel="1" x14ac:dyDescent="0.2">
      <c r="A111" s="348" t="s">
        <v>184</v>
      </c>
      <c r="B111" s="358" t="s">
        <v>1478</v>
      </c>
      <c r="C111" s="356" t="s">
        <v>14</v>
      </c>
      <c r="D111" s="369">
        <v>112</v>
      </c>
      <c r="E111" s="370">
        <v>112000</v>
      </c>
      <c r="F111" s="349">
        <f t="shared" si="10"/>
        <v>12544000</v>
      </c>
      <c r="G111" s="349">
        <v>50000</v>
      </c>
      <c r="H111" s="349">
        <f t="shared" si="11"/>
        <v>5600000</v>
      </c>
      <c r="I111" s="1285">
        <f>IFERROR(VLOOKUP(A111,'valores unit indexados'!$A$14:$O$197,15,FALSE),0)</f>
        <v>0</v>
      </c>
      <c r="J111" s="350">
        <f t="shared" si="9"/>
        <v>0</v>
      </c>
      <c r="L111" s="348" t="str">
        <f t="shared" si="8"/>
        <v>A. 8,4</v>
      </c>
      <c r="M111" s="358" t="str">
        <f t="shared" si="8"/>
        <v>Suministro e instalación de estructura o perfiles metálicos 50mm x 50mm x 3mm</v>
      </c>
      <c r="N111" s="356" t="str">
        <f t="shared" si="8"/>
        <v>ML</v>
      </c>
      <c r="O111" s="369">
        <f t="shared" si="8"/>
        <v>112</v>
      </c>
      <c r="P111" s="423">
        <f>+'estudio inicial precios'!P126</f>
        <v>81000</v>
      </c>
      <c r="Q111" s="423">
        <f t="shared" si="12"/>
        <v>9072000</v>
      </c>
    </row>
    <row r="112" spans="1:60" s="1533" customFormat="1" ht="24.75" customHeight="1" outlineLevel="1" x14ac:dyDescent="0.2">
      <c r="A112" s="1527" t="s">
        <v>186</v>
      </c>
      <c r="B112" s="1528" t="s">
        <v>187</v>
      </c>
      <c r="C112" s="1527"/>
      <c r="D112" s="1529"/>
      <c r="E112" s="1530"/>
      <c r="F112" s="1531">
        <f t="shared" si="10"/>
        <v>0</v>
      </c>
      <c r="G112" s="1530"/>
      <c r="H112" s="1531">
        <f t="shared" si="11"/>
        <v>0</v>
      </c>
      <c r="I112" s="1532"/>
      <c r="J112" s="1527"/>
      <c r="K112" s="1544"/>
      <c r="L112" s="1527" t="str">
        <f t="shared" si="8"/>
        <v>A. 9</v>
      </c>
      <c r="M112" s="1836"/>
      <c r="N112" s="1837"/>
      <c r="O112" s="1837"/>
      <c r="P112" s="1837"/>
      <c r="Q112" s="1838"/>
      <c r="R112" s="1544"/>
      <c r="S112" s="1544"/>
      <c r="T112" s="1544"/>
      <c r="U112" s="1544"/>
      <c r="V112" s="1544"/>
      <c r="W112" s="1544"/>
      <c r="X112" s="1544"/>
      <c r="Y112" s="1544"/>
      <c r="Z112" s="1544"/>
      <c r="AA112" s="1544"/>
      <c r="AB112" s="1544"/>
      <c r="AC112" s="1544"/>
      <c r="AD112" s="1544"/>
      <c r="AE112" s="1544"/>
      <c r="AF112" s="1544"/>
      <c r="AG112" s="1544"/>
      <c r="AH112" s="1544"/>
      <c r="AI112" s="1544"/>
      <c r="AJ112" s="1544"/>
      <c r="AK112" s="1544"/>
      <c r="AL112" s="1544"/>
      <c r="AM112" s="1544"/>
      <c r="AN112" s="1544"/>
      <c r="AO112" s="1544"/>
      <c r="AP112" s="1544"/>
      <c r="AQ112" s="1544"/>
      <c r="AR112" s="1544"/>
      <c r="AS112" s="1544"/>
      <c r="AT112" s="1544"/>
      <c r="AU112" s="1544"/>
      <c r="AV112" s="1544"/>
      <c r="AW112" s="1544"/>
      <c r="AX112" s="1544"/>
      <c r="AY112" s="1544"/>
      <c r="AZ112" s="1544"/>
      <c r="BA112" s="1544"/>
      <c r="BB112" s="1544"/>
      <c r="BC112" s="1544"/>
      <c r="BD112" s="1544"/>
      <c r="BE112" s="1544"/>
      <c r="BF112" s="1544"/>
      <c r="BG112" s="1544"/>
      <c r="BH112" s="1544"/>
    </row>
    <row r="113" spans="1:18" ht="25.5" customHeight="1" outlineLevel="1" x14ac:dyDescent="0.2">
      <c r="A113" s="354" t="s">
        <v>188</v>
      </c>
      <c r="B113" s="364" t="s">
        <v>189</v>
      </c>
      <c r="C113" s="363" t="s">
        <v>19</v>
      </c>
      <c r="D113" s="369">
        <v>41</v>
      </c>
      <c r="E113" s="370">
        <v>25000</v>
      </c>
      <c r="F113" s="349">
        <f t="shared" si="10"/>
        <v>1025000</v>
      </c>
      <c r="G113" s="372">
        <v>0</v>
      </c>
      <c r="H113" s="349">
        <f t="shared" si="11"/>
        <v>0</v>
      </c>
      <c r="I113" s="1285">
        <f>IFERROR(VLOOKUP(A113,'valores unit indexados'!$A$14:$O$197,15,FALSE),0)</f>
        <v>0</v>
      </c>
      <c r="J113" s="350">
        <f t="shared" si="9"/>
        <v>0</v>
      </c>
      <c r="L113" s="354" t="str">
        <f t="shared" si="8"/>
        <v>A. 9,1</v>
      </c>
      <c r="M113" s="364" t="str">
        <f t="shared" si="8"/>
        <v xml:space="preserve">Retiro de pintura epoxica existente con cloruro de metileno
</v>
      </c>
      <c r="N113" s="363" t="str">
        <f>+C113</f>
        <v>M2</v>
      </c>
      <c r="O113" s="369">
        <f>+D113</f>
        <v>41</v>
      </c>
      <c r="P113" s="423">
        <f>+'estudio inicial precios'!P128</f>
        <v>25000</v>
      </c>
      <c r="Q113" s="423">
        <f t="shared" si="12"/>
        <v>1025000</v>
      </c>
    </row>
    <row r="114" spans="1:18" ht="25.5" customHeight="1" outlineLevel="1" x14ac:dyDescent="0.2">
      <c r="A114" s="348" t="s">
        <v>190</v>
      </c>
      <c r="B114" s="358" t="s">
        <v>191</v>
      </c>
      <c r="C114" s="356" t="s">
        <v>19</v>
      </c>
      <c r="D114" s="369">
        <v>41</v>
      </c>
      <c r="E114" s="370">
        <v>35000</v>
      </c>
      <c r="F114" s="349">
        <f t="shared" si="10"/>
        <v>1435000</v>
      </c>
      <c r="G114" s="349">
        <v>3731</v>
      </c>
      <c r="H114" s="349">
        <f t="shared" si="11"/>
        <v>152971</v>
      </c>
      <c r="I114" s="1285">
        <f>IFERROR(VLOOKUP(A114,'valores unit indexados'!$A$14:$O$197,15,FALSE),0)</f>
        <v>29150</v>
      </c>
      <c r="J114" s="350">
        <f t="shared" si="9"/>
        <v>1195150</v>
      </c>
      <c r="L114" s="348" t="str">
        <f t="shared" si="8"/>
        <v>A. 9,2</v>
      </c>
      <c r="M114" s="358" t="str">
        <f t="shared" si="8"/>
        <v>lavada y destronque a máquina (para retirar material existente y preparación de superficie) </v>
      </c>
      <c r="N114" s="356" t="str">
        <f t="shared" si="8"/>
        <v>M2</v>
      </c>
      <c r="O114" s="369">
        <f t="shared" si="8"/>
        <v>41</v>
      </c>
      <c r="P114" s="423">
        <f>+'estudio inicial precios'!P129</f>
        <v>32075</v>
      </c>
      <c r="Q114" s="423">
        <f t="shared" si="12"/>
        <v>1315075</v>
      </c>
    </row>
    <row r="115" spans="1:18" ht="25.5" customHeight="1" outlineLevel="1" x14ac:dyDescent="0.2">
      <c r="A115" s="354" t="s">
        <v>192</v>
      </c>
      <c r="B115" s="364" t="s">
        <v>193</v>
      </c>
      <c r="C115" s="363" t="s">
        <v>19</v>
      </c>
      <c r="D115" s="369">
        <v>41</v>
      </c>
      <c r="E115" s="370">
        <v>65000</v>
      </c>
      <c r="F115" s="349">
        <f t="shared" si="10"/>
        <v>2665000</v>
      </c>
      <c r="G115" s="412">
        <v>20000</v>
      </c>
      <c r="H115" s="349">
        <f t="shared" si="11"/>
        <v>820000</v>
      </c>
      <c r="I115" s="1285">
        <f>IFERROR(VLOOKUP(A115,'valores unit indexados'!$A$14:$O$197,15,FALSE),0)</f>
        <v>0</v>
      </c>
      <c r="J115" s="350">
        <f t="shared" si="9"/>
        <v>0</v>
      </c>
      <c r="L115" s="354" t="str">
        <f t="shared" si="8"/>
        <v>A. 9,3</v>
      </c>
      <c r="M115" s="364" t="str">
        <f t="shared" si="8"/>
        <v>Suministro y aplicación de pintura epoxica para piso con acabado en barniz (2 capas de pintura epoxica)</v>
      </c>
      <c r="N115" s="363" t="str">
        <f t="shared" si="8"/>
        <v>M2</v>
      </c>
      <c r="O115" s="369">
        <f t="shared" si="8"/>
        <v>41</v>
      </c>
      <c r="P115" s="423">
        <f>+'estudio inicial precios'!P130</f>
        <v>42500</v>
      </c>
      <c r="Q115" s="423">
        <f t="shared" si="12"/>
        <v>1742500</v>
      </c>
    </row>
    <row r="116" spans="1:18" ht="13.5" customHeight="1" outlineLevel="1" thickBot="1" x14ac:dyDescent="0.25">
      <c r="A116" s="348" t="s">
        <v>194</v>
      </c>
      <c r="B116" s="347" t="s">
        <v>195</v>
      </c>
      <c r="C116" s="1697" t="s">
        <v>19</v>
      </c>
      <c r="D116" s="1698">
        <v>41</v>
      </c>
      <c r="E116" s="1699">
        <v>7000</v>
      </c>
      <c r="F116" s="1700">
        <f t="shared" si="10"/>
        <v>287000</v>
      </c>
      <c r="G116" s="1700">
        <v>4200</v>
      </c>
      <c r="H116" s="1700">
        <f t="shared" si="11"/>
        <v>172200</v>
      </c>
      <c r="I116" s="1701">
        <f>IFERROR(VLOOKUP(A116,'valores unit indexados'!$A$14:$O$197,15,FALSE),0)</f>
        <v>5300</v>
      </c>
      <c r="J116" s="1702">
        <f t="shared" si="9"/>
        <v>217300</v>
      </c>
      <c r="L116" s="1703" t="str">
        <f t="shared" si="8"/>
        <v>A. 9,4</v>
      </c>
      <c r="M116" s="1704" t="str">
        <f t="shared" si="8"/>
        <v>Aseo general.</v>
      </c>
      <c r="N116" s="1697" t="str">
        <f t="shared" si="8"/>
        <v>M2</v>
      </c>
      <c r="O116" s="1698">
        <f t="shared" si="8"/>
        <v>41</v>
      </c>
      <c r="P116" s="1705">
        <f>+'estudio inicial precios'!P131</f>
        <v>5500</v>
      </c>
      <c r="Q116" s="1705">
        <f t="shared" si="12"/>
        <v>225500</v>
      </c>
    </row>
    <row r="117" spans="1:18" ht="15.75" thickBot="1" x14ac:dyDescent="0.3">
      <c r="A117"/>
      <c r="B117"/>
      <c r="C117" s="1712" t="s">
        <v>196</v>
      </c>
      <c r="D117" s="1713"/>
      <c r="E117" s="1714"/>
      <c r="F117" s="1715">
        <f>SUM(F33:F116)</f>
        <v>348943316</v>
      </c>
      <c r="G117" s="1716"/>
      <c r="H117" s="1715">
        <f>SUM(H33:H116)</f>
        <v>272171374.61400002</v>
      </c>
      <c r="I117" s="1717"/>
      <c r="J117" s="1718">
        <f>SUM(J33:J116)</f>
        <v>231558704.81</v>
      </c>
      <c r="K117" s="1719"/>
      <c r="L117" s="1720"/>
      <c r="M117" s="1721"/>
      <c r="N117" s="1734"/>
      <c r="O117" s="1735"/>
      <c r="P117" s="1713"/>
      <c r="Q117" s="1722">
        <f>SUM(Q33:Q116)</f>
        <v>364377777</v>
      </c>
    </row>
    <row r="118" spans="1:18" ht="15" x14ac:dyDescent="0.25">
      <c r="A118"/>
      <c r="B118"/>
      <c r="C118" s="1706" t="s">
        <v>197</v>
      </c>
      <c r="D118" s="1707"/>
      <c r="E118" s="1708">
        <v>0.3</v>
      </c>
      <c r="F118" s="1709">
        <f>+$F$117*E118</f>
        <v>104682994.8</v>
      </c>
      <c r="G118" s="1708">
        <v>0.24</v>
      </c>
      <c r="H118" s="1709">
        <f>+$H$117*G118</f>
        <v>65321129.907360002</v>
      </c>
      <c r="I118" s="1708">
        <v>0</v>
      </c>
      <c r="J118" s="1709">
        <f>+$J$117*I118</f>
        <v>0</v>
      </c>
      <c r="L118" s="1298"/>
      <c r="M118"/>
      <c r="N118" s="1845" t="str">
        <f t="shared" ref="N118:N122" si="13">+C118</f>
        <v xml:space="preserve">ADMINISTRACION </v>
      </c>
      <c r="O118" s="1846"/>
      <c r="P118" s="1710">
        <f>+$C$15</f>
        <v>0.185</v>
      </c>
      <c r="Q118" s="1711">
        <f>ROUND(P118*$Q$117,0)</f>
        <v>67409889</v>
      </c>
    </row>
    <row r="119" spans="1:18" ht="15" x14ac:dyDescent="0.25">
      <c r="A119"/>
      <c r="B119"/>
      <c r="C119" s="1306" t="s">
        <v>198</v>
      </c>
      <c r="D119" s="1307"/>
      <c r="E119" s="375">
        <v>0.02</v>
      </c>
      <c r="F119" s="376">
        <f>+$F$117*E119</f>
        <v>6978866.3200000003</v>
      </c>
      <c r="G119" s="375">
        <v>0.01</v>
      </c>
      <c r="H119" s="376">
        <f t="shared" ref="H119:H120" si="14">+$H$117*G119</f>
        <v>2721713.7461400004</v>
      </c>
      <c r="I119" s="375">
        <v>0</v>
      </c>
      <c r="J119" s="376">
        <f>+$J$117*I119</f>
        <v>0</v>
      </c>
      <c r="L119" s="1298"/>
      <c r="M119"/>
      <c r="N119" s="1847" t="str">
        <f t="shared" si="13"/>
        <v xml:space="preserve">IMPREVISTO </v>
      </c>
      <c r="O119" s="1848"/>
      <c r="P119" s="1296">
        <f>+$C$16</f>
        <v>0.02</v>
      </c>
      <c r="Q119" s="1711">
        <f t="shared" ref="Q119:Q120" si="15">ROUND(P119*$Q$117,0)</f>
        <v>7287556</v>
      </c>
    </row>
    <row r="120" spans="1:18" ht="15" x14ac:dyDescent="0.25">
      <c r="A120"/>
      <c r="B120"/>
      <c r="C120" s="1306" t="s">
        <v>199</v>
      </c>
      <c r="D120" s="1307"/>
      <c r="E120" s="375">
        <v>0.05</v>
      </c>
      <c r="F120" s="376">
        <f>+$F$117*E120</f>
        <v>17447165.800000001</v>
      </c>
      <c r="G120" s="375">
        <v>0.05</v>
      </c>
      <c r="H120" s="376">
        <f t="shared" si="14"/>
        <v>13608568.730700001</v>
      </c>
      <c r="I120" s="375">
        <v>0</v>
      </c>
      <c r="J120" s="376">
        <f>+$J$117*I120</f>
        <v>0</v>
      </c>
      <c r="L120" s="1298"/>
      <c r="M120"/>
      <c r="N120" s="1847" t="str">
        <f t="shared" si="13"/>
        <v>UTILIDAD</v>
      </c>
      <c r="O120" s="1848"/>
      <c r="P120" s="1296">
        <f>+$C$17</f>
        <v>4.4999999999999998E-2</v>
      </c>
      <c r="Q120" s="1711">
        <f t="shared" si="15"/>
        <v>16397000</v>
      </c>
    </row>
    <row r="121" spans="1:18" ht="15.75" thickBot="1" x14ac:dyDescent="0.3">
      <c r="A121"/>
      <c r="B121"/>
      <c r="C121" s="1723" t="s">
        <v>200</v>
      </c>
      <c r="D121" s="1724"/>
      <c r="E121" s="1725">
        <v>0.19</v>
      </c>
      <c r="F121" s="1726">
        <f>+$F$120*E121</f>
        <v>3314961.5020000003</v>
      </c>
      <c r="G121" s="1725">
        <v>0.19</v>
      </c>
      <c r="H121" s="1726">
        <f>+$H$120*G121</f>
        <v>2585628.0588330003</v>
      </c>
      <c r="I121" s="1725">
        <v>0</v>
      </c>
      <c r="J121" s="1726">
        <f>+$J$120*I121</f>
        <v>0</v>
      </c>
      <c r="L121" s="1298"/>
      <c r="M121"/>
      <c r="N121" s="1849" t="str">
        <f t="shared" si="13"/>
        <v xml:space="preserve">IVA SOBRE UTILIDAD </v>
      </c>
      <c r="O121" s="1850"/>
      <c r="P121" s="1727">
        <f>+$C$18</f>
        <v>0.19</v>
      </c>
      <c r="Q121" s="1711">
        <f>ROUND(P121*$Q$120,0)</f>
        <v>3115430</v>
      </c>
    </row>
    <row r="122" spans="1:18" ht="15.75" thickBot="1" x14ac:dyDescent="0.3">
      <c r="A122"/>
      <c r="B122"/>
      <c r="C122" s="1868" t="s">
        <v>201</v>
      </c>
      <c r="D122" s="1869"/>
      <c r="E122" s="1869"/>
      <c r="F122" s="1869">
        <f>SUM(F117:F121)</f>
        <v>481367304.42199999</v>
      </c>
      <c r="G122" s="1869"/>
      <c r="H122" s="1869">
        <f>SUM(H117:H121)</f>
        <v>356408415.05703306</v>
      </c>
      <c r="I122" s="1869"/>
      <c r="J122" s="1869">
        <f>SUM(J117:J121)</f>
        <v>231558704.81</v>
      </c>
      <c r="K122" s="1869"/>
      <c r="L122" s="1869"/>
      <c r="M122" s="1869"/>
      <c r="N122" s="1869" t="str">
        <f t="shared" si="13"/>
        <v xml:space="preserve">VALOR TOTAL INCLUIDO AIU E IVA </v>
      </c>
      <c r="O122" s="1869"/>
      <c r="P122" s="1870"/>
      <c r="Q122" s="1733">
        <f>SUM(Q117:Q121)</f>
        <v>458587652</v>
      </c>
    </row>
    <row r="123" spans="1:18" ht="15.75" thickBot="1" x14ac:dyDescent="0.3">
      <c r="N123"/>
      <c r="O123"/>
      <c r="P123"/>
      <c r="Q123"/>
      <c r="R123" s="1548"/>
    </row>
    <row r="124" spans="1:18" ht="13.5" thickBot="1" x14ac:dyDescent="0.25">
      <c r="A124" s="1801" t="s">
        <v>202</v>
      </c>
      <c r="B124" s="1802" t="s">
        <v>1632</v>
      </c>
      <c r="C124" s="1802"/>
      <c r="D124" s="1802"/>
      <c r="E124" s="1802"/>
      <c r="F124" s="1802"/>
      <c r="G124" s="1802"/>
      <c r="H124" s="1802">
        <v>0</v>
      </c>
      <c r="I124" s="1802"/>
      <c r="J124" s="1802"/>
      <c r="K124" s="1719"/>
      <c r="L124" s="1803" t="str">
        <f t="shared" ref="L124:O140" si="16">+A124</f>
        <v>B</v>
      </c>
      <c r="M124" s="1853"/>
      <c r="N124" s="1854"/>
      <c r="O124" s="1854"/>
      <c r="P124" s="1854"/>
      <c r="Q124" s="1855"/>
    </row>
    <row r="125" spans="1:18" ht="12.75" customHeight="1" outlineLevel="1" x14ac:dyDescent="0.2">
      <c r="A125" s="354" t="s">
        <v>204</v>
      </c>
      <c r="B125" s="347" t="s">
        <v>21</v>
      </c>
      <c r="C125" s="340" t="s">
        <v>19</v>
      </c>
      <c r="D125" s="348">
        <v>6</v>
      </c>
      <c r="E125" s="353">
        <v>60000</v>
      </c>
      <c r="F125" s="353">
        <f>+E125*D125</f>
        <v>360000</v>
      </c>
      <c r="G125" s="349">
        <v>19500</v>
      </c>
      <c r="H125" s="349">
        <f>+G125*D125</f>
        <v>117000</v>
      </c>
      <c r="I125" s="1285">
        <f>IFERROR(VLOOKUP(A125,'valores unit indexados'!$A$14:$O$197,15,FALSE),0)</f>
        <v>14660</v>
      </c>
      <c r="J125" s="349">
        <f t="shared" ref="J125:J134" si="17">+I125*D125</f>
        <v>87960</v>
      </c>
      <c r="L125" s="354" t="str">
        <f t="shared" si="16"/>
        <v>B. 1,1</v>
      </c>
      <c r="M125" s="347" t="str">
        <f t="shared" si="16"/>
        <v>Retiro de manto existente, incluye retiro de escombros</v>
      </c>
      <c r="N125" s="340" t="str">
        <f t="shared" si="16"/>
        <v>M2</v>
      </c>
      <c r="O125" s="348">
        <f t="shared" si="16"/>
        <v>6</v>
      </c>
      <c r="P125" s="423">
        <f>+'estudio inicial precios'!P140</f>
        <v>17080</v>
      </c>
      <c r="Q125" s="423">
        <f t="shared" ref="Q125:Q134" si="18">+P125*O125</f>
        <v>102480</v>
      </c>
    </row>
    <row r="126" spans="1:18" ht="12.75" customHeight="1" outlineLevel="1" x14ac:dyDescent="0.2">
      <c r="A126" s="354" t="s">
        <v>205</v>
      </c>
      <c r="B126" s="347" t="s">
        <v>206</v>
      </c>
      <c r="C126" s="340" t="s">
        <v>19</v>
      </c>
      <c r="D126" s="348">
        <v>6</v>
      </c>
      <c r="E126" s="353">
        <v>90000</v>
      </c>
      <c r="F126" s="353">
        <f t="shared" ref="F126:F134" si="19">+E126*D126</f>
        <v>540000</v>
      </c>
      <c r="G126" s="349">
        <v>3731</v>
      </c>
      <c r="H126" s="349">
        <f t="shared" ref="H126:H134" si="20">+G126*D126</f>
        <v>22386</v>
      </c>
      <c r="I126" s="1285">
        <f>IFERROR(VLOOKUP(A126,'valores unit indexados'!$A$14:$O$197,15,FALSE),0)</f>
        <v>29150</v>
      </c>
      <c r="J126" s="349">
        <f t="shared" si="17"/>
        <v>174900</v>
      </c>
      <c r="L126" s="354" t="str">
        <f t="shared" si="16"/>
        <v>B. 1,2</v>
      </c>
      <c r="M126" s="347" t="str">
        <f t="shared" si="16"/>
        <v>Lavada y destronque a máquina (para retirar material existente)</v>
      </c>
      <c r="N126" s="340" t="str">
        <f t="shared" si="16"/>
        <v>M2</v>
      </c>
      <c r="O126" s="348">
        <f t="shared" si="16"/>
        <v>6</v>
      </c>
      <c r="P126" s="423">
        <f>+'estudio inicial precios'!P141</f>
        <v>32075</v>
      </c>
      <c r="Q126" s="423">
        <f t="shared" si="18"/>
        <v>192450</v>
      </c>
    </row>
    <row r="127" spans="1:18" ht="25.5" customHeight="1" outlineLevel="1" x14ac:dyDescent="0.2">
      <c r="A127" s="346" t="s">
        <v>207</v>
      </c>
      <c r="B127" s="347" t="s">
        <v>208</v>
      </c>
      <c r="C127" s="340" t="s">
        <v>19</v>
      </c>
      <c r="D127" s="348">
        <v>6</v>
      </c>
      <c r="E127" s="353">
        <v>75000</v>
      </c>
      <c r="F127" s="353">
        <f t="shared" si="19"/>
        <v>450000</v>
      </c>
      <c r="G127" s="349">
        <v>32500</v>
      </c>
      <c r="H127" s="349">
        <f t="shared" si="20"/>
        <v>195000</v>
      </c>
      <c r="I127" s="1285">
        <f>IFERROR(VLOOKUP(A127,'valores unit indexados'!$A$14:$O$197,15,FALSE),0)</f>
        <v>0</v>
      </c>
      <c r="J127" s="349">
        <f t="shared" si="17"/>
        <v>0</v>
      </c>
      <c r="L127" s="346" t="str">
        <f t="shared" si="16"/>
        <v>B. 1,3</v>
      </c>
      <c r="M127" s="347" t="str">
        <f t="shared" si="16"/>
        <v>Suministro y aplicación de mortero 1:3 con aditivo impermeabilizante espesor 4cm (superficie con pendiente)</v>
      </c>
      <c r="N127" s="340" t="str">
        <f t="shared" si="16"/>
        <v>M2</v>
      </c>
      <c r="O127" s="348">
        <f t="shared" si="16"/>
        <v>6</v>
      </c>
      <c r="P127" s="423">
        <f>+'estudio inicial precios'!P142</f>
        <v>35250</v>
      </c>
      <c r="Q127" s="423">
        <f t="shared" si="18"/>
        <v>211500</v>
      </c>
    </row>
    <row r="128" spans="1:18" ht="25.5" customHeight="1" outlineLevel="1" x14ac:dyDescent="0.2">
      <c r="A128" s="354" t="s">
        <v>209</v>
      </c>
      <c r="B128" s="365" t="s">
        <v>76</v>
      </c>
      <c r="C128" s="366" t="s">
        <v>19</v>
      </c>
      <c r="D128" s="348">
        <v>6</v>
      </c>
      <c r="E128" s="379">
        <v>280000</v>
      </c>
      <c r="F128" s="353">
        <f t="shared" si="19"/>
        <v>1680000</v>
      </c>
      <c r="G128" s="349">
        <v>128700</v>
      </c>
      <c r="H128" s="349">
        <f t="shared" si="20"/>
        <v>772200</v>
      </c>
      <c r="I128" s="1285">
        <f>IFERROR(VLOOKUP(A128,'valores unit indexados'!$A$14:$O$197,15,FALSE),0)</f>
        <v>227816</v>
      </c>
      <c r="J128" s="349">
        <f t="shared" si="17"/>
        <v>1366896</v>
      </c>
      <c r="L128" s="354" t="str">
        <f t="shared" si="16"/>
        <v>B. 1,4</v>
      </c>
      <c r="M128" s="365" t="str">
        <f t="shared" si="16"/>
        <v>Suministro e instalación de membrana pvc (incluye perlines de fijación)</v>
      </c>
      <c r="N128" s="366" t="str">
        <f t="shared" si="16"/>
        <v>M2</v>
      </c>
      <c r="O128" s="348">
        <f t="shared" si="16"/>
        <v>6</v>
      </c>
      <c r="P128" s="423">
        <f>+'estudio inicial precios'!P143</f>
        <v>212172</v>
      </c>
      <c r="Q128" s="423">
        <f t="shared" si="18"/>
        <v>1273032</v>
      </c>
    </row>
    <row r="129" spans="1:60" ht="12.75" customHeight="1" outlineLevel="1" x14ac:dyDescent="0.2">
      <c r="A129" s="346" t="s">
        <v>210</v>
      </c>
      <c r="B129" s="347" t="s">
        <v>211</v>
      </c>
      <c r="C129" s="367" t="s">
        <v>19</v>
      </c>
      <c r="D129" s="348">
        <v>20</v>
      </c>
      <c r="E129" s="353">
        <v>15000</v>
      </c>
      <c r="F129" s="353">
        <f t="shared" si="19"/>
        <v>300000</v>
      </c>
      <c r="G129" s="349">
        <v>4000</v>
      </c>
      <c r="H129" s="349">
        <f t="shared" si="20"/>
        <v>80000</v>
      </c>
      <c r="I129" s="1285">
        <f>IFERROR(VLOOKUP(A129,'valores unit indexados'!$A$14:$O$197,15,FALSE),0)</f>
        <v>8445</v>
      </c>
      <c r="J129" s="349">
        <f t="shared" si="17"/>
        <v>168900</v>
      </c>
      <c r="L129" s="346" t="str">
        <f t="shared" si="16"/>
        <v>B. 1,5</v>
      </c>
      <c r="M129" s="347" t="str">
        <f t="shared" si="16"/>
        <v>Rasqueteada de Pintura</v>
      </c>
      <c r="N129" s="367" t="str">
        <f t="shared" si="16"/>
        <v>M2</v>
      </c>
      <c r="O129" s="348">
        <f t="shared" si="16"/>
        <v>20</v>
      </c>
      <c r="P129" s="423">
        <f>+'estudio inicial precios'!P144</f>
        <v>6630</v>
      </c>
      <c r="Q129" s="423">
        <f t="shared" si="18"/>
        <v>132600</v>
      </c>
    </row>
    <row r="130" spans="1:60" ht="38.25" customHeight="1" outlineLevel="1" x14ac:dyDescent="0.2">
      <c r="A130" s="354" t="s">
        <v>212</v>
      </c>
      <c r="B130" s="368" t="s">
        <v>86</v>
      </c>
      <c r="C130" s="340" t="s">
        <v>19</v>
      </c>
      <c r="D130" s="348">
        <v>3</v>
      </c>
      <c r="E130" s="353">
        <v>140000</v>
      </c>
      <c r="F130" s="353">
        <f t="shared" si="19"/>
        <v>420000</v>
      </c>
      <c r="G130" s="349">
        <v>45500</v>
      </c>
      <c r="H130" s="349">
        <f t="shared" si="20"/>
        <v>136500</v>
      </c>
      <c r="I130" s="1285">
        <f>IFERROR(VLOOKUP(A130,'valores unit indexados'!$A$14:$O$197,15,FALSE),0)</f>
        <v>41660</v>
      </c>
      <c r="J130" s="349">
        <f t="shared" si="17"/>
        <v>124980</v>
      </c>
      <c r="L130" s="354" t="str">
        <f t="shared" si="16"/>
        <v>B. 1,6</v>
      </c>
      <c r="M130" s="368" t="str">
        <f t="shared" si="16"/>
        <v xml:space="preserve">Suministro e instalación de recubrimiento cementoso (Recubrimiento a base de cemento, arena y aditivos especiales), impermeable para muros color blanco </v>
      </c>
      <c r="N130" s="340" t="str">
        <f t="shared" si="16"/>
        <v>M2</v>
      </c>
      <c r="O130" s="348">
        <f t="shared" si="16"/>
        <v>3</v>
      </c>
      <c r="P130" s="423">
        <f>+'estudio inicial precios'!P145</f>
        <v>45053</v>
      </c>
      <c r="Q130" s="423">
        <f t="shared" si="18"/>
        <v>135159</v>
      </c>
    </row>
    <row r="131" spans="1:60" ht="12.75" customHeight="1" outlineLevel="1" x14ac:dyDescent="0.2">
      <c r="A131" s="346" t="s">
        <v>213</v>
      </c>
      <c r="B131" s="347" t="s">
        <v>88</v>
      </c>
      <c r="C131" s="367" t="s">
        <v>19</v>
      </c>
      <c r="D131" s="348">
        <v>20</v>
      </c>
      <c r="E131" s="353">
        <v>35000</v>
      </c>
      <c r="F131" s="353">
        <f t="shared" si="19"/>
        <v>700000</v>
      </c>
      <c r="G131" s="349">
        <v>11700</v>
      </c>
      <c r="H131" s="349">
        <f t="shared" si="20"/>
        <v>234000</v>
      </c>
      <c r="I131" s="1285">
        <f>IFERROR(VLOOKUP(A131,'valores unit indexados'!$A$14:$O$197,15,FALSE),0)</f>
        <v>24610</v>
      </c>
      <c r="J131" s="349">
        <f t="shared" si="17"/>
        <v>492200</v>
      </c>
      <c r="L131" s="346" t="str">
        <f t="shared" si="16"/>
        <v>B. 1,7</v>
      </c>
      <c r="M131" s="347" t="str">
        <f t="shared" si="16"/>
        <v xml:space="preserve">Suministro y aplicación de estuco plástico </v>
      </c>
      <c r="N131" s="367" t="str">
        <f t="shared" si="16"/>
        <v>M2</v>
      </c>
      <c r="O131" s="348">
        <f t="shared" si="16"/>
        <v>20</v>
      </c>
      <c r="P131" s="423">
        <f>+'estudio inicial precios'!P146</f>
        <v>26305</v>
      </c>
      <c r="Q131" s="423">
        <f t="shared" si="18"/>
        <v>526100</v>
      </c>
    </row>
    <row r="132" spans="1:60" ht="12.75" customHeight="1" outlineLevel="1" x14ac:dyDescent="0.2">
      <c r="A132" s="354" t="s">
        <v>214</v>
      </c>
      <c r="B132" s="347" t="s">
        <v>98</v>
      </c>
      <c r="C132" s="367" t="s">
        <v>19</v>
      </c>
      <c r="D132" s="348">
        <v>20</v>
      </c>
      <c r="E132" s="353">
        <v>25000</v>
      </c>
      <c r="F132" s="353">
        <f t="shared" si="19"/>
        <v>500000</v>
      </c>
      <c r="G132" s="412">
        <v>8710</v>
      </c>
      <c r="H132" s="349">
        <f t="shared" si="20"/>
        <v>174200</v>
      </c>
      <c r="I132" s="1285">
        <f>IFERROR(VLOOKUP(A132,'valores unit indexados'!$A$14:$O$197,15,FALSE),0)</f>
        <v>0</v>
      </c>
      <c r="J132" s="349">
        <f t="shared" si="17"/>
        <v>0</v>
      </c>
      <c r="L132" s="354" t="str">
        <f t="shared" si="16"/>
        <v>B. 1,8</v>
      </c>
      <c r="M132" s="347" t="str">
        <f t="shared" si="16"/>
        <v>Suministro y aplicación de vinilo tipo 2 (3 manos)</v>
      </c>
      <c r="N132" s="367" t="str">
        <f t="shared" si="16"/>
        <v>M2</v>
      </c>
      <c r="O132" s="348">
        <f t="shared" si="16"/>
        <v>20</v>
      </c>
      <c r="P132" s="423">
        <f>+'estudio inicial precios'!P147</f>
        <v>19000</v>
      </c>
      <c r="Q132" s="423">
        <f t="shared" si="18"/>
        <v>380000</v>
      </c>
    </row>
    <row r="133" spans="1:60" ht="12.75" customHeight="1" outlineLevel="1" x14ac:dyDescent="0.2">
      <c r="A133" s="340" t="s">
        <v>215</v>
      </c>
      <c r="B133" s="347" t="s">
        <v>92</v>
      </c>
      <c r="C133" s="367" t="s">
        <v>19</v>
      </c>
      <c r="D133" s="348">
        <v>4</v>
      </c>
      <c r="E133" s="353">
        <v>25000</v>
      </c>
      <c r="F133" s="353">
        <f t="shared" si="19"/>
        <v>100000</v>
      </c>
      <c r="G133" s="349">
        <v>8710</v>
      </c>
      <c r="H133" s="349">
        <f t="shared" si="20"/>
        <v>34840</v>
      </c>
      <c r="I133" s="1285">
        <f>IFERROR(VLOOKUP(A133,'valores unit indexados'!$A$14:$O$197,15,FALSE),0)</f>
        <v>17005</v>
      </c>
      <c r="J133" s="349">
        <f t="shared" si="17"/>
        <v>68020</v>
      </c>
      <c r="L133" s="340" t="str">
        <f t="shared" si="16"/>
        <v>B. 1,9</v>
      </c>
      <c r="M133" s="347" t="str">
        <f t="shared" si="16"/>
        <v>Suministro y aplicación de pintura en esmalte</v>
      </c>
      <c r="N133" s="367" t="str">
        <f t="shared" si="16"/>
        <v>M2</v>
      </c>
      <c r="O133" s="348">
        <f t="shared" si="16"/>
        <v>4</v>
      </c>
      <c r="P133" s="423">
        <f>+'estudio inicial precios'!P148</f>
        <v>17503</v>
      </c>
      <c r="Q133" s="423">
        <f t="shared" si="18"/>
        <v>70012</v>
      </c>
    </row>
    <row r="134" spans="1:60" ht="12.75" customHeight="1" outlineLevel="1" x14ac:dyDescent="0.2">
      <c r="A134" s="340" t="s">
        <v>216</v>
      </c>
      <c r="B134" s="347" t="s">
        <v>195</v>
      </c>
      <c r="C134" s="340" t="s">
        <v>19</v>
      </c>
      <c r="D134" s="348">
        <v>21</v>
      </c>
      <c r="E134" s="353">
        <v>10000</v>
      </c>
      <c r="F134" s="353">
        <f t="shared" si="19"/>
        <v>210000</v>
      </c>
      <c r="G134" s="349">
        <v>4200</v>
      </c>
      <c r="H134" s="349">
        <f t="shared" si="20"/>
        <v>88200</v>
      </c>
      <c r="I134" s="1285">
        <f>IFERROR(VLOOKUP(A134,'valores unit indexados'!$A$14:$O$197,15,FALSE),0)</f>
        <v>5300</v>
      </c>
      <c r="J134" s="349">
        <f t="shared" si="17"/>
        <v>111300</v>
      </c>
      <c r="L134" s="340" t="str">
        <f t="shared" si="16"/>
        <v>B. 1,10</v>
      </c>
      <c r="M134" s="347" t="str">
        <f t="shared" si="16"/>
        <v>Aseo general.</v>
      </c>
      <c r="N134" s="340" t="str">
        <f t="shared" si="16"/>
        <v>M2</v>
      </c>
      <c r="O134" s="348">
        <f t="shared" si="16"/>
        <v>21</v>
      </c>
      <c r="P134" s="423">
        <f>+'estudio inicial precios'!P149</f>
        <v>5500</v>
      </c>
      <c r="Q134" s="423">
        <f t="shared" si="18"/>
        <v>115500</v>
      </c>
    </row>
    <row r="135" spans="1:60" ht="26.25" customHeight="1" outlineLevel="1" thickBot="1" x14ac:dyDescent="0.25">
      <c r="A135" s="1283" t="s">
        <v>1630</v>
      </c>
      <c r="B135" s="1820" t="str">
        <f>+'estudio inicial precios'!B150</f>
        <v>Cerramiento en tela verde o polisombra (incluye postes de madera para soporte) altura: 2.10 mts.</v>
      </c>
      <c r="C135" s="1283" t="str">
        <f>+'estudio inicial precios'!C150</f>
        <v>ML</v>
      </c>
      <c r="D135" s="1764">
        <f>+'estudio inicial precios'!D150</f>
        <v>24</v>
      </c>
      <c r="E135" s="379">
        <f>+'estudio inicial precios'!E150</f>
        <v>40000</v>
      </c>
      <c r="F135" s="379">
        <f>+'estudio inicial precios'!F150</f>
        <v>960000</v>
      </c>
      <c r="G135" s="412">
        <f>+'estudio inicial precios'!G150</f>
        <v>27131</v>
      </c>
      <c r="H135" s="412">
        <f>+'estudio inicial precios'!H150</f>
        <v>651144</v>
      </c>
      <c r="I135" s="1285">
        <f>+'estudio inicial precios'!I150</f>
        <v>0</v>
      </c>
      <c r="J135" s="412">
        <f>+'estudio inicial precios'!J150</f>
        <v>0</v>
      </c>
      <c r="K135" s="1544">
        <f>+'estudio inicial precios'!K150</f>
        <v>0</v>
      </c>
      <c r="L135" s="1283" t="str">
        <f>+'estudio inicial precios'!L150</f>
        <v>B. 1,11</v>
      </c>
      <c r="M135" s="1820" t="str">
        <f>+'estudio inicial precios'!M150</f>
        <v>Cerramiento en tela verde o polisombra (incluye postes de madera para soporte) altura: 2.10 mts.</v>
      </c>
      <c r="N135" s="1283" t="str">
        <f>+'estudio inicial precios'!N150</f>
        <v>ML</v>
      </c>
      <c r="O135" s="1764">
        <f>+'estudio inicial precios'!O150</f>
        <v>24</v>
      </c>
      <c r="P135" s="1552">
        <f>+'estudio inicial precios'!P150</f>
        <v>27131</v>
      </c>
      <c r="Q135" s="1552">
        <f>+'estudio inicial precios'!Q150</f>
        <v>651144</v>
      </c>
    </row>
    <row r="136" spans="1:60" ht="15.75" thickBot="1" x14ac:dyDescent="0.3">
      <c r="A136"/>
      <c r="B136"/>
      <c r="C136" s="1712" t="s">
        <v>196</v>
      </c>
      <c r="D136" s="1713"/>
      <c r="E136" s="1714"/>
      <c r="F136" s="1715">
        <f>SUM(F37:F134)</f>
        <v>1298627924.8439999</v>
      </c>
      <c r="G136" s="1716"/>
      <c r="H136" s="1715">
        <f>SUM(H37:H134)</f>
        <v>970469121.72806609</v>
      </c>
      <c r="I136" s="1717"/>
      <c r="J136" s="1718">
        <f>SUM(J38:J134)</f>
        <v>656843887.43000007</v>
      </c>
      <c r="K136" s="1719"/>
      <c r="L136" s="1720"/>
      <c r="M136" s="1721"/>
      <c r="N136" s="1734"/>
      <c r="O136" s="1735"/>
      <c r="P136" s="1713"/>
      <c r="Q136" s="1722">
        <f>SUM(Q125:Q135)</f>
        <v>3789977</v>
      </c>
    </row>
    <row r="137" spans="1:60" ht="15" x14ac:dyDescent="0.25">
      <c r="A137"/>
      <c r="B137"/>
      <c r="C137" s="1706" t="s">
        <v>197</v>
      </c>
      <c r="D137" s="1707"/>
      <c r="E137" s="1708">
        <v>0.3</v>
      </c>
      <c r="F137" s="1709">
        <f>+F$136*E137</f>
        <v>389588377.45319992</v>
      </c>
      <c r="G137" s="1708">
        <v>0.24</v>
      </c>
      <c r="H137" s="1709">
        <f>+H$136*G137</f>
        <v>232912589.21473587</v>
      </c>
      <c r="I137" s="1708">
        <v>0</v>
      </c>
      <c r="J137" s="1709">
        <f>+J$136*I137</f>
        <v>0</v>
      </c>
      <c r="L137" s="1298"/>
      <c r="M137" s="1645"/>
      <c r="N137" s="1845" t="str">
        <f t="shared" si="16"/>
        <v xml:space="preserve">ADMINISTRACION </v>
      </c>
      <c r="O137" s="1846"/>
      <c r="P137" s="1710">
        <f>+$C$15</f>
        <v>0.185</v>
      </c>
      <c r="Q137" s="1711">
        <f>ROUND(P137*$Q$136,0)</f>
        <v>701146</v>
      </c>
    </row>
    <row r="138" spans="1:60" ht="15" x14ac:dyDescent="0.25">
      <c r="A138"/>
      <c r="B138"/>
      <c r="C138" s="1671" t="s">
        <v>198</v>
      </c>
      <c r="D138" s="1672"/>
      <c r="E138" s="375">
        <v>0.02</v>
      </c>
      <c r="F138" s="376">
        <f t="shared" ref="F138:H139" si="21">+F$136*E138</f>
        <v>25972558.496879999</v>
      </c>
      <c r="G138" s="375">
        <v>0.01</v>
      </c>
      <c r="H138" s="376">
        <f t="shared" si="21"/>
        <v>9704691.2172806617</v>
      </c>
      <c r="I138" s="375">
        <v>0</v>
      </c>
      <c r="J138" s="376">
        <f t="shared" ref="J138:J139" si="22">+J$136*I138</f>
        <v>0</v>
      </c>
      <c r="L138" s="1298"/>
      <c r="M138" s="1645"/>
      <c r="N138" s="1847" t="str">
        <f t="shared" si="16"/>
        <v xml:space="preserve">IMPREVISTO </v>
      </c>
      <c r="O138" s="1848"/>
      <c r="P138" s="1296">
        <f>+$C$16</f>
        <v>0.02</v>
      </c>
      <c r="Q138" s="1711">
        <f t="shared" ref="Q138:Q139" si="23">ROUND(P138*$Q$136,0)</f>
        <v>75800</v>
      </c>
    </row>
    <row r="139" spans="1:60" ht="15" x14ac:dyDescent="0.25">
      <c r="A139"/>
      <c r="B139"/>
      <c r="C139" s="1671" t="s">
        <v>199</v>
      </c>
      <c r="D139" s="1672"/>
      <c r="E139" s="375">
        <v>0.05</v>
      </c>
      <c r="F139" s="376">
        <f t="shared" si="21"/>
        <v>64931396.242199995</v>
      </c>
      <c r="G139" s="375">
        <v>0.05</v>
      </c>
      <c r="H139" s="376">
        <f t="shared" si="21"/>
        <v>48523456.08640331</v>
      </c>
      <c r="I139" s="375">
        <v>0</v>
      </c>
      <c r="J139" s="376">
        <f t="shared" si="22"/>
        <v>0</v>
      </c>
      <c r="L139" s="1298"/>
      <c r="M139" s="1645"/>
      <c r="N139" s="1847" t="str">
        <f t="shared" si="16"/>
        <v>UTILIDAD</v>
      </c>
      <c r="O139" s="1848"/>
      <c r="P139" s="1296">
        <f>+$C$17</f>
        <v>4.4999999999999998E-2</v>
      </c>
      <c r="Q139" s="1711">
        <f t="shared" si="23"/>
        <v>170549</v>
      </c>
    </row>
    <row r="140" spans="1:60" ht="15.75" thickBot="1" x14ac:dyDescent="0.3">
      <c r="A140"/>
      <c r="B140"/>
      <c r="C140" s="1723" t="s">
        <v>200</v>
      </c>
      <c r="D140" s="1724"/>
      <c r="E140" s="1725">
        <v>0.19</v>
      </c>
      <c r="F140" s="1726">
        <f>+F$139*E140</f>
        <v>12336965.286017999</v>
      </c>
      <c r="G140" s="1725">
        <v>0.19</v>
      </c>
      <c r="H140" s="1726">
        <f>+H$139*G140</f>
        <v>9219456.6564166285</v>
      </c>
      <c r="I140" s="1725">
        <v>0</v>
      </c>
      <c r="J140" s="1726">
        <f>+J$139*I140</f>
        <v>0</v>
      </c>
      <c r="L140" s="1298"/>
      <c r="M140" s="1645"/>
      <c r="N140" s="1849" t="str">
        <f t="shared" si="16"/>
        <v xml:space="preserve">IVA SOBRE UTILIDAD </v>
      </c>
      <c r="O140" s="1850"/>
      <c r="P140" s="1727">
        <f>+$C$18</f>
        <v>0.19</v>
      </c>
      <c r="Q140" s="1711">
        <f>ROUND(P140*$Q$139,0)</f>
        <v>32404</v>
      </c>
    </row>
    <row r="141" spans="1:60" ht="15.75" thickBot="1" x14ac:dyDescent="0.3">
      <c r="A141"/>
      <c r="B141"/>
      <c r="C141" s="1868" t="s">
        <v>201</v>
      </c>
      <c r="D141" s="1869"/>
      <c r="E141" s="1869"/>
      <c r="F141" s="1869">
        <f>SUM(F136:F140)</f>
        <v>1791457222.3222976</v>
      </c>
      <c r="G141" s="1869"/>
      <c r="H141" s="1869">
        <f>SUM(H136:H140)</f>
        <v>1270829314.9029026</v>
      </c>
      <c r="I141" s="1869"/>
      <c r="J141" s="1869">
        <f>SUM(J136:J140)</f>
        <v>656843887.43000007</v>
      </c>
      <c r="K141" s="1869"/>
      <c r="L141" s="1869"/>
      <c r="M141" s="1869"/>
      <c r="N141" s="1869" t="str">
        <f t="shared" ref="N141" si="24">+C141</f>
        <v xml:space="preserve">VALOR TOTAL INCLUIDO AIU E IVA </v>
      </c>
      <c r="O141" s="1869"/>
      <c r="P141" s="1870"/>
      <c r="Q141" s="1733">
        <f>SUM(Q136:Q140)</f>
        <v>4769876</v>
      </c>
      <c r="U141" s="1567"/>
    </row>
    <row r="142" spans="1:60" ht="15" x14ac:dyDescent="0.25">
      <c r="N142"/>
      <c r="O142"/>
      <c r="P142"/>
      <c r="Q142"/>
      <c r="R142" s="1548"/>
    </row>
    <row r="143" spans="1:60" ht="13.5" thickBot="1" x14ac:dyDescent="0.25">
      <c r="A143" s="377" t="s">
        <v>217</v>
      </c>
      <c r="B143" s="378" t="s">
        <v>1531</v>
      </c>
      <c r="C143" s="378"/>
      <c r="D143" s="378"/>
      <c r="E143" s="378"/>
      <c r="F143" s="378"/>
      <c r="G143" s="378"/>
      <c r="H143" s="378"/>
      <c r="I143" s="378"/>
      <c r="J143" s="378"/>
      <c r="L143" s="1297" t="str">
        <f t="shared" ref="L143:O173" si="25">+A143</f>
        <v>C</v>
      </c>
      <c r="M143" s="1871"/>
      <c r="N143" s="1872"/>
      <c r="O143" s="1872"/>
      <c r="P143" s="1872"/>
      <c r="Q143" s="1873"/>
    </row>
    <row r="144" spans="1:60" s="1533" customFormat="1" ht="24.75" hidden="1" customHeight="1" outlineLevel="1" x14ac:dyDescent="0.2">
      <c r="A144" s="1527" t="s">
        <v>219</v>
      </c>
      <c r="B144" s="1528" t="s">
        <v>220</v>
      </c>
      <c r="C144" s="1527"/>
      <c r="D144" s="1529"/>
      <c r="E144" s="1530"/>
      <c r="F144" s="1531"/>
      <c r="G144" s="1530"/>
      <c r="H144" s="1531"/>
      <c r="I144" s="1532"/>
      <c r="J144" s="1527"/>
      <c r="K144" s="1544"/>
      <c r="L144" s="1527" t="str">
        <f t="shared" si="25"/>
        <v>C. 1</v>
      </c>
      <c r="M144" s="1836"/>
      <c r="N144" s="1837"/>
      <c r="O144" s="1837"/>
      <c r="P144" s="1837"/>
      <c r="Q144" s="1838"/>
      <c r="R144" s="1544"/>
      <c r="S144" s="1544"/>
      <c r="T144" s="1544"/>
      <c r="U144" s="1544"/>
      <c r="V144" s="1544"/>
      <c r="W144" s="1544"/>
      <c r="X144" s="1544"/>
      <c r="Y144" s="1544"/>
      <c r="Z144" s="1544"/>
      <c r="AA144" s="1544"/>
      <c r="AB144" s="1544"/>
      <c r="AC144" s="1544"/>
      <c r="AD144" s="1544"/>
      <c r="AE144" s="1544"/>
      <c r="AF144" s="1544"/>
      <c r="AG144" s="1544"/>
      <c r="AH144" s="1544"/>
      <c r="AI144" s="1544"/>
      <c r="AJ144" s="1544"/>
      <c r="AK144" s="1544"/>
      <c r="AL144" s="1544"/>
      <c r="AM144" s="1544"/>
      <c r="AN144" s="1544"/>
      <c r="AO144" s="1544"/>
      <c r="AP144" s="1544"/>
      <c r="AQ144" s="1544"/>
      <c r="AR144" s="1544"/>
      <c r="AS144" s="1544"/>
      <c r="AT144" s="1544"/>
      <c r="AU144" s="1544"/>
      <c r="AV144" s="1544"/>
      <c r="AW144" s="1544"/>
      <c r="AX144" s="1544"/>
      <c r="AY144" s="1544"/>
      <c r="AZ144" s="1544"/>
      <c r="BA144" s="1544"/>
      <c r="BB144" s="1544"/>
      <c r="BC144" s="1544"/>
      <c r="BD144" s="1544"/>
      <c r="BE144" s="1544"/>
      <c r="BF144" s="1544"/>
      <c r="BG144" s="1544"/>
      <c r="BH144" s="1544"/>
    </row>
    <row r="145" spans="1:60" ht="38.25" hidden="1" customHeight="1" outlineLevel="1" x14ac:dyDescent="0.2">
      <c r="A145" s="346" t="s">
        <v>221</v>
      </c>
      <c r="B145" s="347" t="s">
        <v>222</v>
      </c>
      <c r="C145" s="340" t="s">
        <v>14</v>
      </c>
      <c r="D145" s="348">
        <v>47</v>
      </c>
      <c r="E145" s="353">
        <v>135500</v>
      </c>
      <c r="F145" s="353">
        <f>+E145*D145</f>
        <v>6368500</v>
      </c>
      <c r="G145" s="387">
        <v>0</v>
      </c>
      <c r="H145" s="353">
        <f>+G145*D145</f>
        <v>0</v>
      </c>
      <c r="I145" s="1285">
        <f>IFERROR(VLOOKUP(A145,'valores unit indexados'!$A$14:$O$197,15,FALSE),0)</f>
        <v>226947</v>
      </c>
      <c r="J145" s="349">
        <f t="shared" ref="J145:J201" si="26">+I145*D145</f>
        <v>10666509</v>
      </c>
      <c r="L145" s="346" t="str">
        <f t="shared" si="25"/>
        <v>C. 1,1</v>
      </c>
      <c r="M145" s="347" t="str">
        <f t="shared" si="25"/>
        <v>Pasarela cercada que permita la circulación de vehículos, y contenga, (soporte) la caída de materiales de la obra al espacio público (ancho mínimo de 2 metros)</v>
      </c>
      <c r="N145" s="340" t="str">
        <f t="shared" si="25"/>
        <v>ML</v>
      </c>
      <c r="O145" s="348">
        <f t="shared" si="25"/>
        <v>47</v>
      </c>
      <c r="P145" s="423">
        <f>+'estudio inicial precios'!P160</f>
        <v>226947</v>
      </c>
      <c r="Q145" s="423">
        <f t="shared" ref="Q145:Q201" si="27">+P145*O145</f>
        <v>10666509</v>
      </c>
    </row>
    <row r="146" spans="1:60" ht="25.5" hidden="1" customHeight="1" outlineLevel="1" x14ac:dyDescent="0.2">
      <c r="A146" s="381" t="s">
        <v>223</v>
      </c>
      <c r="B146" s="347" t="s">
        <v>224</v>
      </c>
      <c r="C146" s="340" t="s">
        <v>19</v>
      </c>
      <c r="D146" s="348">
        <v>47</v>
      </c>
      <c r="E146" s="353">
        <v>12500</v>
      </c>
      <c r="F146" s="353">
        <f t="shared" ref="F146:F202" si="28">+E146*D146</f>
        <v>587500</v>
      </c>
      <c r="G146" s="349">
        <v>5000</v>
      </c>
      <c r="H146" s="353">
        <f t="shared" ref="H146:H202" si="29">+G146*D146</f>
        <v>235000</v>
      </c>
      <c r="I146" s="1285">
        <f>IFERROR(VLOOKUP(A146,'valores unit indexados'!$A$14:$O$197,15,FALSE),0)</f>
        <v>16681</v>
      </c>
      <c r="J146" s="349">
        <f t="shared" si="26"/>
        <v>784007</v>
      </c>
      <c r="L146" s="381" t="str">
        <f t="shared" si="25"/>
        <v>C. 1,2</v>
      </c>
      <c r="M146" s="347" t="str">
        <f t="shared" si="25"/>
        <v xml:space="preserve">Malla sombra, elemento de protección perimetral para mitigar el riesgo de caída de herramientas o materiales.  </v>
      </c>
      <c r="N146" s="340" t="str">
        <f t="shared" si="25"/>
        <v>M2</v>
      </c>
      <c r="O146" s="348">
        <f t="shared" si="25"/>
        <v>47</v>
      </c>
      <c r="P146" s="423">
        <f>+'estudio inicial precios'!P161</f>
        <v>16681</v>
      </c>
      <c r="Q146" s="423">
        <f t="shared" si="27"/>
        <v>784007</v>
      </c>
    </row>
    <row r="147" spans="1:60" ht="12.75" hidden="1" customHeight="1" outlineLevel="1" x14ac:dyDescent="0.2">
      <c r="A147" s="346" t="s">
        <v>225</v>
      </c>
      <c r="B147" s="347" t="s">
        <v>226</v>
      </c>
      <c r="C147" s="340" t="s">
        <v>19</v>
      </c>
      <c r="D147" s="348">
        <v>1037</v>
      </c>
      <c r="E147" s="353">
        <v>17000</v>
      </c>
      <c r="F147" s="353">
        <f t="shared" si="28"/>
        <v>17629000</v>
      </c>
      <c r="G147" s="349">
        <v>2392</v>
      </c>
      <c r="H147" s="353">
        <f t="shared" si="29"/>
        <v>2480504</v>
      </c>
      <c r="I147" s="1285">
        <f>IFERROR(VLOOKUP(A147,'valores unit indexados'!$A$14:$O$197,15,FALSE),0)</f>
        <v>0</v>
      </c>
      <c r="J147" s="349">
        <f t="shared" si="26"/>
        <v>0</v>
      </c>
      <c r="L147" s="346" t="str">
        <f t="shared" si="25"/>
        <v>C. 1,3</v>
      </c>
      <c r="M147" s="347" t="str">
        <f t="shared" si="25"/>
        <v>Lijada con maquina pulidora (piedra esmeril)</v>
      </c>
      <c r="N147" s="340" t="str">
        <f t="shared" si="25"/>
        <v>M2</v>
      </c>
      <c r="O147" s="348">
        <f t="shared" si="25"/>
        <v>1037</v>
      </c>
      <c r="P147" s="423">
        <f>+'estudio inicial precios'!P162</f>
        <v>9696</v>
      </c>
      <c r="Q147" s="423">
        <f t="shared" si="27"/>
        <v>10054752</v>
      </c>
    </row>
    <row r="148" spans="1:60" ht="25.5" hidden="1" customHeight="1" outlineLevel="1" x14ac:dyDescent="0.2">
      <c r="A148" s="354" t="s">
        <v>227</v>
      </c>
      <c r="B148" s="347" t="s">
        <v>228</v>
      </c>
      <c r="C148" s="340" t="s">
        <v>19</v>
      </c>
      <c r="D148" s="348">
        <v>1234</v>
      </c>
      <c r="E148" s="353">
        <v>14000</v>
      </c>
      <c r="F148" s="353">
        <f t="shared" si="28"/>
        <v>17276000</v>
      </c>
      <c r="G148" s="349">
        <v>3913</v>
      </c>
      <c r="H148" s="353">
        <f t="shared" si="29"/>
        <v>4828642</v>
      </c>
      <c r="I148" s="1285">
        <f>IFERROR(VLOOKUP(A148,'valores unit indexados'!$A$14:$O$197,15,FALSE),0)</f>
        <v>0</v>
      </c>
      <c r="J148" s="349">
        <f t="shared" si="26"/>
        <v>0</v>
      </c>
      <c r="L148" s="354" t="str">
        <f t="shared" si="25"/>
        <v>C. 1,4</v>
      </c>
      <c r="M148" s="347" t="str">
        <f t="shared" si="25"/>
        <v>Lavado  de la fachada con hidrolavadora, incluye ventaneria y piedra.</v>
      </c>
      <c r="N148" s="340" t="str">
        <f t="shared" si="25"/>
        <v>M2</v>
      </c>
      <c r="O148" s="348">
        <f t="shared" si="25"/>
        <v>1234</v>
      </c>
      <c r="P148" s="423">
        <f>+'estudio inicial precios'!P163</f>
        <v>8957</v>
      </c>
      <c r="Q148" s="423">
        <f t="shared" si="27"/>
        <v>11052938</v>
      </c>
    </row>
    <row r="149" spans="1:60" ht="25.5" hidden="1" customHeight="1" outlineLevel="1" x14ac:dyDescent="0.2">
      <c r="A149" s="354" t="s">
        <v>229</v>
      </c>
      <c r="B149" s="347" t="s">
        <v>230</v>
      </c>
      <c r="C149" s="340" t="s">
        <v>19</v>
      </c>
      <c r="D149" s="348">
        <v>1037</v>
      </c>
      <c r="E149" s="353">
        <v>45000</v>
      </c>
      <c r="F149" s="353">
        <f t="shared" si="28"/>
        <v>46665000</v>
      </c>
      <c r="G149" s="387">
        <v>0</v>
      </c>
      <c r="H149" s="353">
        <f t="shared" si="29"/>
        <v>0</v>
      </c>
      <c r="I149" s="1285">
        <f>IFERROR(VLOOKUP(A149,'valores unit indexados'!$A$14:$O$197,15,FALSE),0)</f>
        <v>0</v>
      </c>
      <c r="J149" s="349">
        <f t="shared" si="26"/>
        <v>0</v>
      </c>
      <c r="L149" s="354" t="str">
        <f t="shared" si="25"/>
        <v>C. 1,5</v>
      </c>
      <c r="M149" s="347" t="str">
        <f t="shared" si="25"/>
        <v>Suministro y aplicación de hidrofugo-(protección de penetración de agua sobre piedra, 2 manos)</v>
      </c>
      <c r="N149" s="340" t="str">
        <f t="shared" si="25"/>
        <v>M2</v>
      </c>
      <c r="O149" s="348">
        <f t="shared" si="25"/>
        <v>1037</v>
      </c>
      <c r="P149" s="423">
        <f>+'estudio inicial precios'!P164</f>
        <v>45000</v>
      </c>
      <c r="Q149" s="423">
        <f t="shared" si="27"/>
        <v>46665000</v>
      </c>
    </row>
    <row r="150" spans="1:60" ht="25.5" hidden="1" customHeight="1" outlineLevel="1" x14ac:dyDescent="0.2">
      <c r="A150" s="354" t="s">
        <v>231</v>
      </c>
      <c r="B150" s="347" t="s">
        <v>232</v>
      </c>
      <c r="C150" s="356" t="s">
        <v>14</v>
      </c>
      <c r="D150" s="348">
        <v>117</v>
      </c>
      <c r="E150" s="353">
        <v>38000</v>
      </c>
      <c r="F150" s="353">
        <f t="shared" si="28"/>
        <v>4446000</v>
      </c>
      <c r="G150" s="349">
        <v>10257</v>
      </c>
      <c r="H150" s="353">
        <f t="shared" si="29"/>
        <v>1200069</v>
      </c>
      <c r="I150" s="1285">
        <f>IFERROR(VLOOKUP(A150,'valores unit indexados'!$A$14:$O$197,15,FALSE),0)</f>
        <v>0</v>
      </c>
      <c r="J150" s="349">
        <f t="shared" si="26"/>
        <v>0</v>
      </c>
      <c r="L150" s="354" t="str">
        <f t="shared" si="25"/>
        <v>C. 1,6</v>
      </c>
      <c r="M150" s="347" t="str">
        <f t="shared" si="25"/>
        <v>Suministro e instalación de ángulo en aluminio anoloc de 1/2, (gotero en ventana)</v>
      </c>
      <c r="N150" s="356" t="str">
        <f t="shared" si="25"/>
        <v>ML</v>
      </c>
      <c r="O150" s="348">
        <f t="shared" si="25"/>
        <v>117</v>
      </c>
      <c r="P150" s="423">
        <f>+'estudio inicial precios'!P165</f>
        <v>24129</v>
      </c>
      <c r="Q150" s="423">
        <f t="shared" si="27"/>
        <v>2823093</v>
      </c>
    </row>
    <row r="151" spans="1:60" s="1533" customFormat="1" ht="24.75" hidden="1" customHeight="1" outlineLevel="1" x14ac:dyDescent="0.2">
      <c r="A151" s="1527" t="s">
        <v>233</v>
      </c>
      <c r="B151" s="1528" t="s">
        <v>234</v>
      </c>
      <c r="C151" s="1527"/>
      <c r="D151" s="1529"/>
      <c r="E151" s="1530"/>
      <c r="F151" s="1531">
        <f t="shared" si="28"/>
        <v>0</v>
      </c>
      <c r="G151" s="1530"/>
      <c r="H151" s="1531">
        <f t="shared" si="29"/>
        <v>0</v>
      </c>
      <c r="I151" s="1532">
        <f>IFERROR(VLOOKUP(A151,'valores unit indexados'!$A$14:$O$197,15,FALSE),0)</f>
        <v>0</v>
      </c>
      <c r="J151" s="1527">
        <f t="shared" si="26"/>
        <v>0</v>
      </c>
      <c r="K151" s="1544"/>
      <c r="L151" s="1527" t="str">
        <f t="shared" si="25"/>
        <v>C. 2</v>
      </c>
      <c r="M151" s="1836"/>
      <c r="N151" s="1837"/>
      <c r="O151" s="1837"/>
      <c r="P151" s="1837"/>
      <c r="Q151" s="1838"/>
      <c r="R151" s="1544"/>
      <c r="S151" s="1544"/>
      <c r="T151" s="1544"/>
      <c r="U151" s="1544"/>
      <c r="V151" s="1544"/>
      <c r="W151" s="1544"/>
      <c r="X151" s="1544"/>
      <c r="Y151" s="1544"/>
      <c r="Z151" s="1544"/>
      <c r="AA151" s="1544"/>
      <c r="AB151" s="1544"/>
      <c r="AC151" s="1544"/>
      <c r="AD151" s="1544"/>
      <c r="AE151" s="1544"/>
      <c r="AF151" s="1544"/>
      <c r="AG151" s="1544"/>
      <c r="AH151" s="1544"/>
      <c r="AI151" s="1544"/>
      <c r="AJ151" s="1544"/>
      <c r="AK151" s="1544"/>
      <c r="AL151" s="1544"/>
      <c r="AM151" s="1544"/>
      <c r="AN151" s="1544"/>
      <c r="AO151" s="1544"/>
      <c r="AP151" s="1544"/>
      <c r="AQ151" s="1544"/>
      <c r="AR151" s="1544"/>
      <c r="AS151" s="1544"/>
      <c r="AT151" s="1544"/>
      <c r="AU151" s="1544"/>
      <c r="AV151" s="1544"/>
      <c r="AW151" s="1544"/>
      <c r="AX151" s="1544"/>
      <c r="AY151" s="1544"/>
      <c r="AZ151" s="1544"/>
      <c r="BA151" s="1544"/>
      <c r="BB151" s="1544"/>
      <c r="BC151" s="1544"/>
      <c r="BD151" s="1544"/>
      <c r="BE151" s="1544"/>
      <c r="BF151" s="1544"/>
      <c r="BG151" s="1544"/>
      <c r="BH151" s="1544"/>
    </row>
    <row r="152" spans="1:60" ht="12.75" hidden="1" customHeight="1" outlineLevel="1" x14ac:dyDescent="0.2">
      <c r="A152" s="381" t="s">
        <v>235</v>
      </c>
      <c r="B152" s="364" t="s">
        <v>84</v>
      </c>
      <c r="C152" s="367" t="s">
        <v>19</v>
      </c>
      <c r="D152" s="381">
        <v>179</v>
      </c>
      <c r="E152" s="353">
        <v>9000</v>
      </c>
      <c r="F152" s="353">
        <f t="shared" si="28"/>
        <v>1611000</v>
      </c>
      <c r="G152" s="349">
        <v>5200</v>
      </c>
      <c r="H152" s="353">
        <f t="shared" si="29"/>
        <v>930800</v>
      </c>
      <c r="I152" s="1285">
        <f>IFERROR(VLOOKUP(A152,'valores unit indexados'!$A$14:$O$197,15,FALSE),0)</f>
        <v>6890</v>
      </c>
      <c r="J152" s="349">
        <f t="shared" si="26"/>
        <v>1233310</v>
      </c>
      <c r="L152" s="381" t="str">
        <f t="shared" si="25"/>
        <v>C. 2,1</v>
      </c>
      <c r="M152" s="364" t="str">
        <f t="shared" si="25"/>
        <v xml:space="preserve">Rasqueteada de pintura y retiro de mortero en mal estado  </v>
      </c>
      <c r="N152" s="367" t="str">
        <f t="shared" si="25"/>
        <v>M2</v>
      </c>
      <c r="O152" s="381">
        <f t="shared" si="25"/>
        <v>179</v>
      </c>
      <c r="P152" s="423">
        <f>+'estudio inicial precios'!P167</f>
        <v>6630</v>
      </c>
      <c r="Q152" s="1552">
        <f t="shared" si="27"/>
        <v>1186770</v>
      </c>
    </row>
    <row r="153" spans="1:60" ht="38.25" hidden="1" customHeight="1" outlineLevel="1" x14ac:dyDescent="0.2">
      <c r="A153" s="346" t="s">
        <v>236</v>
      </c>
      <c r="B153" s="368" t="s">
        <v>86</v>
      </c>
      <c r="C153" s="367" t="s">
        <v>19</v>
      </c>
      <c r="D153" s="348">
        <v>90</v>
      </c>
      <c r="E153" s="353">
        <v>48000</v>
      </c>
      <c r="F153" s="353">
        <f t="shared" si="28"/>
        <v>4320000</v>
      </c>
      <c r="G153" s="349">
        <v>45500</v>
      </c>
      <c r="H153" s="353">
        <f t="shared" si="29"/>
        <v>4095000</v>
      </c>
      <c r="I153" s="1285">
        <f>IFERROR(VLOOKUP(A153,'valores unit indexados'!$A$14:$O$197,15,FALSE),0)</f>
        <v>43614</v>
      </c>
      <c r="J153" s="349">
        <f t="shared" si="26"/>
        <v>3925260</v>
      </c>
      <c r="L153" s="346" t="str">
        <f t="shared" si="25"/>
        <v>C. 2,2</v>
      </c>
      <c r="M153" s="368" t="str">
        <f t="shared" si="25"/>
        <v xml:space="preserve">Suministro e instalación de recubrimiento cementoso (Recubrimiento a base de cemento, arena y aditivos especiales), impermeable para muros color blanco </v>
      </c>
      <c r="N153" s="367" t="str">
        <f t="shared" si="25"/>
        <v>M2</v>
      </c>
      <c r="O153" s="348">
        <f t="shared" si="25"/>
        <v>90</v>
      </c>
      <c r="P153" s="423">
        <f>+'estudio inicial precios'!P168</f>
        <v>45053</v>
      </c>
      <c r="Q153" s="1552">
        <f t="shared" si="27"/>
        <v>4054770</v>
      </c>
    </row>
    <row r="154" spans="1:60" ht="12.75" hidden="1" customHeight="1" outlineLevel="1" x14ac:dyDescent="0.2">
      <c r="A154" s="367" t="s">
        <v>237</v>
      </c>
      <c r="B154" s="368" t="s">
        <v>88</v>
      </c>
      <c r="C154" s="367" t="s">
        <v>19</v>
      </c>
      <c r="D154" s="348">
        <v>149</v>
      </c>
      <c r="E154" s="353">
        <v>28000</v>
      </c>
      <c r="F154" s="353">
        <f t="shared" si="28"/>
        <v>4172000</v>
      </c>
      <c r="G154" s="349">
        <v>11700</v>
      </c>
      <c r="H154" s="353">
        <f t="shared" si="29"/>
        <v>1743300</v>
      </c>
      <c r="I154" s="1285">
        <f>IFERROR(VLOOKUP(A154,'valores unit indexados'!$A$14:$O$197,15,FALSE),0)</f>
        <v>24610</v>
      </c>
      <c r="J154" s="349">
        <f t="shared" si="26"/>
        <v>3666890</v>
      </c>
      <c r="L154" s="367" t="str">
        <f t="shared" si="25"/>
        <v>C. 2,3</v>
      </c>
      <c r="M154" s="368" t="str">
        <f t="shared" si="25"/>
        <v xml:space="preserve">Suministro y aplicación de estuco plástico </v>
      </c>
      <c r="N154" s="367" t="str">
        <f t="shared" si="25"/>
        <v>M2</v>
      </c>
      <c r="O154" s="348">
        <f t="shared" si="25"/>
        <v>149</v>
      </c>
      <c r="P154" s="423">
        <f>+'estudio inicial precios'!P169</f>
        <v>26305</v>
      </c>
      <c r="Q154" s="1552">
        <f t="shared" si="27"/>
        <v>3919445</v>
      </c>
    </row>
    <row r="155" spans="1:60" ht="12.75" hidden="1" customHeight="1" outlineLevel="1" x14ac:dyDescent="0.2">
      <c r="A155" s="346" t="s">
        <v>238</v>
      </c>
      <c r="B155" s="364" t="s">
        <v>90</v>
      </c>
      <c r="C155" s="367" t="s">
        <v>19</v>
      </c>
      <c r="D155" s="348">
        <v>298</v>
      </c>
      <c r="E155" s="353">
        <v>19000</v>
      </c>
      <c r="F155" s="353">
        <f t="shared" si="28"/>
        <v>5662000</v>
      </c>
      <c r="G155" s="412">
        <v>8710</v>
      </c>
      <c r="H155" s="353">
        <f t="shared" si="29"/>
        <v>2595580</v>
      </c>
      <c r="I155" s="1285">
        <f>IFERROR(VLOOKUP(A155,'valores unit indexados'!$A$14:$O$197,15,FALSE),0)</f>
        <v>0</v>
      </c>
      <c r="J155" s="349">
        <f t="shared" si="26"/>
        <v>0</v>
      </c>
      <c r="L155" s="346" t="str">
        <f t="shared" si="25"/>
        <v>C. 2,4</v>
      </c>
      <c r="M155" s="364" t="str">
        <f t="shared" si="25"/>
        <v>Suministro y aplicación de vinilo tipo 1 (3 manos)</v>
      </c>
      <c r="N155" s="367" t="str">
        <f t="shared" si="25"/>
        <v>M2</v>
      </c>
      <c r="O155" s="348">
        <f t="shared" si="25"/>
        <v>298</v>
      </c>
      <c r="P155" s="423">
        <f>+'estudio inicial precios'!P170</f>
        <v>19000</v>
      </c>
      <c r="Q155" s="1552">
        <f t="shared" si="27"/>
        <v>5662000</v>
      </c>
    </row>
    <row r="156" spans="1:60" ht="12.75" hidden="1" customHeight="1" outlineLevel="1" x14ac:dyDescent="0.2">
      <c r="A156" s="367" t="s">
        <v>239</v>
      </c>
      <c r="B156" s="368" t="s">
        <v>92</v>
      </c>
      <c r="C156" s="367" t="s">
        <v>19</v>
      </c>
      <c r="D156" s="348">
        <v>60</v>
      </c>
      <c r="E156" s="353">
        <v>18000</v>
      </c>
      <c r="F156" s="353">
        <f t="shared" si="28"/>
        <v>1080000</v>
      </c>
      <c r="G156" s="412">
        <v>8710</v>
      </c>
      <c r="H156" s="353">
        <f t="shared" si="29"/>
        <v>522600</v>
      </c>
      <c r="I156" s="1285">
        <f>IFERROR(VLOOKUP(A156,'valores unit indexados'!$A$14:$O$197,15,FALSE),0)</f>
        <v>17005</v>
      </c>
      <c r="J156" s="349">
        <f t="shared" si="26"/>
        <v>1020300</v>
      </c>
      <c r="L156" s="367" t="str">
        <f t="shared" si="25"/>
        <v>C. 2,5</v>
      </c>
      <c r="M156" s="368" t="str">
        <f t="shared" si="25"/>
        <v>Suministro y aplicación de pintura en esmalte</v>
      </c>
      <c r="N156" s="367" t="str">
        <f t="shared" si="25"/>
        <v>M2</v>
      </c>
      <c r="O156" s="348">
        <f t="shared" si="25"/>
        <v>60</v>
      </c>
      <c r="P156" s="423">
        <f>+'estudio inicial precios'!P171</f>
        <v>17503</v>
      </c>
      <c r="Q156" s="1552">
        <f t="shared" si="27"/>
        <v>1050180</v>
      </c>
    </row>
    <row r="157" spans="1:60" ht="12.75" hidden="1" customHeight="1" outlineLevel="1" x14ac:dyDescent="0.2">
      <c r="A157" s="367" t="s">
        <v>240</v>
      </c>
      <c r="B157" s="364" t="s">
        <v>94</v>
      </c>
      <c r="C157" s="367" t="s">
        <v>19</v>
      </c>
      <c r="D157" s="348">
        <v>56</v>
      </c>
      <c r="E157" s="353">
        <v>17000</v>
      </c>
      <c r="F157" s="353">
        <f t="shared" si="28"/>
        <v>952000</v>
      </c>
      <c r="G157" s="412">
        <v>8710</v>
      </c>
      <c r="H157" s="353">
        <f t="shared" si="29"/>
        <v>487760</v>
      </c>
      <c r="I157" s="1285">
        <f>IFERROR(VLOOKUP(A157,'valores unit indexados'!$A$14:$O$197,15,FALSE),0)</f>
        <v>0</v>
      </c>
      <c r="J157" s="349">
        <f t="shared" si="26"/>
        <v>0</v>
      </c>
      <c r="L157" s="367" t="str">
        <f t="shared" si="25"/>
        <v>C. 2,6</v>
      </c>
      <c r="M157" s="364" t="str">
        <f t="shared" si="25"/>
        <v>Suministro y aplicación de pintura cielo vinilo tipo 1</v>
      </c>
      <c r="N157" s="367" t="str">
        <f t="shared" si="25"/>
        <v>M2</v>
      </c>
      <c r="O157" s="348">
        <f t="shared" si="25"/>
        <v>56</v>
      </c>
      <c r="P157" s="423">
        <f>+'estudio inicial precios'!P172</f>
        <v>17000</v>
      </c>
      <c r="Q157" s="1552">
        <f t="shared" si="27"/>
        <v>952000</v>
      </c>
    </row>
    <row r="158" spans="1:60" ht="12.75" hidden="1" customHeight="1" outlineLevel="1" x14ac:dyDescent="0.2">
      <c r="A158" s="367" t="s">
        <v>241</v>
      </c>
      <c r="B158" s="364" t="s">
        <v>84</v>
      </c>
      <c r="C158" s="367" t="s">
        <v>14</v>
      </c>
      <c r="D158" s="348">
        <v>149</v>
      </c>
      <c r="E158" s="353">
        <v>5400</v>
      </c>
      <c r="F158" s="353">
        <f t="shared" si="28"/>
        <v>804600</v>
      </c>
      <c r="G158" s="349">
        <v>5200</v>
      </c>
      <c r="H158" s="353">
        <f t="shared" si="29"/>
        <v>774800</v>
      </c>
      <c r="I158" s="1285">
        <f>IFERROR(VLOOKUP(A158,'valores unit indexados'!$A$14:$O$197,15,FALSE),0)</f>
        <v>0</v>
      </c>
      <c r="J158" s="349">
        <f t="shared" si="26"/>
        <v>0</v>
      </c>
      <c r="L158" s="367" t="str">
        <f t="shared" si="25"/>
        <v>C. 2,7</v>
      </c>
      <c r="M158" s="364" t="str">
        <f t="shared" si="25"/>
        <v xml:space="preserve">Rasqueteada de pintura y retiro de mortero en mal estado  </v>
      </c>
      <c r="N158" s="367" t="str">
        <f t="shared" si="25"/>
        <v>ML</v>
      </c>
      <c r="O158" s="348">
        <f t="shared" si="25"/>
        <v>149</v>
      </c>
      <c r="P158" s="423">
        <f>+'estudio inicial precios'!P173</f>
        <v>4700</v>
      </c>
      <c r="Q158" s="1552">
        <f t="shared" si="27"/>
        <v>700300</v>
      </c>
    </row>
    <row r="159" spans="1:60" ht="38.25" hidden="1" customHeight="1" outlineLevel="1" x14ac:dyDescent="0.2">
      <c r="A159" s="367" t="s">
        <v>242</v>
      </c>
      <c r="B159" s="368" t="s">
        <v>86</v>
      </c>
      <c r="C159" s="367" t="s">
        <v>14</v>
      </c>
      <c r="D159" s="348">
        <v>74</v>
      </c>
      <c r="E159" s="353">
        <v>28800</v>
      </c>
      <c r="F159" s="353">
        <f t="shared" si="28"/>
        <v>2131200</v>
      </c>
      <c r="G159" s="349">
        <v>6500</v>
      </c>
      <c r="H159" s="353">
        <f t="shared" si="29"/>
        <v>481000</v>
      </c>
      <c r="I159" s="1285">
        <f>IFERROR(VLOOKUP(A159,'valores unit indexados'!$A$14:$O$197,15,FALSE),0)</f>
        <v>0</v>
      </c>
      <c r="J159" s="349">
        <f t="shared" si="26"/>
        <v>0</v>
      </c>
      <c r="L159" s="367" t="str">
        <f t="shared" si="25"/>
        <v>C. 2,8</v>
      </c>
      <c r="M159" s="368" t="str">
        <f t="shared" si="25"/>
        <v xml:space="preserve">Suministro e instalación de recubrimiento cementoso (Recubrimiento a base de cemento, arena y aditivos especiales), impermeable para muros color blanco </v>
      </c>
      <c r="N159" s="367" t="str">
        <f t="shared" si="25"/>
        <v>ML</v>
      </c>
      <c r="O159" s="348">
        <f t="shared" si="25"/>
        <v>74</v>
      </c>
      <c r="P159" s="423">
        <f>+'estudio inicial precios'!P174</f>
        <v>17650</v>
      </c>
      <c r="Q159" s="1552">
        <f t="shared" si="27"/>
        <v>1306100</v>
      </c>
    </row>
    <row r="160" spans="1:60" ht="12.75" hidden="1" customHeight="1" outlineLevel="1" x14ac:dyDescent="0.2">
      <c r="A160" s="367" t="s">
        <v>243</v>
      </c>
      <c r="B160" s="368" t="s">
        <v>88</v>
      </c>
      <c r="C160" s="367" t="s">
        <v>14</v>
      </c>
      <c r="D160" s="348">
        <v>124</v>
      </c>
      <c r="E160" s="353">
        <v>16800</v>
      </c>
      <c r="F160" s="353">
        <f t="shared" si="28"/>
        <v>2083200</v>
      </c>
      <c r="G160" s="349">
        <v>11700</v>
      </c>
      <c r="H160" s="353">
        <f t="shared" si="29"/>
        <v>1450800</v>
      </c>
      <c r="I160" s="1285">
        <f>IFERROR(VLOOKUP(A160,'valores unit indexados'!$A$14:$O$197,15,FALSE),0)</f>
        <v>24610</v>
      </c>
      <c r="J160" s="349">
        <f t="shared" si="26"/>
        <v>3051640</v>
      </c>
      <c r="L160" s="367" t="str">
        <f t="shared" si="25"/>
        <v>C. 2,9</v>
      </c>
      <c r="M160" s="368" t="str">
        <f t="shared" si="25"/>
        <v xml:space="preserve">Suministro y aplicación de estuco plástico </v>
      </c>
      <c r="N160" s="367" t="str">
        <f t="shared" si="25"/>
        <v>ML</v>
      </c>
      <c r="O160" s="348">
        <f t="shared" si="25"/>
        <v>124</v>
      </c>
      <c r="P160" s="423">
        <f>+'estudio inicial precios'!P175</f>
        <v>20705</v>
      </c>
      <c r="Q160" s="1552">
        <f t="shared" si="27"/>
        <v>2567420</v>
      </c>
    </row>
    <row r="161" spans="1:60" ht="12.75" hidden="1" customHeight="1" outlineLevel="1" x14ac:dyDescent="0.2">
      <c r="A161" s="367" t="s">
        <v>244</v>
      </c>
      <c r="B161" s="368" t="s">
        <v>98</v>
      </c>
      <c r="C161" s="367" t="s">
        <v>14</v>
      </c>
      <c r="D161" s="348">
        <v>248</v>
      </c>
      <c r="E161" s="353">
        <v>6120</v>
      </c>
      <c r="F161" s="353">
        <f t="shared" si="28"/>
        <v>1517760</v>
      </c>
      <c r="G161" s="349">
        <v>5200</v>
      </c>
      <c r="H161" s="353">
        <f t="shared" si="29"/>
        <v>1289600</v>
      </c>
      <c r="I161" s="1285">
        <f>IFERROR(VLOOKUP(A161,'valores unit indexados'!$A$14:$O$197,15,FALSE),0)</f>
        <v>0</v>
      </c>
      <c r="J161" s="349">
        <f t="shared" si="26"/>
        <v>0</v>
      </c>
      <c r="L161" s="367" t="str">
        <f t="shared" si="25"/>
        <v>C. 2,10</v>
      </c>
      <c r="M161" s="368" t="str">
        <f t="shared" si="25"/>
        <v>Suministro y aplicación de vinilo tipo 2 (3 manos)</v>
      </c>
      <c r="N161" s="367" t="str">
        <f t="shared" si="25"/>
        <v>ML</v>
      </c>
      <c r="O161" s="348">
        <f t="shared" si="25"/>
        <v>248</v>
      </c>
      <c r="P161" s="423">
        <f>+'estudio inicial precios'!P176</f>
        <v>6120</v>
      </c>
      <c r="Q161" s="1552">
        <f t="shared" si="27"/>
        <v>1517760</v>
      </c>
    </row>
    <row r="162" spans="1:60" ht="12.75" hidden="1" customHeight="1" outlineLevel="1" x14ac:dyDescent="0.2">
      <c r="A162" s="367" t="s">
        <v>245</v>
      </c>
      <c r="B162" s="368" t="s">
        <v>92</v>
      </c>
      <c r="C162" s="367" t="s">
        <v>14</v>
      </c>
      <c r="D162" s="348">
        <v>50</v>
      </c>
      <c r="E162" s="353">
        <v>10800</v>
      </c>
      <c r="F162" s="353">
        <f t="shared" si="28"/>
        <v>540000</v>
      </c>
      <c r="G162" s="349">
        <v>5200</v>
      </c>
      <c r="H162" s="353">
        <f t="shared" si="29"/>
        <v>260000</v>
      </c>
      <c r="I162" s="1285">
        <f>IFERROR(VLOOKUP(A162,'valores unit indexados'!$A$14:$O$197,15,FALSE),0)</f>
        <v>0</v>
      </c>
      <c r="J162" s="349">
        <f t="shared" si="26"/>
        <v>0</v>
      </c>
      <c r="L162" s="367" t="str">
        <f t="shared" si="25"/>
        <v>C. 2,11</v>
      </c>
      <c r="M162" s="368" t="str">
        <f t="shared" si="25"/>
        <v>Suministro y aplicación de pintura en esmalte</v>
      </c>
      <c r="N162" s="367" t="str">
        <f t="shared" si="25"/>
        <v>ML</v>
      </c>
      <c r="O162" s="348">
        <f t="shared" si="25"/>
        <v>50</v>
      </c>
      <c r="P162" s="423">
        <f>+'estudio inicial precios'!P177</f>
        <v>8000</v>
      </c>
      <c r="Q162" s="1552">
        <f t="shared" si="27"/>
        <v>400000</v>
      </c>
    </row>
    <row r="163" spans="1:60" ht="25.5" hidden="1" customHeight="1" outlineLevel="1" x14ac:dyDescent="0.2">
      <c r="A163" s="367" t="s">
        <v>246</v>
      </c>
      <c r="B163" s="358" t="s">
        <v>247</v>
      </c>
      <c r="C163" s="356" t="s">
        <v>14</v>
      </c>
      <c r="D163" s="348">
        <v>384</v>
      </c>
      <c r="E163" s="353">
        <v>14400</v>
      </c>
      <c r="F163" s="353">
        <f t="shared" si="28"/>
        <v>5529600</v>
      </c>
      <c r="G163" s="349">
        <v>13000</v>
      </c>
      <c r="H163" s="353">
        <f t="shared" si="29"/>
        <v>4992000</v>
      </c>
      <c r="I163" s="1285">
        <f>IFERROR(VLOOKUP(A163,'valores unit indexados'!$A$14:$O$197,15,FALSE),0)</f>
        <v>0</v>
      </c>
      <c r="J163" s="349">
        <f t="shared" si="26"/>
        <v>0</v>
      </c>
      <c r="L163" s="367" t="str">
        <f t="shared" si="25"/>
        <v>C. 2,12</v>
      </c>
      <c r="M163" s="358" t="str">
        <f t="shared" si="25"/>
        <v>Suministro y aplicación de pintura para fachada en acrílico a dos manos (muro terraza)</v>
      </c>
      <c r="N163" s="356" t="str">
        <f t="shared" si="25"/>
        <v>ML</v>
      </c>
      <c r="O163" s="348">
        <f t="shared" si="25"/>
        <v>384</v>
      </c>
      <c r="P163" s="423">
        <f>+'estudio inicial precios'!P178</f>
        <v>13700</v>
      </c>
      <c r="Q163" s="1552">
        <f t="shared" si="27"/>
        <v>5260800</v>
      </c>
    </row>
    <row r="164" spans="1:60" ht="25.5" hidden="1" customHeight="1" outlineLevel="1" x14ac:dyDescent="0.2">
      <c r="A164" s="367" t="s">
        <v>248</v>
      </c>
      <c r="B164" s="358" t="s">
        <v>249</v>
      </c>
      <c r="C164" s="356" t="s">
        <v>19</v>
      </c>
      <c r="D164" s="348">
        <v>230</v>
      </c>
      <c r="E164" s="353">
        <v>24000</v>
      </c>
      <c r="F164" s="353">
        <f t="shared" si="28"/>
        <v>5520000</v>
      </c>
      <c r="G164" s="349">
        <v>13000</v>
      </c>
      <c r="H164" s="353">
        <f t="shared" si="29"/>
        <v>2990000</v>
      </c>
      <c r="I164" s="1285">
        <f>IFERROR(VLOOKUP(A164,'valores unit indexados'!$A$14:$O$197,15,FALSE),0)</f>
        <v>0</v>
      </c>
      <c r="J164" s="349">
        <f t="shared" si="26"/>
        <v>0</v>
      </c>
      <c r="L164" s="367" t="str">
        <f t="shared" si="25"/>
        <v>C. 2,13</v>
      </c>
      <c r="M164" s="358" t="str">
        <f t="shared" si="25"/>
        <v>Suministro y aplicación de pintura para fachada en acrílico a 3 manos (muro terraza)</v>
      </c>
      <c r="N164" s="356" t="str">
        <f t="shared" si="25"/>
        <v>M2</v>
      </c>
      <c r="O164" s="348">
        <f t="shared" si="25"/>
        <v>230</v>
      </c>
      <c r="P164" s="423">
        <f>+'estudio inicial precios'!P179</f>
        <v>18500</v>
      </c>
      <c r="Q164" s="1552">
        <f t="shared" si="27"/>
        <v>4255000</v>
      </c>
    </row>
    <row r="165" spans="1:60" s="1533" customFormat="1" ht="24.75" hidden="1" customHeight="1" outlineLevel="1" x14ac:dyDescent="0.2">
      <c r="A165" s="1527" t="s">
        <v>250</v>
      </c>
      <c r="B165" s="1528" t="s">
        <v>1479</v>
      </c>
      <c r="C165" s="1527"/>
      <c r="D165" s="1529"/>
      <c r="E165" s="1530"/>
      <c r="F165" s="1531">
        <f t="shared" si="28"/>
        <v>0</v>
      </c>
      <c r="G165" s="1530"/>
      <c r="H165" s="1531">
        <f t="shared" si="29"/>
        <v>0</v>
      </c>
      <c r="I165" s="1532"/>
      <c r="J165" s="1527"/>
      <c r="K165" s="1544"/>
      <c r="L165" s="1527" t="str">
        <f t="shared" si="25"/>
        <v>C.3</v>
      </c>
      <c r="M165" s="1836"/>
      <c r="N165" s="1837"/>
      <c r="O165" s="1837"/>
      <c r="P165" s="1837"/>
      <c r="Q165" s="1838"/>
      <c r="R165" s="1544"/>
      <c r="S165" s="1544"/>
      <c r="T165" s="1544"/>
      <c r="U165" s="1544"/>
      <c r="V165" s="1544"/>
      <c r="W165" s="1544"/>
      <c r="X165" s="1544"/>
      <c r="Y165" s="1544"/>
      <c r="Z165" s="1544"/>
      <c r="AA165" s="1544"/>
      <c r="AB165" s="1544"/>
      <c r="AC165" s="1544"/>
      <c r="AD165" s="1544"/>
      <c r="AE165" s="1544"/>
      <c r="AF165" s="1544"/>
      <c r="AG165" s="1544"/>
      <c r="AH165" s="1544"/>
      <c r="AI165" s="1544"/>
      <c r="AJ165" s="1544"/>
      <c r="AK165" s="1544"/>
      <c r="AL165" s="1544"/>
      <c r="AM165" s="1544"/>
      <c r="AN165" s="1544"/>
      <c r="AO165" s="1544"/>
      <c r="AP165" s="1544"/>
      <c r="AQ165" s="1544"/>
      <c r="AR165" s="1544"/>
      <c r="AS165" s="1544"/>
      <c r="AT165" s="1544"/>
      <c r="AU165" s="1544"/>
      <c r="AV165" s="1544"/>
      <c r="AW165" s="1544"/>
      <c r="AX165" s="1544"/>
      <c r="AY165" s="1544"/>
      <c r="AZ165" s="1544"/>
      <c r="BA165" s="1544"/>
      <c r="BB165" s="1544"/>
      <c r="BC165" s="1544"/>
      <c r="BD165" s="1544"/>
      <c r="BE165" s="1544"/>
      <c r="BF165" s="1544"/>
      <c r="BG165" s="1544"/>
      <c r="BH165" s="1544"/>
    </row>
    <row r="166" spans="1:60" ht="25.5" hidden="1" customHeight="1" outlineLevel="1" x14ac:dyDescent="0.2">
      <c r="A166" s="346" t="s">
        <v>252</v>
      </c>
      <c r="B166" s="368" t="s">
        <v>1480</v>
      </c>
      <c r="C166" s="356" t="s">
        <v>6</v>
      </c>
      <c r="D166" s="348">
        <v>1</v>
      </c>
      <c r="E166" s="379">
        <v>550000</v>
      </c>
      <c r="F166" s="353">
        <f t="shared" si="28"/>
        <v>550000</v>
      </c>
      <c r="G166" s="349">
        <v>400000</v>
      </c>
      <c r="H166" s="353">
        <f t="shared" si="29"/>
        <v>400000</v>
      </c>
      <c r="I166" s="1285">
        <f>IFERROR(VLOOKUP(A166,'valores unit indexados'!$A$14:$O$197,15,FALSE),0)</f>
        <v>0</v>
      </c>
      <c r="J166" s="349">
        <f t="shared" si="26"/>
        <v>0</v>
      </c>
      <c r="L166" s="346" t="str">
        <f t="shared" si="25"/>
        <v>C. 3,1</v>
      </c>
      <c r="M166" s="368" t="str">
        <f t="shared" si="25"/>
        <v>Desmonte puerta eléctrica existente 320 cm x 270 cm(incluye motor)</v>
      </c>
      <c r="N166" s="356" t="str">
        <f>+C166</f>
        <v>UND</v>
      </c>
      <c r="O166" s="348">
        <f>+D166</f>
        <v>1</v>
      </c>
      <c r="P166" s="423">
        <f>+'estudio inicial precios'!P181</f>
        <v>400000</v>
      </c>
      <c r="Q166" s="423">
        <f t="shared" si="27"/>
        <v>400000</v>
      </c>
    </row>
    <row r="167" spans="1:60" ht="25.5" hidden="1" customHeight="1" outlineLevel="1" x14ac:dyDescent="0.2">
      <c r="A167" s="346" t="s">
        <v>254</v>
      </c>
      <c r="B167" s="391" t="s">
        <v>1481</v>
      </c>
      <c r="C167" s="367" t="s">
        <v>6</v>
      </c>
      <c r="D167" s="367">
        <v>1</v>
      </c>
      <c r="E167" s="379">
        <v>7500000</v>
      </c>
      <c r="F167" s="353">
        <f t="shared" si="28"/>
        <v>7500000</v>
      </c>
      <c r="G167" s="349">
        <v>4500000</v>
      </c>
      <c r="H167" s="353">
        <f t="shared" si="29"/>
        <v>4500000</v>
      </c>
      <c r="I167" s="1285">
        <f>IFERROR(VLOOKUP(A167,'valores unit indexados'!$A$14:$O$197,15,FALSE),0)</f>
        <v>0</v>
      </c>
      <c r="J167" s="349">
        <f t="shared" si="26"/>
        <v>0</v>
      </c>
      <c r="L167" s="346" t="str">
        <f t="shared" si="25"/>
        <v>C. 3,2</v>
      </c>
      <c r="M167" s="391" t="str">
        <f t="shared" si="25"/>
        <v>suministro e instalación de puerta eléctrica de 320 cm de ancho x 270 cm de alto (Incluye motor)</v>
      </c>
      <c r="N167" s="367" t="str">
        <f>+C167</f>
        <v>UND</v>
      </c>
      <c r="O167" s="367">
        <f>+D167</f>
        <v>1</v>
      </c>
      <c r="P167" s="423">
        <f>+'estudio inicial precios'!P182</f>
        <v>6000000</v>
      </c>
      <c r="Q167" s="423">
        <f t="shared" si="27"/>
        <v>6000000</v>
      </c>
    </row>
    <row r="168" spans="1:60" s="1533" customFormat="1" ht="24.75" hidden="1" customHeight="1" outlineLevel="1" x14ac:dyDescent="0.2">
      <c r="A168" s="1527" t="s">
        <v>256</v>
      </c>
      <c r="B168" s="1528" t="s">
        <v>257</v>
      </c>
      <c r="C168" s="1527"/>
      <c r="D168" s="1529"/>
      <c r="E168" s="1530"/>
      <c r="F168" s="1531">
        <f t="shared" si="28"/>
        <v>0</v>
      </c>
      <c r="G168" s="1530"/>
      <c r="H168" s="1531">
        <f t="shared" si="29"/>
        <v>0</v>
      </c>
      <c r="I168" s="1532"/>
      <c r="J168" s="1527"/>
      <c r="K168" s="1544"/>
      <c r="L168" s="1527" t="str">
        <f t="shared" si="25"/>
        <v>C.4</v>
      </c>
      <c r="M168" s="1836"/>
      <c r="N168" s="1837"/>
      <c r="O168" s="1837"/>
      <c r="P168" s="1837"/>
      <c r="Q168" s="1838"/>
      <c r="R168" s="1544"/>
      <c r="S168" s="1544"/>
      <c r="T168" s="1544"/>
      <c r="U168" s="1544"/>
      <c r="V168" s="1544"/>
      <c r="W168" s="1544"/>
      <c r="X168" s="1544"/>
      <c r="Y168" s="1544"/>
      <c r="Z168" s="1544"/>
      <c r="AA168" s="1544"/>
      <c r="AB168" s="1544"/>
      <c r="AC168" s="1544"/>
      <c r="AD168" s="1544"/>
      <c r="AE168" s="1544"/>
      <c r="AF168" s="1544"/>
      <c r="AG168" s="1544"/>
      <c r="AH168" s="1544"/>
      <c r="AI168" s="1544"/>
      <c r="AJ168" s="1544"/>
      <c r="AK168" s="1544"/>
      <c r="AL168" s="1544"/>
      <c r="AM168" s="1544"/>
      <c r="AN168" s="1544"/>
      <c r="AO168" s="1544"/>
      <c r="AP168" s="1544"/>
      <c r="AQ168" s="1544"/>
      <c r="AR168" s="1544"/>
      <c r="AS168" s="1544"/>
      <c r="AT168" s="1544"/>
      <c r="AU168" s="1544"/>
      <c r="AV168" s="1544"/>
      <c r="AW168" s="1544"/>
      <c r="AX168" s="1544"/>
      <c r="AY168" s="1544"/>
      <c r="AZ168" s="1544"/>
      <c r="BA168" s="1544"/>
      <c r="BB168" s="1544"/>
      <c r="BC168" s="1544"/>
      <c r="BD168" s="1544"/>
      <c r="BE168" s="1544"/>
      <c r="BF168" s="1544"/>
      <c r="BG168" s="1544"/>
      <c r="BH168" s="1544"/>
    </row>
    <row r="169" spans="1:60" ht="12.75" hidden="1" customHeight="1" outlineLevel="1" x14ac:dyDescent="0.2">
      <c r="A169" s="346" t="s">
        <v>258</v>
      </c>
      <c r="B169" s="347" t="s">
        <v>21</v>
      </c>
      <c r="C169" s="340" t="s">
        <v>19</v>
      </c>
      <c r="D169" s="348">
        <v>86</v>
      </c>
      <c r="E169" s="353">
        <v>20000</v>
      </c>
      <c r="F169" s="353">
        <f t="shared" si="28"/>
        <v>1720000</v>
      </c>
      <c r="G169" s="349">
        <v>19500</v>
      </c>
      <c r="H169" s="353">
        <f t="shared" si="29"/>
        <v>1677000</v>
      </c>
      <c r="I169" s="1285">
        <f>IFERROR(VLOOKUP(A169,'valores unit indexados'!$A$14:$O$197,15,FALSE),0)</f>
        <v>14660</v>
      </c>
      <c r="J169" s="349">
        <f t="shared" si="26"/>
        <v>1260760</v>
      </c>
      <c r="L169" s="346" t="str">
        <f t="shared" si="25"/>
        <v>C. 4,1</v>
      </c>
      <c r="M169" s="347" t="str">
        <f t="shared" si="25"/>
        <v>Retiro de manto existente, incluye retiro de escombros</v>
      </c>
      <c r="N169" s="340" t="str">
        <f t="shared" si="25"/>
        <v>M2</v>
      </c>
      <c r="O169" s="348">
        <f t="shared" si="25"/>
        <v>86</v>
      </c>
      <c r="P169" s="423">
        <f>+'estudio inicial precios'!P184</f>
        <v>18053</v>
      </c>
      <c r="Q169" s="423">
        <f t="shared" si="27"/>
        <v>1552558</v>
      </c>
    </row>
    <row r="170" spans="1:60" ht="25.5" hidden="1" customHeight="1" outlineLevel="1" x14ac:dyDescent="0.2">
      <c r="A170" s="346" t="s">
        <v>259</v>
      </c>
      <c r="B170" s="358" t="s">
        <v>23</v>
      </c>
      <c r="C170" s="356" t="s">
        <v>19</v>
      </c>
      <c r="D170" s="348">
        <v>86</v>
      </c>
      <c r="E170" s="353">
        <v>35000</v>
      </c>
      <c r="F170" s="353">
        <f t="shared" si="28"/>
        <v>3010000</v>
      </c>
      <c r="G170" s="349">
        <v>3731</v>
      </c>
      <c r="H170" s="353">
        <f t="shared" si="29"/>
        <v>320866</v>
      </c>
      <c r="I170" s="1285">
        <f>IFERROR(VLOOKUP(A170,'valores unit indexados'!$A$14:$O$197,15,FALSE),0)</f>
        <v>29150</v>
      </c>
      <c r="J170" s="349">
        <f t="shared" si="26"/>
        <v>2506900</v>
      </c>
      <c r="L170" s="346" t="str">
        <f t="shared" si="25"/>
        <v>C. 4,2</v>
      </c>
      <c r="M170" s="358" t="str">
        <f t="shared" si="25"/>
        <v>Lavada y destronque a máquina (para retirar material existente y preparación de superficie)</v>
      </c>
      <c r="N170" s="356" t="str">
        <f t="shared" si="25"/>
        <v>M2</v>
      </c>
      <c r="O170" s="348">
        <f t="shared" si="25"/>
        <v>86</v>
      </c>
      <c r="P170" s="423">
        <f>+'estudio inicial precios'!P185</f>
        <v>32075</v>
      </c>
      <c r="Q170" s="423">
        <f t="shared" si="27"/>
        <v>2758450</v>
      </c>
    </row>
    <row r="171" spans="1:60" ht="38.25" hidden="1" customHeight="1" outlineLevel="1" x14ac:dyDescent="0.2">
      <c r="A171" s="346" t="s">
        <v>260</v>
      </c>
      <c r="B171" s="358" t="s">
        <v>29</v>
      </c>
      <c r="C171" s="356" t="s">
        <v>19</v>
      </c>
      <c r="D171" s="348">
        <v>86</v>
      </c>
      <c r="E171" s="353">
        <v>38000</v>
      </c>
      <c r="F171" s="353">
        <f t="shared" si="28"/>
        <v>3268000</v>
      </c>
      <c r="G171" s="349">
        <v>32500</v>
      </c>
      <c r="H171" s="353">
        <f t="shared" si="29"/>
        <v>2795000</v>
      </c>
      <c r="I171" s="1285">
        <f>IFERROR(VLOOKUP(A171,'valores unit indexados'!$A$14:$O$197,15,FALSE),0)</f>
        <v>0</v>
      </c>
      <c r="J171" s="349">
        <f t="shared" si="26"/>
        <v>0</v>
      </c>
      <c r="L171" s="346" t="str">
        <f t="shared" si="25"/>
        <v>C. 4,3</v>
      </c>
      <c r="M171" s="358" t="str">
        <f t="shared" si="25"/>
        <v>Suministro y aplicación de mortero 1:3 con aditivo impermeabilizante espesor 4cm incluye media caña en mortero perimetral (superficie con pendiente) </v>
      </c>
      <c r="N171" s="356" t="str">
        <f t="shared" si="25"/>
        <v>M2</v>
      </c>
      <c r="O171" s="348">
        <f t="shared" si="25"/>
        <v>86</v>
      </c>
      <c r="P171" s="423">
        <f>+'estudio inicial precios'!P186</f>
        <v>35250</v>
      </c>
      <c r="Q171" s="423">
        <f t="shared" si="27"/>
        <v>3031500</v>
      </c>
    </row>
    <row r="172" spans="1:60" ht="38.25" hidden="1" customHeight="1" outlineLevel="1" x14ac:dyDescent="0.2">
      <c r="A172" s="346" t="s">
        <v>261</v>
      </c>
      <c r="B172" s="358" t="s">
        <v>262</v>
      </c>
      <c r="C172" s="356" t="s">
        <v>19</v>
      </c>
      <c r="D172" s="348">
        <v>86</v>
      </c>
      <c r="E172" s="353">
        <v>280000</v>
      </c>
      <c r="F172" s="353">
        <f t="shared" si="28"/>
        <v>24080000</v>
      </c>
      <c r="G172" s="349">
        <v>128700</v>
      </c>
      <c r="H172" s="353">
        <f t="shared" si="29"/>
        <v>11068200</v>
      </c>
      <c r="I172" s="1285">
        <f>IFERROR(VLOOKUP(A172,'valores unit indexados'!$A$14:$O$197,15,FALSE),0)</f>
        <v>0</v>
      </c>
      <c r="J172" s="349">
        <f t="shared" si="26"/>
        <v>0</v>
      </c>
      <c r="L172" s="346" t="str">
        <f t="shared" si="25"/>
        <v>C. 4,4</v>
      </c>
      <c r="M172" s="358" t="str">
        <f t="shared" si="25"/>
        <v>Suministro e instalación de membrana líquida impermeabilizante para cubiertas y terrazas, con base en tecnología poliuretano acrílico base agua mejorado.</v>
      </c>
      <c r="N172" s="356" t="str">
        <f t="shared" si="25"/>
        <v>M2</v>
      </c>
      <c r="O172" s="348">
        <f t="shared" si="25"/>
        <v>86</v>
      </c>
      <c r="P172" s="423">
        <f>+'estudio inicial precios'!P187</f>
        <v>224350</v>
      </c>
      <c r="Q172" s="423">
        <f t="shared" si="27"/>
        <v>19294100</v>
      </c>
    </row>
    <row r="173" spans="1:60" s="1533" customFormat="1" ht="24.75" hidden="1" customHeight="1" outlineLevel="1" x14ac:dyDescent="0.2">
      <c r="A173" s="1527" t="s">
        <v>265</v>
      </c>
      <c r="B173" s="1528" t="s">
        <v>1467</v>
      </c>
      <c r="C173" s="1527"/>
      <c r="D173" s="1529"/>
      <c r="E173" s="1530"/>
      <c r="F173" s="1531">
        <f t="shared" si="28"/>
        <v>0</v>
      </c>
      <c r="G173" s="1530"/>
      <c r="H173" s="1531">
        <f t="shared" si="29"/>
        <v>0</v>
      </c>
      <c r="I173" s="1532"/>
      <c r="J173" s="1527"/>
      <c r="K173" s="1544"/>
      <c r="L173" s="1527" t="str">
        <f t="shared" si="25"/>
        <v>C. 5</v>
      </c>
      <c r="M173" s="1836"/>
      <c r="N173" s="1837"/>
      <c r="O173" s="1837"/>
      <c r="P173" s="1837"/>
      <c r="Q173" s="1838"/>
      <c r="R173" s="1544"/>
      <c r="S173" s="1544"/>
      <c r="T173" s="1544"/>
      <c r="U173" s="1544"/>
      <c r="V173" s="1544"/>
      <c r="W173" s="1544"/>
      <c r="X173" s="1544"/>
      <c r="Y173" s="1544"/>
      <c r="Z173" s="1544"/>
      <c r="AA173" s="1544"/>
      <c r="AB173" s="1544"/>
      <c r="AC173" s="1544"/>
      <c r="AD173" s="1544"/>
      <c r="AE173" s="1544"/>
      <c r="AF173" s="1544"/>
      <c r="AG173" s="1544"/>
      <c r="AH173" s="1544"/>
      <c r="AI173" s="1544"/>
      <c r="AJ173" s="1544"/>
      <c r="AK173" s="1544"/>
      <c r="AL173" s="1544"/>
      <c r="AM173" s="1544"/>
      <c r="AN173" s="1544"/>
      <c r="AO173" s="1544"/>
      <c r="AP173" s="1544"/>
      <c r="AQ173" s="1544"/>
      <c r="AR173" s="1544"/>
      <c r="AS173" s="1544"/>
      <c r="AT173" s="1544"/>
      <c r="AU173" s="1544"/>
      <c r="AV173" s="1544"/>
      <c r="AW173" s="1544"/>
      <c r="AX173" s="1544"/>
      <c r="AY173" s="1544"/>
      <c r="AZ173" s="1544"/>
      <c r="BA173" s="1544"/>
      <c r="BB173" s="1544"/>
      <c r="BC173" s="1544"/>
      <c r="BD173" s="1544"/>
      <c r="BE173" s="1544"/>
      <c r="BF173" s="1544"/>
      <c r="BG173" s="1544"/>
      <c r="BH173" s="1544"/>
    </row>
    <row r="174" spans="1:60" ht="25.5" hidden="1" customHeight="1" outlineLevel="1" x14ac:dyDescent="0.2">
      <c r="A174" s="346" t="s">
        <v>266</v>
      </c>
      <c r="B174" s="358" t="s">
        <v>103</v>
      </c>
      <c r="C174" s="356" t="s">
        <v>19</v>
      </c>
      <c r="D174" s="348">
        <v>24</v>
      </c>
      <c r="E174" s="353">
        <v>130000</v>
      </c>
      <c r="F174" s="353">
        <f t="shared" si="28"/>
        <v>3120000</v>
      </c>
      <c r="G174" s="349">
        <v>122971.77200000001</v>
      </c>
      <c r="H174" s="353">
        <f t="shared" si="29"/>
        <v>2951322.5280000004</v>
      </c>
      <c r="I174" s="1285">
        <f>IFERROR(VLOOKUP(A174,'valores unit indexados'!$A$14:$O$197,15,FALSE),0)</f>
        <v>113422</v>
      </c>
      <c r="J174" s="349">
        <f t="shared" si="26"/>
        <v>2722128</v>
      </c>
      <c r="L174" s="346" t="str">
        <f t="shared" ref="L174:O203" si="30">+A174</f>
        <v>C. 5,1</v>
      </c>
      <c r="M174" s="358" t="str">
        <f t="shared" si="30"/>
        <v>Suministro e instalación muro en perfilería de 90mm en panel yeso de 1/2 , doble cara insonorizado. Altura piso techo</v>
      </c>
      <c r="N174" s="356" t="str">
        <f t="shared" si="30"/>
        <v>M2</v>
      </c>
      <c r="O174" s="348">
        <f t="shared" si="30"/>
        <v>24</v>
      </c>
      <c r="P174" s="423">
        <f>+'estudio inicial precios'!P190</f>
        <v>122131</v>
      </c>
      <c r="Q174" s="423">
        <f t="shared" si="27"/>
        <v>2931144</v>
      </c>
    </row>
    <row r="175" spans="1:60" ht="12.75" hidden="1" customHeight="1" outlineLevel="1" x14ac:dyDescent="0.2">
      <c r="A175" s="346" t="s">
        <v>267</v>
      </c>
      <c r="B175" s="347" t="s">
        <v>105</v>
      </c>
      <c r="C175" s="356" t="s">
        <v>14</v>
      </c>
      <c r="D175" s="348">
        <v>15</v>
      </c>
      <c r="E175" s="353">
        <v>50000</v>
      </c>
      <c r="F175" s="353">
        <f t="shared" si="28"/>
        <v>750000</v>
      </c>
      <c r="G175" s="349">
        <v>111069.57400000001</v>
      </c>
      <c r="H175" s="353">
        <f t="shared" si="29"/>
        <v>1666043.61</v>
      </c>
      <c r="I175" s="1285">
        <f>IFERROR(VLOOKUP(A175,'valores unit indexados'!$A$14:$O$197,15,FALSE),0)</f>
        <v>41152</v>
      </c>
      <c r="J175" s="349">
        <f t="shared" si="26"/>
        <v>617280</v>
      </c>
      <c r="L175" s="346" t="str">
        <f t="shared" si="30"/>
        <v>C. 5,2</v>
      </c>
      <c r="M175" s="347" t="str">
        <f t="shared" si="30"/>
        <v>Suministro e instalación de alma en madera de 88mm</v>
      </c>
      <c r="N175" s="356" t="str">
        <f t="shared" si="30"/>
        <v>ML</v>
      </c>
      <c r="O175" s="348">
        <f t="shared" si="30"/>
        <v>15</v>
      </c>
      <c r="P175" s="423">
        <f>+'estudio inicial precios'!P191</f>
        <v>45576</v>
      </c>
      <c r="Q175" s="423">
        <f t="shared" si="27"/>
        <v>683640</v>
      </c>
    </row>
    <row r="176" spans="1:60" ht="51" hidden="1" customHeight="1" outlineLevel="1" x14ac:dyDescent="0.2">
      <c r="A176" s="346" t="s">
        <v>268</v>
      </c>
      <c r="B176" s="358" t="s">
        <v>1468</v>
      </c>
      <c r="C176" s="356" t="s">
        <v>14</v>
      </c>
      <c r="D176" s="348">
        <v>15</v>
      </c>
      <c r="E176" s="353">
        <v>78000</v>
      </c>
      <c r="F176" s="353">
        <f t="shared" si="28"/>
        <v>1170000</v>
      </c>
      <c r="G176" s="349">
        <v>76011.936000000002</v>
      </c>
      <c r="H176" s="353">
        <f t="shared" si="29"/>
        <v>1140179.04</v>
      </c>
      <c r="I176" s="1285">
        <f>IFERROR(VLOOKUP(A176,'valores unit indexados'!$A$14:$O$197,15,FALSE),0)</f>
        <v>46346</v>
      </c>
      <c r="J176" s="349">
        <f t="shared" si="26"/>
        <v>695190</v>
      </c>
      <c r="L176" s="346" t="str">
        <f t="shared" si="30"/>
        <v>C. 5,3</v>
      </c>
      <c r="M176" s="358" t="str">
        <f t="shared" si="30"/>
        <v>Suministro e instalación de cartera en panel yeso de 12 cm incluye filos, con estructura galvanizada base 9 cal.24 encintada, masillada y rematada, con acabado en pintura de vinilo</v>
      </c>
      <c r="N176" s="356" t="str">
        <f t="shared" si="30"/>
        <v>ML</v>
      </c>
      <c r="O176" s="348">
        <f t="shared" si="30"/>
        <v>15</v>
      </c>
      <c r="P176" s="423">
        <f>+'estudio inicial precios'!P192</f>
        <v>46346</v>
      </c>
      <c r="Q176" s="423">
        <f t="shared" si="27"/>
        <v>695190</v>
      </c>
    </row>
    <row r="177" spans="1:17" ht="12.75" hidden="1" customHeight="1" outlineLevel="1" x14ac:dyDescent="0.2">
      <c r="A177" s="346" t="s">
        <v>269</v>
      </c>
      <c r="B177" s="347" t="s">
        <v>109</v>
      </c>
      <c r="C177" s="356" t="s">
        <v>14</v>
      </c>
      <c r="D177" s="348">
        <v>9.39</v>
      </c>
      <c r="E177" s="353">
        <v>50000</v>
      </c>
      <c r="F177" s="353">
        <f t="shared" si="28"/>
        <v>469500</v>
      </c>
      <c r="G177" s="349">
        <v>17277</v>
      </c>
      <c r="H177" s="353">
        <f t="shared" si="29"/>
        <v>162231.03</v>
      </c>
      <c r="I177" s="1285">
        <f>IFERROR(VLOOKUP(A177,'valores unit indexados'!$A$14:$O$197,15,FALSE),0)</f>
        <v>37101</v>
      </c>
      <c r="J177" s="349">
        <f t="shared" si="26"/>
        <v>348378.39</v>
      </c>
      <c r="L177" s="346" t="str">
        <f t="shared" si="30"/>
        <v>C. 5,4</v>
      </c>
      <c r="M177" s="347" t="str">
        <f t="shared" si="30"/>
        <v>Suministro e instalación de guarda escoba en pvc</v>
      </c>
      <c r="N177" s="356" t="str">
        <f t="shared" si="30"/>
        <v>ML</v>
      </c>
      <c r="O177" s="348">
        <f t="shared" si="30"/>
        <v>9.39</v>
      </c>
      <c r="P177" s="423">
        <f>+'estudio inicial precios'!P193</f>
        <v>37101</v>
      </c>
      <c r="Q177" s="423">
        <f>ROUND(P177*O177,0)</f>
        <v>348378</v>
      </c>
    </row>
    <row r="178" spans="1:17" ht="51" hidden="1" customHeight="1" outlineLevel="1" x14ac:dyDescent="0.2">
      <c r="A178" s="346" t="s">
        <v>270</v>
      </c>
      <c r="B178" s="396" t="s">
        <v>111</v>
      </c>
      <c r="C178" s="363" t="s">
        <v>6</v>
      </c>
      <c r="D178" s="369">
        <v>3</v>
      </c>
      <c r="E178" s="353">
        <v>650000</v>
      </c>
      <c r="F178" s="353">
        <f t="shared" si="28"/>
        <v>1950000</v>
      </c>
      <c r="G178" s="349">
        <v>802118.24000000011</v>
      </c>
      <c r="H178" s="353">
        <f t="shared" si="29"/>
        <v>2406354.7200000002</v>
      </c>
      <c r="I178" s="1285">
        <f>IFERROR(VLOOKUP(A178,'valores unit indexados'!$A$14:$O$197,15,FALSE),0)</f>
        <v>579485</v>
      </c>
      <c r="J178" s="349">
        <f t="shared" si="26"/>
        <v>1738455</v>
      </c>
      <c r="L178" s="346" t="str">
        <f t="shared" si="30"/>
        <v>C. 5,5</v>
      </c>
      <c r="M178" s="396" t="str">
        <f t="shared" si="30"/>
        <v>Suministro e instalación puerta entamborada (diseño similar a las existentes) cuyas medidas son de 80 cms de ancho x 200 cm alto, incluye marco y chapa, inmunización y pintura en Barniz</v>
      </c>
      <c r="N178" s="363" t="str">
        <f t="shared" si="30"/>
        <v>UND</v>
      </c>
      <c r="O178" s="369">
        <f t="shared" si="30"/>
        <v>3</v>
      </c>
      <c r="P178" s="423">
        <f>+'estudio inicial precios'!P194</f>
        <v>614743</v>
      </c>
      <c r="Q178" s="423">
        <f t="shared" si="27"/>
        <v>1844229</v>
      </c>
    </row>
    <row r="179" spans="1:17" ht="51" hidden="1" customHeight="1" outlineLevel="1" x14ac:dyDescent="0.2">
      <c r="A179" s="346" t="s">
        <v>271</v>
      </c>
      <c r="B179" s="347" t="s">
        <v>117</v>
      </c>
      <c r="C179" s="363" t="s">
        <v>14</v>
      </c>
      <c r="D179" s="369">
        <v>54</v>
      </c>
      <c r="E179" s="353">
        <v>75000</v>
      </c>
      <c r="F179" s="353">
        <f t="shared" si="28"/>
        <v>4050000</v>
      </c>
      <c r="G179" s="349">
        <v>31265</v>
      </c>
      <c r="H179" s="353">
        <f t="shared" si="29"/>
        <v>1688310</v>
      </c>
      <c r="I179" s="1285">
        <f>IFERROR(VLOOKUP(A179,'valores unit indexados'!$A$14:$O$197,15,FALSE),0)</f>
        <v>70329</v>
      </c>
      <c r="J179" s="349">
        <f t="shared" si="26"/>
        <v>3797766</v>
      </c>
      <c r="L179" s="346" t="str">
        <f t="shared" si="30"/>
        <v>C. 5,6</v>
      </c>
      <c r="M179" s="347" t="str">
        <f t="shared" si="30"/>
        <v>Suministro e instalación Canaleta 100 mm x 45 mm Plástica con división. Blanco PVC auto extinguible y Resistente a impactos hasta de 1 kg, Humedad, Aceites y Químicos., con sus respectivos elementos de Certificado_RETIE_</v>
      </c>
      <c r="N179" s="363" t="str">
        <f t="shared" si="30"/>
        <v>ML</v>
      </c>
      <c r="O179" s="369">
        <f t="shared" si="30"/>
        <v>54</v>
      </c>
      <c r="P179" s="423">
        <f>+'estudio inicial precios'!P195</f>
        <v>72665</v>
      </c>
      <c r="Q179" s="423">
        <f t="shared" si="27"/>
        <v>3923910</v>
      </c>
    </row>
    <row r="180" spans="1:17" ht="38.25" hidden="1" customHeight="1" outlineLevel="1" x14ac:dyDescent="0.2">
      <c r="A180" s="346" t="s">
        <v>272</v>
      </c>
      <c r="B180" s="358" t="s">
        <v>119</v>
      </c>
      <c r="C180" s="363" t="s">
        <v>6</v>
      </c>
      <c r="D180" s="369">
        <v>48</v>
      </c>
      <c r="E180" s="353">
        <v>38000</v>
      </c>
      <c r="F180" s="353">
        <f t="shared" si="28"/>
        <v>1824000</v>
      </c>
      <c r="G180" s="349">
        <v>16263</v>
      </c>
      <c r="H180" s="353">
        <f t="shared" si="29"/>
        <v>780624</v>
      </c>
      <c r="I180" s="1285">
        <f>IFERROR(VLOOKUP(A180,'valores unit indexados'!$A$14:$O$197,15,FALSE),0)</f>
        <v>31702</v>
      </c>
      <c r="J180" s="349">
        <f t="shared" si="26"/>
        <v>1521696</v>
      </c>
      <c r="L180" s="346" t="str">
        <f t="shared" si="30"/>
        <v>C. 5,7</v>
      </c>
      <c r="M180" s="358" t="str">
        <f t="shared" si="30"/>
        <v xml:space="preserve">Suministro e instalación troquel para toma regulada, toma normal y toma de datos, incluye accesorios para su correcta instalación </v>
      </c>
      <c r="N180" s="363" t="str">
        <f t="shared" si="30"/>
        <v>UND</v>
      </c>
      <c r="O180" s="369">
        <f t="shared" si="30"/>
        <v>48</v>
      </c>
      <c r="P180" s="423">
        <f>+'estudio inicial precios'!P196</f>
        <v>34851</v>
      </c>
      <c r="Q180" s="423">
        <f t="shared" si="27"/>
        <v>1672848</v>
      </c>
    </row>
    <row r="181" spans="1:17" ht="25.5" hidden="1" customHeight="1" outlineLevel="1" x14ac:dyDescent="0.2">
      <c r="A181" s="346" t="s">
        <v>273</v>
      </c>
      <c r="B181" s="347" t="s">
        <v>121</v>
      </c>
      <c r="C181" s="363" t="s">
        <v>14</v>
      </c>
      <c r="D181" s="369">
        <v>375</v>
      </c>
      <c r="E181" s="353">
        <v>10550</v>
      </c>
      <c r="F181" s="353">
        <f t="shared" si="28"/>
        <v>3956250</v>
      </c>
      <c r="G181" s="349">
        <v>4732</v>
      </c>
      <c r="H181" s="353">
        <f t="shared" si="29"/>
        <v>1774500</v>
      </c>
      <c r="I181" s="1285">
        <f>IFERROR(VLOOKUP(A181,'valores unit indexados'!$A$14:$O$197,15,FALSE),0)</f>
        <v>10285</v>
      </c>
      <c r="J181" s="349">
        <f t="shared" si="26"/>
        <v>3856875</v>
      </c>
      <c r="L181" s="346" t="str">
        <f t="shared" si="30"/>
        <v>C. 5,8</v>
      </c>
      <c r="M181" s="347" t="str">
        <f t="shared" si="30"/>
        <v>Suministro e instalación de cable UTP Categoría 6A libre de halógeno LSZH</v>
      </c>
      <c r="N181" s="363" t="str">
        <f t="shared" si="30"/>
        <v>ML</v>
      </c>
      <c r="O181" s="369">
        <f t="shared" si="30"/>
        <v>375</v>
      </c>
      <c r="P181" s="423">
        <f>+'estudio inicial precios'!P197</f>
        <v>10418</v>
      </c>
      <c r="Q181" s="423">
        <f t="shared" si="27"/>
        <v>3906750</v>
      </c>
    </row>
    <row r="182" spans="1:17" ht="51" hidden="1" customHeight="1" outlineLevel="1" x14ac:dyDescent="0.2">
      <c r="A182" s="346" t="s">
        <v>274</v>
      </c>
      <c r="B182" s="396" t="s">
        <v>123</v>
      </c>
      <c r="C182" s="363" t="s">
        <v>6</v>
      </c>
      <c r="D182" s="369">
        <v>18</v>
      </c>
      <c r="E182" s="353">
        <v>72000</v>
      </c>
      <c r="F182" s="353">
        <f t="shared" si="28"/>
        <v>1296000</v>
      </c>
      <c r="G182" s="349">
        <v>112086</v>
      </c>
      <c r="H182" s="353">
        <f t="shared" si="29"/>
        <v>2017548</v>
      </c>
      <c r="I182" s="1285">
        <f>IFERROR(VLOOKUP(A182,'valores unit indexados'!$A$14:$O$197,15,FALSE),0)</f>
        <v>70740</v>
      </c>
      <c r="J182" s="349">
        <f t="shared" si="26"/>
        <v>1273320</v>
      </c>
      <c r="L182" s="346" t="str">
        <f t="shared" si="30"/>
        <v>C. 5,9</v>
      </c>
      <c r="M182" s="396" t="str">
        <f t="shared" si="30"/>
        <v>Suministro e instalación de toma hembra tipo jack rj 45 cat 6ª, utp, para puesto de trabajo o herraje. (incluye jacks rj45 cat. 6a amp, ponchada, maquillado y accesorios necesarios para su instalación)</v>
      </c>
      <c r="N182" s="363" t="str">
        <f t="shared" si="30"/>
        <v>UND</v>
      </c>
      <c r="O182" s="369">
        <f t="shared" si="30"/>
        <v>18</v>
      </c>
      <c r="P182" s="423">
        <f>+'estudio inicial precios'!P198</f>
        <v>71370</v>
      </c>
      <c r="Q182" s="423">
        <f t="shared" si="27"/>
        <v>1284660</v>
      </c>
    </row>
    <row r="183" spans="1:17" ht="25.5" hidden="1" customHeight="1" outlineLevel="1" x14ac:dyDescent="0.2">
      <c r="A183" s="346" t="s">
        <v>275</v>
      </c>
      <c r="B183" s="347" t="s">
        <v>125</v>
      </c>
      <c r="C183" s="363" t="s">
        <v>6</v>
      </c>
      <c r="D183" s="369">
        <v>18</v>
      </c>
      <c r="E183" s="353">
        <v>20000</v>
      </c>
      <c r="F183" s="353">
        <f t="shared" si="28"/>
        <v>360000</v>
      </c>
      <c r="G183" s="349">
        <v>33267</v>
      </c>
      <c r="H183" s="353">
        <f t="shared" si="29"/>
        <v>598806</v>
      </c>
      <c r="I183" s="1285">
        <f>IFERROR(VLOOKUP(A183,'valores unit indexados'!$A$14:$O$197,15,FALSE),0)</f>
        <v>20219</v>
      </c>
      <c r="J183" s="349">
        <f t="shared" si="26"/>
        <v>363942</v>
      </c>
      <c r="L183" s="346" t="str">
        <f t="shared" si="30"/>
        <v>C. 5,10</v>
      </c>
      <c r="M183" s="347" t="str">
        <f t="shared" si="30"/>
        <v>Suministro e instalación de faceplate de 1 salida (SOLO DATOS)</v>
      </c>
      <c r="N183" s="363" t="str">
        <f t="shared" si="30"/>
        <v>UND</v>
      </c>
      <c r="O183" s="369">
        <f t="shared" si="30"/>
        <v>18</v>
      </c>
      <c r="P183" s="423">
        <f>+'estudio inicial precios'!P199</f>
        <v>20110</v>
      </c>
      <c r="Q183" s="423">
        <f t="shared" si="27"/>
        <v>361980</v>
      </c>
    </row>
    <row r="184" spans="1:17" ht="51" hidden="1" customHeight="1" outlineLevel="1" x14ac:dyDescent="0.2">
      <c r="A184" s="346" t="s">
        <v>276</v>
      </c>
      <c r="B184" s="396" t="s">
        <v>127</v>
      </c>
      <c r="C184" s="363" t="s">
        <v>6</v>
      </c>
      <c r="D184" s="369">
        <v>18</v>
      </c>
      <c r="E184" s="353">
        <v>120000</v>
      </c>
      <c r="F184" s="353">
        <f t="shared" si="28"/>
        <v>2160000</v>
      </c>
      <c r="G184" s="371">
        <v>0</v>
      </c>
      <c r="H184" s="353">
        <f t="shared" si="29"/>
        <v>0</v>
      </c>
      <c r="I184" s="1285">
        <f>IFERROR(VLOOKUP(A184,'valores unit indexados'!$A$14:$O$197,15,FALSE),0)</f>
        <v>120233</v>
      </c>
      <c r="J184" s="349">
        <f t="shared" si="26"/>
        <v>2164194</v>
      </c>
      <c r="L184" s="346" t="str">
        <f t="shared" si="30"/>
        <v>C. 5,11</v>
      </c>
      <c r="M184" s="396" t="str">
        <f t="shared" si="30"/>
        <v>Suministro e instalación de salida eléctrica red regulada en puesto de trabajo con cable trenzado 3# 12 rojo, verde, blanco con aislamiento libre de halógeno, longitud de 1,5m incluye tomacorriente polo a tierra aislado</v>
      </c>
      <c r="N184" s="363" t="str">
        <f t="shared" si="30"/>
        <v>UND</v>
      </c>
      <c r="O184" s="369">
        <f t="shared" si="30"/>
        <v>18</v>
      </c>
      <c r="P184" s="423">
        <f>+'estudio inicial precios'!P200</f>
        <v>119473</v>
      </c>
      <c r="Q184" s="423">
        <f t="shared" si="27"/>
        <v>2150514</v>
      </c>
    </row>
    <row r="185" spans="1:17" ht="51" hidden="1" customHeight="1" outlineLevel="1" x14ac:dyDescent="0.2">
      <c r="A185" s="346" t="s">
        <v>277</v>
      </c>
      <c r="B185" s="396" t="s">
        <v>129</v>
      </c>
      <c r="C185" s="363" t="s">
        <v>6</v>
      </c>
      <c r="D185" s="369">
        <v>18</v>
      </c>
      <c r="E185" s="353">
        <v>115000</v>
      </c>
      <c r="F185" s="353">
        <f t="shared" si="28"/>
        <v>2070000</v>
      </c>
      <c r="G185" s="371">
        <v>0</v>
      </c>
      <c r="H185" s="353">
        <f t="shared" si="29"/>
        <v>0</v>
      </c>
      <c r="I185" s="1285">
        <f>IFERROR(VLOOKUP(A185,'valores unit indexados'!$A$14:$O$197,15,FALSE),0)</f>
        <v>123946</v>
      </c>
      <c r="J185" s="349">
        <f t="shared" si="26"/>
        <v>2231028</v>
      </c>
      <c r="L185" s="346" t="str">
        <f t="shared" si="30"/>
        <v>C. 5,12</v>
      </c>
      <c r="M185" s="396" t="str">
        <f t="shared" si="30"/>
        <v xml:space="preserve">Suministro e instalación de salida eléctrica red normal en puesto de trabajo con  cable trenzado 3# 12 azul, verde, blanco con aislamiento libre de halógeno,  longitud de 1,5m incluye tomacorriente polo a tierra </v>
      </c>
      <c r="N185" s="363" t="str">
        <f t="shared" si="30"/>
        <v>UND</v>
      </c>
      <c r="O185" s="369">
        <f t="shared" si="30"/>
        <v>18</v>
      </c>
      <c r="P185" s="423">
        <f>+'estudio inicial precios'!P201</f>
        <v>119473</v>
      </c>
      <c r="Q185" s="423">
        <f t="shared" si="27"/>
        <v>2150514</v>
      </c>
    </row>
    <row r="186" spans="1:17" ht="25.5" hidden="1" customHeight="1" outlineLevel="1" x14ac:dyDescent="0.2">
      <c r="A186" s="346" t="s">
        <v>278</v>
      </c>
      <c r="B186" s="347" t="s">
        <v>279</v>
      </c>
      <c r="C186" s="363" t="s">
        <v>6</v>
      </c>
      <c r="D186" s="369">
        <v>3</v>
      </c>
      <c r="E186" s="353">
        <v>95000</v>
      </c>
      <c r="F186" s="353">
        <f t="shared" si="28"/>
        <v>285000</v>
      </c>
      <c r="G186" s="349">
        <v>22000</v>
      </c>
      <c r="H186" s="353">
        <f t="shared" si="29"/>
        <v>66000</v>
      </c>
      <c r="I186" s="1285">
        <f>IFERROR(VLOOKUP(A186,'valores unit indexados'!$A$14:$O$197,15,FALSE),0)</f>
        <v>96760</v>
      </c>
      <c r="J186" s="349">
        <f t="shared" si="26"/>
        <v>290280</v>
      </c>
      <c r="L186" s="346" t="str">
        <f t="shared" si="30"/>
        <v>C. 5,13</v>
      </c>
      <c r="M186" s="347" t="str">
        <f t="shared" si="30"/>
        <v xml:space="preserve">Suministro e instalación de interruptor sencillo incluye caja de sobreponer y salida </v>
      </c>
      <c r="N186" s="363" t="str">
        <f t="shared" si="30"/>
        <v>UND</v>
      </c>
      <c r="O186" s="369">
        <f t="shared" si="30"/>
        <v>3</v>
      </c>
      <c r="P186" s="423">
        <f>+'estudio inicial precios'!P202</f>
        <v>95880</v>
      </c>
      <c r="Q186" s="423">
        <f t="shared" si="27"/>
        <v>287640</v>
      </c>
    </row>
    <row r="187" spans="1:17" ht="38.25" hidden="1" customHeight="1" outlineLevel="1" x14ac:dyDescent="0.2">
      <c r="A187" s="346" t="s">
        <v>280</v>
      </c>
      <c r="B187" s="347" t="s">
        <v>133</v>
      </c>
      <c r="C187" s="363" t="s">
        <v>6</v>
      </c>
      <c r="D187" s="369">
        <v>12</v>
      </c>
      <c r="E187" s="353">
        <v>115000</v>
      </c>
      <c r="F187" s="353">
        <f t="shared" si="28"/>
        <v>1380000</v>
      </c>
      <c r="G187" s="349">
        <v>80795</v>
      </c>
      <c r="H187" s="353">
        <f t="shared" si="29"/>
        <v>969540</v>
      </c>
      <c r="I187" s="1285">
        <f>IFERROR(VLOOKUP(A187,'valores unit indexados'!$A$14:$O$197,15,FALSE),0)</f>
        <v>142064</v>
      </c>
      <c r="J187" s="349">
        <f t="shared" si="26"/>
        <v>1704768</v>
      </c>
      <c r="L187" s="346" t="str">
        <f t="shared" si="30"/>
        <v>C. 5,14</v>
      </c>
      <c r="M187" s="347" t="str">
        <f t="shared" si="30"/>
        <v>Suministro e instalación de Lámpara panel led de sobreponer 24w 100 -240 - 1680Lm de 6,500 K - horas mínimas de vida útil 25,000</v>
      </c>
      <c r="N187" s="363" t="str">
        <f t="shared" si="30"/>
        <v>UND</v>
      </c>
      <c r="O187" s="369">
        <f t="shared" si="30"/>
        <v>12</v>
      </c>
      <c r="P187" s="423">
        <f>+'estudio inicial precios'!P203</f>
        <v>103175</v>
      </c>
      <c r="Q187" s="423">
        <f t="shared" si="27"/>
        <v>1238100</v>
      </c>
    </row>
    <row r="188" spans="1:17" ht="25.5" hidden="1" customHeight="1" outlineLevel="1" x14ac:dyDescent="0.2">
      <c r="A188" s="346" t="s">
        <v>281</v>
      </c>
      <c r="B188" s="347" t="s">
        <v>135</v>
      </c>
      <c r="C188" s="363" t="s">
        <v>14</v>
      </c>
      <c r="D188" s="369">
        <v>20</v>
      </c>
      <c r="E188" s="353">
        <v>17000</v>
      </c>
      <c r="F188" s="353">
        <f t="shared" si="28"/>
        <v>340000</v>
      </c>
      <c r="G188" s="349">
        <v>8736</v>
      </c>
      <c r="H188" s="353">
        <f t="shared" si="29"/>
        <v>174720</v>
      </c>
      <c r="I188" s="1285">
        <f>IFERROR(VLOOKUP(A188,'valores unit indexados'!$A$14:$O$197,15,FALSE),0)</f>
        <v>16536</v>
      </c>
      <c r="J188" s="349">
        <f t="shared" si="26"/>
        <v>330720</v>
      </c>
      <c r="L188" s="346" t="str">
        <f t="shared" si="30"/>
        <v>C. 5,15</v>
      </c>
      <c r="M188" s="347" t="str">
        <f t="shared" si="30"/>
        <v>Suministro e instalación de cable trenzado 3#12 AWG para circuito normal o regulado</v>
      </c>
      <c r="N188" s="363" t="str">
        <f t="shared" si="30"/>
        <v>ML</v>
      </c>
      <c r="O188" s="369">
        <f t="shared" si="30"/>
        <v>20</v>
      </c>
      <c r="P188" s="423">
        <f>+'estudio inicial precios'!P204</f>
        <v>16768</v>
      </c>
      <c r="Q188" s="423">
        <f t="shared" si="27"/>
        <v>335360</v>
      </c>
    </row>
    <row r="189" spans="1:17" ht="12.75" hidden="1" customHeight="1" outlineLevel="1" x14ac:dyDescent="0.2">
      <c r="A189" s="346" t="s">
        <v>282</v>
      </c>
      <c r="B189" s="397" t="s">
        <v>1469</v>
      </c>
      <c r="C189" s="363" t="s">
        <v>6</v>
      </c>
      <c r="D189" s="369">
        <v>18</v>
      </c>
      <c r="E189" s="353">
        <v>38000</v>
      </c>
      <c r="F189" s="353">
        <f t="shared" si="28"/>
        <v>684000</v>
      </c>
      <c r="G189" s="349">
        <v>12948</v>
      </c>
      <c r="H189" s="353">
        <f t="shared" si="29"/>
        <v>233064</v>
      </c>
      <c r="I189" s="1285">
        <f>IFERROR(VLOOKUP(A189,'valores unit indexados'!$A$14:$O$197,15,FALSE),0)</f>
        <v>34244</v>
      </c>
      <c r="J189" s="349">
        <f t="shared" si="26"/>
        <v>616392</v>
      </c>
      <c r="L189" s="346" t="str">
        <f t="shared" si="30"/>
        <v>C. 5,16</v>
      </c>
      <c r="M189" s="397" t="str">
        <f t="shared" si="30"/>
        <v>Suministro e instalación de patch cord 1.5mts CAT 6A</v>
      </c>
      <c r="N189" s="363" t="str">
        <f t="shared" si="30"/>
        <v>UND</v>
      </c>
      <c r="O189" s="369">
        <f t="shared" si="30"/>
        <v>18</v>
      </c>
      <c r="P189" s="423">
        <f>+'estudio inicial precios'!P205</f>
        <v>36122</v>
      </c>
      <c r="Q189" s="423">
        <f t="shared" si="27"/>
        <v>650196</v>
      </c>
    </row>
    <row r="190" spans="1:17" ht="12.75" hidden="1" customHeight="1" outlineLevel="1" x14ac:dyDescent="0.2">
      <c r="A190" s="346" t="s">
        <v>283</v>
      </c>
      <c r="B190" s="397" t="s">
        <v>1470</v>
      </c>
      <c r="C190" s="363" t="s">
        <v>6</v>
      </c>
      <c r="D190" s="369">
        <v>3</v>
      </c>
      <c r="E190" s="353">
        <v>48000</v>
      </c>
      <c r="F190" s="353">
        <f t="shared" si="28"/>
        <v>144000</v>
      </c>
      <c r="G190" s="349">
        <v>16848</v>
      </c>
      <c r="H190" s="353">
        <f t="shared" si="29"/>
        <v>50544</v>
      </c>
      <c r="I190" s="1285">
        <f>IFERROR(VLOOKUP(A190,'valores unit indexados'!$A$14:$O$197,15,FALSE),0)</f>
        <v>46067</v>
      </c>
      <c r="J190" s="349">
        <f t="shared" si="26"/>
        <v>138201</v>
      </c>
      <c r="L190" s="346" t="str">
        <f t="shared" si="30"/>
        <v>C. 5,17</v>
      </c>
      <c r="M190" s="397" t="str">
        <f t="shared" si="30"/>
        <v>Suministro e instalación de patch cord 3mts CAT 6A</v>
      </c>
      <c r="N190" s="363" t="str">
        <f t="shared" si="30"/>
        <v>UND</v>
      </c>
      <c r="O190" s="369">
        <f t="shared" si="30"/>
        <v>3</v>
      </c>
      <c r="P190" s="423">
        <f>+'estudio inicial precios'!P206</f>
        <v>47034</v>
      </c>
      <c r="Q190" s="423">
        <f t="shared" si="27"/>
        <v>141102</v>
      </c>
    </row>
    <row r="191" spans="1:17" ht="25.5" hidden="1" customHeight="1" outlineLevel="1" x14ac:dyDescent="0.2">
      <c r="A191" s="346" t="s">
        <v>284</v>
      </c>
      <c r="B191" s="364" t="s">
        <v>141</v>
      </c>
      <c r="C191" s="363" t="s">
        <v>6</v>
      </c>
      <c r="D191" s="369">
        <v>1</v>
      </c>
      <c r="E191" s="353">
        <v>3500000</v>
      </c>
      <c r="F191" s="353">
        <f t="shared" si="28"/>
        <v>3500000</v>
      </c>
      <c r="G191" s="349">
        <v>2570460</v>
      </c>
      <c r="H191" s="353">
        <f t="shared" si="29"/>
        <v>2570460</v>
      </c>
      <c r="I191" s="1285">
        <f>IFERROR(VLOOKUP(A191,'valores unit indexados'!$A$14:$O$197,15,FALSE),0)</f>
        <v>3045320</v>
      </c>
      <c r="J191" s="349">
        <f t="shared" si="26"/>
        <v>3045320</v>
      </c>
      <c r="L191" s="346" t="str">
        <f t="shared" si="30"/>
        <v>C. 5,18</v>
      </c>
      <c r="M191" s="364" t="str">
        <f t="shared" si="30"/>
        <v>Suministro, instalación y configuración de Switch 24 puertos 10Base-T/100Base-T/1000Base-T</v>
      </c>
      <c r="N191" s="363" t="str">
        <f t="shared" si="30"/>
        <v>UND</v>
      </c>
      <c r="O191" s="369">
        <f t="shared" si="30"/>
        <v>1</v>
      </c>
      <c r="P191" s="423">
        <f>+'estudio inicial precios'!P207</f>
        <v>3035230</v>
      </c>
      <c r="Q191" s="423">
        <f t="shared" si="27"/>
        <v>3035230</v>
      </c>
    </row>
    <row r="192" spans="1:17" ht="25.5" hidden="1" customHeight="1" outlineLevel="1" x14ac:dyDescent="0.2">
      <c r="A192" s="346" t="s">
        <v>285</v>
      </c>
      <c r="B192" s="398" t="s">
        <v>286</v>
      </c>
      <c r="C192" s="363" t="s">
        <v>6</v>
      </c>
      <c r="D192" s="369">
        <v>1</v>
      </c>
      <c r="E192" s="353">
        <v>450000</v>
      </c>
      <c r="F192" s="353">
        <f t="shared" si="28"/>
        <v>450000</v>
      </c>
      <c r="G192" s="349">
        <v>225498</v>
      </c>
      <c r="H192" s="353">
        <f t="shared" si="29"/>
        <v>225498</v>
      </c>
      <c r="I192" s="1285">
        <f>IFERROR(VLOOKUP(A192,'valores unit indexados'!$A$14:$O$197,15,FALSE),0)</f>
        <v>0</v>
      </c>
      <c r="J192" s="349">
        <f t="shared" si="26"/>
        <v>0</v>
      </c>
      <c r="L192" s="346" t="str">
        <f t="shared" si="30"/>
        <v>C. 5,19</v>
      </c>
      <c r="M192" s="398" t="str">
        <f t="shared" si="30"/>
        <v>Suministro e instalación de patch panel de 24 puestos cat. 6a (incluye elementos de fijación)</v>
      </c>
      <c r="N192" s="363" t="str">
        <f t="shared" si="30"/>
        <v>UND</v>
      </c>
      <c r="O192" s="369">
        <f t="shared" si="30"/>
        <v>1</v>
      </c>
      <c r="P192" s="423">
        <f>+'estudio inicial precios'!P208</f>
        <v>337749</v>
      </c>
      <c r="Q192" s="423">
        <f t="shared" si="27"/>
        <v>337749</v>
      </c>
    </row>
    <row r="193" spans="1:60" s="1533" customFormat="1" ht="24.75" hidden="1" customHeight="1" outlineLevel="1" x14ac:dyDescent="0.2">
      <c r="A193" s="1527" t="s">
        <v>293</v>
      </c>
      <c r="B193" s="1528" t="s">
        <v>1528</v>
      </c>
      <c r="C193" s="1527"/>
      <c r="D193" s="1529"/>
      <c r="E193" s="1530"/>
      <c r="F193" s="1531">
        <f t="shared" si="28"/>
        <v>0</v>
      </c>
      <c r="G193" s="1530"/>
      <c r="H193" s="1531">
        <f t="shared" si="29"/>
        <v>0</v>
      </c>
      <c r="I193" s="1532"/>
      <c r="J193" s="1527"/>
      <c r="K193" s="1544"/>
      <c r="L193" s="1527" t="str">
        <f t="shared" si="30"/>
        <v>C. 7</v>
      </c>
      <c r="M193" s="1836"/>
      <c r="N193" s="1837"/>
      <c r="O193" s="1837"/>
      <c r="P193" s="1837"/>
      <c r="Q193" s="1838"/>
      <c r="R193" s="1544"/>
      <c r="S193" s="1544"/>
      <c r="T193" s="1544"/>
      <c r="U193" s="1544"/>
      <c r="V193" s="1544"/>
      <c r="W193" s="1544"/>
      <c r="X193" s="1544"/>
      <c r="Y193" s="1544"/>
      <c r="Z193" s="1544"/>
      <c r="AA193" s="1544"/>
      <c r="AB193" s="1544"/>
      <c r="AC193" s="1544"/>
      <c r="AD193" s="1544"/>
      <c r="AE193" s="1544"/>
      <c r="AF193" s="1544"/>
      <c r="AG193" s="1544"/>
      <c r="AH193" s="1544"/>
      <c r="AI193" s="1544"/>
      <c r="AJ193" s="1544"/>
      <c r="AK193" s="1544"/>
      <c r="AL193" s="1544"/>
      <c r="AM193" s="1544"/>
      <c r="AN193" s="1544"/>
      <c r="AO193" s="1544"/>
      <c r="AP193" s="1544"/>
      <c r="AQ193" s="1544"/>
      <c r="AR193" s="1544"/>
      <c r="AS193" s="1544"/>
      <c r="AT193" s="1544"/>
      <c r="AU193" s="1544"/>
      <c r="AV193" s="1544"/>
      <c r="AW193" s="1544"/>
      <c r="AX193" s="1544"/>
      <c r="AY193" s="1544"/>
      <c r="AZ193" s="1544"/>
      <c r="BA193" s="1544"/>
      <c r="BB193" s="1544"/>
      <c r="BC193" s="1544"/>
      <c r="BD193" s="1544"/>
      <c r="BE193" s="1544"/>
      <c r="BF193" s="1544"/>
      <c r="BG193" s="1544"/>
      <c r="BH193" s="1544"/>
    </row>
    <row r="194" spans="1:60" ht="38.25" hidden="1" customHeight="1" outlineLevel="1" x14ac:dyDescent="0.2">
      <c r="A194" s="346" t="s">
        <v>295</v>
      </c>
      <c r="B194" s="358" t="s">
        <v>296</v>
      </c>
      <c r="C194" s="356" t="s">
        <v>6</v>
      </c>
      <c r="D194" s="348">
        <v>1</v>
      </c>
      <c r="E194" s="379">
        <v>850000</v>
      </c>
      <c r="F194" s="353">
        <f t="shared" si="28"/>
        <v>850000</v>
      </c>
      <c r="G194" s="349">
        <v>1000000</v>
      </c>
      <c r="H194" s="353">
        <f t="shared" si="29"/>
        <v>1000000</v>
      </c>
      <c r="I194" s="1285">
        <f>IFERROR(VLOOKUP(A194,'valores unit indexados'!$A$14:$O$197,15,FALSE),0)</f>
        <v>0</v>
      </c>
      <c r="J194" s="349">
        <f t="shared" si="26"/>
        <v>0</v>
      </c>
      <c r="L194" s="346" t="str">
        <f t="shared" si="30"/>
        <v>C. 7,1</v>
      </c>
      <c r="M194" s="358" t="str">
        <f t="shared" si="30"/>
        <v>Suministro e instalación de puerta en madera con marco metálico cuyas medidas son 96 cm x 197 cm,  incluye marco, pintura y cerradura</v>
      </c>
      <c r="N194" s="356" t="str">
        <f t="shared" si="30"/>
        <v>UND</v>
      </c>
      <c r="O194" s="348">
        <f t="shared" si="30"/>
        <v>1</v>
      </c>
      <c r="P194" s="423">
        <f>+'estudio inicial precios'!P213</f>
        <v>925000</v>
      </c>
      <c r="Q194" s="423">
        <f t="shared" si="27"/>
        <v>925000</v>
      </c>
    </row>
    <row r="195" spans="1:60" ht="25.5" hidden="1" customHeight="1" outlineLevel="1" x14ac:dyDescent="0.2">
      <c r="A195" s="346" t="s">
        <v>297</v>
      </c>
      <c r="B195" s="358" t="s">
        <v>298</v>
      </c>
      <c r="C195" s="356" t="s">
        <v>14</v>
      </c>
      <c r="D195" s="348">
        <v>486.00000000000006</v>
      </c>
      <c r="E195" s="353">
        <v>25000</v>
      </c>
      <c r="F195" s="353">
        <f t="shared" si="28"/>
        <v>12150000.000000002</v>
      </c>
      <c r="G195" s="349">
        <v>31213</v>
      </c>
      <c r="H195" s="353">
        <f t="shared" si="29"/>
        <v>15169518.000000002</v>
      </c>
      <c r="I195" s="1285">
        <f>IFERROR(VLOOKUP(A195,'valores unit indexados'!$A$14:$O$197,15,FALSE),0)</f>
        <v>0</v>
      </c>
      <c r="J195" s="349">
        <f t="shared" si="26"/>
        <v>0</v>
      </c>
      <c r="L195" s="346" t="str">
        <f t="shared" si="30"/>
        <v>C. 7,2</v>
      </c>
      <c r="M195" s="358" t="str">
        <f t="shared" si="30"/>
        <v>Suministro e instalación de sellador para uso exterior (para ventanas)</v>
      </c>
      <c r="N195" s="356" t="str">
        <f t="shared" si="30"/>
        <v>ML</v>
      </c>
      <c r="O195" s="348">
        <f t="shared" si="30"/>
        <v>486.00000000000006</v>
      </c>
      <c r="P195" s="423">
        <f>+'estudio inicial precios'!P214</f>
        <v>28107</v>
      </c>
      <c r="Q195" s="423">
        <f t="shared" si="27"/>
        <v>13660002.000000002</v>
      </c>
    </row>
    <row r="196" spans="1:60" ht="12.75" hidden="1" customHeight="1" outlineLevel="1" x14ac:dyDescent="0.2">
      <c r="A196" s="346" t="s">
        <v>305</v>
      </c>
      <c r="B196" s="358" t="s">
        <v>195</v>
      </c>
      <c r="C196" s="356" t="s">
        <v>19</v>
      </c>
      <c r="D196" s="348">
        <v>1148</v>
      </c>
      <c r="E196" s="353">
        <v>7000</v>
      </c>
      <c r="F196" s="353">
        <f t="shared" si="28"/>
        <v>8036000</v>
      </c>
      <c r="G196" s="349">
        <v>4200</v>
      </c>
      <c r="H196" s="353">
        <f t="shared" si="29"/>
        <v>4821600</v>
      </c>
      <c r="I196" s="1285">
        <f>IFERROR(VLOOKUP(A196,'valores unit indexados'!$A$14:$O$197,15,FALSE),0)</f>
        <v>5300</v>
      </c>
      <c r="J196" s="349">
        <f t="shared" si="26"/>
        <v>6084400</v>
      </c>
      <c r="L196" s="346" t="str">
        <f t="shared" si="30"/>
        <v>C. 7,6</v>
      </c>
      <c r="M196" s="358" t="str">
        <f t="shared" si="30"/>
        <v>Aseo general.</v>
      </c>
      <c r="N196" s="356" t="str">
        <f t="shared" si="30"/>
        <v>M2</v>
      </c>
      <c r="O196" s="1555">
        <f>+D196-400</f>
        <v>748</v>
      </c>
      <c r="P196" s="423">
        <f>+'estudio inicial precios'!P218</f>
        <v>5500</v>
      </c>
      <c r="Q196" s="423">
        <f t="shared" si="27"/>
        <v>4114000</v>
      </c>
    </row>
    <row r="197" spans="1:60" s="1533" customFormat="1" ht="24.75" hidden="1" customHeight="1" outlineLevel="1" x14ac:dyDescent="0.2">
      <c r="A197" s="1527" t="s">
        <v>306</v>
      </c>
      <c r="B197" s="1528" t="s">
        <v>307</v>
      </c>
      <c r="C197" s="1527"/>
      <c r="D197" s="1529"/>
      <c r="E197" s="1530"/>
      <c r="F197" s="1531">
        <f t="shared" si="28"/>
        <v>0</v>
      </c>
      <c r="G197" s="1530"/>
      <c r="H197" s="1531">
        <f t="shared" si="29"/>
        <v>0</v>
      </c>
      <c r="I197" s="1532"/>
      <c r="J197" s="1527"/>
      <c r="K197" s="1544"/>
      <c r="L197" s="1527" t="str">
        <f t="shared" si="30"/>
        <v>C. 8</v>
      </c>
      <c r="M197" s="1836"/>
      <c r="N197" s="1837"/>
      <c r="O197" s="1837"/>
      <c r="P197" s="1837"/>
      <c r="Q197" s="1838"/>
      <c r="R197" s="1544"/>
      <c r="S197" s="1544"/>
      <c r="T197" s="1544"/>
      <c r="U197" s="1544"/>
      <c r="V197" s="1544"/>
      <c r="W197" s="1544"/>
      <c r="X197" s="1544"/>
      <c r="Y197" s="1544"/>
      <c r="Z197" s="1544"/>
      <c r="AA197" s="1544"/>
      <c r="AB197" s="1544"/>
      <c r="AC197" s="1544"/>
      <c r="AD197" s="1544"/>
      <c r="AE197" s="1544"/>
      <c r="AF197" s="1544"/>
      <c r="AG197" s="1544"/>
      <c r="AH197" s="1544"/>
      <c r="AI197" s="1544"/>
      <c r="AJ197" s="1544"/>
      <c r="AK197" s="1544"/>
      <c r="AL197" s="1544"/>
      <c r="AM197" s="1544"/>
      <c r="AN197" s="1544"/>
      <c r="AO197" s="1544"/>
      <c r="AP197" s="1544"/>
      <c r="AQ197" s="1544"/>
      <c r="AR197" s="1544"/>
      <c r="AS197" s="1544"/>
      <c r="AT197" s="1544"/>
      <c r="AU197" s="1544"/>
      <c r="AV197" s="1544"/>
      <c r="AW197" s="1544"/>
      <c r="AX197" s="1544"/>
      <c r="AY197" s="1544"/>
      <c r="AZ197" s="1544"/>
      <c r="BA197" s="1544"/>
      <c r="BB197" s="1544"/>
      <c r="BC197" s="1544"/>
      <c r="BD197" s="1544"/>
      <c r="BE197" s="1544"/>
      <c r="BF197" s="1544"/>
      <c r="BG197" s="1544"/>
      <c r="BH197" s="1544"/>
    </row>
    <row r="198" spans="1:60" ht="25.5" hidden="1" customHeight="1" outlineLevel="1" x14ac:dyDescent="0.2">
      <c r="A198" s="346" t="s">
        <v>308</v>
      </c>
      <c r="B198" s="358" t="s">
        <v>309</v>
      </c>
      <c r="C198" s="356" t="s">
        <v>19</v>
      </c>
      <c r="D198" s="348">
        <v>175</v>
      </c>
      <c r="E198" s="353">
        <v>12000</v>
      </c>
      <c r="F198" s="353">
        <f t="shared" si="28"/>
        <v>2100000</v>
      </c>
      <c r="G198" s="349">
        <v>7046</v>
      </c>
      <c r="H198" s="353">
        <f t="shared" si="29"/>
        <v>1233050</v>
      </c>
      <c r="I198" s="1285">
        <f>IFERROR(VLOOKUP(A198,'valores unit indexados'!$A$14:$O$197,15,FALSE),0)</f>
        <v>0</v>
      </c>
      <c r="J198" s="349">
        <f t="shared" si="26"/>
        <v>0</v>
      </c>
      <c r="L198" s="346" t="str">
        <f t="shared" si="30"/>
        <v>C. 8,1</v>
      </c>
      <c r="M198" s="358" t="str">
        <f t="shared" si="30"/>
        <v>Desmonte de teja en policarbonato , incluye estructura en mal estado</v>
      </c>
      <c r="N198" s="356" t="str">
        <f t="shared" si="30"/>
        <v>M2</v>
      </c>
      <c r="O198" s="348">
        <f t="shared" si="30"/>
        <v>175</v>
      </c>
      <c r="P198" s="423">
        <f>+'estudio inicial precios'!P220</f>
        <v>9523</v>
      </c>
      <c r="Q198" s="423">
        <f t="shared" si="27"/>
        <v>1666525</v>
      </c>
    </row>
    <row r="199" spans="1:60" ht="25.5" hidden="1" customHeight="1" outlineLevel="1" x14ac:dyDescent="0.2">
      <c r="A199" s="346" t="s">
        <v>310</v>
      </c>
      <c r="B199" s="347" t="s">
        <v>43</v>
      </c>
      <c r="C199" s="340" t="s">
        <v>6</v>
      </c>
      <c r="D199" s="348">
        <v>16</v>
      </c>
      <c r="E199" s="353">
        <v>66000</v>
      </c>
      <c r="F199" s="353">
        <f t="shared" si="28"/>
        <v>1056000</v>
      </c>
      <c r="G199" s="350">
        <v>32500</v>
      </c>
      <c r="H199" s="353">
        <f t="shared" si="29"/>
        <v>520000</v>
      </c>
      <c r="I199" s="1285">
        <f>IFERROR(VLOOKUP(A199,'valores unit indexados'!$A$14:$O$197,15,FALSE),0)</f>
        <v>64568</v>
      </c>
      <c r="J199" s="349">
        <f t="shared" si="26"/>
        <v>1033088</v>
      </c>
      <c r="L199" s="346" t="str">
        <f t="shared" si="30"/>
        <v>C. 8,2</v>
      </c>
      <c r="M199" s="347" t="str">
        <f t="shared" si="30"/>
        <v>Suministro e instalación de bases en concreto de 20 cm x 20 cm fundidos sobre losa de terraza</v>
      </c>
      <c r="N199" s="340" t="str">
        <f t="shared" si="30"/>
        <v>UND</v>
      </c>
      <c r="O199" s="348">
        <f t="shared" si="30"/>
        <v>16</v>
      </c>
      <c r="P199" s="423">
        <f>+'estudio inicial precios'!P221</f>
        <v>65284</v>
      </c>
      <c r="Q199" s="423">
        <f t="shared" si="27"/>
        <v>1044544</v>
      </c>
    </row>
    <row r="200" spans="1:60" ht="63.75" hidden="1" customHeight="1" outlineLevel="1" x14ac:dyDescent="0.2">
      <c r="A200" s="346" t="s">
        <v>311</v>
      </c>
      <c r="B200" s="358" t="s">
        <v>45</v>
      </c>
      <c r="C200" s="361" t="s">
        <v>6</v>
      </c>
      <c r="D200" s="348">
        <v>16</v>
      </c>
      <c r="E200" s="353">
        <v>66000</v>
      </c>
      <c r="F200" s="353">
        <f t="shared" si="28"/>
        <v>1056000</v>
      </c>
      <c r="G200" s="350">
        <v>35581</v>
      </c>
      <c r="H200" s="353">
        <f t="shared" si="29"/>
        <v>569296</v>
      </c>
      <c r="I200" s="1285">
        <f>IFERROR(VLOOKUP(A200,'valores unit indexados'!$A$14:$O$197,15,FALSE),0)</f>
        <v>64421</v>
      </c>
      <c r="J200" s="349">
        <f t="shared" si="26"/>
        <v>1030736</v>
      </c>
      <c r="L200" s="346" t="str">
        <f t="shared" si="30"/>
        <v>C. 8,3</v>
      </c>
      <c r="M200" s="358" t="str">
        <f t="shared" si="30"/>
        <v>Suministro e instalación de platina 3/8 cuyas medidas oscilan así: 10 cm x 15 cm y 15 cm x 15 cm, incluye materiales complementarios de conexión, acero, corte, soldadura, anclajes, cartelas, tornillos, varilla de 1/2 soldada para anclaje sobre bases de concreto.</v>
      </c>
      <c r="N200" s="361" t="str">
        <f t="shared" si="30"/>
        <v>UND</v>
      </c>
      <c r="O200" s="348">
        <f t="shared" si="30"/>
        <v>16</v>
      </c>
      <c r="P200" s="423">
        <f>+'estudio inicial precios'!P222</f>
        <v>65211</v>
      </c>
      <c r="Q200" s="423">
        <f t="shared" si="27"/>
        <v>1043376</v>
      </c>
    </row>
    <row r="201" spans="1:60" ht="25.5" hidden="1" customHeight="1" outlineLevel="1" x14ac:dyDescent="0.2">
      <c r="A201" s="346" t="s">
        <v>312</v>
      </c>
      <c r="B201" s="347" t="s">
        <v>49</v>
      </c>
      <c r="C201" s="340" t="s">
        <v>14</v>
      </c>
      <c r="D201" s="348">
        <v>116</v>
      </c>
      <c r="E201" s="353">
        <v>110000</v>
      </c>
      <c r="F201" s="353">
        <f t="shared" si="28"/>
        <v>12760000</v>
      </c>
      <c r="G201" s="349">
        <v>132301</v>
      </c>
      <c r="H201" s="353">
        <f t="shared" si="29"/>
        <v>15346916</v>
      </c>
      <c r="I201" s="1285">
        <f>IFERROR(VLOOKUP(A201,'valores unit indexados'!$A$14:$O$197,15,FALSE),0)</f>
        <v>106395</v>
      </c>
      <c r="J201" s="349">
        <f t="shared" si="26"/>
        <v>12341820</v>
      </c>
      <c r="L201" s="346" t="str">
        <f t="shared" si="30"/>
        <v>C. 8,4</v>
      </c>
      <c r="M201" s="347" t="str">
        <f t="shared" si="30"/>
        <v>Suministro e instalación de estructura metálica para cubierta en tubería 100 cm x 50 cm calibre 2 mm, incluye pintura 3 en 1</v>
      </c>
      <c r="N201" s="340" t="str">
        <f t="shared" si="30"/>
        <v>ML</v>
      </c>
      <c r="O201" s="348">
        <f t="shared" si="30"/>
        <v>116</v>
      </c>
      <c r="P201" s="423">
        <f>+'estudio inicial precios'!P223</f>
        <v>108965</v>
      </c>
      <c r="Q201" s="423">
        <f t="shared" si="27"/>
        <v>12639940</v>
      </c>
    </row>
    <row r="202" spans="1:60" ht="25.5" hidden="1" customHeight="1" outlineLevel="1" x14ac:dyDescent="0.2">
      <c r="A202" s="346" t="s">
        <v>313</v>
      </c>
      <c r="B202" s="347" t="s">
        <v>314</v>
      </c>
      <c r="C202" s="340" t="s">
        <v>14</v>
      </c>
      <c r="D202" s="348">
        <v>195</v>
      </c>
      <c r="E202" s="353">
        <v>100000</v>
      </c>
      <c r="F202" s="353">
        <f t="shared" si="28"/>
        <v>19500000</v>
      </c>
      <c r="G202" s="349">
        <v>104000</v>
      </c>
      <c r="H202" s="353">
        <f t="shared" si="29"/>
        <v>20280000</v>
      </c>
      <c r="I202" s="1285">
        <f>IFERROR(VLOOKUP(A202,'valores unit indexados'!$A$14:$O$197,15,FALSE),0)</f>
        <v>97346</v>
      </c>
      <c r="J202" s="349">
        <f t="shared" ref="J202:J203" si="31">+I202*D202</f>
        <v>18982470</v>
      </c>
      <c r="L202" s="346" t="str">
        <f t="shared" si="30"/>
        <v>C. 8,5</v>
      </c>
      <c r="M202" s="347" t="str">
        <f t="shared" si="30"/>
        <v>Suministro e instalación de estructura metálica para cubierta en tubería 80 cm x 40 cm calibre 2 mm, incluye pintura 3 en 1</v>
      </c>
      <c r="N202" s="340" t="str">
        <f t="shared" si="30"/>
        <v>ML</v>
      </c>
      <c r="O202" s="348">
        <f t="shared" si="30"/>
        <v>195</v>
      </c>
      <c r="P202" s="423">
        <f>+'estudio inicial precios'!P224</f>
        <v>100449</v>
      </c>
      <c r="Q202" s="423">
        <f t="shared" ref="Q202:Q203" si="32">+P202*O202</f>
        <v>19587555</v>
      </c>
    </row>
    <row r="203" spans="1:60" ht="26.25" hidden="1" customHeight="1" outlineLevel="1" thickBot="1" x14ac:dyDescent="0.25">
      <c r="A203" s="354" t="s">
        <v>315</v>
      </c>
      <c r="B203" s="347" t="s">
        <v>316</v>
      </c>
      <c r="C203" s="340" t="s">
        <v>19</v>
      </c>
      <c r="D203" s="348">
        <v>201</v>
      </c>
      <c r="E203" s="353">
        <v>80000</v>
      </c>
      <c r="F203" s="353">
        <f t="shared" ref="F203" si="33">+E203*D203</f>
        <v>16080000</v>
      </c>
      <c r="G203" s="349">
        <v>65949</v>
      </c>
      <c r="H203" s="353">
        <f t="shared" ref="H203" si="34">+G203*D203</f>
        <v>13255749</v>
      </c>
      <c r="I203" s="1285">
        <f>IFERROR(VLOOKUP(A203,'valores unit indexados'!$A$14:$O$197,15,FALSE),0)</f>
        <v>77917</v>
      </c>
      <c r="J203" s="349">
        <f t="shared" si="31"/>
        <v>15661317</v>
      </c>
      <c r="L203" s="354" t="str">
        <f t="shared" si="30"/>
        <v>C. 8,6</v>
      </c>
      <c r="M203" s="347" t="str">
        <f t="shared" si="30"/>
        <v>Suministro e instalación de cubierta en teja upvc blanca con tramos translucidos intercalados</v>
      </c>
      <c r="N203" s="340" t="str">
        <f t="shared" si="30"/>
        <v>M2</v>
      </c>
      <c r="O203" s="348">
        <f t="shared" si="30"/>
        <v>201</v>
      </c>
      <c r="P203" s="423">
        <f>+'estudio inicial precios'!P225</f>
        <v>78959</v>
      </c>
      <c r="Q203" s="423">
        <f t="shared" si="32"/>
        <v>15870759</v>
      </c>
    </row>
    <row r="204" spans="1:60" ht="15.75" collapsed="1" thickBot="1" x14ac:dyDescent="0.3">
      <c r="A204"/>
      <c r="B204"/>
      <c r="C204" s="1712" t="s">
        <v>196</v>
      </c>
      <c r="D204" s="1713"/>
      <c r="E204" s="1714"/>
      <c r="F204" s="1715">
        <f>SUM(F112:F203)</f>
        <v>4829851163.488595</v>
      </c>
      <c r="G204" s="1716"/>
      <c r="H204" s="1715">
        <f>SUM(H112:H203)</f>
        <v>3401916495.8478713</v>
      </c>
      <c r="I204" s="1717"/>
      <c r="J204" s="1718">
        <f>SUM(J113:J203)</f>
        <v>1891518130.8700004</v>
      </c>
      <c r="K204" s="1719"/>
      <c r="L204" s="1720"/>
      <c r="M204" s="1721"/>
      <c r="N204" s="1734"/>
      <c r="O204" s="1735"/>
      <c r="P204" s="1713"/>
      <c r="Q204" s="1722">
        <f>SUM(Q145:Q203)</f>
        <v>246446287</v>
      </c>
    </row>
    <row r="205" spans="1:60" ht="15" x14ac:dyDescent="0.25">
      <c r="A205"/>
      <c r="B205"/>
      <c r="C205" s="1706" t="s">
        <v>197</v>
      </c>
      <c r="D205" s="1707"/>
      <c r="E205" s="1708">
        <v>0.25</v>
      </c>
      <c r="F205" s="1709">
        <f>+E205*$F$204</f>
        <v>1207462790.8721488</v>
      </c>
      <c r="G205" s="1708">
        <v>0.24</v>
      </c>
      <c r="H205" s="1709">
        <f>+G205*$H$204</f>
        <v>816459959.00348914</v>
      </c>
      <c r="I205" s="1708">
        <v>0</v>
      </c>
      <c r="J205" s="1709">
        <f>+I205*$J$204</f>
        <v>0</v>
      </c>
      <c r="L205" s="1298"/>
      <c r="M205" s="1645"/>
      <c r="N205" s="1845" t="str">
        <f t="shared" ref="N205:N209" si="35">+C205</f>
        <v xml:space="preserve">ADMINISTRACION </v>
      </c>
      <c r="O205" s="1846"/>
      <c r="P205" s="1710">
        <f>+$C$15</f>
        <v>0.185</v>
      </c>
      <c r="Q205" s="1711">
        <f>ROUND(P205*$Q$204,0)</f>
        <v>45592563</v>
      </c>
    </row>
    <row r="206" spans="1:60" ht="15" x14ac:dyDescent="0.25">
      <c r="A206"/>
      <c r="B206"/>
      <c r="C206" s="1671" t="s">
        <v>198</v>
      </c>
      <c r="D206" s="1672"/>
      <c r="E206" s="375">
        <v>0.02</v>
      </c>
      <c r="F206" s="376">
        <f t="shared" ref="F206:F207" si="36">+E206*$F$204</f>
        <v>96597023.269771904</v>
      </c>
      <c r="G206" s="375">
        <v>0.01</v>
      </c>
      <c r="H206" s="376">
        <f t="shared" ref="H206:H207" si="37">+G206*$H$204</f>
        <v>34019164.958478712</v>
      </c>
      <c r="I206" s="375">
        <v>0</v>
      </c>
      <c r="J206" s="376">
        <f t="shared" ref="J206:J207" si="38">+I206*$J$204</f>
        <v>0</v>
      </c>
      <c r="L206" s="1298"/>
      <c r="M206" s="1645"/>
      <c r="N206" s="1847" t="str">
        <f t="shared" si="35"/>
        <v xml:space="preserve">IMPREVISTO </v>
      </c>
      <c r="O206" s="1848"/>
      <c r="P206" s="1296">
        <f>+$C$16</f>
        <v>0.02</v>
      </c>
      <c r="Q206" s="1711">
        <f t="shared" ref="Q206:Q207" si="39">ROUND(P206*$Q$204,0)</f>
        <v>4928926</v>
      </c>
    </row>
    <row r="207" spans="1:60" ht="15" x14ac:dyDescent="0.25">
      <c r="A207"/>
      <c r="B207"/>
      <c r="C207" s="1671" t="s">
        <v>199</v>
      </c>
      <c r="D207" s="1672"/>
      <c r="E207" s="375">
        <v>0.05</v>
      </c>
      <c r="F207" s="376">
        <f t="shared" si="36"/>
        <v>241492558.17442977</v>
      </c>
      <c r="G207" s="375">
        <v>0.05</v>
      </c>
      <c r="H207" s="376">
        <f t="shared" si="37"/>
        <v>170095824.79239357</v>
      </c>
      <c r="I207" s="375">
        <v>0</v>
      </c>
      <c r="J207" s="376">
        <f t="shared" si="38"/>
        <v>0</v>
      </c>
      <c r="L207" s="1298"/>
      <c r="M207" s="1645"/>
      <c r="N207" s="1847" t="str">
        <f t="shared" si="35"/>
        <v>UTILIDAD</v>
      </c>
      <c r="O207" s="1848"/>
      <c r="P207" s="1296">
        <f>+$C$17</f>
        <v>4.4999999999999998E-2</v>
      </c>
      <c r="Q207" s="1711">
        <f t="shared" si="39"/>
        <v>11090083</v>
      </c>
    </row>
    <row r="208" spans="1:60" ht="15.75" thickBot="1" x14ac:dyDescent="0.3">
      <c r="A208"/>
      <c r="B208"/>
      <c r="C208" s="1723" t="s">
        <v>200</v>
      </c>
      <c r="D208" s="1724"/>
      <c r="E208" s="1725">
        <v>0.19</v>
      </c>
      <c r="F208" s="1726">
        <f>+F207*E208</f>
        <v>45883586.053141661</v>
      </c>
      <c r="G208" s="1725">
        <v>0.19</v>
      </c>
      <c r="H208" s="1726">
        <f>+H207*G208</f>
        <v>32318206.710554779</v>
      </c>
      <c r="I208" s="1725">
        <v>0</v>
      </c>
      <c r="J208" s="1726">
        <f>+J207*I208</f>
        <v>0</v>
      </c>
      <c r="L208" s="1298"/>
      <c r="M208" s="1645"/>
      <c r="N208" s="1849" t="str">
        <f t="shared" si="35"/>
        <v xml:space="preserve">IVA SOBRE UTILIDAD </v>
      </c>
      <c r="O208" s="1850"/>
      <c r="P208" s="1727">
        <f>+$C$18</f>
        <v>0.19</v>
      </c>
      <c r="Q208" s="1711">
        <f>ROUND(P208*$Q$207,0)</f>
        <v>2107116</v>
      </c>
    </row>
    <row r="209" spans="1:60" ht="15.75" thickBot="1" x14ac:dyDescent="0.3">
      <c r="A209"/>
      <c r="B209"/>
      <c r="C209" s="1868" t="s">
        <v>201</v>
      </c>
      <c r="D209" s="1869"/>
      <c r="E209" s="1869"/>
      <c r="F209" s="1869">
        <f>SUM(F204:F208)</f>
        <v>6421287121.8580866</v>
      </c>
      <c r="G209" s="1869"/>
      <c r="H209" s="1869">
        <f>SUM(H204:H208)</f>
        <v>4454809651.312788</v>
      </c>
      <c r="I209" s="1869"/>
      <c r="J209" s="1869">
        <f>SUM(J204:J208)</f>
        <v>1891518130.8700004</v>
      </c>
      <c r="K209" s="1869"/>
      <c r="L209" s="1869"/>
      <c r="M209" s="1869"/>
      <c r="N209" s="1869" t="str">
        <f t="shared" si="35"/>
        <v xml:space="preserve">VALOR TOTAL INCLUIDO AIU E IVA </v>
      </c>
      <c r="O209" s="1869"/>
      <c r="P209" s="1870"/>
      <c r="Q209" s="1733">
        <f>SUM(Q204:Q208)</f>
        <v>310164975</v>
      </c>
    </row>
    <row r="210" spans="1:60" ht="15.75" thickBot="1" x14ac:dyDescent="0.3">
      <c r="L210" s="1298"/>
      <c r="M210"/>
      <c r="N210"/>
      <c r="O210"/>
      <c r="P210"/>
      <c r="Q210"/>
    </row>
    <row r="211" spans="1:60" ht="13.5" thickBot="1" x14ac:dyDescent="0.25">
      <c r="A211" s="1801" t="s">
        <v>317</v>
      </c>
      <c r="B211" s="1802" t="s">
        <v>318</v>
      </c>
      <c r="C211" s="1802"/>
      <c r="D211" s="1802"/>
      <c r="E211" s="1802"/>
      <c r="F211" s="1802"/>
      <c r="G211" s="1802"/>
      <c r="H211" s="1802"/>
      <c r="I211" s="1802"/>
      <c r="J211" s="1802"/>
      <c r="K211" s="1719"/>
      <c r="L211" s="1803" t="str">
        <f t="shared" ref="L211:O242" si="40">+A211</f>
        <v>D</v>
      </c>
      <c r="M211" s="1853"/>
      <c r="N211" s="1854"/>
      <c r="O211" s="1854"/>
      <c r="P211" s="1854"/>
      <c r="Q211" s="1855"/>
    </row>
    <row r="212" spans="1:60" s="1533" customFormat="1" ht="24.75" hidden="1" customHeight="1" outlineLevel="1" x14ac:dyDescent="0.2">
      <c r="A212" s="1527" t="s">
        <v>319</v>
      </c>
      <c r="B212" s="1528" t="s">
        <v>320</v>
      </c>
      <c r="C212" s="1527"/>
      <c r="D212" s="1529"/>
      <c r="E212" s="1530"/>
      <c r="F212" s="1531"/>
      <c r="G212" s="1530"/>
      <c r="H212" s="1531"/>
      <c r="I212" s="1532"/>
      <c r="J212" s="1527"/>
      <c r="K212" s="1544"/>
      <c r="L212" s="1527" t="str">
        <f t="shared" si="40"/>
        <v>D. 1</v>
      </c>
      <c r="M212" s="1836"/>
      <c r="N212" s="1837"/>
      <c r="O212" s="1837"/>
      <c r="P212" s="1837"/>
      <c r="Q212" s="1838"/>
      <c r="R212" s="1544"/>
      <c r="S212" s="1544"/>
      <c r="T212" s="1544"/>
      <c r="U212" s="1544"/>
      <c r="V212" s="1544"/>
      <c r="W212" s="1544"/>
      <c r="X212" s="1544"/>
      <c r="Y212" s="1544"/>
      <c r="Z212" s="1544"/>
      <c r="AA212" s="1544"/>
      <c r="AB212" s="1544"/>
      <c r="AC212" s="1544"/>
      <c r="AD212" s="1544"/>
      <c r="AE212" s="1544"/>
      <c r="AF212" s="1544"/>
      <c r="AG212" s="1544"/>
      <c r="AH212" s="1544"/>
      <c r="AI212" s="1544"/>
      <c r="AJ212" s="1544"/>
      <c r="AK212" s="1544"/>
      <c r="AL212" s="1544"/>
      <c r="AM212" s="1544"/>
      <c r="AN212" s="1544"/>
      <c r="AO212" s="1544"/>
      <c r="AP212" s="1544"/>
      <c r="AQ212" s="1544"/>
      <c r="AR212" s="1544"/>
      <c r="AS212" s="1544"/>
      <c r="AT212" s="1544"/>
      <c r="AU212" s="1544"/>
      <c r="AV212" s="1544"/>
      <c r="AW212" s="1544"/>
      <c r="AX212" s="1544"/>
      <c r="AY212" s="1544"/>
      <c r="AZ212" s="1544"/>
      <c r="BA212" s="1544"/>
      <c r="BB212" s="1544"/>
      <c r="BC212" s="1544"/>
      <c r="BD212" s="1544"/>
      <c r="BE212" s="1544"/>
      <c r="BF212" s="1544"/>
      <c r="BG212" s="1544"/>
      <c r="BH212" s="1544"/>
    </row>
    <row r="213" spans="1:60" ht="38.25" hidden="1" customHeight="1" outlineLevel="1" x14ac:dyDescent="0.2">
      <c r="A213" s="346" t="s">
        <v>321</v>
      </c>
      <c r="B213" s="347" t="s">
        <v>222</v>
      </c>
      <c r="C213" s="340" t="s">
        <v>14</v>
      </c>
      <c r="D213" s="348">
        <v>29</v>
      </c>
      <c r="E213" s="353">
        <v>135000</v>
      </c>
      <c r="F213" s="353">
        <f>+E213*D213</f>
        <v>3915000</v>
      </c>
      <c r="G213" s="399">
        <v>0</v>
      </c>
      <c r="H213" s="353">
        <f>+G213*D213</f>
        <v>0</v>
      </c>
      <c r="I213" s="1285">
        <f>IFERROR(VLOOKUP(A213,'valores unit indexados'!$A$14:$O$197,15,FALSE),0)</f>
        <v>226947</v>
      </c>
      <c r="J213" s="350">
        <f t="shared" ref="J213:J268" si="41">+I213*D213</f>
        <v>6581463</v>
      </c>
      <c r="L213" s="346" t="str">
        <f t="shared" si="40"/>
        <v>D. 1,1</v>
      </c>
      <c r="M213" s="347" t="str">
        <f t="shared" si="40"/>
        <v>Pasarela cercada que permita la circulación de vehículos, y contenga, (soporte) la caída de materiales de la obra al espacio público (ancho mínimo de 2 metros)</v>
      </c>
      <c r="N213" s="340" t="str">
        <f t="shared" si="40"/>
        <v>ML</v>
      </c>
      <c r="O213" s="348">
        <f t="shared" si="40"/>
        <v>29</v>
      </c>
      <c r="P213" s="423">
        <f>+'estudio inicial precios'!P235</f>
        <v>226947</v>
      </c>
      <c r="Q213" s="423">
        <f t="shared" ref="Q213:Q268" si="42">+P213*O213</f>
        <v>6581463</v>
      </c>
    </row>
    <row r="214" spans="1:60" ht="25.5" hidden="1" customHeight="1" outlineLevel="1" x14ac:dyDescent="0.2">
      <c r="A214" s="381" t="s">
        <v>322</v>
      </c>
      <c r="B214" s="347" t="s">
        <v>224</v>
      </c>
      <c r="C214" s="340" t="s">
        <v>19</v>
      </c>
      <c r="D214" s="348">
        <v>73</v>
      </c>
      <c r="E214" s="353">
        <v>12500</v>
      </c>
      <c r="F214" s="353">
        <f t="shared" ref="F214:F269" si="43">+E214*D214</f>
        <v>912500</v>
      </c>
      <c r="G214" s="349">
        <v>5000</v>
      </c>
      <c r="H214" s="353">
        <f t="shared" ref="H214:H269" si="44">+G214*D214</f>
        <v>365000</v>
      </c>
      <c r="I214" s="1285">
        <f>IFERROR(VLOOKUP(A214,'valores unit indexados'!$A$14:$O$197,15,FALSE),0)</f>
        <v>16681</v>
      </c>
      <c r="J214" s="350">
        <f t="shared" si="41"/>
        <v>1217713</v>
      </c>
      <c r="L214" s="381" t="str">
        <f t="shared" si="40"/>
        <v>D. 1,2</v>
      </c>
      <c r="M214" s="347" t="str">
        <f t="shared" si="40"/>
        <v xml:space="preserve">Malla sombra, elemento de protección perimetral para mitigar el riesgo de caída de herramientas o materiales.  </v>
      </c>
      <c r="N214" s="340" t="str">
        <f t="shared" si="40"/>
        <v>M2</v>
      </c>
      <c r="O214" s="348">
        <f t="shared" si="40"/>
        <v>73</v>
      </c>
      <c r="P214" s="423">
        <f>+'estudio inicial precios'!P236</f>
        <v>16681</v>
      </c>
      <c r="Q214" s="423">
        <f t="shared" si="42"/>
        <v>1217713</v>
      </c>
    </row>
    <row r="215" spans="1:60" ht="12.75" hidden="1" customHeight="1" outlineLevel="1" x14ac:dyDescent="0.2">
      <c r="A215" s="346" t="s">
        <v>323</v>
      </c>
      <c r="B215" s="358" t="s">
        <v>324</v>
      </c>
      <c r="C215" s="356" t="s">
        <v>19</v>
      </c>
      <c r="D215" s="356">
        <v>7</v>
      </c>
      <c r="E215" s="353">
        <v>20000</v>
      </c>
      <c r="F215" s="353">
        <f t="shared" si="43"/>
        <v>140000</v>
      </c>
      <c r="G215" s="350">
        <v>6656</v>
      </c>
      <c r="H215" s="353">
        <f t="shared" si="44"/>
        <v>46592</v>
      </c>
      <c r="I215" s="1285">
        <f>IFERROR(VLOOKUP(A215,'valores unit indexados'!$A$14:$O$197,15,FALSE),0)</f>
        <v>0</v>
      </c>
      <c r="J215" s="350">
        <f t="shared" si="41"/>
        <v>0</v>
      </c>
      <c r="L215" s="346" t="str">
        <f t="shared" si="40"/>
        <v>D. 1,3</v>
      </c>
      <c r="M215" s="358" t="str">
        <f t="shared" si="40"/>
        <v>Desmonte de placa en fibrocemento (superboard)</v>
      </c>
      <c r="N215" s="356" t="str">
        <f t="shared" si="40"/>
        <v>M2</v>
      </c>
      <c r="O215" s="356">
        <f t="shared" si="40"/>
        <v>7</v>
      </c>
      <c r="P215" s="423">
        <f>+'estudio inicial precios'!P237</f>
        <v>8250</v>
      </c>
      <c r="Q215" s="423">
        <f t="shared" si="42"/>
        <v>57750</v>
      </c>
    </row>
    <row r="216" spans="1:60" ht="12.75" hidden="1" customHeight="1" outlineLevel="1" x14ac:dyDescent="0.2">
      <c r="A216" s="381" t="s">
        <v>325</v>
      </c>
      <c r="B216" s="358" t="s">
        <v>324</v>
      </c>
      <c r="C216" s="356" t="s">
        <v>14</v>
      </c>
      <c r="D216" s="356">
        <v>91</v>
      </c>
      <c r="E216" s="353">
        <v>12000</v>
      </c>
      <c r="F216" s="353">
        <f t="shared" si="43"/>
        <v>1092000</v>
      </c>
      <c r="G216" s="350">
        <v>4500</v>
      </c>
      <c r="H216" s="353">
        <f t="shared" si="44"/>
        <v>409500</v>
      </c>
      <c r="I216" s="1285">
        <f>IFERROR(VLOOKUP(A216,'valores unit indexados'!$A$14:$O$197,15,FALSE),0)</f>
        <v>0</v>
      </c>
      <c r="J216" s="350">
        <f t="shared" si="41"/>
        <v>0</v>
      </c>
      <c r="L216" s="381" t="str">
        <f t="shared" si="40"/>
        <v>D. 1,4</v>
      </c>
      <c r="M216" s="358" t="str">
        <f t="shared" si="40"/>
        <v>Desmonte de placa en fibrocemento (superboard)</v>
      </c>
      <c r="N216" s="356" t="str">
        <f t="shared" si="40"/>
        <v>ML</v>
      </c>
      <c r="O216" s="356">
        <f t="shared" si="40"/>
        <v>91</v>
      </c>
      <c r="P216" s="423">
        <f>+'estudio inicial precios'!P238</f>
        <v>8250</v>
      </c>
      <c r="Q216" s="423">
        <f t="shared" si="42"/>
        <v>750750</v>
      </c>
    </row>
    <row r="217" spans="1:60" ht="25.5" hidden="1" customHeight="1" outlineLevel="1" x14ac:dyDescent="0.2">
      <c r="A217" s="381" t="s">
        <v>326</v>
      </c>
      <c r="B217" s="347" t="s">
        <v>327</v>
      </c>
      <c r="C217" s="356" t="s">
        <v>19</v>
      </c>
      <c r="D217" s="356">
        <v>7</v>
      </c>
      <c r="E217" s="379">
        <v>110000</v>
      </c>
      <c r="F217" s="379">
        <f t="shared" si="43"/>
        <v>770000</v>
      </c>
      <c r="G217" s="1292">
        <v>68952</v>
      </c>
      <c r="H217" s="353">
        <f t="shared" si="44"/>
        <v>482664</v>
      </c>
      <c r="I217" s="1285">
        <f>IFERROR(VLOOKUP(A217,'valores unit indexados'!$A$14:$O$197,15,FALSE),0)</f>
        <v>0</v>
      </c>
      <c r="J217" s="350">
        <f t="shared" si="41"/>
        <v>0</v>
      </c>
      <c r="L217" s="381" t="str">
        <f t="shared" si="40"/>
        <v>D. 1,5</v>
      </c>
      <c r="M217" s="347" t="str">
        <f t="shared" si="40"/>
        <v>Suministro e instalación de placa en fibrocemento 8mm, incluye masillada, filos y pintura para exterior</v>
      </c>
      <c r="N217" s="356" t="str">
        <f t="shared" si="40"/>
        <v>M2</v>
      </c>
      <c r="O217" s="356">
        <f t="shared" si="40"/>
        <v>7</v>
      </c>
      <c r="P217" s="423">
        <f>+'estudio inicial precios'!P239</f>
        <v>74300</v>
      </c>
      <c r="Q217" s="423">
        <f t="shared" si="42"/>
        <v>520100</v>
      </c>
    </row>
    <row r="218" spans="1:60" ht="12.75" hidden="1" customHeight="1" outlineLevel="1" x14ac:dyDescent="0.2">
      <c r="A218" s="381" t="s">
        <v>328</v>
      </c>
      <c r="B218" s="368" t="s">
        <v>88</v>
      </c>
      <c r="C218" s="367" t="s">
        <v>19</v>
      </c>
      <c r="D218" s="356">
        <v>189</v>
      </c>
      <c r="E218" s="379">
        <v>28000</v>
      </c>
      <c r="F218" s="379">
        <f t="shared" si="43"/>
        <v>5292000</v>
      </c>
      <c r="G218" s="1292">
        <v>11700</v>
      </c>
      <c r="H218" s="353">
        <f t="shared" si="44"/>
        <v>2211300</v>
      </c>
      <c r="I218" s="1285">
        <f>IFERROR(VLOOKUP(A218,'valores unit indexados'!$A$14:$O$197,15,FALSE),0)</f>
        <v>24610</v>
      </c>
      <c r="J218" s="350">
        <f t="shared" si="41"/>
        <v>4651290</v>
      </c>
      <c r="L218" s="381" t="str">
        <f t="shared" si="40"/>
        <v>D. 1,6</v>
      </c>
      <c r="M218" s="368" t="str">
        <f t="shared" si="40"/>
        <v xml:space="preserve">Suministro y aplicación de estuco plástico </v>
      </c>
      <c r="N218" s="367" t="str">
        <f t="shared" si="40"/>
        <v>M2</v>
      </c>
      <c r="O218" s="356">
        <f t="shared" si="40"/>
        <v>189</v>
      </c>
      <c r="P218" s="423">
        <f>+'estudio inicial precios'!P240</f>
        <v>26305</v>
      </c>
      <c r="Q218" s="423">
        <f t="shared" si="42"/>
        <v>4971645</v>
      </c>
    </row>
    <row r="219" spans="1:60" ht="25.5" hidden="1" customHeight="1" outlineLevel="1" x14ac:dyDescent="0.2">
      <c r="A219" s="346" t="s">
        <v>329</v>
      </c>
      <c r="B219" s="358" t="s">
        <v>330</v>
      </c>
      <c r="C219" s="356" t="s">
        <v>19</v>
      </c>
      <c r="D219" s="356">
        <v>377</v>
      </c>
      <c r="E219" s="379">
        <v>21000</v>
      </c>
      <c r="F219" s="379">
        <f t="shared" si="43"/>
        <v>7917000</v>
      </c>
      <c r="G219" s="1292">
        <v>7982</v>
      </c>
      <c r="H219" s="353">
        <f t="shared" si="44"/>
        <v>3009214</v>
      </c>
      <c r="I219" s="1285">
        <f>IFERROR(VLOOKUP(A219,'valores unit indexados'!$A$14:$O$197,15,FALSE),0)</f>
        <v>0</v>
      </c>
      <c r="J219" s="350">
        <f t="shared" si="41"/>
        <v>0</v>
      </c>
      <c r="L219" s="346" t="str">
        <f t="shared" si="40"/>
        <v>D. 1,7</v>
      </c>
      <c r="M219" s="358" t="str">
        <f t="shared" si="40"/>
        <v>Suministro y aplicación de pintura para superboard para exterior a dos manos color similar al existente</v>
      </c>
      <c r="N219" s="356" t="str">
        <f t="shared" si="40"/>
        <v>M2</v>
      </c>
      <c r="O219" s="356">
        <f t="shared" si="40"/>
        <v>377</v>
      </c>
      <c r="P219" s="423">
        <f>+'estudio inicial precios'!P241</f>
        <v>21000</v>
      </c>
      <c r="Q219" s="423">
        <f t="shared" si="42"/>
        <v>7917000</v>
      </c>
    </row>
    <row r="220" spans="1:60" ht="25.5" hidden="1" customHeight="1" outlineLevel="1" x14ac:dyDescent="0.2">
      <c r="A220" s="381" t="s">
        <v>331</v>
      </c>
      <c r="B220" s="358" t="s">
        <v>1485</v>
      </c>
      <c r="C220" s="356" t="s">
        <v>14</v>
      </c>
      <c r="D220" s="356">
        <v>28</v>
      </c>
      <c r="E220" s="379">
        <v>20000</v>
      </c>
      <c r="F220" s="379">
        <f t="shared" si="43"/>
        <v>560000</v>
      </c>
      <c r="G220" s="1292">
        <v>3055</v>
      </c>
      <c r="H220" s="353">
        <f t="shared" si="44"/>
        <v>85540</v>
      </c>
      <c r="I220" s="1285">
        <f>IFERROR(VLOOKUP(A220,'valores unit indexados'!$A$14:$O$197,15,FALSE),0)</f>
        <v>0</v>
      </c>
      <c r="J220" s="350">
        <f t="shared" si="41"/>
        <v>0</v>
      </c>
      <c r="L220" s="381" t="str">
        <f t="shared" si="40"/>
        <v>D. 1,8</v>
      </c>
      <c r="M220" s="358" t="str">
        <f t="shared" si="40"/>
        <v>Mantenimiento alfajía metálica existente incluye desmonte y nivelación (pendiente)</v>
      </c>
      <c r="N220" s="356" t="str">
        <f t="shared" si="40"/>
        <v>ML</v>
      </c>
      <c r="O220" s="356">
        <f t="shared" si="40"/>
        <v>28</v>
      </c>
      <c r="P220" s="423">
        <f>+'estudio inicial precios'!P242</f>
        <v>11528</v>
      </c>
      <c r="Q220" s="423">
        <f t="shared" si="42"/>
        <v>322784</v>
      </c>
    </row>
    <row r="221" spans="1:60" ht="25.5" hidden="1" customHeight="1" outlineLevel="1" x14ac:dyDescent="0.2">
      <c r="A221" s="346" t="s">
        <v>333</v>
      </c>
      <c r="B221" s="358" t="s">
        <v>1486</v>
      </c>
      <c r="C221" s="356" t="s">
        <v>14</v>
      </c>
      <c r="D221" s="356">
        <v>16</v>
      </c>
      <c r="E221" s="379">
        <v>65000</v>
      </c>
      <c r="F221" s="379">
        <f t="shared" si="43"/>
        <v>1040000</v>
      </c>
      <c r="G221" s="1292">
        <v>52897</v>
      </c>
      <c r="H221" s="353">
        <f t="shared" si="44"/>
        <v>846352</v>
      </c>
      <c r="I221" s="1285">
        <f>IFERROR(VLOOKUP(A221,'valores unit indexados'!$A$14:$O$197,15,FALSE),0)</f>
        <v>0</v>
      </c>
      <c r="J221" s="350">
        <f t="shared" si="41"/>
        <v>0</v>
      </c>
      <c r="L221" s="346" t="str">
        <f t="shared" si="40"/>
        <v>D. 1,9</v>
      </c>
      <c r="M221" s="358" t="str">
        <f t="shared" si="40"/>
        <v>Suministro e instalación de alfajía metálica cuyas medidas oscilan entre 70 a 200 cm de largo</v>
      </c>
      <c r="N221" s="356" t="str">
        <f t="shared" si="40"/>
        <v>ML</v>
      </c>
      <c r="O221" s="356">
        <f t="shared" si="40"/>
        <v>16</v>
      </c>
      <c r="P221" s="423">
        <f>+'estudio inicial precios'!P243</f>
        <v>58949</v>
      </c>
      <c r="Q221" s="423">
        <f t="shared" si="42"/>
        <v>943184</v>
      </c>
    </row>
    <row r="222" spans="1:60" ht="25.5" hidden="1" customHeight="1" outlineLevel="1" x14ac:dyDescent="0.2">
      <c r="A222" s="381" t="s">
        <v>335</v>
      </c>
      <c r="B222" s="358" t="s">
        <v>1487</v>
      </c>
      <c r="C222" s="356" t="s">
        <v>14</v>
      </c>
      <c r="D222" s="356">
        <v>90</v>
      </c>
      <c r="E222" s="379">
        <v>25000</v>
      </c>
      <c r="F222" s="379">
        <f t="shared" si="43"/>
        <v>2250000</v>
      </c>
      <c r="G222" s="412">
        <v>31213</v>
      </c>
      <c r="H222" s="353">
        <f t="shared" si="44"/>
        <v>2809170</v>
      </c>
      <c r="I222" s="1285">
        <f>IFERROR(VLOOKUP(A222,'valores unit indexados'!$A$14:$O$197,15,FALSE),0)</f>
        <v>0</v>
      </c>
      <c r="J222" s="350">
        <f t="shared" si="41"/>
        <v>0</v>
      </c>
      <c r="L222" s="381" t="str">
        <f t="shared" si="40"/>
        <v>D. 1,10</v>
      </c>
      <c r="M222" s="358" t="str">
        <f t="shared" si="40"/>
        <v>suministro y aplicación de adhesivo y/o sellador para exterior para elemento metálica</v>
      </c>
      <c r="N222" s="356" t="str">
        <f t="shared" si="40"/>
        <v>ML</v>
      </c>
      <c r="O222" s="356">
        <f t="shared" si="40"/>
        <v>90</v>
      </c>
      <c r="P222" s="423">
        <f>+'estudio inicial precios'!P244</f>
        <v>36943</v>
      </c>
      <c r="Q222" s="423">
        <f t="shared" si="42"/>
        <v>3324870</v>
      </c>
    </row>
    <row r="223" spans="1:60" ht="12.75" hidden="1" customHeight="1" outlineLevel="1" x14ac:dyDescent="0.2">
      <c r="A223" s="381" t="s">
        <v>337</v>
      </c>
      <c r="B223" s="347" t="s">
        <v>1488</v>
      </c>
      <c r="C223" s="356" t="s">
        <v>14</v>
      </c>
      <c r="D223" s="355">
        <v>29</v>
      </c>
      <c r="E223" s="379">
        <v>12000</v>
      </c>
      <c r="F223" s="379">
        <f t="shared" si="43"/>
        <v>348000</v>
      </c>
      <c r="G223" s="1292">
        <v>14000</v>
      </c>
      <c r="H223" s="353">
        <f t="shared" si="44"/>
        <v>406000</v>
      </c>
      <c r="I223" s="1285">
        <f>IFERROR(VLOOKUP(A223,'valores unit indexados'!$A$14:$O$197,15,FALSE),0)</f>
        <v>0</v>
      </c>
      <c r="J223" s="350">
        <f t="shared" si="41"/>
        <v>0</v>
      </c>
      <c r="L223" s="381" t="str">
        <f t="shared" si="40"/>
        <v>D. 1,11</v>
      </c>
      <c r="M223" s="347" t="str">
        <f t="shared" si="40"/>
        <v>Suministro e instalación de perfil de dilatación tipo U</v>
      </c>
      <c r="N223" s="356" t="str">
        <f t="shared" si="40"/>
        <v>ML</v>
      </c>
      <c r="O223" s="355">
        <f t="shared" si="40"/>
        <v>29</v>
      </c>
      <c r="P223" s="423">
        <f>+'estudio inicial precios'!P245</f>
        <v>13000</v>
      </c>
      <c r="Q223" s="423">
        <f t="shared" si="42"/>
        <v>377000</v>
      </c>
    </row>
    <row r="224" spans="1:60" ht="25.5" hidden="1" customHeight="1" outlineLevel="1" x14ac:dyDescent="0.2">
      <c r="A224" s="381" t="s">
        <v>339</v>
      </c>
      <c r="B224" s="358" t="s">
        <v>340</v>
      </c>
      <c r="C224" s="356" t="s">
        <v>19</v>
      </c>
      <c r="D224" s="355">
        <v>9</v>
      </c>
      <c r="E224" s="379">
        <v>110000</v>
      </c>
      <c r="F224" s="379">
        <f t="shared" si="43"/>
        <v>990000</v>
      </c>
      <c r="G224" s="1292">
        <v>74300</v>
      </c>
      <c r="H224" s="353">
        <f t="shared" si="44"/>
        <v>668700</v>
      </c>
      <c r="I224" s="1285">
        <f>IFERROR(VLOOKUP(A224,'valores unit indexados'!$A$14:$O$197,15,FALSE),0)</f>
        <v>0</v>
      </c>
      <c r="J224" s="350">
        <f t="shared" si="41"/>
        <v>0</v>
      </c>
      <c r="L224" s="381" t="str">
        <f t="shared" si="40"/>
        <v>D. 1,12</v>
      </c>
      <c r="M224" s="358" t="str">
        <f t="shared" si="40"/>
        <v>suministro e instalación de placa en fibrocemento 8mm, incluye masillada, estructura, filos y pintura para exterior </v>
      </c>
      <c r="N224" s="356" t="str">
        <f t="shared" si="40"/>
        <v>M2</v>
      </c>
      <c r="O224" s="355">
        <f t="shared" si="40"/>
        <v>9</v>
      </c>
      <c r="P224" s="423">
        <f>+'estudio inicial precios'!P246</f>
        <v>74300</v>
      </c>
      <c r="Q224" s="423">
        <f t="shared" si="42"/>
        <v>668700</v>
      </c>
    </row>
    <row r="225" spans="1:60" s="1533" customFormat="1" ht="24.75" hidden="1" customHeight="1" outlineLevel="1" x14ac:dyDescent="0.2">
      <c r="A225" s="1527" t="s">
        <v>341</v>
      </c>
      <c r="B225" s="1528" t="s">
        <v>342</v>
      </c>
      <c r="C225" s="1527"/>
      <c r="D225" s="1529"/>
      <c r="E225" s="1530"/>
      <c r="F225" s="1531">
        <f t="shared" si="43"/>
        <v>0</v>
      </c>
      <c r="G225" s="1530"/>
      <c r="H225" s="1531">
        <f t="shared" si="44"/>
        <v>0</v>
      </c>
      <c r="I225" s="1532"/>
      <c r="J225" s="1527"/>
      <c r="K225" s="1544"/>
      <c r="L225" s="1527" t="str">
        <f t="shared" si="40"/>
        <v>D. 2</v>
      </c>
      <c r="M225" s="1836"/>
      <c r="N225" s="1837"/>
      <c r="O225" s="1837"/>
      <c r="P225" s="1837"/>
      <c r="Q225" s="1838"/>
      <c r="R225" s="1544"/>
      <c r="S225" s="1544"/>
      <c r="T225" s="1544"/>
      <c r="U225" s="1544"/>
      <c r="V225" s="1544"/>
      <c r="W225" s="1544"/>
      <c r="X225" s="1544"/>
      <c r="Y225" s="1544"/>
      <c r="Z225" s="1544"/>
      <c r="AA225" s="1544"/>
      <c r="AB225" s="1544"/>
      <c r="AC225" s="1544"/>
      <c r="AD225" s="1544"/>
      <c r="AE225" s="1544"/>
      <c r="AF225" s="1544"/>
      <c r="AG225" s="1544"/>
      <c r="AH225" s="1544"/>
      <c r="AI225" s="1544"/>
      <c r="AJ225" s="1544"/>
      <c r="AK225" s="1544"/>
      <c r="AL225" s="1544"/>
      <c r="AM225" s="1544"/>
      <c r="AN225" s="1544"/>
      <c r="AO225" s="1544"/>
      <c r="AP225" s="1544"/>
      <c r="AQ225" s="1544"/>
      <c r="AR225" s="1544"/>
      <c r="AS225" s="1544"/>
      <c r="AT225" s="1544"/>
      <c r="AU225" s="1544"/>
      <c r="AV225" s="1544"/>
      <c r="AW225" s="1544"/>
      <c r="AX225" s="1544"/>
      <c r="AY225" s="1544"/>
      <c r="AZ225" s="1544"/>
      <c r="BA225" s="1544"/>
      <c r="BB225" s="1544"/>
      <c r="BC225" s="1544"/>
      <c r="BD225" s="1544"/>
      <c r="BE225" s="1544"/>
      <c r="BF225" s="1544"/>
      <c r="BG225" s="1544"/>
      <c r="BH225" s="1544"/>
    </row>
    <row r="226" spans="1:60" ht="12.75" hidden="1" customHeight="1" outlineLevel="1" x14ac:dyDescent="0.2">
      <c r="A226" s="381" t="s">
        <v>343</v>
      </c>
      <c r="B226" s="347" t="s">
        <v>21</v>
      </c>
      <c r="C226" s="367" t="s">
        <v>19</v>
      </c>
      <c r="D226" s="356">
        <v>14</v>
      </c>
      <c r="E226" s="353">
        <v>20000</v>
      </c>
      <c r="F226" s="353">
        <f t="shared" si="43"/>
        <v>280000</v>
      </c>
      <c r="G226" s="350">
        <v>19500</v>
      </c>
      <c r="H226" s="353">
        <f t="shared" si="44"/>
        <v>273000</v>
      </c>
      <c r="I226" s="1285">
        <f>IFERROR(VLOOKUP(A226,'valores unit indexados'!$A$14:$O$197,15,FALSE),0)</f>
        <v>14660</v>
      </c>
      <c r="J226" s="350">
        <f t="shared" si="41"/>
        <v>205240</v>
      </c>
      <c r="L226" s="381" t="str">
        <f t="shared" si="40"/>
        <v>D. 2,1</v>
      </c>
      <c r="M226" s="347" t="str">
        <f t="shared" si="40"/>
        <v>Retiro de manto existente, incluye retiro de escombros</v>
      </c>
      <c r="N226" s="367" t="str">
        <f t="shared" si="40"/>
        <v>M2</v>
      </c>
      <c r="O226" s="356">
        <f t="shared" si="40"/>
        <v>14</v>
      </c>
      <c r="P226" s="423">
        <f>+'estudio inicial precios'!P248</f>
        <v>18053</v>
      </c>
      <c r="Q226" s="423">
        <f t="shared" si="42"/>
        <v>252742</v>
      </c>
    </row>
    <row r="227" spans="1:60" ht="12.75" hidden="1" customHeight="1" outlineLevel="1" x14ac:dyDescent="0.2">
      <c r="A227" s="346" t="s">
        <v>344</v>
      </c>
      <c r="B227" s="358" t="s">
        <v>25</v>
      </c>
      <c r="C227" s="356" t="s">
        <v>19</v>
      </c>
      <c r="D227" s="356">
        <v>14</v>
      </c>
      <c r="E227" s="353">
        <v>27000</v>
      </c>
      <c r="F227" s="353">
        <f t="shared" si="43"/>
        <v>378000</v>
      </c>
      <c r="G227" s="350">
        <v>5200</v>
      </c>
      <c r="H227" s="353">
        <f t="shared" si="44"/>
        <v>72800</v>
      </c>
      <c r="I227" s="1285">
        <f>IFERROR(VLOOKUP(A227,'valores unit indexados'!$A$14:$O$197,15,FALSE),0)</f>
        <v>0</v>
      </c>
      <c r="J227" s="350">
        <f t="shared" si="41"/>
        <v>0</v>
      </c>
      <c r="L227" s="346" t="str">
        <f t="shared" si="40"/>
        <v>D. 2,2</v>
      </c>
      <c r="M227" s="358" t="str">
        <f t="shared" si="40"/>
        <v>Demolición mortero existente  (incluye retiro de escombros)</v>
      </c>
      <c r="N227" s="356" t="str">
        <f t="shared" si="40"/>
        <v>M2</v>
      </c>
      <c r="O227" s="356">
        <f t="shared" si="40"/>
        <v>14</v>
      </c>
      <c r="P227" s="423">
        <f>+'estudio inicial precios'!P249</f>
        <v>10612</v>
      </c>
      <c r="Q227" s="423">
        <f t="shared" si="42"/>
        <v>148568</v>
      </c>
    </row>
    <row r="228" spans="1:60" ht="12.75" hidden="1" customHeight="1" outlineLevel="1" x14ac:dyDescent="0.2">
      <c r="A228" s="367" t="s">
        <v>346</v>
      </c>
      <c r="B228" s="347" t="s">
        <v>206</v>
      </c>
      <c r="C228" s="340" t="s">
        <v>19</v>
      </c>
      <c r="D228" s="356">
        <v>14</v>
      </c>
      <c r="E228" s="353">
        <v>35000</v>
      </c>
      <c r="F228" s="353">
        <f t="shared" si="43"/>
        <v>490000</v>
      </c>
      <c r="G228" s="350">
        <v>3731</v>
      </c>
      <c r="H228" s="353">
        <f t="shared" si="44"/>
        <v>52234</v>
      </c>
      <c r="I228" s="1285">
        <f>IFERROR(VLOOKUP(A228,'valores unit indexados'!$A$14:$O$197,15,FALSE),0)</f>
        <v>29150</v>
      </c>
      <c r="J228" s="350">
        <f t="shared" si="41"/>
        <v>408100</v>
      </c>
      <c r="L228" s="367" t="str">
        <f t="shared" si="40"/>
        <v>D. 2,3</v>
      </c>
      <c r="M228" s="347" t="str">
        <f t="shared" si="40"/>
        <v>Lavada y destronque a máquina (para retirar material existente)</v>
      </c>
      <c r="N228" s="340" t="str">
        <f t="shared" si="40"/>
        <v>M2</v>
      </c>
      <c r="O228" s="356">
        <f t="shared" si="40"/>
        <v>14</v>
      </c>
      <c r="P228" s="423">
        <f>+'estudio inicial precios'!P250</f>
        <v>32075</v>
      </c>
      <c r="Q228" s="423">
        <f t="shared" si="42"/>
        <v>449050</v>
      </c>
    </row>
    <row r="229" spans="1:60" ht="25.5" hidden="1" customHeight="1" outlineLevel="1" x14ac:dyDescent="0.2">
      <c r="A229" s="354" t="s">
        <v>347</v>
      </c>
      <c r="B229" s="358" t="s">
        <v>208</v>
      </c>
      <c r="C229" s="356" t="s">
        <v>19</v>
      </c>
      <c r="D229" s="356">
        <v>15</v>
      </c>
      <c r="E229" s="353">
        <v>38000</v>
      </c>
      <c r="F229" s="353">
        <f t="shared" si="43"/>
        <v>570000</v>
      </c>
      <c r="G229" s="350">
        <v>32500</v>
      </c>
      <c r="H229" s="353">
        <f t="shared" si="44"/>
        <v>487500</v>
      </c>
      <c r="I229" s="1285">
        <f>IFERROR(VLOOKUP(A229,'valores unit indexados'!$A$14:$O$197,15,FALSE),0)</f>
        <v>0</v>
      </c>
      <c r="J229" s="350">
        <f t="shared" si="41"/>
        <v>0</v>
      </c>
      <c r="L229" s="354" t="str">
        <f t="shared" si="40"/>
        <v>D. 2,4</v>
      </c>
      <c r="M229" s="358" t="str">
        <f t="shared" si="40"/>
        <v>Suministro y aplicación de mortero 1:3 con aditivo impermeabilizante espesor 4cm (superficie con pendiente)</v>
      </c>
      <c r="N229" s="356" t="str">
        <f t="shared" si="40"/>
        <v>M2</v>
      </c>
      <c r="O229" s="356">
        <f t="shared" si="40"/>
        <v>15</v>
      </c>
      <c r="P229" s="423">
        <f>+'estudio inicial precios'!P251</f>
        <v>35250</v>
      </c>
      <c r="Q229" s="423">
        <f t="shared" si="42"/>
        <v>528750</v>
      </c>
    </row>
    <row r="230" spans="1:60" ht="25.5" hidden="1" customHeight="1" outlineLevel="1" x14ac:dyDescent="0.2">
      <c r="A230" s="367" t="s">
        <v>348</v>
      </c>
      <c r="B230" s="365" t="s">
        <v>76</v>
      </c>
      <c r="C230" s="366" t="s">
        <v>19</v>
      </c>
      <c r="D230" s="356">
        <v>16</v>
      </c>
      <c r="E230" s="379">
        <v>280000</v>
      </c>
      <c r="F230" s="353">
        <f t="shared" si="43"/>
        <v>4480000</v>
      </c>
      <c r="G230" s="350">
        <v>128700</v>
      </c>
      <c r="H230" s="353">
        <f t="shared" si="44"/>
        <v>2059200</v>
      </c>
      <c r="I230" s="1285">
        <f>IFERROR(VLOOKUP(A230,'valores unit indexados'!$A$14:$O$197,15,FALSE),0)</f>
        <v>0</v>
      </c>
      <c r="J230" s="350">
        <f t="shared" si="41"/>
        <v>0</v>
      </c>
      <c r="L230" s="367" t="str">
        <f t="shared" si="40"/>
        <v>D. 2,5</v>
      </c>
      <c r="M230" s="365" t="str">
        <f t="shared" si="40"/>
        <v>Suministro e instalación de membrana pvc (incluye perlines de fijación)</v>
      </c>
      <c r="N230" s="366" t="str">
        <f t="shared" si="40"/>
        <v>M2</v>
      </c>
      <c r="O230" s="356">
        <f t="shared" si="40"/>
        <v>16</v>
      </c>
      <c r="P230" s="423">
        <f>+'estudio inicial precios'!P252</f>
        <v>212172</v>
      </c>
      <c r="Q230" s="423">
        <f t="shared" si="42"/>
        <v>3394752</v>
      </c>
    </row>
    <row r="231" spans="1:60" ht="12.75" hidden="1" customHeight="1" outlineLevel="1" x14ac:dyDescent="0.2">
      <c r="A231" s="354" t="s">
        <v>349</v>
      </c>
      <c r="B231" s="347" t="s">
        <v>350</v>
      </c>
      <c r="C231" s="356" t="s">
        <v>6</v>
      </c>
      <c r="D231" s="356">
        <v>4</v>
      </c>
      <c r="E231" s="353">
        <v>60000</v>
      </c>
      <c r="F231" s="353">
        <f t="shared" si="43"/>
        <v>240000</v>
      </c>
      <c r="G231" s="350">
        <v>88000</v>
      </c>
      <c r="H231" s="353">
        <f t="shared" si="44"/>
        <v>352000</v>
      </c>
      <c r="I231" s="1285">
        <f>IFERROR(VLOOKUP(A231,'valores unit indexados'!$A$14:$O$197,15,FALSE),0)</f>
        <v>0</v>
      </c>
      <c r="J231" s="350">
        <f t="shared" si="41"/>
        <v>0</v>
      </c>
      <c r="L231" s="354" t="str">
        <f t="shared" si="40"/>
        <v>D. 2,6</v>
      </c>
      <c r="M231" s="347" t="str">
        <f t="shared" si="40"/>
        <v>Perforación de muro en concreto 3"</v>
      </c>
      <c r="N231" s="356" t="str">
        <f t="shared" si="40"/>
        <v>UND</v>
      </c>
      <c r="O231" s="356">
        <f t="shared" si="40"/>
        <v>4</v>
      </c>
      <c r="P231" s="423">
        <f>+'estudio inicial precios'!P253</f>
        <v>74000</v>
      </c>
      <c r="Q231" s="423">
        <f t="shared" si="42"/>
        <v>296000</v>
      </c>
    </row>
    <row r="232" spans="1:60" ht="25.5" hidden="1" customHeight="1" outlineLevel="1" x14ac:dyDescent="0.2">
      <c r="A232" s="367" t="s">
        <v>351</v>
      </c>
      <c r="B232" s="365" t="s">
        <v>352</v>
      </c>
      <c r="C232" s="356" t="s">
        <v>14</v>
      </c>
      <c r="D232" s="356">
        <v>27</v>
      </c>
      <c r="E232" s="353">
        <v>145000</v>
      </c>
      <c r="F232" s="353">
        <f t="shared" si="43"/>
        <v>3915000</v>
      </c>
      <c r="G232" s="350">
        <v>112697</v>
      </c>
      <c r="H232" s="353">
        <f t="shared" si="44"/>
        <v>3042819</v>
      </c>
      <c r="I232" s="1285">
        <f>IFERROR(VLOOKUP(A232,'valores unit indexados'!$A$14:$O$197,15,FALSE),0)</f>
        <v>0</v>
      </c>
      <c r="J232" s="350">
        <f t="shared" si="41"/>
        <v>0</v>
      </c>
      <c r="L232" s="367" t="str">
        <f t="shared" si="40"/>
        <v>D. 2,7</v>
      </c>
      <c r="M232" s="365" t="str">
        <f t="shared" si="40"/>
        <v>Suministro e instalación de Canal en lámina galvanizada cal 16,  pintura con base epoxica con acabado en esmalte.</v>
      </c>
      <c r="N232" s="356" t="str">
        <f t="shared" si="40"/>
        <v>ML</v>
      </c>
      <c r="O232" s="356">
        <f t="shared" si="40"/>
        <v>27</v>
      </c>
      <c r="P232" s="423">
        <f>+'estudio inicial precios'!P254</f>
        <v>128849</v>
      </c>
      <c r="Q232" s="423">
        <f t="shared" si="42"/>
        <v>3478923</v>
      </c>
    </row>
    <row r="233" spans="1:60" ht="25.5" hidden="1" customHeight="1" outlineLevel="1" x14ac:dyDescent="0.2">
      <c r="A233" s="354" t="s">
        <v>353</v>
      </c>
      <c r="B233" s="365" t="s">
        <v>1489</v>
      </c>
      <c r="C233" s="356" t="s">
        <v>14</v>
      </c>
      <c r="D233" s="356">
        <v>34</v>
      </c>
      <c r="E233" s="353">
        <v>112000</v>
      </c>
      <c r="F233" s="353">
        <f t="shared" si="43"/>
        <v>3808000</v>
      </c>
      <c r="G233" s="350">
        <v>35425</v>
      </c>
      <c r="H233" s="353">
        <f t="shared" si="44"/>
        <v>1204450</v>
      </c>
      <c r="I233" s="1285">
        <f>IFERROR(VLOOKUP(A233,'valores unit indexados'!$A$14:$O$197,15,FALSE),0)</f>
        <v>0</v>
      </c>
      <c r="J233" s="350">
        <f t="shared" si="41"/>
        <v>0</v>
      </c>
      <c r="L233" s="354" t="str">
        <f t="shared" si="40"/>
        <v>D. 2,8</v>
      </c>
      <c r="M233" s="365" t="str">
        <f t="shared" si="40"/>
        <v>Suministro e instalación de tubo cuadrado 50 mm x 50 mm x 2mm incluye ángulo conector para perfil estructural existente</v>
      </c>
      <c r="N233" s="356" t="str">
        <f t="shared" si="40"/>
        <v>ML</v>
      </c>
      <c r="O233" s="356">
        <f t="shared" si="40"/>
        <v>34</v>
      </c>
      <c r="P233" s="423">
        <f>+'estudio inicial precios'!P255</f>
        <v>73713</v>
      </c>
      <c r="Q233" s="423">
        <f t="shared" si="42"/>
        <v>2506242</v>
      </c>
    </row>
    <row r="234" spans="1:60" ht="12.75" hidden="1" customHeight="1" outlineLevel="1" x14ac:dyDescent="0.2">
      <c r="A234" s="367" t="s">
        <v>355</v>
      </c>
      <c r="B234" s="383" t="s">
        <v>63</v>
      </c>
      <c r="C234" s="361" t="s">
        <v>6</v>
      </c>
      <c r="D234" s="355">
        <v>4</v>
      </c>
      <c r="E234" s="353">
        <v>27000</v>
      </c>
      <c r="F234" s="353">
        <f t="shared" si="43"/>
        <v>108000</v>
      </c>
      <c r="G234" s="350">
        <v>28015</v>
      </c>
      <c r="H234" s="353">
        <f t="shared" si="44"/>
        <v>112060</v>
      </c>
      <c r="I234" s="1285">
        <f>IFERROR(VLOOKUP(A234,'valores unit indexados'!$A$14:$O$197,15,FALSE),0)</f>
        <v>26036</v>
      </c>
      <c r="J234" s="350">
        <f t="shared" si="41"/>
        <v>104144</v>
      </c>
      <c r="L234" s="367" t="str">
        <f t="shared" si="40"/>
        <v>D. 2,9</v>
      </c>
      <c r="M234" s="383" t="str">
        <f t="shared" si="40"/>
        <v>Suministro e instalación de soscos para canal en 3"</v>
      </c>
      <c r="N234" s="361" t="str">
        <f t="shared" si="40"/>
        <v>UND</v>
      </c>
      <c r="O234" s="355">
        <f t="shared" si="40"/>
        <v>4</v>
      </c>
      <c r="P234" s="423">
        <f>+'estudio inicial precios'!P256</f>
        <v>26518</v>
      </c>
      <c r="Q234" s="423">
        <f t="shared" si="42"/>
        <v>106072</v>
      </c>
    </row>
    <row r="235" spans="1:60" ht="25.5" hidden="1" customHeight="1" outlineLevel="1" x14ac:dyDescent="0.2">
      <c r="A235" s="354" t="s">
        <v>356</v>
      </c>
      <c r="B235" s="360" t="s">
        <v>1490</v>
      </c>
      <c r="C235" s="356" t="s">
        <v>14</v>
      </c>
      <c r="D235" s="355">
        <v>24</v>
      </c>
      <c r="E235" s="353">
        <v>52000</v>
      </c>
      <c r="F235" s="353">
        <f t="shared" si="43"/>
        <v>1248000</v>
      </c>
      <c r="G235" s="350">
        <v>45383</v>
      </c>
      <c r="H235" s="353">
        <f t="shared" si="44"/>
        <v>1089192</v>
      </c>
      <c r="I235" s="1285">
        <f>IFERROR(VLOOKUP(A235,'valores unit indexados'!$A$14:$O$197,15,FALSE),0)</f>
        <v>0</v>
      </c>
      <c r="J235" s="350">
        <f t="shared" si="41"/>
        <v>0</v>
      </c>
      <c r="L235" s="354" t="str">
        <f t="shared" si="40"/>
        <v>D. 2,10</v>
      </c>
      <c r="M235" s="360" t="str">
        <f t="shared" si="40"/>
        <v xml:space="preserve">Suministro e instalación tubería sanitaria de 4 " pintada color fachada,  incluye accesorios </v>
      </c>
      <c r="N235" s="356" t="str">
        <f t="shared" si="40"/>
        <v>ML</v>
      </c>
      <c r="O235" s="355">
        <f t="shared" si="40"/>
        <v>24</v>
      </c>
      <c r="P235" s="423">
        <f>+'estudio inicial precios'!P257</f>
        <v>48692</v>
      </c>
      <c r="Q235" s="423">
        <f t="shared" si="42"/>
        <v>1168608</v>
      </c>
    </row>
    <row r="236" spans="1:60" s="1533" customFormat="1" ht="24.75" hidden="1" customHeight="1" outlineLevel="1" x14ac:dyDescent="0.2">
      <c r="A236" s="1527" t="s">
        <v>358</v>
      </c>
      <c r="B236" s="1528" t="s">
        <v>234</v>
      </c>
      <c r="C236" s="1527"/>
      <c r="D236" s="1529"/>
      <c r="E236" s="1530"/>
      <c r="F236" s="1531">
        <f t="shared" si="43"/>
        <v>0</v>
      </c>
      <c r="G236" s="1530"/>
      <c r="H236" s="1531">
        <f t="shared" si="44"/>
        <v>0</v>
      </c>
      <c r="I236" s="1532"/>
      <c r="J236" s="1527"/>
      <c r="K236" s="1544"/>
      <c r="L236" s="1527" t="str">
        <f t="shared" si="40"/>
        <v>D. 3</v>
      </c>
      <c r="M236" s="1836"/>
      <c r="N236" s="1837"/>
      <c r="O236" s="1837"/>
      <c r="P236" s="1837"/>
      <c r="Q236" s="1838"/>
      <c r="R236" s="1544"/>
      <c r="S236" s="1544"/>
      <c r="T236" s="1544"/>
      <c r="U236" s="1544"/>
      <c r="V236" s="1544"/>
      <c r="W236" s="1544"/>
      <c r="X236" s="1544"/>
      <c r="Y236" s="1544"/>
      <c r="Z236" s="1544"/>
      <c r="AA236" s="1544"/>
      <c r="AB236" s="1544"/>
      <c r="AC236" s="1544"/>
      <c r="AD236" s="1544"/>
      <c r="AE236" s="1544"/>
      <c r="AF236" s="1544"/>
      <c r="AG236" s="1544"/>
      <c r="AH236" s="1544"/>
      <c r="AI236" s="1544"/>
      <c r="AJ236" s="1544"/>
      <c r="AK236" s="1544"/>
      <c r="AL236" s="1544"/>
      <c r="AM236" s="1544"/>
      <c r="AN236" s="1544"/>
      <c r="AO236" s="1544"/>
      <c r="AP236" s="1544"/>
      <c r="AQ236" s="1544"/>
      <c r="AR236" s="1544"/>
      <c r="AS236" s="1544"/>
      <c r="AT236" s="1544"/>
      <c r="AU236" s="1544"/>
      <c r="AV236" s="1544"/>
      <c r="AW236" s="1544"/>
      <c r="AX236" s="1544"/>
      <c r="AY236" s="1544"/>
      <c r="AZ236" s="1544"/>
      <c r="BA236" s="1544"/>
      <c r="BB236" s="1544"/>
      <c r="BC236" s="1544"/>
      <c r="BD236" s="1544"/>
      <c r="BE236" s="1544"/>
      <c r="BF236" s="1544"/>
      <c r="BG236" s="1544"/>
      <c r="BH236" s="1544"/>
    </row>
    <row r="237" spans="1:60" ht="12.75" hidden="1" customHeight="1" outlineLevel="1" x14ac:dyDescent="0.2">
      <c r="A237" s="367" t="s">
        <v>359</v>
      </c>
      <c r="B237" s="364" t="s">
        <v>84</v>
      </c>
      <c r="C237" s="367" t="s">
        <v>19</v>
      </c>
      <c r="D237" s="356">
        <v>7</v>
      </c>
      <c r="E237" s="353">
        <v>9000</v>
      </c>
      <c r="F237" s="353">
        <f t="shared" si="43"/>
        <v>63000</v>
      </c>
      <c r="G237" s="350">
        <v>5200</v>
      </c>
      <c r="H237" s="353">
        <f t="shared" si="44"/>
        <v>36400</v>
      </c>
      <c r="I237" s="1285">
        <f>IFERROR(VLOOKUP(A237,'valores unit indexados'!$A$14:$O$197,15,FALSE),0)</f>
        <v>6890</v>
      </c>
      <c r="J237" s="350">
        <f t="shared" si="41"/>
        <v>48230</v>
      </c>
      <c r="L237" s="367" t="str">
        <f t="shared" si="40"/>
        <v>D. 3,1</v>
      </c>
      <c r="M237" s="364" t="str">
        <f t="shared" si="40"/>
        <v xml:space="preserve">Rasqueteada de pintura y retiro de mortero en mal estado  </v>
      </c>
      <c r="N237" s="367" t="str">
        <f t="shared" si="40"/>
        <v>M2</v>
      </c>
      <c r="O237" s="356">
        <f t="shared" si="40"/>
        <v>7</v>
      </c>
      <c r="P237" s="423">
        <f>+'estudio inicial precios'!P259</f>
        <v>6630</v>
      </c>
      <c r="Q237" s="423">
        <f t="shared" si="42"/>
        <v>46410</v>
      </c>
    </row>
    <row r="238" spans="1:60" ht="38.25" hidden="1" customHeight="1" outlineLevel="1" x14ac:dyDescent="0.2">
      <c r="A238" s="367" t="s">
        <v>360</v>
      </c>
      <c r="B238" s="368" t="s">
        <v>86</v>
      </c>
      <c r="C238" s="367" t="s">
        <v>19</v>
      </c>
      <c r="D238" s="356">
        <v>7</v>
      </c>
      <c r="E238" s="353">
        <v>48000</v>
      </c>
      <c r="F238" s="353">
        <f t="shared" si="43"/>
        <v>336000</v>
      </c>
      <c r="G238" s="350">
        <v>45500</v>
      </c>
      <c r="H238" s="353">
        <f t="shared" si="44"/>
        <v>318500</v>
      </c>
      <c r="I238" s="1285">
        <f>IFERROR(VLOOKUP(A238,'valores unit indexados'!$A$14:$O$197,15,FALSE),0)</f>
        <v>43614</v>
      </c>
      <c r="J238" s="350">
        <f t="shared" si="41"/>
        <v>305298</v>
      </c>
      <c r="L238" s="367" t="str">
        <f t="shared" si="40"/>
        <v>D. 3,2</v>
      </c>
      <c r="M238" s="368" t="str">
        <f t="shared" si="40"/>
        <v xml:space="preserve">Suministro e instalación de recubrimiento cementoso (Recubrimiento a base de cemento, arena y aditivos especiales), impermeable para muros color blanco </v>
      </c>
      <c r="N238" s="367" t="str">
        <f t="shared" si="40"/>
        <v>M2</v>
      </c>
      <c r="O238" s="356">
        <f t="shared" si="40"/>
        <v>7</v>
      </c>
      <c r="P238" s="423">
        <f>+'estudio inicial precios'!P260</f>
        <v>45053</v>
      </c>
      <c r="Q238" s="423">
        <f t="shared" si="42"/>
        <v>315371</v>
      </c>
    </row>
    <row r="239" spans="1:60" ht="12.75" hidden="1" customHeight="1" outlineLevel="1" x14ac:dyDescent="0.2">
      <c r="A239" s="367" t="s">
        <v>361</v>
      </c>
      <c r="B239" s="368" t="s">
        <v>88</v>
      </c>
      <c r="C239" s="367" t="s">
        <v>19</v>
      </c>
      <c r="D239" s="356">
        <v>8</v>
      </c>
      <c r="E239" s="353">
        <v>28000</v>
      </c>
      <c r="F239" s="353">
        <f t="shared" si="43"/>
        <v>224000</v>
      </c>
      <c r="G239" s="350">
        <v>11700</v>
      </c>
      <c r="H239" s="353">
        <f t="shared" si="44"/>
        <v>93600</v>
      </c>
      <c r="I239" s="1285">
        <f>IFERROR(VLOOKUP(A239,'valores unit indexados'!$A$14:$O$197,15,FALSE),0)</f>
        <v>24610</v>
      </c>
      <c r="J239" s="350">
        <f t="shared" si="41"/>
        <v>196880</v>
      </c>
      <c r="L239" s="367" t="str">
        <f t="shared" si="40"/>
        <v>D. 3,3</v>
      </c>
      <c r="M239" s="368" t="str">
        <f t="shared" si="40"/>
        <v xml:space="preserve">Suministro y aplicación de estuco plástico </v>
      </c>
      <c r="N239" s="367" t="str">
        <f t="shared" si="40"/>
        <v>M2</v>
      </c>
      <c r="O239" s="356">
        <f t="shared" si="40"/>
        <v>8</v>
      </c>
      <c r="P239" s="423">
        <f>+'estudio inicial precios'!P261</f>
        <v>26305</v>
      </c>
      <c r="Q239" s="423">
        <f t="shared" si="42"/>
        <v>210440</v>
      </c>
    </row>
    <row r="240" spans="1:60" ht="12.75" hidden="1" customHeight="1" outlineLevel="1" x14ac:dyDescent="0.2">
      <c r="A240" s="367" t="s">
        <v>362</v>
      </c>
      <c r="B240" s="364" t="s">
        <v>90</v>
      </c>
      <c r="C240" s="367" t="s">
        <v>19</v>
      </c>
      <c r="D240" s="356">
        <v>9</v>
      </c>
      <c r="E240" s="353">
        <v>19000</v>
      </c>
      <c r="F240" s="353">
        <f t="shared" si="43"/>
        <v>171000</v>
      </c>
      <c r="G240" s="1292">
        <v>8710</v>
      </c>
      <c r="H240" s="353">
        <f t="shared" si="44"/>
        <v>78390</v>
      </c>
      <c r="I240" s="1285">
        <f>IFERROR(VLOOKUP(A240,'valores unit indexados'!$A$14:$O$197,15,FALSE),0)</f>
        <v>0</v>
      </c>
      <c r="J240" s="350">
        <f t="shared" si="41"/>
        <v>0</v>
      </c>
      <c r="L240" s="367" t="str">
        <f t="shared" si="40"/>
        <v>D. 3,4</v>
      </c>
      <c r="M240" s="364" t="str">
        <f t="shared" si="40"/>
        <v>Suministro y aplicación de vinilo tipo 1 (3 manos)</v>
      </c>
      <c r="N240" s="367" t="str">
        <f t="shared" si="40"/>
        <v>M2</v>
      </c>
      <c r="O240" s="356">
        <f t="shared" si="40"/>
        <v>9</v>
      </c>
      <c r="P240" s="423">
        <f>+'estudio inicial precios'!P262</f>
        <v>19000</v>
      </c>
      <c r="Q240" s="423">
        <f t="shared" si="42"/>
        <v>171000</v>
      </c>
    </row>
    <row r="241" spans="1:60" ht="12.75" hidden="1" customHeight="1" outlineLevel="1" x14ac:dyDescent="0.2">
      <c r="A241" s="367" t="s">
        <v>363</v>
      </c>
      <c r="B241" s="368" t="s">
        <v>92</v>
      </c>
      <c r="C241" s="367" t="s">
        <v>19</v>
      </c>
      <c r="D241" s="356">
        <v>2</v>
      </c>
      <c r="E241" s="353">
        <v>18000</v>
      </c>
      <c r="F241" s="353">
        <f t="shared" si="43"/>
        <v>36000</v>
      </c>
      <c r="G241" s="1292">
        <v>8710</v>
      </c>
      <c r="H241" s="353">
        <f t="shared" si="44"/>
        <v>17420</v>
      </c>
      <c r="I241" s="1285">
        <f>IFERROR(VLOOKUP(A241,'valores unit indexados'!$A$14:$O$197,15,FALSE),0)</f>
        <v>17005</v>
      </c>
      <c r="J241" s="350">
        <f t="shared" si="41"/>
        <v>34010</v>
      </c>
      <c r="L241" s="367" t="str">
        <f t="shared" si="40"/>
        <v>D. 3,5</v>
      </c>
      <c r="M241" s="368" t="str">
        <f t="shared" si="40"/>
        <v>Suministro y aplicación de pintura en esmalte</v>
      </c>
      <c r="N241" s="367" t="str">
        <f t="shared" si="40"/>
        <v>M2</v>
      </c>
      <c r="O241" s="356">
        <f t="shared" si="40"/>
        <v>2</v>
      </c>
      <c r="P241" s="423">
        <f>+'estudio inicial precios'!P263</f>
        <v>17503</v>
      </c>
      <c r="Q241" s="423">
        <f t="shared" si="42"/>
        <v>35006</v>
      </c>
    </row>
    <row r="242" spans="1:60" ht="12.75" hidden="1" customHeight="1" outlineLevel="1" x14ac:dyDescent="0.2">
      <c r="A242" s="346" t="s">
        <v>364</v>
      </c>
      <c r="B242" s="364" t="s">
        <v>94</v>
      </c>
      <c r="C242" s="367" t="s">
        <v>19</v>
      </c>
      <c r="D242" s="356">
        <v>11</v>
      </c>
      <c r="E242" s="353">
        <v>17000</v>
      </c>
      <c r="F242" s="353">
        <f t="shared" si="43"/>
        <v>187000</v>
      </c>
      <c r="G242" s="1292">
        <v>8710</v>
      </c>
      <c r="H242" s="353">
        <f t="shared" si="44"/>
        <v>95810</v>
      </c>
      <c r="I242" s="1285">
        <f>IFERROR(VLOOKUP(A242,'valores unit indexados'!$A$14:$O$197,15,FALSE),0)</f>
        <v>0</v>
      </c>
      <c r="J242" s="350">
        <f t="shared" si="41"/>
        <v>0</v>
      </c>
      <c r="L242" s="346" t="str">
        <f t="shared" si="40"/>
        <v>D. 3,6</v>
      </c>
      <c r="M242" s="364" t="str">
        <f t="shared" si="40"/>
        <v>Suministro y aplicación de pintura cielo vinilo tipo 1</v>
      </c>
      <c r="N242" s="367" t="str">
        <f t="shared" si="40"/>
        <v>M2</v>
      </c>
      <c r="O242" s="356">
        <f t="shared" si="40"/>
        <v>11</v>
      </c>
      <c r="P242" s="423">
        <f>+'estudio inicial precios'!P264</f>
        <v>17000</v>
      </c>
      <c r="Q242" s="423">
        <f t="shared" si="42"/>
        <v>187000</v>
      </c>
    </row>
    <row r="243" spans="1:60" ht="12.75" hidden="1" customHeight="1" outlineLevel="1" x14ac:dyDescent="0.2">
      <c r="A243" s="367" t="s">
        <v>365</v>
      </c>
      <c r="B243" s="364" t="s">
        <v>84</v>
      </c>
      <c r="C243" s="367" t="s">
        <v>14</v>
      </c>
      <c r="D243" s="356">
        <v>4</v>
      </c>
      <c r="E243" s="353">
        <v>5400</v>
      </c>
      <c r="F243" s="353">
        <f t="shared" si="43"/>
        <v>21600</v>
      </c>
      <c r="G243" s="1292">
        <v>4000</v>
      </c>
      <c r="H243" s="353">
        <f t="shared" si="44"/>
        <v>16000</v>
      </c>
      <c r="I243" s="1285">
        <f>IFERROR(VLOOKUP(A243,'valores unit indexados'!$A$14:$O$197,15,FALSE),0)</f>
        <v>0</v>
      </c>
      <c r="J243" s="350">
        <f t="shared" si="41"/>
        <v>0</v>
      </c>
      <c r="L243" s="367" t="str">
        <f t="shared" ref="L243:O266" si="45">+A243</f>
        <v>D. 3,7</v>
      </c>
      <c r="M243" s="364" t="str">
        <f t="shared" si="45"/>
        <v xml:space="preserve">Rasqueteada de pintura y retiro de mortero en mal estado  </v>
      </c>
      <c r="N243" s="367" t="str">
        <f t="shared" si="45"/>
        <v>ML</v>
      </c>
      <c r="O243" s="356">
        <f t="shared" si="45"/>
        <v>4</v>
      </c>
      <c r="P243" s="423">
        <f>+'estudio inicial precios'!P265</f>
        <v>4700</v>
      </c>
      <c r="Q243" s="423">
        <f t="shared" si="42"/>
        <v>18800</v>
      </c>
    </row>
    <row r="244" spans="1:60" ht="38.25" hidden="1" customHeight="1" outlineLevel="1" x14ac:dyDescent="0.2">
      <c r="A244" s="346" t="s">
        <v>366</v>
      </c>
      <c r="B244" s="368" t="s">
        <v>86</v>
      </c>
      <c r="C244" s="367" t="s">
        <v>14</v>
      </c>
      <c r="D244" s="356">
        <v>3</v>
      </c>
      <c r="E244" s="353">
        <v>28800</v>
      </c>
      <c r="F244" s="353">
        <f t="shared" si="43"/>
        <v>86400</v>
      </c>
      <c r="G244" s="350">
        <v>45500</v>
      </c>
      <c r="H244" s="353">
        <f t="shared" si="44"/>
        <v>136500</v>
      </c>
      <c r="I244" s="1285">
        <f>IFERROR(VLOOKUP(A244,'valores unit indexados'!$A$14:$O$197,15,FALSE),0)</f>
        <v>0</v>
      </c>
      <c r="J244" s="350">
        <f t="shared" si="41"/>
        <v>0</v>
      </c>
      <c r="L244" s="346" t="str">
        <f t="shared" si="45"/>
        <v>D. 3,8</v>
      </c>
      <c r="M244" s="368" t="str">
        <f t="shared" si="45"/>
        <v xml:space="preserve">Suministro e instalación de recubrimiento cementoso (Recubrimiento a base de cemento, arena y aditivos especiales), impermeable para muros color blanco </v>
      </c>
      <c r="N244" s="367" t="str">
        <f t="shared" si="45"/>
        <v>ML</v>
      </c>
      <c r="O244" s="356">
        <f t="shared" si="45"/>
        <v>3</v>
      </c>
      <c r="P244" s="423">
        <f>+'estudio inicial precios'!P266</f>
        <v>17650</v>
      </c>
      <c r="Q244" s="423">
        <f t="shared" si="42"/>
        <v>52950</v>
      </c>
    </row>
    <row r="245" spans="1:60" ht="12.75" hidden="1" customHeight="1" outlineLevel="1" x14ac:dyDescent="0.2">
      <c r="A245" s="367" t="s">
        <v>367</v>
      </c>
      <c r="B245" s="368" t="s">
        <v>88</v>
      </c>
      <c r="C245" s="367" t="s">
        <v>14</v>
      </c>
      <c r="D245" s="356">
        <v>4</v>
      </c>
      <c r="E245" s="353">
        <v>16800</v>
      </c>
      <c r="F245" s="353">
        <f t="shared" si="43"/>
        <v>67200</v>
      </c>
      <c r="G245" s="350">
        <v>11700</v>
      </c>
      <c r="H245" s="353">
        <f t="shared" si="44"/>
        <v>46800</v>
      </c>
      <c r="I245" s="1285">
        <f>IFERROR(VLOOKUP(A245,'valores unit indexados'!$A$14:$O$197,15,FALSE),0)</f>
        <v>24610</v>
      </c>
      <c r="J245" s="350">
        <f t="shared" si="41"/>
        <v>98440</v>
      </c>
      <c r="L245" s="367" t="str">
        <f t="shared" si="45"/>
        <v>D. 3,9</v>
      </c>
      <c r="M245" s="368" t="str">
        <f t="shared" si="45"/>
        <v xml:space="preserve">Suministro y aplicación de estuco plástico </v>
      </c>
      <c r="N245" s="367" t="str">
        <f t="shared" si="45"/>
        <v>ML</v>
      </c>
      <c r="O245" s="356">
        <f t="shared" si="45"/>
        <v>4</v>
      </c>
      <c r="P245" s="423">
        <f>+'estudio inicial precios'!P267</f>
        <v>20705</v>
      </c>
      <c r="Q245" s="423">
        <f t="shared" si="42"/>
        <v>82820</v>
      </c>
    </row>
    <row r="246" spans="1:60" ht="12.75" hidden="1" customHeight="1" outlineLevel="1" x14ac:dyDescent="0.2">
      <c r="A246" s="346" t="s">
        <v>368</v>
      </c>
      <c r="B246" s="368" t="s">
        <v>98</v>
      </c>
      <c r="C246" s="367" t="s">
        <v>14</v>
      </c>
      <c r="D246" s="356">
        <v>6</v>
      </c>
      <c r="E246" s="353">
        <v>6120</v>
      </c>
      <c r="F246" s="353">
        <f t="shared" si="43"/>
        <v>36720</v>
      </c>
      <c r="G246" s="350">
        <v>8710</v>
      </c>
      <c r="H246" s="353">
        <f t="shared" si="44"/>
        <v>52260</v>
      </c>
      <c r="I246" s="1285">
        <f>IFERROR(VLOOKUP(A246,'valores unit indexados'!$A$14:$O$197,15,FALSE),0)</f>
        <v>0</v>
      </c>
      <c r="J246" s="350">
        <f t="shared" si="41"/>
        <v>0</v>
      </c>
      <c r="L246" s="346" t="str">
        <f t="shared" si="45"/>
        <v>D. 3,10</v>
      </c>
      <c r="M246" s="368" t="str">
        <f t="shared" si="45"/>
        <v>Suministro y aplicación de vinilo tipo 2 (3 manos)</v>
      </c>
      <c r="N246" s="367" t="str">
        <f t="shared" si="45"/>
        <v>ML</v>
      </c>
      <c r="O246" s="356">
        <f t="shared" si="45"/>
        <v>6</v>
      </c>
      <c r="P246" s="423">
        <f>+'estudio inicial precios'!P268</f>
        <v>6120</v>
      </c>
      <c r="Q246" s="423">
        <f t="shared" si="42"/>
        <v>36720</v>
      </c>
    </row>
    <row r="247" spans="1:60" ht="12.75" hidden="1" customHeight="1" outlineLevel="1" x14ac:dyDescent="0.2">
      <c r="A247" s="367" t="s">
        <v>369</v>
      </c>
      <c r="B247" s="368" t="s">
        <v>92</v>
      </c>
      <c r="C247" s="367" t="s">
        <v>14</v>
      </c>
      <c r="D247" s="346">
        <v>1</v>
      </c>
      <c r="E247" s="353">
        <v>10800</v>
      </c>
      <c r="F247" s="353">
        <f t="shared" si="43"/>
        <v>10800</v>
      </c>
      <c r="G247" s="350">
        <v>5200</v>
      </c>
      <c r="H247" s="353">
        <f t="shared" si="44"/>
        <v>5200</v>
      </c>
      <c r="I247" s="1285">
        <f>IFERROR(VLOOKUP(A247,'valores unit indexados'!$A$14:$O$197,15,FALSE),0)</f>
        <v>0</v>
      </c>
      <c r="J247" s="350">
        <f t="shared" si="41"/>
        <v>0</v>
      </c>
      <c r="L247" s="367" t="str">
        <f t="shared" si="45"/>
        <v>D. 3,11</v>
      </c>
      <c r="M247" s="368" t="str">
        <f t="shared" si="45"/>
        <v>Suministro y aplicación de pintura en esmalte</v>
      </c>
      <c r="N247" s="367" t="str">
        <f t="shared" si="45"/>
        <v>ML</v>
      </c>
      <c r="O247" s="346">
        <f t="shared" si="45"/>
        <v>1</v>
      </c>
      <c r="P247" s="423">
        <f>+'estudio inicial precios'!P269</f>
        <v>8000</v>
      </c>
      <c r="Q247" s="423">
        <f t="shared" si="42"/>
        <v>8000</v>
      </c>
    </row>
    <row r="248" spans="1:60" ht="12.75" hidden="1" customHeight="1" outlineLevel="1" x14ac:dyDescent="0.2">
      <c r="A248" s="346" t="s">
        <v>370</v>
      </c>
      <c r="B248" s="368" t="s">
        <v>371</v>
      </c>
      <c r="C248" s="367" t="s">
        <v>19</v>
      </c>
      <c r="D248" s="346">
        <v>18</v>
      </c>
      <c r="E248" s="353">
        <v>15000</v>
      </c>
      <c r="F248" s="353">
        <f t="shared" si="43"/>
        <v>270000</v>
      </c>
      <c r="G248" s="350">
        <v>17000</v>
      </c>
      <c r="H248" s="353">
        <f t="shared" si="44"/>
        <v>306000</v>
      </c>
      <c r="I248" s="1285">
        <f>IFERROR(VLOOKUP(A248,'valores unit indexados'!$A$14:$O$197,15,FALSE),0)</f>
        <v>0</v>
      </c>
      <c r="J248" s="350">
        <f t="shared" si="41"/>
        <v>0</v>
      </c>
      <c r="L248" s="346" t="str">
        <f t="shared" si="45"/>
        <v>D. 3,12</v>
      </c>
      <c r="M248" s="368" t="str">
        <f t="shared" si="45"/>
        <v xml:space="preserve">Desmonte y retiro de cielo en panel yeso </v>
      </c>
      <c r="N248" s="367" t="str">
        <f t="shared" si="45"/>
        <v>M2</v>
      </c>
      <c r="O248" s="346">
        <f t="shared" si="45"/>
        <v>18</v>
      </c>
      <c r="P248" s="423">
        <f>+'estudio inicial precios'!P270</f>
        <v>16000</v>
      </c>
      <c r="Q248" s="423">
        <f t="shared" si="42"/>
        <v>288000</v>
      </c>
    </row>
    <row r="249" spans="1:60" ht="25.5" hidden="1" customHeight="1" outlineLevel="1" x14ac:dyDescent="0.2">
      <c r="A249" s="346" t="s">
        <v>372</v>
      </c>
      <c r="B249" s="368" t="s">
        <v>145</v>
      </c>
      <c r="C249" s="367" t="s">
        <v>19</v>
      </c>
      <c r="D249" s="346">
        <v>4</v>
      </c>
      <c r="E249" s="379">
        <v>55000</v>
      </c>
      <c r="F249" s="353">
        <f t="shared" si="43"/>
        <v>220000</v>
      </c>
      <c r="G249" s="350">
        <v>8000</v>
      </c>
      <c r="H249" s="353">
        <f t="shared" si="44"/>
        <v>32000</v>
      </c>
      <c r="I249" s="1285">
        <f>IFERROR(VLOOKUP(A249,'valores unit indexados'!$A$14:$O$197,15,FALSE),0)</f>
        <v>0</v>
      </c>
      <c r="J249" s="350">
        <f t="shared" si="41"/>
        <v>0</v>
      </c>
      <c r="L249" s="346" t="str">
        <f t="shared" si="45"/>
        <v>D. 3,13</v>
      </c>
      <c r="M249" s="368" t="str">
        <f t="shared" si="45"/>
        <v xml:space="preserve">Apertura de vano en muro de panel yeso, incluye retiro de material </v>
      </c>
      <c r="N249" s="367" t="str">
        <f t="shared" si="45"/>
        <v>M2</v>
      </c>
      <c r="O249" s="346">
        <f t="shared" si="45"/>
        <v>4</v>
      </c>
      <c r="P249" s="423">
        <f>+'estudio inicial precios'!P271</f>
        <v>18551</v>
      </c>
      <c r="Q249" s="423">
        <f t="shared" si="42"/>
        <v>74204</v>
      </c>
    </row>
    <row r="250" spans="1:60" ht="12.75" hidden="1" customHeight="1" outlineLevel="1" x14ac:dyDescent="0.2">
      <c r="A250" s="346" t="s">
        <v>373</v>
      </c>
      <c r="B250" s="368" t="s">
        <v>374</v>
      </c>
      <c r="C250" s="367" t="s">
        <v>19</v>
      </c>
      <c r="D250" s="346">
        <v>18</v>
      </c>
      <c r="E250" s="379">
        <v>70000</v>
      </c>
      <c r="F250" s="353">
        <f t="shared" si="43"/>
        <v>1260000</v>
      </c>
      <c r="G250" s="350">
        <v>48243</v>
      </c>
      <c r="H250" s="353">
        <f t="shared" si="44"/>
        <v>868374</v>
      </c>
      <c r="I250" s="1285">
        <f>IFERROR(VLOOKUP(A250,'valores unit indexados'!$A$14:$O$197,15,FALSE),0)</f>
        <v>0</v>
      </c>
      <c r="J250" s="350">
        <f t="shared" si="41"/>
        <v>0</v>
      </c>
      <c r="L250" s="346" t="str">
        <f t="shared" si="45"/>
        <v>D. 3,14</v>
      </c>
      <c r="M250" s="368" t="str">
        <f t="shared" si="45"/>
        <v xml:space="preserve">Suministro e instalación cielo falso en panel yeso </v>
      </c>
      <c r="N250" s="367" t="str">
        <f t="shared" si="45"/>
        <v>M2</v>
      </c>
      <c r="O250" s="346">
        <f t="shared" si="45"/>
        <v>18</v>
      </c>
      <c r="P250" s="423">
        <f>+'estudio inicial precios'!P272</f>
        <v>48243</v>
      </c>
      <c r="Q250" s="423">
        <f t="shared" si="42"/>
        <v>868374</v>
      </c>
    </row>
    <row r="251" spans="1:60" s="1533" customFormat="1" ht="24.75" hidden="1" customHeight="1" outlineLevel="1" x14ac:dyDescent="0.2">
      <c r="A251" s="1527" t="s">
        <v>386</v>
      </c>
      <c r="B251" s="1528" t="s">
        <v>1467</v>
      </c>
      <c r="C251" s="1527"/>
      <c r="D251" s="1529"/>
      <c r="E251" s="1530"/>
      <c r="F251" s="1531">
        <f t="shared" si="43"/>
        <v>0</v>
      </c>
      <c r="G251" s="1530"/>
      <c r="H251" s="1531">
        <f t="shared" si="44"/>
        <v>0</v>
      </c>
      <c r="I251" s="1532"/>
      <c r="J251" s="1527"/>
      <c r="K251" s="1544"/>
      <c r="L251" s="1527" t="str">
        <f t="shared" si="45"/>
        <v>D. 5</v>
      </c>
      <c r="M251" s="1836"/>
      <c r="N251" s="1837"/>
      <c r="O251" s="1837"/>
      <c r="P251" s="1837"/>
      <c r="Q251" s="1838"/>
      <c r="R251" s="1544"/>
      <c r="S251" s="1544"/>
      <c r="T251" s="1544"/>
      <c r="U251" s="1544"/>
      <c r="V251" s="1544"/>
      <c r="W251" s="1544"/>
      <c r="X251" s="1544"/>
      <c r="Y251" s="1544"/>
      <c r="Z251" s="1544"/>
      <c r="AA251" s="1544"/>
      <c r="AB251" s="1544"/>
      <c r="AC251" s="1544"/>
      <c r="AD251" s="1544"/>
      <c r="AE251" s="1544"/>
      <c r="AF251" s="1544"/>
      <c r="AG251" s="1544"/>
      <c r="AH251" s="1544"/>
      <c r="AI251" s="1544"/>
      <c r="AJ251" s="1544"/>
      <c r="AK251" s="1544"/>
      <c r="AL251" s="1544"/>
      <c r="AM251" s="1544"/>
      <c r="AN251" s="1544"/>
      <c r="AO251" s="1544"/>
      <c r="AP251" s="1544"/>
      <c r="AQ251" s="1544"/>
      <c r="AR251" s="1544"/>
      <c r="AS251" s="1544"/>
      <c r="AT251" s="1544"/>
      <c r="AU251" s="1544"/>
      <c r="AV251" s="1544"/>
      <c r="AW251" s="1544"/>
      <c r="AX251" s="1544"/>
      <c r="AY251" s="1544"/>
      <c r="AZ251" s="1544"/>
      <c r="BA251" s="1544"/>
      <c r="BB251" s="1544"/>
      <c r="BC251" s="1544"/>
      <c r="BD251" s="1544"/>
      <c r="BE251" s="1544"/>
      <c r="BF251" s="1544"/>
      <c r="BG251" s="1544"/>
      <c r="BH251" s="1544"/>
    </row>
    <row r="252" spans="1:60" ht="25.5" hidden="1" customHeight="1" outlineLevel="1" x14ac:dyDescent="0.2">
      <c r="A252" s="346" t="s">
        <v>387</v>
      </c>
      <c r="B252" s="358" t="s">
        <v>103</v>
      </c>
      <c r="C252" s="356" t="s">
        <v>19</v>
      </c>
      <c r="D252" s="346">
        <v>10</v>
      </c>
      <c r="E252" s="353">
        <v>130000</v>
      </c>
      <c r="F252" s="353">
        <f t="shared" si="43"/>
        <v>1300000</v>
      </c>
      <c r="G252" s="349">
        <v>122971.77200000001</v>
      </c>
      <c r="H252" s="353">
        <f t="shared" si="44"/>
        <v>1229717.7200000002</v>
      </c>
      <c r="I252" s="1285">
        <f>IFERROR(VLOOKUP(A252,'valores unit indexados'!$A$14:$O$197,15,FALSE),0)</f>
        <v>113422</v>
      </c>
      <c r="J252" s="350">
        <f t="shared" si="41"/>
        <v>1134220</v>
      </c>
      <c r="L252" s="346" t="str">
        <f t="shared" si="45"/>
        <v>D. 5,1</v>
      </c>
      <c r="M252" s="358" t="str">
        <f t="shared" si="45"/>
        <v>Suministro e instalación muro en perfilería de 90mm en panel yeso de 1/2 , doble cara insonorizado. Altura piso techo</v>
      </c>
      <c r="N252" s="356" t="str">
        <f t="shared" si="45"/>
        <v>M2</v>
      </c>
      <c r="O252" s="346">
        <f t="shared" si="45"/>
        <v>10</v>
      </c>
      <c r="P252" s="423">
        <f>+'estudio inicial precios'!P282</f>
        <v>122131</v>
      </c>
      <c r="Q252" s="423">
        <f t="shared" si="42"/>
        <v>1221310</v>
      </c>
    </row>
    <row r="253" spans="1:60" ht="12.75" hidden="1" customHeight="1" outlineLevel="1" x14ac:dyDescent="0.2">
      <c r="A253" s="346" t="s">
        <v>388</v>
      </c>
      <c r="B253" s="347" t="s">
        <v>105</v>
      </c>
      <c r="C253" s="356" t="s">
        <v>14</v>
      </c>
      <c r="D253" s="346">
        <v>5</v>
      </c>
      <c r="E253" s="353">
        <v>50000</v>
      </c>
      <c r="F253" s="353">
        <f t="shared" si="43"/>
        <v>250000</v>
      </c>
      <c r="G253" s="349">
        <v>111069.57400000001</v>
      </c>
      <c r="H253" s="353">
        <f t="shared" si="44"/>
        <v>555347.87</v>
      </c>
      <c r="I253" s="1285">
        <f>IFERROR(VLOOKUP(A253,'valores unit indexados'!$A$14:$O$197,15,FALSE),0)</f>
        <v>41152</v>
      </c>
      <c r="J253" s="350">
        <f t="shared" si="41"/>
        <v>205760</v>
      </c>
      <c r="L253" s="346" t="str">
        <f t="shared" si="45"/>
        <v>D. 5,2</v>
      </c>
      <c r="M253" s="347" t="str">
        <f t="shared" si="45"/>
        <v>Suministro e instalación de alma en madera de 88mm</v>
      </c>
      <c r="N253" s="356" t="str">
        <f t="shared" si="45"/>
        <v>ML</v>
      </c>
      <c r="O253" s="346">
        <f t="shared" si="45"/>
        <v>5</v>
      </c>
      <c r="P253" s="423">
        <f>+'estudio inicial precios'!P283</f>
        <v>45576</v>
      </c>
      <c r="Q253" s="423">
        <f t="shared" si="42"/>
        <v>227880</v>
      </c>
    </row>
    <row r="254" spans="1:60" ht="51" hidden="1" customHeight="1" outlineLevel="1" x14ac:dyDescent="0.2">
      <c r="A254" s="346" t="s">
        <v>389</v>
      </c>
      <c r="B254" s="358" t="s">
        <v>1468</v>
      </c>
      <c r="C254" s="356" t="s">
        <v>14</v>
      </c>
      <c r="D254" s="346">
        <v>5</v>
      </c>
      <c r="E254" s="353">
        <v>78000</v>
      </c>
      <c r="F254" s="353">
        <f t="shared" si="43"/>
        <v>390000</v>
      </c>
      <c r="G254" s="349">
        <v>76011.936000000002</v>
      </c>
      <c r="H254" s="353">
        <f t="shared" si="44"/>
        <v>380059.68</v>
      </c>
      <c r="I254" s="1285">
        <f>IFERROR(VLOOKUP(A254,'valores unit indexados'!$A$14:$O$197,15,FALSE),0)</f>
        <v>46346</v>
      </c>
      <c r="J254" s="350">
        <f t="shared" si="41"/>
        <v>231730</v>
      </c>
      <c r="L254" s="346" t="str">
        <f t="shared" si="45"/>
        <v>D. 5,3</v>
      </c>
      <c r="M254" s="358" t="str">
        <f t="shared" si="45"/>
        <v>Suministro e instalación de cartera en panel yeso de 12 cm incluye filos, con estructura galvanizada base 9 cal.24 encintada, masillada y rematada, con acabado en pintura de vinilo</v>
      </c>
      <c r="N254" s="356" t="str">
        <f t="shared" si="45"/>
        <v>ML</v>
      </c>
      <c r="O254" s="346">
        <f t="shared" si="45"/>
        <v>5</v>
      </c>
      <c r="P254" s="423">
        <f>+'estudio inicial precios'!P284</f>
        <v>46346</v>
      </c>
      <c r="Q254" s="423">
        <f t="shared" si="42"/>
        <v>231730</v>
      </c>
    </row>
    <row r="255" spans="1:60" ht="12.75" hidden="1" customHeight="1" outlineLevel="1" x14ac:dyDescent="0.2">
      <c r="A255" s="346" t="s">
        <v>390</v>
      </c>
      <c r="B255" s="347" t="s">
        <v>109</v>
      </c>
      <c r="C255" s="356" t="s">
        <v>14</v>
      </c>
      <c r="D255" s="346">
        <v>8</v>
      </c>
      <c r="E255" s="353">
        <v>50000</v>
      </c>
      <c r="F255" s="353">
        <f t="shared" si="43"/>
        <v>400000</v>
      </c>
      <c r="G255" s="349">
        <v>17277</v>
      </c>
      <c r="H255" s="353">
        <f t="shared" si="44"/>
        <v>138216</v>
      </c>
      <c r="I255" s="1285">
        <f>IFERROR(VLOOKUP(A255,'valores unit indexados'!$A$14:$O$197,15,FALSE),0)</f>
        <v>37101</v>
      </c>
      <c r="J255" s="350">
        <f t="shared" si="41"/>
        <v>296808</v>
      </c>
      <c r="L255" s="346" t="str">
        <f t="shared" si="45"/>
        <v>D. 5,4</v>
      </c>
      <c r="M255" s="347" t="str">
        <f t="shared" si="45"/>
        <v>Suministro e instalación de guarda escoba en pvc</v>
      </c>
      <c r="N255" s="356" t="str">
        <f t="shared" si="45"/>
        <v>ML</v>
      </c>
      <c r="O255" s="346">
        <f t="shared" si="45"/>
        <v>8</v>
      </c>
      <c r="P255" s="423">
        <f>+'estudio inicial precios'!P285</f>
        <v>37101</v>
      </c>
      <c r="Q255" s="423">
        <f t="shared" si="42"/>
        <v>296808</v>
      </c>
    </row>
    <row r="256" spans="1:60" ht="51" hidden="1" customHeight="1" outlineLevel="1" x14ac:dyDescent="0.2">
      <c r="A256" s="346" t="s">
        <v>391</v>
      </c>
      <c r="B256" s="358" t="s">
        <v>111</v>
      </c>
      <c r="C256" s="363" t="s">
        <v>6</v>
      </c>
      <c r="D256" s="346">
        <v>1</v>
      </c>
      <c r="E256" s="353">
        <v>650000</v>
      </c>
      <c r="F256" s="353">
        <f t="shared" si="43"/>
        <v>650000</v>
      </c>
      <c r="G256" s="349">
        <v>802118.24000000011</v>
      </c>
      <c r="H256" s="353">
        <f t="shared" si="44"/>
        <v>802118.24000000011</v>
      </c>
      <c r="I256" s="1285">
        <f>IFERROR(VLOOKUP(A256,'valores unit indexados'!$A$14:$O$197,15,FALSE),0)</f>
        <v>579485</v>
      </c>
      <c r="J256" s="350">
        <f t="shared" si="41"/>
        <v>579485</v>
      </c>
      <c r="L256" s="346" t="str">
        <f t="shared" si="45"/>
        <v>D. 5,5</v>
      </c>
      <c r="M256" s="358" t="str">
        <f t="shared" si="45"/>
        <v>Suministro e instalación puerta entamborada (diseño similar a las existentes) cuyas medidas son de 80 cms de ancho x 200 cm alto, incluye marco y chapa, inmunización y pintura en Barniz</v>
      </c>
      <c r="N256" s="363" t="str">
        <f t="shared" si="45"/>
        <v>UND</v>
      </c>
      <c r="O256" s="346">
        <f t="shared" si="45"/>
        <v>1</v>
      </c>
      <c r="P256" s="423">
        <f>+'estudio inicial precios'!P286</f>
        <v>614743</v>
      </c>
      <c r="Q256" s="423">
        <f t="shared" si="42"/>
        <v>614743</v>
      </c>
    </row>
    <row r="257" spans="1:17" ht="51" hidden="1" customHeight="1" outlineLevel="1" x14ac:dyDescent="0.2">
      <c r="A257" s="367" t="s">
        <v>392</v>
      </c>
      <c r="B257" s="347" t="s">
        <v>117</v>
      </c>
      <c r="C257" s="363" t="s">
        <v>14</v>
      </c>
      <c r="D257" s="346">
        <v>12</v>
      </c>
      <c r="E257" s="353">
        <v>75000</v>
      </c>
      <c r="F257" s="353">
        <f t="shared" si="43"/>
        <v>900000</v>
      </c>
      <c r="G257" s="349">
        <v>31265</v>
      </c>
      <c r="H257" s="353">
        <f t="shared" si="44"/>
        <v>375180</v>
      </c>
      <c r="I257" s="1285">
        <f>IFERROR(VLOOKUP(A257,'valores unit indexados'!$A$14:$O$197,15,FALSE),0)</f>
        <v>70329</v>
      </c>
      <c r="J257" s="350">
        <f t="shared" si="41"/>
        <v>843948</v>
      </c>
      <c r="L257" s="367" t="str">
        <f t="shared" si="45"/>
        <v>D. 5,6</v>
      </c>
      <c r="M257" s="347" t="str">
        <f t="shared" si="45"/>
        <v>Suministro e instalación Canaleta 100 mm x 45 mm Plástica con división. Blanco PVC auto extinguible y Resistente a impactos hasta de 1 kg, Humedad, Aceites y Químicos., con sus respectivos elementos de Certificado_RETIE_</v>
      </c>
      <c r="N257" s="363" t="str">
        <f t="shared" si="45"/>
        <v>ML</v>
      </c>
      <c r="O257" s="346">
        <f t="shared" si="45"/>
        <v>12</v>
      </c>
      <c r="P257" s="423">
        <f>+'estudio inicial precios'!P287</f>
        <v>72665</v>
      </c>
      <c r="Q257" s="423">
        <f t="shared" si="42"/>
        <v>871980</v>
      </c>
    </row>
    <row r="258" spans="1:17" ht="38.25" hidden="1" customHeight="1" outlineLevel="1" x14ac:dyDescent="0.2">
      <c r="A258" s="367" t="s">
        <v>393</v>
      </c>
      <c r="B258" s="358" t="s">
        <v>119</v>
      </c>
      <c r="C258" s="363" t="s">
        <v>6</v>
      </c>
      <c r="D258" s="346">
        <v>7</v>
      </c>
      <c r="E258" s="353">
        <v>38000</v>
      </c>
      <c r="F258" s="353">
        <f t="shared" si="43"/>
        <v>266000</v>
      </c>
      <c r="G258" s="349">
        <v>16263</v>
      </c>
      <c r="H258" s="353">
        <f t="shared" si="44"/>
        <v>113841</v>
      </c>
      <c r="I258" s="1285">
        <f>IFERROR(VLOOKUP(A258,'valores unit indexados'!$A$14:$O$197,15,FALSE),0)</f>
        <v>31702</v>
      </c>
      <c r="J258" s="350">
        <f t="shared" si="41"/>
        <v>221914</v>
      </c>
      <c r="L258" s="367" t="str">
        <f t="shared" si="45"/>
        <v>D. 5,7</v>
      </c>
      <c r="M258" s="358" t="str">
        <f t="shared" si="45"/>
        <v xml:space="preserve">Suministro e instalación troquel para toma regulada, toma normal y toma de datos, incluye accesorios para su correcta instalación </v>
      </c>
      <c r="N258" s="363" t="str">
        <f t="shared" si="45"/>
        <v>UND</v>
      </c>
      <c r="O258" s="346">
        <f t="shared" si="45"/>
        <v>7</v>
      </c>
      <c r="P258" s="423">
        <f>+'estudio inicial precios'!P288</f>
        <v>34851</v>
      </c>
      <c r="Q258" s="423">
        <f t="shared" si="42"/>
        <v>243957</v>
      </c>
    </row>
    <row r="259" spans="1:17" ht="25.5" hidden="1" customHeight="1" outlineLevel="1" x14ac:dyDescent="0.2">
      <c r="A259" s="367" t="s">
        <v>394</v>
      </c>
      <c r="B259" s="347" t="s">
        <v>121</v>
      </c>
      <c r="C259" s="363" t="s">
        <v>14</v>
      </c>
      <c r="D259" s="346">
        <v>110</v>
      </c>
      <c r="E259" s="353">
        <v>10550</v>
      </c>
      <c r="F259" s="353">
        <f t="shared" si="43"/>
        <v>1160500</v>
      </c>
      <c r="G259" s="349">
        <v>4732</v>
      </c>
      <c r="H259" s="353">
        <f t="shared" si="44"/>
        <v>520520</v>
      </c>
      <c r="I259" s="1285">
        <f>IFERROR(VLOOKUP(A259,'valores unit indexados'!$A$14:$O$197,15,FALSE),0)</f>
        <v>10285</v>
      </c>
      <c r="J259" s="350">
        <f t="shared" si="41"/>
        <v>1131350</v>
      </c>
      <c r="L259" s="367" t="str">
        <f t="shared" si="45"/>
        <v>D. 5,8</v>
      </c>
      <c r="M259" s="347" t="str">
        <f t="shared" si="45"/>
        <v>Suministro e instalación de cable UTP Categoría 6A libre de halógeno LSZH</v>
      </c>
      <c r="N259" s="363" t="str">
        <f t="shared" si="45"/>
        <v>ML</v>
      </c>
      <c r="O259" s="346">
        <f t="shared" si="45"/>
        <v>110</v>
      </c>
      <c r="P259" s="423">
        <f>+'estudio inicial precios'!P289</f>
        <v>10418</v>
      </c>
      <c r="Q259" s="423">
        <f t="shared" si="42"/>
        <v>1145980</v>
      </c>
    </row>
    <row r="260" spans="1:17" ht="51" hidden="1" customHeight="1" outlineLevel="1" x14ac:dyDescent="0.2">
      <c r="A260" s="367" t="s">
        <v>395</v>
      </c>
      <c r="B260" s="358" t="s">
        <v>123</v>
      </c>
      <c r="C260" s="363" t="s">
        <v>6</v>
      </c>
      <c r="D260" s="346">
        <v>7</v>
      </c>
      <c r="E260" s="353">
        <v>72000</v>
      </c>
      <c r="F260" s="353">
        <f t="shared" si="43"/>
        <v>504000</v>
      </c>
      <c r="G260" s="349">
        <v>112086</v>
      </c>
      <c r="H260" s="353">
        <f t="shared" si="44"/>
        <v>784602</v>
      </c>
      <c r="I260" s="1285">
        <f>IFERROR(VLOOKUP(A260,'valores unit indexados'!$A$14:$O$197,15,FALSE),0)</f>
        <v>70740</v>
      </c>
      <c r="J260" s="350">
        <f t="shared" si="41"/>
        <v>495180</v>
      </c>
      <c r="L260" s="367" t="str">
        <f t="shared" si="45"/>
        <v>D. 5,9</v>
      </c>
      <c r="M260" s="358" t="str">
        <f t="shared" si="45"/>
        <v>Suministro e instalación de toma hembra tipo jack rj 45 cat 6ª, utp, para puesto de trabajo o herraje. (incluye jacks rj45 cat. 6a amp, ponchada, maquillado y accesorios necesarios para su instalación)</v>
      </c>
      <c r="N260" s="363" t="str">
        <f t="shared" si="45"/>
        <v>UND</v>
      </c>
      <c r="O260" s="346">
        <f t="shared" si="45"/>
        <v>7</v>
      </c>
      <c r="P260" s="423">
        <f>+'estudio inicial precios'!P290</f>
        <v>71370</v>
      </c>
      <c r="Q260" s="423">
        <f t="shared" si="42"/>
        <v>499590</v>
      </c>
    </row>
    <row r="261" spans="1:17" ht="25.5" hidden="1" customHeight="1" outlineLevel="1" x14ac:dyDescent="0.2">
      <c r="A261" s="367" t="s">
        <v>396</v>
      </c>
      <c r="B261" s="347" t="s">
        <v>125</v>
      </c>
      <c r="C261" s="363" t="s">
        <v>6</v>
      </c>
      <c r="D261" s="346">
        <v>7</v>
      </c>
      <c r="E261" s="353">
        <v>20000</v>
      </c>
      <c r="F261" s="353">
        <f t="shared" si="43"/>
        <v>140000</v>
      </c>
      <c r="G261" s="349">
        <v>33267</v>
      </c>
      <c r="H261" s="353">
        <f t="shared" si="44"/>
        <v>232869</v>
      </c>
      <c r="I261" s="1285">
        <f>IFERROR(VLOOKUP(A261,'valores unit indexados'!$A$14:$O$197,15,FALSE),0)</f>
        <v>20219</v>
      </c>
      <c r="J261" s="350">
        <f t="shared" si="41"/>
        <v>141533</v>
      </c>
      <c r="L261" s="367" t="str">
        <f t="shared" si="45"/>
        <v>D. 5,10</v>
      </c>
      <c r="M261" s="347" t="str">
        <f t="shared" si="45"/>
        <v>Suministro e instalación de faceplate de 1 salida (SOLO DATOS)</v>
      </c>
      <c r="N261" s="363" t="str">
        <f t="shared" si="45"/>
        <v>UND</v>
      </c>
      <c r="O261" s="346">
        <f t="shared" si="45"/>
        <v>7</v>
      </c>
      <c r="P261" s="423">
        <f>+'estudio inicial precios'!P291</f>
        <v>20110</v>
      </c>
      <c r="Q261" s="423">
        <f t="shared" si="42"/>
        <v>140770</v>
      </c>
    </row>
    <row r="262" spans="1:17" ht="51" hidden="1" customHeight="1" outlineLevel="1" x14ac:dyDescent="0.2">
      <c r="A262" s="367" t="s">
        <v>397</v>
      </c>
      <c r="B262" s="358" t="s">
        <v>127</v>
      </c>
      <c r="C262" s="363" t="s">
        <v>6</v>
      </c>
      <c r="D262" s="346">
        <v>7</v>
      </c>
      <c r="E262" s="353">
        <v>120000</v>
      </c>
      <c r="F262" s="353">
        <f t="shared" si="43"/>
        <v>840000</v>
      </c>
      <c r="G262" s="387">
        <v>0</v>
      </c>
      <c r="H262" s="353">
        <f t="shared" si="44"/>
        <v>0</v>
      </c>
      <c r="I262" s="1285">
        <f>IFERROR(VLOOKUP(A262,'valores unit indexados'!$A$14:$O$197,15,FALSE),0)</f>
        <v>120233</v>
      </c>
      <c r="J262" s="350">
        <f t="shared" si="41"/>
        <v>841631</v>
      </c>
      <c r="L262" s="367" t="str">
        <f t="shared" si="45"/>
        <v>D. 5,11</v>
      </c>
      <c r="M262" s="358" t="str">
        <f t="shared" si="45"/>
        <v>Suministro e instalación de salida eléctrica red regulada en puesto de trabajo con cable trenzado 3# 12 rojo, verde, blanco con aislamiento libre de halógeno, longitud de 1,5m incluye tomacorriente polo a tierra aislado</v>
      </c>
      <c r="N262" s="363" t="str">
        <f t="shared" si="45"/>
        <v>UND</v>
      </c>
      <c r="O262" s="346">
        <f t="shared" si="45"/>
        <v>7</v>
      </c>
      <c r="P262" s="423">
        <f>+'estudio inicial precios'!P292</f>
        <v>119473</v>
      </c>
      <c r="Q262" s="423">
        <f t="shared" si="42"/>
        <v>836311</v>
      </c>
    </row>
    <row r="263" spans="1:17" ht="51" hidden="1" customHeight="1" outlineLevel="1" x14ac:dyDescent="0.2">
      <c r="A263" s="367" t="s">
        <v>398</v>
      </c>
      <c r="B263" s="347" t="s">
        <v>129</v>
      </c>
      <c r="C263" s="363" t="s">
        <v>6</v>
      </c>
      <c r="D263" s="346">
        <v>7</v>
      </c>
      <c r="E263" s="353">
        <v>115000</v>
      </c>
      <c r="F263" s="353">
        <f t="shared" si="43"/>
        <v>805000</v>
      </c>
      <c r="G263" s="371">
        <v>0</v>
      </c>
      <c r="H263" s="353">
        <f t="shared" si="44"/>
        <v>0</v>
      </c>
      <c r="I263" s="1285">
        <f>IFERROR(VLOOKUP(A263,'valores unit indexados'!$A$14:$O$197,15,FALSE),0)</f>
        <v>123946</v>
      </c>
      <c r="J263" s="350">
        <f t="shared" si="41"/>
        <v>867622</v>
      </c>
      <c r="L263" s="367" t="str">
        <f t="shared" si="45"/>
        <v>D. 5,12</v>
      </c>
      <c r="M263" s="347" t="str">
        <f t="shared" si="45"/>
        <v xml:space="preserve">Suministro e instalación de salida eléctrica red normal en puesto de trabajo con  cable trenzado 3# 12 azul, verde, blanco con aislamiento libre de halógeno,  longitud de 1,5m incluye tomacorriente polo a tierra </v>
      </c>
      <c r="N263" s="363" t="str">
        <f t="shared" si="45"/>
        <v>UND</v>
      </c>
      <c r="O263" s="346">
        <f t="shared" si="45"/>
        <v>7</v>
      </c>
      <c r="P263" s="423">
        <f>+'estudio inicial precios'!P293</f>
        <v>119473</v>
      </c>
      <c r="Q263" s="423">
        <f t="shared" si="42"/>
        <v>836311</v>
      </c>
    </row>
    <row r="264" spans="1:17" ht="25.5" hidden="1" customHeight="1" outlineLevel="1" x14ac:dyDescent="0.2">
      <c r="A264" s="367" t="s">
        <v>399</v>
      </c>
      <c r="B264" s="347" t="s">
        <v>279</v>
      </c>
      <c r="C264" s="363" t="s">
        <v>6</v>
      </c>
      <c r="D264" s="346">
        <v>1</v>
      </c>
      <c r="E264" s="353">
        <v>95000</v>
      </c>
      <c r="F264" s="353">
        <f t="shared" si="43"/>
        <v>95000</v>
      </c>
      <c r="G264" s="349">
        <v>22000</v>
      </c>
      <c r="H264" s="353">
        <f t="shared" si="44"/>
        <v>22000</v>
      </c>
      <c r="I264" s="1285">
        <f>IFERROR(VLOOKUP(A264,'valores unit indexados'!$A$14:$O$197,15,FALSE),0)</f>
        <v>96760</v>
      </c>
      <c r="J264" s="350">
        <f t="shared" si="41"/>
        <v>96760</v>
      </c>
      <c r="L264" s="367" t="str">
        <f t="shared" si="45"/>
        <v>D. 5,13</v>
      </c>
      <c r="M264" s="347" t="str">
        <f t="shared" si="45"/>
        <v xml:space="preserve">Suministro e instalación de interruptor sencillo incluye caja de sobreponer y salida </v>
      </c>
      <c r="N264" s="363" t="str">
        <f t="shared" si="45"/>
        <v>UND</v>
      </c>
      <c r="O264" s="346">
        <f t="shared" si="45"/>
        <v>1</v>
      </c>
      <c r="P264" s="423">
        <f>+'estudio inicial precios'!P294</f>
        <v>95880</v>
      </c>
      <c r="Q264" s="423">
        <f t="shared" si="42"/>
        <v>95880</v>
      </c>
    </row>
    <row r="265" spans="1:17" ht="38.25" hidden="1" customHeight="1" outlineLevel="1" x14ac:dyDescent="0.2">
      <c r="A265" s="346" t="s">
        <v>400</v>
      </c>
      <c r="B265" s="347" t="s">
        <v>133</v>
      </c>
      <c r="C265" s="363" t="s">
        <v>6</v>
      </c>
      <c r="D265" s="346">
        <v>3</v>
      </c>
      <c r="E265" s="353">
        <v>115000</v>
      </c>
      <c r="F265" s="353">
        <f t="shared" si="43"/>
        <v>345000</v>
      </c>
      <c r="G265" s="349">
        <v>80795</v>
      </c>
      <c r="H265" s="353">
        <f t="shared" si="44"/>
        <v>242385</v>
      </c>
      <c r="I265" s="1285">
        <f>IFERROR(VLOOKUP(A265,'valores unit indexados'!$A$14:$O$197,15,FALSE),0)</f>
        <v>142064</v>
      </c>
      <c r="J265" s="350">
        <f t="shared" si="41"/>
        <v>426192</v>
      </c>
      <c r="L265" s="346" t="str">
        <f t="shared" si="45"/>
        <v>D. 5,14</v>
      </c>
      <c r="M265" s="347" t="str">
        <f t="shared" si="45"/>
        <v>Suministro e instalación de Lámpara panel led de sobreponer 24w 100 -240 - 1680Lm de 6,500 K - horas mínimas de vida útil 25,000</v>
      </c>
      <c r="N265" s="363" t="str">
        <f t="shared" si="45"/>
        <v>UND</v>
      </c>
      <c r="O265" s="346">
        <f t="shared" si="45"/>
        <v>3</v>
      </c>
      <c r="P265" s="423">
        <f>+'estudio inicial precios'!P295</f>
        <v>103175</v>
      </c>
      <c r="Q265" s="423">
        <f t="shared" si="42"/>
        <v>309525</v>
      </c>
    </row>
    <row r="266" spans="1:17" ht="25.5" hidden="1" customHeight="1" outlineLevel="1" x14ac:dyDescent="0.2">
      <c r="A266" s="367" t="s">
        <v>401</v>
      </c>
      <c r="B266" s="347" t="s">
        <v>135</v>
      </c>
      <c r="C266" s="363" t="s">
        <v>14</v>
      </c>
      <c r="D266" s="346">
        <v>5</v>
      </c>
      <c r="E266" s="353">
        <v>17000</v>
      </c>
      <c r="F266" s="353">
        <f t="shared" si="43"/>
        <v>85000</v>
      </c>
      <c r="G266" s="349">
        <v>8736</v>
      </c>
      <c r="H266" s="353">
        <f t="shared" si="44"/>
        <v>43680</v>
      </c>
      <c r="I266" s="1285">
        <f>+'valores unit indexados'!O199</f>
        <v>15299</v>
      </c>
      <c r="J266" s="350">
        <f t="shared" si="41"/>
        <v>76495</v>
      </c>
      <c r="L266" s="367" t="str">
        <f t="shared" si="45"/>
        <v>D. 5,15</v>
      </c>
      <c r="M266" s="347" t="str">
        <f t="shared" si="45"/>
        <v>Suministro e instalación de cable trenzado 3#12 AWG para circuito normal o regulado</v>
      </c>
      <c r="N266" s="363" t="str">
        <f t="shared" si="45"/>
        <v>ML</v>
      </c>
      <c r="O266" s="346">
        <f t="shared" si="45"/>
        <v>5</v>
      </c>
      <c r="P266" s="423">
        <f>+'estudio inicial precios'!P296</f>
        <v>16768</v>
      </c>
      <c r="Q266" s="423">
        <f t="shared" si="42"/>
        <v>83840</v>
      </c>
    </row>
    <row r="267" spans="1:17" ht="12.75" hidden="1" customHeight="1" outlineLevel="1" x14ac:dyDescent="0.2">
      <c r="A267" s="346" t="s">
        <v>402</v>
      </c>
      <c r="B267" s="397" t="s">
        <v>1469</v>
      </c>
      <c r="C267" s="363" t="s">
        <v>6</v>
      </c>
      <c r="D267" s="346">
        <v>7</v>
      </c>
      <c r="E267" s="353">
        <v>38000</v>
      </c>
      <c r="F267" s="353">
        <f t="shared" si="43"/>
        <v>266000</v>
      </c>
      <c r="G267" s="349">
        <v>12948</v>
      </c>
      <c r="H267" s="353">
        <f t="shared" si="44"/>
        <v>90636</v>
      </c>
      <c r="I267" s="1285">
        <f>IFERROR(VLOOKUP(A267,'valores unit indexados'!$A$14:$O$197,15,FALSE),0)</f>
        <v>34244</v>
      </c>
      <c r="J267" s="350">
        <f t="shared" si="41"/>
        <v>239708</v>
      </c>
      <c r="L267" s="346" t="str">
        <f t="shared" ref="L267:O275" si="46">+A267</f>
        <v>D. 5,16</v>
      </c>
      <c r="M267" s="397" t="str">
        <f t="shared" si="46"/>
        <v>Suministro e instalación de patch cord 1.5mts CAT 6A</v>
      </c>
      <c r="N267" s="363" t="str">
        <f t="shared" si="46"/>
        <v>UND</v>
      </c>
      <c r="O267" s="346">
        <f t="shared" si="46"/>
        <v>7</v>
      </c>
      <c r="P267" s="423">
        <f>+'estudio inicial precios'!P297</f>
        <v>36122</v>
      </c>
      <c r="Q267" s="423">
        <f t="shared" si="42"/>
        <v>252854</v>
      </c>
    </row>
    <row r="268" spans="1:17" ht="12.75" hidden="1" customHeight="1" outlineLevel="1" x14ac:dyDescent="0.2">
      <c r="A268" s="367" t="s">
        <v>403</v>
      </c>
      <c r="B268" s="397" t="s">
        <v>1470</v>
      </c>
      <c r="C268" s="363" t="s">
        <v>6</v>
      </c>
      <c r="D268" s="346">
        <v>1</v>
      </c>
      <c r="E268" s="353">
        <v>48000</v>
      </c>
      <c r="F268" s="353">
        <f t="shared" si="43"/>
        <v>48000</v>
      </c>
      <c r="G268" s="349">
        <v>16848</v>
      </c>
      <c r="H268" s="353">
        <f t="shared" si="44"/>
        <v>16848</v>
      </c>
      <c r="I268" s="1285">
        <f>IFERROR(VLOOKUP(A268,'valores unit indexados'!$A$14:$O$197,15,FALSE),0)</f>
        <v>46067</v>
      </c>
      <c r="J268" s="350">
        <f t="shared" si="41"/>
        <v>46067</v>
      </c>
      <c r="L268" s="367" t="str">
        <f t="shared" si="46"/>
        <v>D. 5,17</v>
      </c>
      <c r="M268" s="397" t="str">
        <f t="shared" si="46"/>
        <v>Suministro e instalación de patch cord 3mts CAT 6A</v>
      </c>
      <c r="N268" s="363" t="str">
        <f t="shared" si="46"/>
        <v>UND</v>
      </c>
      <c r="O268" s="346">
        <f t="shared" si="46"/>
        <v>1</v>
      </c>
      <c r="P268" s="423">
        <f>+'estudio inicial precios'!P298</f>
        <v>47034</v>
      </c>
      <c r="Q268" s="423">
        <f t="shared" si="42"/>
        <v>47034</v>
      </c>
    </row>
    <row r="269" spans="1:17" ht="25.5" hidden="1" customHeight="1" outlineLevel="1" x14ac:dyDescent="0.2">
      <c r="A269" s="346" t="s">
        <v>404</v>
      </c>
      <c r="B269" s="364" t="s">
        <v>141</v>
      </c>
      <c r="C269" s="363" t="s">
        <v>6</v>
      </c>
      <c r="D269" s="346">
        <v>1</v>
      </c>
      <c r="E269" s="353">
        <v>3500000</v>
      </c>
      <c r="F269" s="353">
        <f t="shared" si="43"/>
        <v>3500000</v>
      </c>
      <c r="G269" s="349">
        <v>2570460</v>
      </c>
      <c r="H269" s="353">
        <f t="shared" si="44"/>
        <v>2570460</v>
      </c>
      <c r="I269" s="1285">
        <f>IFERROR(VLOOKUP(A269,'valores unit indexados'!$A$14:$O$197,15,FALSE),0)</f>
        <v>3045320</v>
      </c>
      <c r="J269" s="350">
        <f t="shared" ref="J269:J275" si="47">+I269*D269</f>
        <v>3045320</v>
      </c>
      <c r="L269" s="346" t="str">
        <f t="shared" si="46"/>
        <v>D. 5,18</v>
      </c>
      <c r="M269" s="364" t="str">
        <f t="shared" si="46"/>
        <v>Suministro, instalación y configuración de Switch 24 puertos 10Base-T/100Base-T/1000Base-T</v>
      </c>
      <c r="N269" s="363" t="str">
        <f t="shared" si="46"/>
        <v>UND</v>
      </c>
      <c r="O269" s="346">
        <f t="shared" si="46"/>
        <v>1</v>
      </c>
      <c r="P269" s="423">
        <f>+'estudio inicial precios'!P299</f>
        <v>3035230</v>
      </c>
      <c r="Q269" s="423">
        <f t="shared" ref="Q269:Q275" si="48">+P269*O269</f>
        <v>3035230</v>
      </c>
    </row>
    <row r="270" spans="1:17" ht="25.5" hidden="1" customHeight="1" outlineLevel="1" x14ac:dyDescent="0.2">
      <c r="A270" s="367" t="s">
        <v>405</v>
      </c>
      <c r="B270" s="398" t="s">
        <v>286</v>
      </c>
      <c r="C270" s="363" t="s">
        <v>6</v>
      </c>
      <c r="D270" s="346">
        <v>1</v>
      </c>
      <c r="E270" s="353">
        <v>450000</v>
      </c>
      <c r="F270" s="353">
        <f t="shared" ref="F270:F275" si="49">+E270*D270</f>
        <v>450000</v>
      </c>
      <c r="G270" s="349">
        <v>225498</v>
      </c>
      <c r="H270" s="353">
        <f t="shared" ref="H270:H275" si="50">+G270*D270</f>
        <v>225498</v>
      </c>
      <c r="I270" s="1285">
        <f>IFERROR(VLOOKUP(A270,'valores unit indexados'!$A$14:$O$197,15,FALSE),0)</f>
        <v>0</v>
      </c>
      <c r="J270" s="350">
        <f t="shared" si="47"/>
        <v>0</v>
      </c>
      <c r="L270" s="367" t="str">
        <f t="shared" si="46"/>
        <v>D. 5,19</v>
      </c>
      <c r="M270" s="398" t="str">
        <f t="shared" si="46"/>
        <v>Suministro e instalación de patch panel de 24 puestos cat. 6a (incluye elementos de fijación)</v>
      </c>
      <c r="N270" s="363" t="str">
        <f t="shared" si="46"/>
        <v>UND</v>
      </c>
      <c r="O270" s="346">
        <f t="shared" si="46"/>
        <v>1</v>
      </c>
      <c r="P270" s="423">
        <f>+'estudio inicial precios'!P300</f>
        <v>337749</v>
      </c>
      <c r="Q270" s="423">
        <f t="shared" si="48"/>
        <v>337749</v>
      </c>
    </row>
    <row r="271" spans="1:17" ht="25.5" hidden="1" customHeight="1" outlineLevel="1" x14ac:dyDescent="0.2">
      <c r="A271" s="354" t="s">
        <v>406</v>
      </c>
      <c r="B271" s="358" t="s">
        <v>407</v>
      </c>
      <c r="C271" s="356" t="s">
        <v>6</v>
      </c>
      <c r="D271" s="346">
        <v>1</v>
      </c>
      <c r="E271" s="353">
        <v>1350000</v>
      </c>
      <c r="F271" s="353">
        <f t="shared" si="49"/>
        <v>1350000</v>
      </c>
      <c r="G271" s="349">
        <v>216309.6</v>
      </c>
      <c r="H271" s="353">
        <f t="shared" si="50"/>
        <v>216309.6</v>
      </c>
      <c r="I271" s="1285">
        <f>IFERROR(VLOOKUP(A271,'valores unit indexados'!$A$14:$O$197,15,FALSE),0)</f>
        <v>1748444</v>
      </c>
      <c r="J271" s="350">
        <f t="shared" si="47"/>
        <v>1748444</v>
      </c>
      <c r="L271" s="354" t="str">
        <f t="shared" si="46"/>
        <v>D. 5,20</v>
      </c>
      <c r="M271" s="358" t="str">
        <f t="shared" si="46"/>
        <v>Suministro e instalación de vidrio templado incoloro de 8mm con perforaciones para dilatadores medida 120 cm x 100 cm</v>
      </c>
      <c r="N271" s="356" t="str">
        <f t="shared" si="46"/>
        <v>UND</v>
      </c>
      <c r="O271" s="346">
        <f t="shared" si="46"/>
        <v>1</v>
      </c>
      <c r="P271" s="423">
        <f>+'estudio inicial precios'!P301</f>
        <v>1549222</v>
      </c>
      <c r="Q271" s="423">
        <f t="shared" si="48"/>
        <v>1549222</v>
      </c>
    </row>
    <row r="272" spans="1:17" ht="38.25" hidden="1" customHeight="1" outlineLevel="1" x14ac:dyDescent="0.2">
      <c r="A272" s="367" t="s">
        <v>408</v>
      </c>
      <c r="B272" s="358" t="s">
        <v>409</v>
      </c>
      <c r="C272" s="356" t="s">
        <v>14</v>
      </c>
      <c r="D272" s="346">
        <v>1</v>
      </c>
      <c r="E272" s="353">
        <v>260000</v>
      </c>
      <c r="F272" s="353">
        <f t="shared" si="49"/>
        <v>260000</v>
      </c>
      <c r="G272" s="349">
        <v>700000</v>
      </c>
      <c r="H272" s="353">
        <f t="shared" si="50"/>
        <v>700000</v>
      </c>
      <c r="I272" s="1285">
        <f>IFERROR(VLOOKUP(A272,'valores unit indexados'!$A$14:$O$197,15,FALSE),0)</f>
        <v>226541</v>
      </c>
      <c r="J272" s="350">
        <f t="shared" si="47"/>
        <v>226541</v>
      </c>
      <c r="L272" s="367" t="str">
        <f t="shared" si="46"/>
        <v>D. 5,21</v>
      </c>
      <c r="M272" s="358" t="str">
        <f t="shared" si="46"/>
        <v>Suministro e instalación mesón o cubierta en aglomerado RH de 30mm, ancho de 50cm, incluye soportes de fijación (color miel hacer  aprobar)</v>
      </c>
      <c r="N272" s="356" t="str">
        <f t="shared" si="46"/>
        <v>ML</v>
      </c>
      <c r="O272" s="346">
        <f t="shared" si="46"/>
        <v>1</v>
      </c>
      <c r="P272" s="423">
        <f>+'estudio inicial precios'!P302</f>
        <v>243271</v>
      </c>
      <c r="Q272" s="423">
        <f t="shared" si="48"/>
        <v>243271</v>
      </c>
    </row>
    <row r="273" spans="1:60" s="1533" customFormat="1" ht="24.75" hidden="1" customHeight="1" outlineLevel="1" x14ac:dyDescent="0.2">
      <c r="A273" s="1527" t="s">
        <v>410</v>
      </c>
      <c r="B273" s="1528" t="s">
        <v>294</v>
      </c>
      <c r="C273" s="1527"/>
      <c r="D273" s="1529"/>
      <c r="E273" s="1530"/>
      <c r="F273" s="1531">
        <f t="shared" si="49"/>
        <v>0</v>
      </c>
      <c r="G273" s="1530"/>
      <c r="H273" s="1531">
        <f t="shared" si="50"/>
        <v>0</v>
      </c>
      <c r="I273" s="1532"/>
      <c r="J273" s="1527"/>
      <c r="K273" s="1544"/>
      <c r="L273" s="1527" t="str">
        <f t="shared" si="46"/>
        <v>D. 6</v>
      </c>
      <c r="M273" s="1836"/>
      <c r="N273" s="1837"/>
      <c r="O273" s="1837"/>
      <c r="P273" s="1837"/>
      <c r="Q273" s="1838"/>
      <c r="R273" s="1544"/>
      <c r="S273" s="1544"/>
      <c r="T273" s="1544"/>
      <c r="U273" s="1544"/>
      <c r="V273" s="1544"/>
      <c r="W273" s="1544"/>
      <c r="X273" s="1544"/>
      <c r="Y273" s="1544"/>
      <c r="Z273" s="1544"/>
      <c r="AA273" s="1544"/>
      <c r="AB273" s="1544"/>
      <c r="AC273" s="1544"/>
      <c r="AD273" s="1544"/>
      <c r="AE273" s="1544"/>
      <c r="AF273" s="1544"/>
      <c r="AG273" s="1544"/>
      <c r="AH273" s="1544"/>
      <c r="AI273" s="1544"/>
      <c r="AJ273" s="1544"/>
      <c r="AK273" s="1544"/>
      <c r="AL273" s="1544"/>
      <c r="AM273" s="1544"/>
      <c r="AN273" s="1544"/>
      <c r="AO273" s="1544"/>
      <c r="AP273" s="1544"/>
      <c r="AQ273" s="1544"/>
      <c r="AR273" s="1544"/>
      <c r="AS273" s="1544"/>
      <c r="AT273" s="1544"/>
      <c r="AU273" s="1544"/>
      <c r="AV273" s="1544"/>
      <c r="AW273" s="1544"/>
      <c r="AX273" s="1544"/>
      <c r="AY273" s="1544"/>
      <c r="AZ273" s="1544"/>
      <c r="BA273" s="1544"/>
      <c r="BB273" s="1544"/>
      <c r="BC273" s="1544"/>
      <c r="BD273" s="1544"/>
      <c r="BE273" s="1544"/>
      <c r="BF273" s="1544"/>
      <c r="BG273" s="1544"/>
      <c r="BH273" s="1544"/>
    </row>
    <row r="274" spans="1:60" ht="12.75" hidden="1" customHeight="1" outlineLevel="1" x14ac:dyDescent="0.2">
      <c r="A274" s="346" t="s">
        <v>411</v>
      </c>
      <c r="B274" s="358" t="s">
        <v>412</v>
      </c>
      <c r="C274" s="356" t="s">
        <v>6</v>
      </c>
      <c r="D274" s="346">
        <v>6</v>
      </c>
      <c r="E274" s="353">
        <v>50000</v>
      </c>
      <c r="F274" s="353">
        <f t="shared" si="49"/>
        <v>300000</v>
      </c>
      <c r="G274" s="349">
        <v>0</v>
      </c>
      <c r="H274" s="353">
        <f t="shared" si="50"/>
        <v>0</v>
      </c>
      <c r="I274" s="1285">
        <f>IFERROR(VLOOKUP(A274,'valores unit indexados'!$A$14:$O$197,15,FALSE),0)</f>
        <v>0</v>
      </c>
      <c r="J274" s="350">
        <f t="shared" si="47"/>
        <v>0</v>
      </c>
      <c r="L274" s="346" t="str">
        <f t="shared" si="46"/>
        <v>D. 6,1</v>
      </c>
      <c r="M274" s="358" t="str">
        <f t="shared" si="46"/>
        <v>Suministro y aplicación de masilla fibra de vidrio</v>
      </c>
      <c r="N274" s="356" t="str">
        <f>+C274</f>
        <v>UND</v>
      </c>
      <c r="O274" s="346">
        <f>+D274</f>
        <v>6</v>
      </c>
      <c r="P274" s="423">
        <f t="shared" ref="P274:P275" si="51">ROUND(IF(I274&gt;0,I274:I274,AVERAGE(G274,E274)),0)</f>
        <v>25000</v>
      </c>
      <c r="Q274" s="423">
        <f t="shared" si="48"/>
        <v>150000</v>
      </c>
    </row>
    <row r="275" spans="1:60" ht="13.5" hidden="1" customHeight="1" outlineLevel="1" thickBot="1" x14ac:dyDescent="0.25">
      <c r="A275" s="346" t="s">
        <v>751</v>
      </c>
      <c r="B275" s="358" t="s">
        <v>195</v>
      </c>
      <c r="C275" s="356" t="s">
        <v>19</v>
      </c>
      <c r="D275" s="346">
        <v>380</v>
      </c>
      <c r="E275" s="353">
        <v>7000</v>
      </c>
      <c r="F275" s="353">
        <f t="shared" si="49"/>
        <v>2660000</v>
      </c>
      <c r="G275" s="349">
        <v>4200</v>
      </c>
      <c r="H275" s="353">
        <f t="shared" si="50"/>
        <v>1596000</v>
      </c>
      <c r="I275" s="1285">
        <f>IFERROR(VLOOKUP(A275,'valores unit indexados'!$A$14:$O$197,15,FALSE),0)</f>
        <v>5300</v>
      </c>
      <c r="J275" s="350">
        <f t="shared" si="47"/>
        <v>2014000</v>
      </c>
      <c r="L275" s="346" t="str">
        <f t="shared" si="46"/>
        <v>D. 6,2</v>
      </c>
      <c r="M275" s="358" t="str">
        <f t="shared" si="46"/>
        <v>Aseo general.</v>
      </c>
      <c r="N275" s="356" t="str">
        <f>+C275</f>
        <v>M2</v>
      </c>
      <c r="O275" s="346">
        <f>+D275</f>
        <v>380</v>
      </c>
      <c r="P275" s="423">
        <f t="shared" si="51"/>
        <v>5300</v>
      </c>
      <c r="Q275" s="423">
        <f t="shared" si="48"/>
        <v>2014000</v>
      </c>
    </row>
    <row r="276" spans="1:60" ht="15.75" collapsed="1" thickBot="1" x14ac:dyDescent="0.3">
      <c r="A276"/>
      <c r="B276"/>
      <c r="C276" s="1712" t="s">
        <v>196</v>
      </c>
      <c r="D276" s="1713"/>
      <c r="E276" s="1714"/>
      <c r="F276" s="1715">
        <f>SUM(F192:F275)</f>
        <v>12977309963.716173</v>
      </c>
      <c r="G276" s="1716"/>
      <c r="H276" s="1715">
        <f>SUM(H192:H275)</f>
        <v>9015085758.7355766</v>
      </c>
      <c r="I276" s="1717"/>
      <c r="J276" s="1718">
        <f>SUM(J193:J275)</f>
        <v>3866931608.7400007</v>
      </c>
      <c r="K276" s="1719"/>
      <c r="L276" s="1720"/>
      <c r="M276" s="1721"/>
      <c r="N276" s="1734"/>
      <c r="O276" s="1735"/>
      <c r="P276" s="1713"/>
      <c r="Q276" s="1722">
        <f>SUM(Q213:Q275)</f>
        <v>57663736</v>
      </c>
    </row>
    <row r="277" spans="1:60" ht="15" x14ac:dyDescent="0.25">
      <c r="A277"/>
      <c r="B277"/>
      <c r="C277" s="1706" t="s">
        <v>197</v>
      </c>
      <c r="D277" s="1707"/>
      <c r="E277" s="1708">
        <v>0.3</v>
      </c>
      <c r="F277" s="1709">
        <f>+E277*F$276</f>
        <v>3893192989.114852</v>
      </c>
      <c r="G277" s="1708">
        <v>0.24</v>
      </c>
      <c r="H277" s="1709">
        <f>+G277*H$276</f>
        <v>2163620582.0965385</v>
      </c>
      <c r="I277" s="1708">
        <v>0</v>
      </c>
      <c r="J277" s="1709">
        <f>+I277*J$276</f>
        <v>0</v>
      </c>
      <c r="L277" s="1298"/>
      <c r="M277" s="1645"/>
      <c r="N277" s="1845" t="str">
        <f t="shared" ref="N277:N281" si="52">+C277</f>
        <v xml:space="preserve">ADMINISTRACION </v>
      </c>
      <c r="O277" s="1846"/>
      <c r="P277" s="1710">
        <f>+$C$15</f>
        <v>0.185</v>
      </c>
      <c r="Q277" s="1711">
        <f>ROUND(P277*$Q$276,0)</f>
        <v>10667791</v>
      </c>
    </row>
    <row r="278" spans="1:60" ht="15" x14ac:dyDescent="0.25">
      <c r="A278"/>
      <c r="B278"/>
      <c r="C278" s="1671" t="s">
        <v>198</v>
      </c>
      <c r="D278" s="1672"/>
      <c r="E278" s="375">
        <v>0.02</v>
      </c>
      <c r="F278" s="376">
        <f t="shared" ref="F278:H279" si="53">+E278*F$276</f>
        <v>259546199.27432346</v>
      </c>
      <c r="G278" s="375">
        <v>0.01</v>
      </c>
      <c r="H278" s="376">
        <f t="shared" si="53"/>
        <v>90150857.587355763</v>
      </c>
      <c r="I278" s="375">
        <v>0</v>
      </c>
      <c r="J278" s="376">
        <f t="shared" ref="J278:J279" si="54">+I278*J$276</f>
        <v>0</v>
      </c>
      <c r="L278" s="1298"/>
      <c r="M278" s="1645"/>
      <c r="N278" s="1847" t="str">
        <f t="shared" si="52"/>
        <v xml:space="preserve">IMPREVISTO </v>
      </c>
      <c r="O278" s="1848"/>
      <c r="P278" s="1296">
        <f>+$C$16</f>
        <v>0.02</v>
      </c>
      <c r="Q278" s="1711">
        <f t="shared" ref="Q278:Q279" si="55">ROUND(P278*$Q$276,0)</f>
        <v>1153275</v>
      </c>
    </row>
    <row r="279" spans="1:60" ht="15" x14ac:dyDescent="0.25">
      <c r="A279"/>
      <c r="B279"/>
      <c r="C279" s="1671" t="s">
        <v>199</v>
      </c>
      <c r="D279" s="1672"/>
      <c r="E279" s="375">
        <v>0.05</v>
      </c>
      <c r="F279" s="376">
        <f t="shared" si="53"/>
        <v>648865498.18580866</v>
      </c>
      <c r="G279" s="375">
        <v>0.05</v>
      </c>
      <c r="H279" s="376">
        <f t="shared" si="53"/>
        <v>450754287.93677884</v>
      </c>
      <c r="I279" s="375">
        <v>0</v>
      </c>
      <c r="J279" s="376">
        <f t="shared" si="54"/>
        <v>0</v>
      </c>
      <c r="L279" s="1298"/>
      <c r="M279" s="1645"/>
      <c r="N279" s="1847" t="str">
        <f t="shared" si="52"/>
        <v>UTILIDAD</v>
      </c>
      <c r="O279" s="1848"/>
      <c r="P279" s="1296">
        <f>+$C$17</f>
        <v>4.4999999999999998E-2</v>
      </c>
      <c r="Q279" s="1711">
        <f t="shared" si="55"/>
        <v>2594868</v>
      </c>
    </row>
    <row r="280" spans="1:60" ht="15.75" thickBot="1" x14ac:dyDescent="0.3">
      <c r="A280"/>
      <c r="B280"/>
      <c r="C280" s="1723" t="s">
        <v>200</v>
      </c>
      <c r="D280" s="1724"/>
      <c r="E280" s="1725">
        <v>0.19</v>
      </c>
      <c r="F280" s="1726">
        <f>+E280*F279</f>
        <v>123284444.65530364</v>
      </c>
      <c r="G280" s="1725">
        <v>0.19</v>
      </c>
      <c r="H280" s="1726">
        <f>+G280*H279</f>
        <v>85643314.707987979</v>
      </c>
      <c r="I280" s="1725">
        <v>0</v>
      </c>
      <c r="J280" s="1726">
        <f>+I280*J279</f>
        <v>0</v>
      </c>
      <c r="L280" s="1298"/>
      <c r="M280" s="1645"/>
      <c r="N280" s="1849" t="str">
        <f t="shared" si="52"/>
        <v xml:space="preserve">IVA SOBRE UTILIDAD </v>
      </c>
      <c r="O280" s="1850"/>
      <c r="P280" s="1727">
        <f>+$C$18</f>
        <v>0.19</v>
      </c>
      <c r="Q280" s="1711">
        <f>ROUND(P280*$Q$279,0)</f>
        <v>493025</v>
      </c>
    </row>
    <row r="281" spans="1:60" ht="15.75" thickBot="1" x14ac:dyDescent="0.3">
      <c r="A281"/>
      <c r="B281"/>
      <c r="C281" s="1868" t="s">
        <v>201</v>
      </c>
      <c r="D281" s="1869"/>
      <c r="E281" s="1869"/>
      <c r="F281" s="1869">
        <f>SUM(F276:F280)</f>
        <v>17902199094.946461</v>
      </c>
      <c r="G281" s="1869"/>
      <c r="H281" s="1869">
        <f>SUM(H276:H280)</f>
        <v>11805254801.06424</v>
      </c>
      <c r="I281" s="1869"/>
      <c r="J281" s="1869">
        <f>SUM(J276:J280)</f>
        <v>3866931608.7400007</v>
      </c>
      <c r="K281" s="1869"/>
      <c r="L281" s="1869"/>
      <c r="M281" s="1869"/>
      <c r="N281" s="1869" t="str">
        <f t="shared" si="52"/>
        <v xml:space="preserve">VALOR TOTAL INCLUIDO AIU E IVA </v>
      </c>
      <c r="O281" s="1869"/>
      <c r="P281" s="1870"/>
      <c r="Q281" s="1733">
        <f>SUM(Q276:Q280)</f>
        <v>72572695</v>
      </c>
    </row>
    <row r="282" spans="1:60" ht="15.75" thickBot="1" x14ac:dyDescent="0.3">
      <c r="L282" s="1298"/>
      <c r="M282"/>
      <c r="N282"/>
      <c r="O282"/>
      <c r="P282"/>
      <c r="Q282"/>
    </row>
    <row r="283" spans="1:60" ht="13.5" thickBot="1" x14ac:dyDescent="0.25">
      <c r="A283" s="1801" t="s">
        <v>413</v>
      </c>
      <c r="B283" s="1802" t="s">
        <v>414</v>
      </c>
      <c r="C283" s="1802"/>
      <c r="D283" s="1802"/>
      <c r="E283" s="1802"/>
      <c r="F283" s="1802"/>
      <c r="G283" s="1802"/>
      <c r="H283" s="1802">
        <v>0</v>
      </c>
      <c r="I283" s="1802"/>
      <c r="J283" s="1802"/>
      <c r="K283" s="1719"/>
      <c r="L283" s="1803" t="str">
        <f t="shared" ref="L283:O314" si="56">+A283</f>
        <v>E.</v>
      </c>
      <c r="M283" s="1853"/>
      <c r="N283" s="1854"/>
      <c r="O283" s="1854"/>
      <c r="P283" s="1854"/>
      <c r="Q283" s="1855"/>
    </row>
    <row r="284" spans="1:60" s="1533" customFormat="1" ht="24.75" hidden="1" customHeight="1" outlineLevel="1" x14ac:dyDescent="0.2">
      <c r="A284" s="1527" t="s">
        <v>415</v>
      </c>
      <c r="B284" s="1528" t="s">
        <v>416</v>
      </c>
      <c r="C284" s="1527"/>
      <c r="D284" s="1529"/>
      <c r="E284" s="1530"/>
      <c r="F284" s="1531"/>
      <c r="G284" s="1530"/>
      <c r="H284" s="1531"/>
      <c r="I284" s="1532"/>
      <c r="J284" s="1527"/>
      <c r="K284" s="1544"/>
      <c r="L284" s="1527" t="str">
        <f t="shared" si="56"/>
        <v>E. 1</v>
      </c>
      <c r="M284" s="1836"/>
      <c r="N284" s="1837"/>
      <c r="O284" s="1837"/>
      <c r="P284" s="1837"/>
      <c r="Q284" s="1838"/>
      <c r="R284" s="1544"/>
      <c r="S284" s="1544"/>
      <c r="T284" s="1544"/>
      <c r="U284" s="1544"/>
      <c r="V284" s="1544"/>
      <c r="W284" s="1544"/>
      <c r="X284" s="1544"/>
      <c r="Y284" s="1544"/>
      <c r="Z284" s="1544"/>
      <c r="AA284" s="1544"/>
      <c r="AB284" s="1544"/>
      <c r="AC284" s="1544"/>
      <c r="AD284" s="1544"/>
      <c r="AE284" s="1544"/>
      <c r="AF284" s="1544"/>
      <c r="AG284" s="1544"/>
      <c r="AH284" s="1544"/>
      <c r="AI284" s="1544"/>
      <c r="AJ284" s="1544"/>
      <c r="AK284" s="1544"/>
      <c r="AL284" s="1544"/>
      <c r="AM284" s="1544"/>
      <c r="AN284" s="1544"/>
      <c r="AO284" s="1544"/>
      <c r="AP284" s="1544"/>
      <c r="AQ284" s="1544"/>
      <c r="AR284" s="1544"/>
      <c r="AS284" s="1544"/>
      <c r="AT284" s="1544"/>
      <c r="AU284" s="1544"/>
      <c r="AV284" s="1544"/>
      <c r="AW284" s="1544"/>
      <c r="AX284" s="1544"/>
      <c r="AY284" s="1544"/>
      <c r="AZ284" s="1544"/>
      <c r="BA284" s="1544"/>
      <c r="BB284" s="1544"/>
      <c r="BC284" s="1544"/>
      <c r="BD284" s="1544"/>
      <c r="BE284" s="1544"/>
      <c r="BF284" s="1544"/>
      <c r="BG284" s="1544"/>
      <c r="BH284" s="1544"/>
    </row>
    <row r="285" spans="1:60" ht="25.5" hidden="1" customHeight="1" outlineLevel="1" x14ac:dyDescent="0.2">
      <c r="A285" s="346" t="s">
        <v>417</v>
      </c>
      <c r="B285" s="347" t="s">
        <v>418</v>
      </c>
      <c r="C285" s="356" t="s">
        <v>19</v>
      </c>
      <c r="D285" s="346">
        <v>197</v>
      </c>
      <c r="E285" s="353">
        <v>45000</v>
      </c>
      <c r="F285" s="353">
        <f>+E285*D285</f>
        <v>8865000</v>
      </c>
      <c r="G285" s="387">
        <v>0</v>
      </c>
      <c r="H285" s="353">
        <f>+G285*D285</f>
        <v>0</v>
      </c>
      <c r="I285" s="1285">
        <f>IFERROR(VLOOKUP(A285,'valores unit indexados'!$A$14:$O$197,15,FALSE),0)</f>
        <v>0</v>
      </c>
      <c r="J285" s="349">
        <f t="shared" ref="J285:J334" si="57">+I285*D285</f>
        <v>0</v>
      </c>
      <c r="L285" s="346" t="str">
        <f t="shared" si="56"/>
        <v>E. 1,1</v>
      </c>
      <c r="M285" s="347" t="str">
        <f t="shared" si="56"/>
        <v>Lavada de ventanas y rejas existentes, incluye retiro de oxido, residuos, lijada y masillado.</v>
      </c>
      <c r="N285" s="356" t="str">
        <f>+C285</f>
        <v>M2</v>
      </c>
      <c r="O285" s="1556">
        <f>+D285*0+20</f>
        <v>20</v>
      </c>
      <c r="P285" s="423">
        <f>+'estudio inicial precios'!P315</f>
        <v>24500</v>
      </c>
      <c r="Q285" s="423">
        <f t="shared" ref="Q285:Q334" si="58">+P285*O285</f>
        <v>490000</v>
      </c>
    </row>
    <row r="286" spans="1:60" ht="89.25" hidden="1" customHeight="1" outlineLevel="1" x14ac:dyDescent="0.2">
      <c r="A286" s="367" t="s">
        <v>419</v>
      </c>
      <c r="B286" s="358" t="s">
        <v>1491</v>
      </c>
      <c r="C286" s="340" t="s">
        <v>6</v>
      </c>
      <c r="D286" s="346">
        <v>113</v>
      </c>
      <c r="E286" s="412">
        <v>230000</v>
      </c>
      <c r="F286" s="353">
        <f t="shared" ref="F286:F288" si="59">+E286*D286</f>
        <v>25990000</v>
      </c>
      <c r="G286" s="412">
        <v>343980</v>
      </c>
      <c r="H286" s="353">
        <f t="shared" ref="H286:H335" si="60">+G286*D286</f>
        <v>38869740</v>
      </c>
      <c r="I286" s="1285">
        <f>IFERROR(VLOOKUP(A286,'valores unit indexados'!$A$14:$O$197,15,FALSE),0)</f>
        <v>0</v>
      </c>
      <c r="J286" s="349">
        <f t="shared" si="57"/>
        <v>0</v>
      </c>
      <c r="L286" s="367" t="str">
        <f t="shared" si="56"/>
        <v>E. 1,2</v>
      </c>
      <c r="M286" s="358" t="str">
        <f t="shared" si="56"/>
        <v>Mantenimiento de ventanas en aluminio cuyas medidas son entre 70 - 105 cm de ancho x 120 cm 180cm alto, incluye limpieza de suciedad , rasqueteada de residuos de pintura, salpicadura de oxido (con limpiador industrial apto para aluminio), reparación o reemplazo de elementos deteriorados (perfiles, bisagras, cerraduras, pasadores, etc.) y limpieza de vidrios</v>
      </c>
      <c r="N286" s="340" t="str">
        <f t="shared" si="56"/>
        <v>UND</v>
      </c>
      <c r="O286" s="346">
        <f t="shared" si="56"/>
        <v>113</v>
      </c>
      <c r="P286" s="423">
        <f>+'estudio inicial precios'!P316</f>
        <v>286990</v>
      </c>
      <c r="Q286" s="423">
        <f t="shared" si="58"/>
        <v>32429870</v>
      </c>
    </row>
    <row r="287" spans="1:60" ht="89.25" hidden="1" customHeight="1" outlineLevel="1" x14ac:dyDescent="0.2">
      <c r="A287" s="346" t="s">
        <v>420</v>
      </c>
      <c r="B287" s="358" t="s">
        <v>1492</v>
      </c>
      <c r="C287" s="340" t="s">
        <v>6</v>
      </c>
      <c r="D287" s="346">
        <v>16</v>
      </c>
      <c r="E287" s="412">
        <v>250000</v>
      </c>
      <c r="F287" s="353">
        <f t="shared" si="59"/>
        <v>4000000</v>
      </c>
      <c r="G287" s="412">
        <v>364000</v>
      </c>
      <c r="H287" s="353">
        <f t="shared" si="60"/>
        <v>5824000</v>
      </c>
      <c r="I287" s="1285">
        <f>IFERROR(VLOOKUP(A287,'valores unit indexados'!$A$14:$O$197,15,FALSE),0)</f>
        <v>0</v>
      </c>
      <c r="J287" s="349">
        <f t="shared" si="57"/>
        <v>0</v>
      </c>
      <c r="L287" s="346" t="str">
        <f t="shared" si="56"/>
        <v>E. 1,3</v>
      </c>
      <c r="M287" s="358" t="str">
        <f t="shared" si="56"/>
        <v>Mantenimiento de ventanas en aluminio con diseño que incluye celosías cuyas medidas son entre 70 -100 cm de ancho x 120 - 200 cmalto, incluye limpieza de suciedad , rasqueteada de residuos de pintura, salpicadura de oxido (con limpiador industrial apto para aluminio), reparación o reemplazo de elementos deteriorados (perfiles, bisagras, cerraduras, pasadores, etc.) y limpieza de vidrios</v>
      </c>
      <c r="N287" s="340" t="str">
        <f t="shared" si="56"/>
        <v>UND</v>
      </c>
      <c r="O287" s="346">
        <f t="shared" si="56"/>
        <v>16</v>
      </c>
      <c r="P287" s="423">
        <f>+'estudio inicial precios'!P317</f>
        <v>286990</v>
      </c>
      <c r="Q287" s="423">
        <f t="shared" si="58"/>
        <v>4591840</v>
      </c>
    </row>
    <row r="288" spans="1:60" ht="89.25" hidden="1" customHeight="1" outlineLevel="1" x14ac:dyDescent="0.2">
      <c r="A288" s="367" t="s">
        <v>421</v>
      </c>
      <c r="B288" s="358" t="s">
        <v>1493</v>
      </c>
      <c r="C288" s="340" t="s">
        <v>6</v>
      </c>
      <c r="D288" s="346">
        <v>6</v>
      </c>
      <c r="E288" s="412">
        <v>290000</v>
      </c>
      <c r="F288" s="353">
        <f t="shared" si="59"/>
        <v>1740000</v>
      </c>
      <c r="G288" s="412">
        <v>600000</v>
      </c>
      <c r="H288" s="353">
        <f t="shared" si="60"/>
        <v>3600000</v>
      </c>
      <c r="I288" s="1285">
        <f>IFERROR(VLOOKUP(A288,'valores unit indexados'!$A$14:$O$197,15,FALSE),0)</f>
        <v>0</v>
      </c>
      <c r="J288" s="349">
        <f t="shared" si="57"/>
        <v>0</v>
      </c>
      <c r="L288" s="367" t="str">
        <f t="shared" si="56"/>
        <v>E. 1,4</v>
      </c>
      <c r="M288" s="358" t="str">
        <f t="shared" si="56"/>
        <v>Mantenimiento de ventanas en aluminio cuyas medidas son entre 200 - 400 cmde ancho x 200 cm 400 cm alto, incluye limpieza de suciedad , rasqueteada de residuos de pintura, salpicadura de oxido (con limpiador industrial apto para aluminio), reparación o reemplazo de elementos deteriorados (perfiles, bisagras, cerraduras, pasadores, etc.) y limpieza de vidrios</v>
      </c>
      <c r="N288" s="340" t="str">
        <f t="shared" si="56"/>
        <v>UND</v>
      </c>
      <c r="O288" s="346">
        <f t="shared" si="56"/>
        <v>6</v>
      </c>
      <c r="P288" s="423">
        <f>+'estudio inicial precios'!P318</f>
        <v>445000</v>
      </c>
      <c r="Q288" s="423">
        <f t="shared" si="58"/>
        <v>2670000</v>
      </c>
    </row>
    <row r="289" spans="1:60" ht="51" hidden="1" customHeight="1" outlineLevel="1" x14ac:dyDescent="0.2">
      <c r="A289" s="367" t="s">
        <v>422</v>
      </c>
      <c r="B289" s="384" t="s">
        <v>1494</v>
      </c>
      <c r="C289" s="340" t="s">
        <v>6</v>
      </c>
      <c r="D289" s="346">
        <v>5</v>
      </c>
      <c r="E289" s="353">
        <v>280000</v>
      </c>
      <c r="F289" s="353">
        <f>+E289*D289</f>
        <v>1400000</v>
      </c>
      <c r="G289" s="387">
        <v>0</v>
      </c>
      <c r="H289" s="353">
        <f t="shared" si="60"/>
        <v>0</v>
      </c>
      <c r="I289" s="1285">
        <f>IFERROR(VLOOKUP(A289,'valores unit indexados'!$A$14:$O$197,15,FALSE),0)</f>
        <v>0</v>
      </c>
      <c r="J289" s="349">
        <f t="shared" si="57"/>
        <v>0</v>
      </c>
      <c r="L289" s="367" t="str">
        <f t="shared" si="56"/>
        <v>E. 1,5</v>
      </c>
      <c r="M289" s="384" t="str">
        <f t="shared" si="56"/>
        <v>Mantenimiento de puerta metálica cuyas medidas son entre 80 -100 cm de ancho x 170 - 240 cm alto, incluye limpieza de suciedad y oxido, reparación o reemplazo de partes dañadas, aplicación de anticorrosivo y pintura en esmalte de poliuretano</v>
      </c>
      <c r="N289" s="340" t="str">
        <f t="shared" si="56"/>
        <v>UND</v>
      </c>
      <c r="O289" s="346">
        <f t="shared" si="56"/>
        <v>5</v>
      </c>
      <c r="P289" s="423">
        <f>+'estudio inicial precios'!P319</f>
        <v>280000</v>
      </c>
      <c r="Q289" s="423">
        <f t="shared" si="58"/>
        <v>1400000</v>
      </c>
    </row>
    <row r="290" spans="1:60" ht="25.5" hidden="1" customHeight="1" outlineLevel="1" x14ac:dyDescent="0.2">
      <c r="A290" s="367" t="s">
        <v>424</v>
      </c>
      <c r="B290" s="358" t="s">
        <v>425</v>
      </c>
      <c r="C290" s="340" t="s">
        <v>19</v>
      </c>
      <c r="D290" s="346">
        <v>4</v>
      </c>
      <c r="E290" s="353">
        <v>45000</v>
      </c>
      <c r="F290" s="353">
        <f t="shared" ref="F290:F339" si="61">+E290*D290</f>
        <v>180000</v>
      </c>
      <c r="G290" s="387">
        <v>0</v>
      </c>
      <c r="H290" s="353">
        <f t="shared" si="60"/>
        <v>0</v>
      </c>
      <c r="I290" s="1285">
        <f>IFERROR(VLOOKUP(A290,'valores unit indexados'!$A$14:$O$197,15,FALSE),0)</f>
        <v>0</v>
      </c>
      <c r="J290" s="349">
        <f t="shared" si="57"/>
        <v>0</v>
      </c>
      <c r="L290" s="367" t="str">
        <f t="shared" si="56"/>
        <v>E. 1,6</v>
      </c>
      <c r="M290" s="358" t="str">
        <f t="shared" si="56"/>
        <v>Suministro y aplicación de pintura anticorrosiva y aplicación de pintura en esmalte (2 capas) en rejas existentes</v>
      </c>
      <c r="N290" s="340" t="str">
        <f t="shared" si="56"/>
        <v>M2</v>
      </c>
      <c r="O290" s="346">
        <f t="shared" si="56"/>
        <v>4</v>
      </c>
      <c r="P290" s="423">
        <f>+'estudio inicial precios'!P320</f>
        <v>45000</v>
      </c>
      <c r="Q290" s="423">
        <f t="shared" si="58"/>
        <v>180000</v>
      </c>
    </row>
    <row r="291" spans="1:60" ht="51" hidden="1" customHeight="1" outlineLevel="1" x14ac:dyDescent="0.2">
      <c r="A291" s="367" t="s">
        <v>426</v>
      </c>
      <c r="B291" s="384" t="s">
        <v>1495</v>
      </c>
      <c r="C291" s="340" t="s">
        <v>6</v>
      </c>
      <c r="D291" s="346">
        <v>1</v>
      </c>
      <c r="E291" s="353">
        <v>800000</v>
      </c>
      <c r="F291" s="353">
        <f t="shared" si="61"/>
        <v>800000</v>
      </c>
      <c r="G291" s="387">
        <v>0</v>
      </c>
      <c r="H291" s="353">
        <f t="shared" si="60"/>
        <v>0</v>
      </c>
      <c r="I291" s="1285">
        <f>IFERROR(VLOOKUP(A291,'valores unit indexados'!$A$14:$O$197,15,FALSE),0)</f>
        <v>0</v>
      </c>
      <c r="J291" s="349">
        <f t="shared" si="57"/>
        <v>0</v>
      </c>
      <c r="L291" s="367" t="str">
        <f t="shared" si="56"/>
        <v>E. 1,7</v>
      </c>
      <c r="M291" s="384" t="str">
        <f t="shared" si="56"/>
        <v>Mantenimiento de puerta metálica cuyas medidas es 300 cm de ancho x 600 cm alto, incluye limpieza de suciedad y oxido, reparación o reemplazo de partes dañadas, aplicación de anticorrosivo y pintura en esmalte de poliuretano</v>
      </c>
      <c r="N291" s="340" t="str">
        <f t="shared" si="56"/>
        <v>UND</v>
      </c>
      <c r="O291" s="346">
        <f t="shared" si="56"/>
        <v>1</v>
      </c>
      <c r="P291" s="423">
        <f>+'estudio inicial precios'!P321</f>
        <v>800000</v>
      </c>
      <c r="Q291" s="423">
        <f t="shared" si="58"/>
        <v>800000</v>
      </c>
    </row>
    <row r="292" spans="1:60" s="1533" customFormat="1" ht="24.75" hidden="1" customHeight="1" outlineLevel="1" x14ac:dyDescent="0.2">
      <c r="A292" s="1527" t="s">
        <v>428</v>
      </c>
      <c r="B292" s="1528" t="s">
        <v>429</v>
      </c>
      <c r="C292" s="1527"/>
      <c r="D292" s="1529"/>
      <c r="E292" s="1530"/>
      <c r="F292" s="1531">
        <f t="shared" si="61"/>
        <v>0</v>
      </c>
      <c r="G292" s="1530"/>
      <c r="H292" s="1531">
        <f t="shared" si="60"/>
        <v>0</v>
      </c>
      <c r="I292" s="1532"/>
      <c r="J292" s="1527"/>
      <c r="K292" s="1544"/>
      <c r="L292" s="1527" t="str">
        <f t="shared" si="56"/>
        <v>E. 2</v>
      </c>
      <c r="M292" s="1836"/>
      <c r="N292" s="1837"/>
      <c r="O292" s="1837"/>
      <c r="P292" s="1837"/>
      <c r="Q292" s="1838"/>
      <c r="R292" s="1544"/>
      <c r="S292" s="1544"/>
      <c r="T292" s="1544"/>
      <c r="U292" s="1544"/>
      <c r="V292" s="1544"/>
      <c r="W292" s="1544"/>
      <c r="X292" s="1544"/>
      <c r="Y292" s="1544"/>
      <c r="Z292" s="1544"/>
      <c r="AA292" s="1544"/>
      <c r="AB292" s="1544"/>
      <c r="AC292" s="1544"/>
      <c r="AD292" s="1544"/>
      <c r="AE292" s="1544"/>
      <c r="AF292" s="1544"/>
      <c r="AG292" s="1544"/>
      <c r="AH292" s="1544"/>
      <c r="AI292" s="1544"/>
      <c r="AJ292" s="1544"/>
      <c r="AK292" s="1544"/>
      <c r="AL292" s="1544"/>
      <c r="AM292" s="1544"/>
      <c r="AN292" s="1544"/>
      <c r="AO292" s="1544"/>
      <c r="AP292" s="1544"/>
      <c r="AQ292" s="1544"/>
      <c r="AR292" s="1544"/>
      <c r="AS292" s="1544"/>
      <c r="AT292" s="1544"/>
      <c r="AU292" s="1544"/>
      <c r="AV292" s="1544"/>
      <c r="AW292" s="1544"/>
      <c r="AX292" s="1544"/>
      <c r="AY292" s="1544"/>
      <c r="AZ292" s="1544"/>
      <c r="BA292" s="1544"/>
      <c r="BB292" s="1544"/>
      <c r="BC292" s="1544"/>
      <c r="BD292" s="1544"/>
      <c r="BE292" s="1544"/>
      <c r="BF292" s="1544"/>
      <c r="BG292" s="1544"/>
      <c r="BH292" s="1544"/>
    </row>
    <row r="293" spans="1:60" ht="51" hidden="1" customHeight="1" outlineLevel="1" x14ac:dyDescent="0.2">
      <c r="A293" s="354" t="s">
        <v>430</v>
      </c>
      <c r="B293" s="384" t="s">
        <v>431</v>
      </c>
      <c r="C293" s="340" t="s">
        <v>6</v>
      </c>
      <c r="D293" s="346">
        <v>37</v>
      </c>
      <c r="E293" s="353">
        <v>550000</v>
      </c>
      <c r="F293" s="353">
        <f t="shared" si="61"/>
        <v>20350000</v>
      </c>
      <c r="G293" s="349">
        <v>300000</v>
      </c>
      <c r="H293" s="353">
        <f t="shared" si="60"/>
        <v>11100000</v>
      </c>
      <c r="I293" s="1285">
        <f>IFERROR(VLOOKUP(A293,'valores unit indexados'!$A$14:$O$197,15,FALSE),0)</f>
        <v>0</v>
      </c>
      <c r="J293" s="349">
        <f t="shared" si="57"/>
        <v>0</v>
      </c>
      <c r="L293" s="354" t="str">
        <f t="shared" si="56"/>
        <v>E. 2,1</v>
      </c>
      <c r="M293" s="384" t="str">
        <f t="shared" si="56"/>
        <v xml:space="preserve">Mantenimiento de puertas de una nave en madera maciza, cuyas medidas son entre  70 -  105 cm de ancho x 200 cm 260  cm de alto - incluido marco, largueros, travesaños, hojas o panel y cerrajería </v>
      </c>
      <c r="N293" s="340" t="str">
        <f t="shared" si="56"/>
        <v>UND</v>
      </c>
      <c r="O293" s="346">
        <f t="shared" si="56"/>
        <v>37</v>
      </c>
      <c r="P293" s="423">
        <f>+'estudio inicial precios'!P323</f>
        <v>425000</v>
      </c>
      <c r="Q293" s="423">
        <f t="shared" si="58"/>
        <v>15725000</v>
      </c>
    </row>
    <row r="294" spans="1:60" ht="51" hidden="1" customHeight="1" outlineLevel="1" x14ac:dyDescent="0.2">
      <c r="A294" s="367" t="s">
        <v>432</v>
      </c>
      <c r="B294" s="384" t="s">
        <v>1496</v>
      </c>
      <c r="C294" s="340" t="s">
        <v>6</v>
      </c>
      <c r="D294" s="385">
        <v>2</v>
      </c>
      <c r="E294" s="353">
        <v>550000</v>
      </c>
      <c r="F294" s="353">
        <f t="shared" si="61"/>
        <v>1100000</v>
      </c>
      <c r="G294" s="349">
        <v>450000</v>
      </c>
      <c r="H294" s="353">
        <f t="shared" si="60"/>
        <v>900000</v>
      </c>
      <c r="I294" s="1285">
        <f>IFERROR(VLOOKUP(A294,'valores unit indexados'!$A$14:$O$197,15,FALSE),0)</f>
        <v>0</v>
      </c>
      <c r="J294" s="349">
        <f t="shared" si="57"/>
        <v>0</v>
      </c>
      <c r="L294" s="367" t="str">
        <f t="shared" si="56"/>
        <v>E. 2,2</v>
      </c>
      <c r="M294" s="384" t="str">
        <f t="shared" si="56"/>
        <v xml:space="preserve">Mantenimiento de puertas de dos naves en madera maciza, diseño con celosía cuyas medidas son entre  70  a 100 cm de ancho x 190 -240 cm de alto - incluido marco, largueros, travesaños, hojas o panel y cerrajería </v>
      </c>
      <c r="N294" s="340" t="str">
        <f t="shared" si="56"/>
        <v>UND</v>
      </c>
      <c r="O294" s="385">
        <f t="shared" si="56"/>
        <v>2</v>
      </c>
      <c r="P294" s="423">
        <f>+'estudio inicial precios'!P324</f>
        <v>500000</v>
      </c>
      <c r="Q294" s="423">
        <f t="shared" si="58"/>
        <v>1000000</v>
      </c>
    </row>
    <row r="295" spans="1:60" ht="51" hidden="1" customHeight="1" outlineLevel="1" x14ac:dyDescent="0.2">
      <c r="A295" s="354" t="s">
        <v>434</v>
      </c>
      <c r="B295" s="384" t="s">
        <v>435</v>
      </c>
      <c r="C295" s="340" t="s">
        <v>6</v>
      </c>
      <c r="D295" s="385">
        <v>1</v>
      </c>
      <c r="E295" s="353">
        <v>650000</v>
      </c>
      <c r="F295" s="353">
        <f t="shared" si="61"/>
        <v>650000</v>
      </c>
      <c r="G295" s="349">
        <v>490000</v>
      </c>
      <c r="H295" s="353">
        <f t="shared" si="60"/>
        <v>490000</v>
      </c>
      <c r="I295" s="1285">
        <f>IFERROR(VLOOKUP(A295,'valores unit indexados'!$A$14:$O$197,15,FALSE),0)</f>
        <v>0</v>
      </c>
      <c r="J295" s="349">
        <f t="shared" si="57"/>
        <v>0</v>
      </c>
      <c r="L295" s="354" t="str">
        <f t="shared" si="56"/>
        <v>E. 2,3</v>
      </c>
      <c r="M295" s="384" t="str">
        <f t="shared" si="56"/>
        <v xml:space="preserve">Mantenimiento de puertas de dos naves en madera maciza, cuyas medidas son entre  100  a 140 cm de ancho x 200 -260 cm de alto - incluido marco, largueros, travesaños, hojas o panel y cerrajería </v>
      </c>
      <c r="N295" s="340" t="str">
        <f t="shared" si="56"/>
        <v>UND</v>
      </c>
      <c r="O295" s="385">
        <f t="shared" si="56"/>
        <v>1</v>
      </c>
      <c r="P295" s="423">
        <f>+'estudio inicial precios'!P325</f>
        <v>570000</v>
      </c>
      <c r="Q295" s="423">
        <f t="shared" si="58"/>
        <v>570000</v>
      </c>
    </row>
    <row r="296" spans="1:60" ht="51" hidden="1" customHeight="1" outlineLevel="1" x14ac:dyDescent="0.2">
      <c r="A296" s="367" t="s">
        <v>436</v>
      </c>
      <c r="B296" s="384" t="s">
        <v>437</v>
      </c>
      <c r="C296" s="340" t="s">
        <v>6</v>
      </c>
      <c r="D296" s="385">
        <v>15</v>
      </c>
      <c r="E296" s="379">
        <v>700000</v>
      </c>
      <c r="F296" s="379">
        <f t="shared" si="61"/>
        <v>10500000</v>
      </c>
      <c r="G296" s="412">
        <v>2700000</v>
      </c>
      <c r="H296" s="353">
        <f t="shared" si="60"/>
        <v>40500000</v>
      </c>
      <c r="I296" s="1285">
        <f>IFERROR(VLOOKUP(A296,'valores unit indexados'!$A$14:$O$197,15,FALSE),0)</f>
        <v>0</v>
      </c>
      <c r="J296" s="349">
        <f t="shared" si="57"/>
        <v>0</v>
      </c>
      <c r="L296" s="367" t="str">
        <f t="shared" si="56"/>
        <v>E. 2,4</v>
      </c>
      <c r="M296" s="384" t="str">
        <f t="shared" si="56"/>
        <v xml:space="preserve">Mantenimiento de puertas de una nave en madera maciza, con diseño que incluye vidrio cuyas medidas son entre  70  a 100 cm de ancho x 190 -280 cm de alto - incluido marco, largueros, travesaños, hojas o panel y cerrajería </v>
      </c>
      <c r="N296" s="340" t="str">
        <f t="shared" si="56"/>
        <v>UND</v>
      </c>
      <c r="O296" s="385">
        <f t="shared" si="56"/>
        <v>15</v>
      </c>
      <c r="P296" s="423">
        <f>+'estudio inicial precios'!P326</f>
        <v>500000</v>
      </c>
      <c r="Q296" s="423">
        <f t="shared" si="58"/>
        <v>7500000</v>
      </c>
    </row>
    <row r="297" spans="1:60" ht="51" hidden="1" customHeight="1" outlineLevel="1" x14ac:dyDescent="0.2">
      <c r="A297" s="354" t="s">
        <v>438</v>
      </c>
      <c r="B297" s="384" t="s">
        <v>439</v>
      </c>
      <c r="C297" s="340" t="s">
        <v>6</v>
      </c>
      <c r="D297" s="385">
        <v>7</v>
      </c>
      <c r="E297" s="379">
        <v>700000</v>
      </c>
      <c r="F297" s="379">
        <f t="shared" si="61"/>
        <v>4900000</v>
      </c>
      <c r="G297" s="412">
        <v>230000</v>
      </c>
      <c r="H297" s="353">
        <f t="shared" si="60"/>
        <v>1610000</v>
      </c>
      <c r="I297" s="1285">
        <f>IFERROR(VLOOKUP(A297,'valores unit indexados'!$A$14:$O$197,15,FALSE),0)</f>
        <v>0</v>
      </c>
      <c r="J297" s="349">
        <f t="shared" si="57"/>
        <v>0</v>
      </c>
      <c r="L297" s="354" t="str">
        <f t="shared" si="56"/>
        <v>E. 2,5</v>
      </c>
      <c r="M297" s="384" t="str">
        <f t="shared" si="56"/>
        <v xml:space="preserve">Mantenimiento de ventanas en madera con diseño que incluye vidrio, cuyas medidas son entre 70 -  170 cm de ancho x 100 cm 180 cm alto,  incluido marco, largueros, travesaños, hojas o panel y cerrajería </v>
      </c>
      <c r="N297" s="340" t="str">
        <f t="shared" si="56"/>
        <v>UND</v>
      </c>
      <c r="O297" s="385">
        <f t="shared" si="56"/>
        <v>7</v>
      </c>
      <c r="P297" s="423">
        <f>+'estudio inicial precios'!P327</f>
        <v>230000</v>
      </c>
      <c r="Q297" s="423">
        <f t="shared" si="58"/>
        <v>1610000</v>
      </c>
    </row>
    <row r="298" spans="1:60" ht="25.5" hidden="1" customHeight="1" outlineLevel="1" x14ac:dyDescent="0.2">
      <c r="A298" s="354" t="s">
        <v>440</v>
      </c>
      <c r="B298" s="358" t="s">
        <v>441</v>
      </c>
      <c r="C298" s="356" t="s">
        <v>6</v>
      </c>
      <c r="D298" s="385">
        <v>5</v>
      </c>
      <c r="E298" s="379">
        <v>60000</v>
      </c>
      <c r="F298" s="379">
        <f t="shared" si="61"/>
        <v>300000</v>
      </c>
      <c r="G298" s="412">
        <v>65000</v>
      </c>
      <c r="H298" s="353">
        <f t="shared" si="60"/>
        <v>325000</v>
      </c>
      <c r="I298" s="1285">
        <f>IFERROR(VLOOKUP(A298,'valores unit indexados'!$A$14:$O$197,15,FALSE),0)</f>
        <v>0</v>
      </c>
      <c r="J298" s="349">
        <f t="shared" si="57"/>
        <v>0</v>
      </c>
      <c r="L298" s="354" t="str">
        <f t="shared" si="56"/>
        <v>E. 2,6</v>
      </c>
      <c r="M298" s="358" t="str">
        <f t="shared" si="56"/>
        <v>Desmonte de puertas en madera (se refiere a las que no se reinstalaran)</v>
      </c>
      <c r="N298" s="356" t="str">
        <f t="shared" si="56"/>
        <v>UND</v>
      </c>
      <c r="O298" s="385">
        <f t="shared" si="56"/>
        <v>5</v>
      </c>
      <c r="P298" s="423">
        <f>+'estudio inicial precios'!P328</f>
        <v>62500</v>
      </c>
      <c r="Q298" s="423">
        <f t="shared" si="58"/>
        <v>312500</v>
      </c>
    </row>
    <row r="299" spans="1:60" ht="51" hidden="1" customHeight="1" outlineLevel="1" x14ac:dyDescent="0.2">
      <c r="A299" s="354" t="s">
        <v>442</v>
      </c>
      <c r="B299" s="400" t="s">
        <v>443</v>
      </c>
      <c r="C299" s="340" t="s">
        <v>6</v>
      </c>
      <c r="D299" s="385">
        <v>5</v>
      </c>
      <c r="E299" s="379">
        <v>2900000</v>
      </c>
      <c r="F299" s="379">
        <f t="shared" si="61"/>
        <v>14500000</v>
      </c>
      <c r="G299" s="412">
        <v>1100000</v>
      </c>
      <c r="H299" s="353">
        <f t="shared" si="60"/>
        <v>5500000</v>
      </c>
      <c r="I299" s="1285">
        <f>IFERROR(VLOOKUP(A299,'valores unit indexados'!$A$14:$O$197,15,FALSE),0)</f>
        <v>0</v>
      </c>
      <c r="J299" s="349">
        <f t="shared" si="57"/>
        <v>0</v>
      </c>
      <c r="L299" s="354" t="str">
        <f t="shared" si="56"/>
        <v>E. 2,7</v>
      </c>
      <c r="M299" s="400" t="str">
        <f t="shared" si="56"/>
        <v>Suministro e instalación puertas de madera maciza inmunizada y pintada con barniz, cuyas medidas son entre 70  a 100 cm de ancho x 190 -280 conformada por 2 naves diseño igual al existente.</v>
      </c>
      <c r="N299" s="340" t="str">
        <f t="shared" si="56"/>
        <v>UND</v>
      </c>
      <c r="O299" s="385">
        <f t="shared" si="56"/>
        <v>5</v>
      </c>
      <c r="P299" s="423">
        <f>+'estudio inicial precios'!P329</f>
        <v>1100000</v>
      </c>
      <c r="Q299" s="423">
        <f t="shared" si="58"/>
        <v>5500000</v>
      </c>
    </row>
    <row r="300" spans="1:60" s="1533" customFormat="1" ht="24.75" hidden="1" customHeight="1" outlineLevel="1" x14ac:dyDescent="0.2">
      <c r="A300" s="1527" t="s">
        <v>444</v>
      </c>
      <c r="B300" s="1528" t="s">
        <v>234</v>
      </c>
      <c r="C300" s="1527"/>
      <c r="D300" s="1529"/>
      <c r="E300" s="1530"/>
      <c r="F300" s="1531">
        <f t="shared" si="61"/>
        <v>0</v>
      </c>
      <c r="G300" s="1530"/>
      <c r="H300" s="1531">
        <f t="shared" si="60"/>
        <v>0</v>
      </c>
      <c r="I300" s="1532"/>
      <c r="J300" s="1527"/>
      <c r="K300" s="1544"/>
      <c r="L300" s="1527" t="str">
        <f t="shared" si="56"/>
        <v>E. 3</v>
      </c>
      <c r="M300" s="1836"/>
      <c r="N300" s="1837"/>
      <c r="O300" s="1837"/>
      <c r="P300" s="1837"/>
      <c r="Q300" s="1838"/>
      <c r="R300" s="1544"/>
      <c r="S300" s="1544"/>
      <c r="T300" s="1544"/>
      <c r="U300" s="1544"/>
      <c r="V300" s="1544"/>
      <c r="W300" s="1544"/>
      <c r="X300" s="1544"/>
      <c r="Y300" s="1544"/>
      <c r="Z300" s="1544"/>
      <c r="AA300" s="1544"/>
      <c r="AB300" s="1544"/>
      <c r="AC300" s="1544"/>
      <c r="AD300" s="1544"/>
      <c r="AE300" s="1544"/>
      <c r="AF300" s="1544"/>
      <c r="AG300" s="1544"/>
      <c r="AH300" s="1544"/>
      <c r="AI300" s="1544"/>
      <c r="AJ300" s="1544"/>
      <c r="AK300" s="1544"/>
      <c r="AL300" s="1544"/>
      <c r="AM300" s="1544"/>
      <c r="AN300" s="1544"/>
      <c r="AO300" s="1544"/>
      <c r="AP300" s="1544"/>
      <c r="AQ300" s="1544"/>
      <c r="AR300" s="1544"/>
      <c r="AS300" s="1544"/>
      <c r="AT300" s="1544"/>
      <c r="AU300" s="1544"/>
      <c r="AV300" s="1544"/>
      <c r="AW300" s="1544"/>
      <c r="AX300" s="1544"/>
      <c r="AY300" s="1544"/>
      <c r="AZ300" s="1544"/>
      <c r="BA300" s="1544"/>
      <c r="BB300" s="1544"/>
      <c r="BC300" s="1544"/>
      <c r="BD300" s="1544"/>
      <c r="BE300" s="1544"/>
      <c r="BF300" s="1544"/>
      <c r="BG300" s="1544"/>
      <c r="BH300" s="1544"/>
    </row>
    <row r="301" spans="1:60" ht="12.75" hidden="1" customHeight="1" outlineLevel="1" x14ac:dyDescent="0.2">
      <c r="A301" s="381" t="s">
        <v>445</v>
      </c>
      <c r="B301" s="364" t="s">
        <v>84</v>
      </c>
      <c r="C301" s="367" t="s">
        <v>19</v>
      </c>
      <c r="D301" s="385">
        <v>426</v>
      </c>
      <c r="E301" s="353">
        <v>9000</v>
      </c>
      <c r="F301" s="353">
        <f t="shared" si="61"/>
        <v>3834000</v>
      </c>
      <c r="G301" s="349">
        <v>5200</v>
      </c>
      <c r="H301" s="353">
        <f t="shared" si="60"/>
        <v>2215200</v>
      </c>
      <c r="I301" s="1285">
        <f>IFERROR(VLOOKUP(A301,'valores unit indexados'!$A$14:$O$197,15,FALSE),0)</f>
        <v>6890</v>
      </c>
      <c r="J301" s="349">
        <f t="shared" si="57"/>
        <v>2935140</v>
      </c>
      <c r="L301" s="381" t="str">
        <f t="shared" si="56"/>
        <v>E. 3,1</v>
      </c>
      <c r="M301" s="364" t="str">
        <f t="shared" si="56"/>
        <v xml:space="preserve">Rasqueteada de pintura y retiro de mortero en mal estado  </v>
      </c>
      <c r="N301" s="367" t="str">
        <f t="shared" si="56"/>
        <v>M2</v>
      </c>
      <c r="O301" s="385">
        <f t="shared" si="56"/>
        <v>426</v>
      </c>
      <c r="P301" s="423">
        <f>+'estudio inicial precios'!P331</f>
        <v>6630</v>
      </c>
      <c r="Q301" s="423">
        <f t="shared" si="58"/>
        <v>2824380</v>
      </c>
    </row>
    <row r="302" spans="1:60" ht="38.25" hidden="1" customHeight="1" outlineLevel="1" x14ac:dyDescent="0.2">
      <c r="A302" s="386" t="s">
        <v>446</v>
      </c>
      <c r="B302" s="368" t="s">
        <v>86</v>
      </c>
      <c r="C302" s="367" t="s">
        <v>19</v>
      </c>
      <c r="D302" s="385">
        <v>355</v>
      </c>
      <c r="E302" s="353">
        <v>48000</v>
      </c>
      <c r="F302" s="353">
        <f t="shared" si="61"/>
        <v>17040000</v>
      </c>
      <c r="G302" s="349">
        <v>45500</v>
      </c>
      <c r="H302" s="353">
        <f t="shared" si="60"/>
        <v>16152500</v>
      </c>
      <c r="I302" s="1285">
        <f>IFERROR(VLOOKUP(A302,'valores unit indexados'!$A$14:$O$197,15,FALSE),0)</f>
        <v>43614</v>
      </c>
      <c r="J302" s="349">
        <f t="shared" si="57"/>
        <v>15482970</v>
      </c>
      <c r="L302" s="386" t="str">
        <f t="shared" si="56"/>
        <v>E. 3,2</v>
      </c>
      <c r="M302" s="368" t="str">
        <f t="shared" si="56"/>
        <v xml:space="preserve">Suministro e instalación de recubrimiento cementoso (Recubrimiento a base de cemento, arena y aditivos especiales), impermeable para muros color blanco </v>
      </c>
      <c r="N302" s="367" t="str">
        <f t="shared" si="56"/>
        <v>M2</v>
      </c>
      <c r="O302" s="385">
        <f t="shared" si="56"/>
        <v>355</v>
      </c>
      <c r="P302" s="423">
        <f>+'estudio inicial precios'!P332</f>
        <v>45053</v>
      </c>
      <c r="Q302" s="423">
        <f t="shared" si="58"/>
        <v>15993815</v>
      </c>
    </row>
    <row r="303" spans="1:60" ht="12.75" hidden="1" customHeight="1" outlineLevel="1" x14ac:dyDescent="0.2">
      <c r="A303" s="386" t="s">
        <v>447</v>
      </c>
      <c r="B303" s="368" t="s">
        <v>88</v>
      </c>
      <c r="C303" s="367" t="s">
        <v>19</v>
      </c>
      <c r="D303" s="385">
        <v>568</v>
      </c>
      <c r="E303" s="353">
        <v>28000</v>
      </c>
      <c r="F303" s="353">
        <f t="shared" si="61"/>
        <v>15904000</v>
      </c>
      <c r="G303" s="349">
        <v>11700</v>
      </c>
      <c r="H303" s="353">
        <f t="shared" si="60"/>
        <v>6645600</v>
      </c>
      <c r="I303" s="1285">
        <f>IFERROR(VLOOKUP(A303,'valores unit indexados'!$A$14:$O$197,15,FALSE),0)</f>
        <v>24610</v>
      </c>
      <c r="J303" s="349">
        <f t="shared" si="57"/>
        <v>13978480</v>
      </c>
      <c r="L303" s="386" t="str">
        <f t="shared" si="56"/>
        <v>E. 3,3</v>
      </c>
      <c r="M303" s="368" t="str">
        <f t="shared" si="56"/>
        <v xml:space="preserve">Suministro y aplicación de estuco plástico </v>
      </c>
      <c r="N303" s="367" t="str">
        <f t="shared" si="56"/>
        <v>M2</v>
      </c>
      <c r="O303" s="385">
        <f t="shared" si="56"/>
        <v>568</v>
      </c>
      <c r="P303" s="423">
        <f>+'estudio inicial precios'!P333</f>
        <v>26305</v>
      </c>
      <c r="Q303" s="423">
        <f t="shared" si="58"/>
        <v>14941240</v>
      </c>
    </row>
    <row r="304" spans="1:60" ht="12.75" hidden="1" customHeight="1" outlineLevel="1" x14ac:dyDescent="0.2">
      <c r="A304" s="386" t="s">
        <v>448</v>
      </c>
      <c r="B304" s="364" t="s">
        <v>90</v>
      </c>
      <c r="C304" s="367" t="s">
        <v>19</v>
      </c>
      <c r="D304" s="385">
        <v>710</v>
      </c>
      <c r="E304" s="353">
        <v>19000</v>
      </c>
      <c r="F304" s="353">
        <f t="shared" si="61"/>
        <v>13490000</v>
      </c>
      <c r="G304" s="412">
        <v>8710</v>
      </c>
      <c r="H304" s="353">
        <f t="shared" si="60"/>
        <v>6184100</v>
      </c>
      <c r="I304" s="1285">
        <f>IFERROR(VLOOKUP(A304,'valores unit indexados'!$A$14:$O$197,15,FALSE),0)</f>
        <v>0</v>
      </c>
      <c r="J304" s="349">
        <f t="shared" si="57"/>
        <v>0</v>
      </c>
      <c r="L304" s="386" t="str">
        <f t="shared" si="56"/>
        <v>E. 3,4</v>
      </c>
      <c r="M304" s="364" t="str">
        <f t="shared" si="56"/>
        <v>Suministro y aplicación de vinilo tipo 1 (3 manos)</v>
      </c>
      <c r="N304" s="367" t="str">
        <f t="shared" si="56"/>
        <v>M2</v>
      </c>
      <c r="O304" s="385">
        <f t="shared" si="56"/>
        <v>710</v>
      </c>
      <c r="P304" s="423">
        <f>+'estudio inicial precios'!P334</f>
        <v>19000</v>
      </c>
      <c r="Q304" s="423">
        <f t="shared" si="58"/>
        <v>13490000</v>
      </c>
    </row>
    <row r="305" spans="1:60" ht="12.75" hidden="1" customHeight="1" outlineLevel="1" x14ac:dyDescent="0.2">
      <c r="A305" s="386" t="s">
        <v>449</v>
      </c>
      <c r="B305" s="368" t="s">
        <v>92</v>
      </c>
      <c r="C305" s="367" t="s">
        <v>19</v>
      </c>
      <c r="D305" s="385">
        <v>497</v>
      </c>
      <c r="E305" s="353">
        <v>18000</v>
      </c>
      <c r="F305" s="353">
        <f t="shared" si="61"/>
        <v>8946000</v>
      </c>
      <c r="G305" s="412">
        <v>8710</v>
      </c>
      <c r="H305" s="353">
        <f t="shared" si="60"/>
        <v>4328870</v>
      </c>
      <c r="I305" s="1285">
        <f>IFERROR(VLOOKUP(A305,'valores unit indexados'!$A$14:$O$197,15,FALSE),0)</f>
        <v>17005</v>
      </c>
      <c r="J305" s="349">
        <f t="shared" si="57"/>
        <v>8451485</v>
      </c>
      <c r="L305" s="386" t="str">
        <f t="shared" si="56"/>
        <v>E. 3,5</v>
      </c>
      <c r="M305" s="368" t="str">
        <f t="shared" si="56"/>
        <v>Suministro y aplicación de pintura en esmalte</v>
      </c>
      <c r="N305" s="367" t="str">
        <f t="shared" si="56"/>
        <v>M2</v>
      </c>
      <c r="O305" s="385">
        <f t="shared" si="56"/>
        <v>497</v>
      </c>
      <c r="P305" s="423">
        <f>+'estudio inicial precios'!P335</f>
        <v>17503</v>
      </c>
      <c r="Q305" s="423">
        <f t="shared" si="58"/>
        <v>8698991</v>
      </c>
    </row>
    <row r="306" spans="1:60" ht="12.75" hidden="1" customHeight="1" outlineLevel="1" x14ac:dyDescent="0.2">
      <c r="A306" s="386" t="s">
        <v>450</v>
      </c>
      <c r="B306" s="364" t="s">
        <v>94</v>
      </c>
      <c r="C306" s="367" t="s">
        <v>19</v>
      </c>
      <c r="D306" s="385">
        <v>474</v>
      </c>
      <c r="E306" s="353">
        <v>17000</v>
      </c>
      <c r="F306" s="353">
        <f t="shared" si="61"/>
        <v>8058000</v>
      </c>
      <c r="G306" s="412">
        <v>8710</v>
      </c>
      <c r="H306" s="353">
        <f t="shared" si="60"/>
        <v>4128540</v>
      </c>
      <c r="I306" s="1285">
        <f>IFERROR(VLOOKUP(A306,'valores unit indexados'!$A$14:$O$197,15,FALSE),0)</f>
        <v>0</v>
      </c>
      <c r="J306" s="349">
        <f t="shared" si="57"/>
        <v>0</v>
      </c>
      <c r="L306" s="386" t="str">
        <f t="shared" si="56"/>
        <v>E. 3,6</v>
      </c>
      <c r="M306" s="364" t="str">
        <f t="shared" si="56"/>
        <v>Suministro y aplicación de pintura cielo vinilo tipo 1</v>
      </c>
      <c r="N306" s="367" t="str">
        <f t="shared" si="56"/>
        <v>M2</v>
      </c>
      <c r="O306" s="385">
        <f t="shared" si="56"/>
        <v>474</v>
      </c>
      <c r="P306" s="423">
        <f>+'estudio inicial precios'!P336</f>
        <v>17000</v>
      </c>
      <c r="Q306" s="423">
        <f t="shared" si="58"/>
        <v>8058000</v>
      </c>
    </row>
    <row r="307" spans="1:60" ht="12.75" hidden="1" customHeight="1" outlineLevel="1" x14ac:dyDescent="0.2">
      <c r="A307" s="367" t="s">
        <v>451</v>
      </c>
      <c r="B307" s="364" t="s">
        <v>84</v>
      </c>
      <c r="C307" s="367" t="s">
        <v>14</v>
      </c>
      <c r="D307" s="385">
        <v>281</v>
      </c>
      <c r="E307" s="353">
        <v>5400</v>
      </c>
      <c r="F307" s="353">
        <f t="shared" si="61"/>
        <v>1517400</v>
      </c>
      <c r="G307" s="349">
        <v>5200</v>
      </c>
      <c r="H307" s="353">
        <f t="shared" si="60"/>
        <v>1461200</v>
      </c>
      <c r="I307" s="1285">
        <f>IFERROR(VLOOKUP(A307,'valores unit indexados'!$A$14:$O$197,15,FALSE),0)</f>
        <v>0</v>
      </c>
      <c r="J307" s="349">
        <f t="shared" si="57"/>
        <v>0</v>
      </c>
      <c r="L307" s="367" t="str">
        <f t="shared" si="56"/>
        <v>E. 3,7</v>
      </c>
      <c r="M307" s="364" t="str">
        <f t="shared" si="56"/>
        <v xml:space="preserve">Rasqueteada de pintura y retiro de mortero en mal estado  </v>
      </c>
      <c r="N307" s="367" t="str">
        <f t="shared" si="56"/>
        <v>ML</v>
      </c>
      <c r="O307" s="385">
        <f t="shared" si="56"/>
        <v>281</v>
      </c>
      <c r="P307" s="423">
        <f>+'estudio inicial precios'!P337</f>
        <v>4700</v>
      </c>
      <c r="Q307" s="423">
        <f t="shared" si="58"/>
        <v>1320700</v>
      </c>
    </row>
    <row r="308" spans="1:60" ht="38.25" hidden="1" customHeight="1" outlineLevel="1" x14ac:dyDescent="0.2">
      <c r="A308" s="367" t="s">
        <v>452</v>
      </c>
      <c r="B308" s="368" t="s">
        <v>86</v>
      </c>
      <c r="C308" s="367" t="s">
        <v>14</v>
      </c>
      <c r="D308" s="385">
        <v>281</v>
      </c>
      <c r="E308" s="353">
        <v>28800</v>
      </c>
      <c r="F308" s="353">
        <f t="shared" si="61"/>
        <v>8092800</v>
      </c>
      <c r="G308" s="349">
        <v>6500</v>
      </c>
      <c r="H308" s="353">
        <f t="shared" si="60"/>
        <v>1826500</v>
      </c>
      <c r="I308" s="1285">
        <f>IFERROR(VLOOKUP(A308,'valores unit indexados'!$A$14:$O$197,15,FALSE),0)</f>
        <v>0</v>
      </c>
      <c r="J308" s="349">
        <f t="shared" si="57"/>
        <v>0</v>
      </c>
      <c r="L308" s="367" t="str">
        <f t="shared" si="56"/>
        <v>E. 3,8</v>
      </c>
      <c r="M308" s="368" t="str">
        <f t="shared" si="56"/>
        <v xml:space="preserve">Suministro e instalación de recubrimiento cementoso (Recubrimiento a base de cemento, arena y aditivos especiales), impermeable para muros color blanco </v>
      </c>
      <c r="N308" s="367" t="str">
        <f t="shared" si="56"/>
        <v>ML</v>
      </c>
      <c r="O308" s="385">
        <f t="shared" si="56"/>
        <v>281</v>
      </c>
      <c r="P308" s="423">
        <f>+'estudio inicial precios'!P338</f>
        <v>17650</v>
      </c>
      <c r="Q308" s="423">
        <f t="shared" si="58"/>
        <v>4959650</v>
      </c>
    </row>
    <row r="309" spans="1:60" ht="12.75" hidden="1" customHeight="1" outlineLevel="1" x14ac:dyDescent="0.2">
      <c r="A309" s="367" t="s">
        <v>453</v>
      </c>
      <c r="B309" s="368" t="s">
        <v>88</v>
      </c>
      <c r="C309" s="367" t="s">
        <v>14</v>
      </c>
      <c r="D309" s="385">
        <v>351</v>
      </c>
      <c r="E309" s="353">
        <v>16800</v>
      </c>
      <c r="F309" s="353">
        <f t="shared" si="61"/>
        <v>5896800</v>
      </c>
      <c r="G309" s="349">
        <v>11700</v>
      </c>
      <c r="H309" s="353">
        <f t="shared" si="60"/>
        <v>4106700</v>
      </c>
      <c r="I309" s="1285">
        <f>IFERROR(VLOOKUP(A309,'valores unit indexados'!$A$14:$O$197,15,FALSE),0)</f>
        <v>24610</v>
      </c>
      <c r="J309" s="349">
        <f t="shared" si="57"/>
        <v>8638110</v>
      </c>
      <c r="L309" s="367" t="str">
        <f t="shared" si="56"/>
        <v>E. 3,9</v>
      </c>
      <c r="M309" s="368" t="str">
        <f t="shared" si="56"/>
        <v xml:space="preserve">Suministro y aplicación de estuco plástico </v>
      </c>
      <c r="N309" s="367" t="str">
        <f t="shared" si="56"/>
        <v>ML</v>
      </c>
      <c r="O309" s="385">
        <f t="shared" si="56"/>
        <v>351</v>
      </c>
      <c r="P309" s="423">
        <f>+'estudio inicial precios'!P339</f>
        <v>20705</v>
      </c>
      <c r="Q309" s="423">
        <f t="shared" si="58"/>
        <v>7267455</v>
      </c>
    </row>
    <row r="310" spans="1:60" ht="12.75" hidden="1" customHeight="1" outlineLevel="1" x14ac:dyDescent="0.2">
      <c r="A310" s="367" t="s">
        <v>454</v>
      </c>
      <c r="B310" s="368" t="s">
        <v>90</v>
      </c>
      <c r="C310" s="367" t="s">
        <v>14</v>
      </c>
      <c r="D310" s="385">
        <v>351</v>
      </c>
      <c r="E310" s="353">
        <v>11400</v>
      </c>
      <c r="F310" s="353">
        <f t="shared" si="61"/>
        <v>4001400</v>
      </c>
      <c r="G310" s="349">
        <v>8710</v>
      </c>
      <c r="H310" s="353">
        <f t="shared" si="60"/>
        <v>3057210</v>
      </c>
      <c r="I310" s="1285">
        <f>IFERROR(VLOOKUP(A310,'valores unit indexados'!$A$14:$O$197,15,FALSE),0)</f>
        <v>0</v>
      </c>
      <c r="J310" s="349">
        <f t="shared" si="57"/>
        <v>0</v>
      </c>
      <c r="L310" s="367" t="str">
        <f t="shared" si="56"/>
        <v>E. 3,10</v>
      </c>
      <c r="M310" s="368" t="str">
        <f t="shared" si="56"/>
        <v>Suministro y aplicación de vinilo tipo 1 (3 manos)</v>
      </c>
      <c r="N310" s="367" t="str">
        <f t="shared" si="56"/>
        <v>ML</v>
      </c>
      <c r="O310" s="385">
        <f t="shared" si="56"/>
        <v>351</v>
      </c>
      <c r="P310" s="423">
        <f>+'estudio inicial precios'!P340</f>
        <v>11400</v>
      </c>
      <c r="Q310" s="423">
        <f t="shared" si="58"/>
        <v>4001400</v>
      </c>
    </row>
    <row r="311" spans="1:60" ht="12.75" hidden="1" customHeight="1" outlineLevel="1" x14ac:dyDescent="0.2">
      <c r="A311" s="367" t="s">
        <v>455</v>
      </c>
      <c r="B311" s="368" t="s">
        <v>92</v>
      </c>
      <c r="C311" s="367" t="s">
        <v>14</v>
      </c>
      <c r="D311" s="385">
        <v>351</v>
      </c>
      <c r="E311" s="353">
        <v>10800</v>
      </c>
      <c r="F311" s="353">
        <f t="shared" si="61"/>
        <v>3790800</v>
      </c>
      <c r="G311" s="349">
        <v>8710</v>
      </c>
      <c r="H311" s="353">
        <f t="shared" si="60"/>
        <v>3057210</v>
      </c>
      <c r="I311" s="1285">
        <f>IFERROR(VLOOKUP(A311,'valores unit indexados'!$A$14:$O$197,15,FALSE),0)</f>
        <v>0</v>
      </c>
      <c r="J311" s="349">
        <f t="shared" si="57"/>
        <v>0</v>
      </c>
      <c r="L311" s="367" t="str">
        <f t="shared" si="56"/>
        <v>E. 3,11</v>
      </c>
      <c r="M311" s="368" t="str">
        <f t="shared" si="56"/>
        <v>Suministro y aplicación de pintura en esmalte</v>
      </c>
      <c r="N311" s="367" t="str">
        <f t="shared" si="56"/>
        <v>ML</v>
      </c>
      <c r="O311" s="385">
        <f t="shared" si="56"/>
        <v>351</v>
      </c>
      <c r="P311" s="423">
        <f>+'estudio inicial precios'!P341</f>
        <v>8000</v>
      </c>
      <c r="Q311" s="423">
        <f t="shared" si="58"/>
        <v>2808000</v>
      </c>
    </row>
    <row r="312" spans="1:60" s="1533" customFormat="1" ht="24.75" hidden="1" customHeight="1" outlineLevel="1" x14ac:dyDescent="0.2">
      <c r="A312" s="1527" t="s">
        <v>456</v>
      </c>
      <c r="B312" s="1528" t="s">
        <v>457</v>
      </c>
      <c r="C312" s="1527"/>
      <c r="D312" s="1529"/>
      <c r="E312" s="1530"/>
      <c r="F312" s="1531">
        <f t="shared" si="61"/>
        <v>0</v>
      </c>
      <c r="G312" s="1530"/>
      <c r="H312" s="1531">
        <f t="shared" si="60"/>
        <v>0</v>
      </c>
      <c r="I312" s="1532"/>
      <c r="J312" s="1527"/>
      <c r="K312" s="1544"/>
      <c r="L312" s="1527" t="str">
        <f t="shared" si="56"/>
        <v>E. 4</v>
      </c>
      <c r="M312" s="1528" t="str">
        <f t="shared" si="56"/>
        <v xml:space="preserve">Mantenimiento de las redes hidrosanitarias </v>
      </c>
      <c r="N312" s="1527"/>
      <c r="O312" s="1529"/>
      <c r="P312" s="1531"/>
      <c r="Q312" s="1531"/>
      <c r="R312" s="1544"/>
      <c r="S312" s="1544"/>
      <c r="T312" s="1544"/>
      <c r="U312" s="1544"/>
      <c r="V312" s="1544"/>
      <c r="W312" s="1544"/>
      <c r="X312" s="1544"/>
      <c r="Y312" s="1544"/>
      <c r="Z312" s="1544"/>
      <c r="AA312" s="1544"/>
      <c r="AB312" s="1544"/>
      <c r="AC312" s="1544"/>
      <c r="AD312" s="1544"/>
      <c r="AE312" s="1544"/>
      <c r="AF312" s="1544"/>
      <c r="AG312" s="1544"/>
      <c r="AH312" s="1544"/>
      <c r="AI312" s="1544"/>
      <c r="AJ312" s="1544"/>
      <c r="AK312" s="1544"/>
      <c r="AL312" s="1544"/>
      <c r="AM312" s="1544"/>
      <c r="AN312" s="1544"/>
      <c r="AO312" s="1544"/>
      <c r="AP312" s="1544"/>
      <c r="AQ312" s="1544"/>
      <c r="AR312" s="1544"/>
      <c r="AS312" s="1544"/>
      <c r="AT312" s="1544"/>
      <c r="AU312" s="1544"/>
      <c r="AV312" s="1544"/>
      <c r="AW312" s="1544"/>
      <c r="AX312" s="1544"/>
      <c r="AY312" s="1544"/>
      <c r="AZ312" s="1544"/>
      <c r="BA312" s="1544"/>
      <c r="BB312" s="1544"/>
      <c r="BC312" s="1544"/>
      <c r="BD312" s="1544"/>
      <c r="BE312" s="1544"/>
      <c r="BF312" s="1544"/>
      <c r="BG312" s="1544"/>
      <c r="BH312" s="1544"/>
    </row>
    <row r="313" spans="1:60" ht="25.5" hidden="1" customHeight="1" outlineLevel="1" x14ac:dyDescent="0.2">
      <c r="A313" s="386" t="s">
        <v>458</v>
      </c>
      <c r="B313" s="368" t="s">
        <v>459</v>
      </c>
      <c r="C313" s="340" t="s">
        <v>6</v>
      </c>
      <c r="D313" s="385">
        <v>4</v>
      </c>
      <c r="E313" s="379">
        <v>180000</v>
      </c>
      <c r="F313" s="353">
        <f t="shared" si="61"/>
        <v>720000</v>
      </c>
      <c r="G313" s="349">
        <v>12415</v>
      </c>
      <c r="H313" s="353">
        <f t="shared" si="60"/>
        <v>49660</v>
      </c>
      <c r="I313" s="1285">
        <f>IFERROR(VLOOKUP(A313,'valores unit indexados'!$A$14:$O$197,15,FALSE),0)</f>
        <v>0</v>
      </c>
      <c r="J313" s="349">
        <f t="shared" si="57"/>
        <v>0</v>
      </c>
      <c r="L313" s="386" t="str">
        <f t="shared" si="56"/>
        <v>E. 4,1</v>
      </c>
      <c r="M313" s="368" t="str">
        <f t="shared" si="56"/>
        <v>Mantenimiento de cajas de inspección existentes, incluye limpieza, reparación de pañetes y tapa de concreto</v>
      </c>
      <c r="N313" s="340" t="str">
        <f t="shared" si="56"/>
        <v>UND</v>
      </c>
      <c r="O313" s="385">
        <f t="shared" si="56"/>
        <v>4</v>
      </c>
      <c r="P313" s="423">
        <f>+'estudio inicial precios'!P343</f>
        <v>96208</v>
      </c>
      <c r="Q313" s="423">
        <f t="shared" si="58"/>
        <v>384832</v>
      </c>
    </row>
    <row r="314" spans="1:60" ht="25.5" hidden="1" customHeight="1" outlineLevel="1" x14ac:dyDescent="0.2">
      <c r="A314" s="386" t="s">
        <v>460</v>
      </c>
      <c r="B314" s="347" t="s">
        <v>461</v>
      </c>
      <c r="C314" s="340" t="s">
        <v>6</v>
      </c>
      <c r="D314" s="385">
        <v>1</v>
      </c>
      <c r="E314" s="379">
        <v>850000</v>
      </c>
      <c r="F314" s="353">
        <f t="shared" si="61"/>
        <v>850000</v>
      </c>
      <c r="G314" s="349">
        <v>581464</v>
      </c>
      <c r="H314" s="353">
        <f t="shared" si="60"/>
        <v>581464</v>
      </c>
      <c r="I314" s="1285">
        <f>IFERROR(VLOOKUP(A314,'valores unit indexados'!$A$14:$O$197,15,FALSE),0)</f>
        <v>0</v>
      </c>
      <c r="J314" s="349">
        <f t="shared" si="57"/>
        <v>0</v>
      </c>
      <c r="L314" s="386" t="str">
        <f t="shared" si="56"/>
        <v>E. 4,2</v>
      </c>
      <c r="M314" s="347" t="str">
        <f t="shared" si="56"/>
        <v xml:space="preserve">Suministro y fabricación de  caja de aguas negras (100 cm x 100 cm) incluye tapa divida en 2 </v>
      </c>
      <c r="N314" s="340" t="str">
        <f t="shared" si="56"/>
        <v>UND</v>
      </c>
      <c r="O314" s="385">
        <f t="shared" si="56"/>
        <v>1</v>
      </c>
      <c r="P314" s="423">
        <f>+'estudio inicial precios'!P344</f>
        <v>581464</v>
      </c>
      <c r="Q314" s="423">
        <f t="shared" si="58"/>
        <v>581464</v>
      </c>
    </row>
    <row r="315" spans="1:60" ht="12.75" hidden="1" customHeight="1" outlineLevel="1" x14ac:dyDescent="0.2">
      <c r="A315" s="354" t="s">
        <v>462</v>
      </c>
      <c r="B315" s="368" t="s">
        <v>1497</v>
      </c>
      <c r="C315" s="340" t="s">
        <v>150</v>
      </c>
      <c r="D315" s="385">
        <v>25</v>
      </c>
      <c r="E315" s="379">
        <v>25000</v>
      </c>
      <c r="F315" s="353">
        <f t="shared" si="61"/>
        <v>625000</v>
      </c>
      <c r="G315" s="349">
        <v>23478</v>
      </c>
      <c r="H315" s="353">
        <f t="shared" si="60"/>
        <v>586950</v>
      </c>
      <c r="I315" s="1285">
        <f>IFERROR(VLOOKUP(A315,'valores unit indexados'!$A$14:$O$197,15,FALSE),0)</f>
        <v>0</v>
      </c>
      <c r="J315" s="349">
        <f t="shared" si="57"/>
        <v>0</v>
      </c>
      <c r="L315" s="354" t="str">
        <f t="shared" ref="L315:O334" si="62">+A315</f>
        <v>E. 4,3</v>
      </c>
      <c r="M315" s="368" t="str">
        <f t="shared" si="62"/>
        <v>Excavación de tierra a mano para tubería de 6"</v>
      </c>
      <c r="N315" s="340" t="str">
        <f t="shared" si="62"/>
        <v>M3</v>
      </c>
      <c r="O315" s="385">
        <f t="shared" si="62"/>
        <v>25</v>
      </c>
      <c r="P315" s="423">
        <f>+'estudio inicial precios'!P345</f>
        <v>24239</v>
      </c>
      <c r="Q315" s="423">
        <f t="shared" si="58"/>
        <v>605975</v>
      </c>
    </row>
    <row r="316" spans="1:60" ht="12.75" hidden="1" customHeight="1" outlineLevel="1" x14ac:dyDescent="0.2">
      <c r="A316" s="354" t="s">
        <v>464</v>
      </c>
      <c r="B316" s="368" t="s">
        <v>465</v>
      </c>
      <c r="C316" s="340" t="s">
        <v>14</v>
      </c>
      <c r="D316" s="385">
        <v>16</v>
      </c>
      <c r="E316" s="379">
        <v>35000</v>
      </c>
      <c r="F316" s="353">
        <f t="shared" si="61"/>
        <v>560000</v>
      </c>
      <c r="G316" s="349">
        <v>33254</v>
      </c>
      <c r="H316" s="353">
        <f t="shared" si="60"/>
        <v>532064</v>
      </c>
      <c r="I316" s="1285">
        <f>IFERROR(VLOOKUP(A316,'valores unit indexados'!$A$14:$O$197,15,FALSE),0)</f>
        <v>0</v>
      </c>
      <c r="J316" s="349">
        <f t="shared" si="57"/>
        <v>0</v>
      </c>
      <c r="L316" s="354" t="str">
        <f t="shared" si="62"/>
        <v>E. 4,4</v>
      </c>
      <c r="M316" s="368" t="str">
        <f t="shared" si="62"/>
        <v xml:space="preserve">Suministro e instalación de ladrillo sucio </v>
      </c>
      <c r="N316" s="340" t="str">
        <f t="shared" si="62"/>
        <v>ML</v>
      </c>
      <c r="O316" s="385">
        <f t="shared" si="62"/>
        <v>16</v>
      </c>
      <c r="P316" s="423">
        <f>+'estudio inicial precios'!P346</f>
        <v>34127</v>
      </c>
      <c r="Q316" s="423">
        <f t="shared" si="58"/>
        <v>546032</v>
      </c>
    </row>
    <row r="317" spans="1:60" ht="12.75" hidden="1" customHeight="1" outlineLevel="1" x14ac:dyDescent="0.2">
      <c r="A317" s="354" t="s">
        <v>466</v>
      </c>
      <c r="B317" s="368" t="s">
        <v>467</v>
      </c>
      <c r="C317" s="340" t="s">
        <v>14</v>
      </c>
      <c r="D317" s="385">
        <v>16</v>
      </c>
      <c r="E317" s="379">
        <v>16000</v>
      </c>
      <c r="F317" s="353">
        <f t="shared" si="61"/>
        <v>256000</v>
      </c>
      <c r="G317" s="349">
        <v>23000</v>
      </c>
      <c r="H317" s="353">
        <f t="shared" si="60"/>
        <v>368000</v>
      </c>
      <c r="I317" s="1285">
        <f>IFERROR(VLOOKUP(A317,'valores unit indexados'!$A$14:$O$197,15,FALSE),0)</f>
        <v>13382</v>
      </c>
      <c r="J317" s="349">
        <f t="shared" si="57"/>
        <v>214112</v>
      </c>
      <c r="L317" s="354" t="str">
        <f t="shared" si="62"/>
        <v>E. 4,5</v>
      </c>
      <c r="M317" s="368" t="str">
        <f t="shared" si="62"/>
        <v xml:space="preserve">Corte de muro en concreto con pulidora </v>
      </c>
      <c r="N317" s="340" t="str">
        <f t="shared" si="62"/>
        <v>ML</v>
      </c>
      <c r="O317" s="385">
        <f t="shared" si="62"/>
        <v>16</v>
      </c>
      <c r="P317" s="423">
        <f>+'estudio inicial precios'!P347</f>
        <v>17461</v>
      </c>
      <c r="Q317" s="423">
        <f t="shared" si="58"/>
        <v>279376</v>
      </c>
    </row>
    <row r="318" spans="1:60" ht="12.75" hidden="1" customHeight="1" outlineLevel="1" x14ac:dyDescent="0.2">
      <c r="A318" s="354" t="s">
        <v>468</v>
      </c>
      <c r="B318" s="358" t="s">
        <v>469</v>
      </c>
      <c r="C318" s="356" t="s">
        <v>6</v>
      </c>
      <c r="D318" s="385">
        <v>4</v>
      </c>
      <c r="E318" s="379">
        <v>180000</v>
      </c>
      <c r="F318" s="353">
        <f t="shared" si="61"/>
        <v>720000</v>
      </c>
      <c r="G318" s="349">
        <v>88000</v>
      </c>
      <c r="H318" s="353">
        <f t="shared" si="60"/>
        <v>352000</v>
      </c>
      <c r="I318" s="1285">
        <f>IFERROR(VLOOKUP(A318,'valores unit indexados'!$A$14:$O$197,15,FALSE),0)</f>
        <v>0</v>
      </c>
      <c r="J318" s="349">
        <f t="shared" si="57"/>
        <v>0</v>
      </c>
      <c r="L318" s="354" t="str">
        <f t="shared" si="62"/>
        <v>E. 4,6</v>
      </c>
      <c r="M318" s="358" t="str">
        <f t="shared" si="62"/>
        <v>Perforación de piso en concreto 6"</v>
      </c>
      <c r="N318" s="356" t="str">
        <f t="shared" si="62"/>
        <v>UND</v>
      </c>
      <c r="O318" s="385">
        <f t="shared" si="62"/>
        <v>4</v>
      </c>
      <c r="P318" s="423">
        <f>+'estudio inicial precios'!P348</f>
        <v>88000</v>
      </c>
      <c r="Q318" s="423">
        <f t="shared" si="58"/>
        <v>352000</v>
      </c>
    </row>
    <row r="319" spans="1:60" ht="12.75" hidden="1" customHeight="1" outlineLevel="1" x14ac:dyDescent="0.2">
      <c r="A319" s="354" t="s">
        <v>470</v>
      </c>
      <c r="B319" s="347" t="s">
        <v>1498</v>
      </c>
      <c r="C319" s="340" t="s">
        <v>14</v>
      </c>
      <c r="D319" s="385">
        <v>50</v>
      </c>
      <c r="E319" s="353">
        <v>10000</v>
      </c>
      <c r="F319" s="353">
        <f t="shared" si="61"/>
        <v>500000</v>
      </c>
      <c r="G319" s="349">
        <v>12376</v>
      </c>
      <c r="H319" s="353">
        <f t="shared" si="60"/>
        <v>618800</v>
      </c>
      <c r="I319" s="1285">
        <f>IFERROR(VLOOKUP(A319,'valores unit indexados'!$A$14:$O$197,15,FALSE),0)</f>
        <v>0</v>
      </c>
      <c r="J319" s="349">
        <f t="shared" si="57"/>
        <v>0</v>
      </c>
      <c r="L319" s="354" t="str">
        <f t="shared" si="62"/>
        <v>E. 4,7</v>
      </c>
      <c r="M319" s="347" t="str">
        <f t="shared" si="62"/>
        <v>Retiro de tubería PVC existente de 2"  a 6"</v>
      </c>
      <c r="N319" s="340" t="str">
        <f t="shared" si="62"/>
        <v>ML</v>
      </c>
      <c r="O319" s="385">
        <f t="shared" si="62"/>
        <v>50</v>
      </c>
      <c r="P319" s="423">
        <f>+'estudio inicial precios'!P349</f>
        <v>11188</v>
      </c>
      <c r="Q319" s="423">
        <f t="shared" si="58"/>
        <v>559400</v>
      </c>
    </row>
    <row r="320" spans="1:60" ht="12.75" hidden="1" customHeight="1" outlineLevel="1" x14ac:dyDescent="0.2">
      <c r="A320" s="354" t="s">
        <v>472</v>
      </c>
      <c r="B320" s="347" t="s">
        <v>1499</v>
      </c>
      <c r="C320" s="340" t="s">
        <v>474</v>
      </c>
      <c r="D320" s="385">
        <v>25</v>
      </c>
      <c r="E320" s="353">
        <v>12000</v>
      </c>
      <c r="F320" s="353">
        <f t="shared" si="61"/>
        <v>300000</v>
      </c>
      <c r="G320" s="349">
        <v>3510</v>
      </c>
      <c r="H320" s="353">
        <f t="shared" si="60"/>
        <v>87750</v>
      </c>
      <c r="I320" s="1285">
        <f>IFERROR(VLOOKUP(A320,'valores unit indexados'!$A$14:$O$197,15,FALSE),0)</f>
        <v>0</v>
      </c>
      <c r="J320" s="349">
        <f t="shared" si="57"/>
        <v>0</v>
      </c>
      <c r="L320" s="354" t="str">
        <f t="shared" si="62"/>
        <v>E. 4,8</v>
      </c>
      <c r="M320" s="347" t="str">
        <f t="shared" si="62"/>
        <v>Retiro de tubería galvanizada</v>
      </c>
      <c r="N320" s="340" t="str">
        <f t="shared" si="62"/>
        <v xml:space="preserve">ML </v>
      </c>
      <c r="O320" s="385">
        <f t="shared" si="62"/>
        <v>25</v>
      </c>
      <c r="P320" s="423">
        <f>+'estudio inicial precios'!P350</f>
        <v>7755</v>
      </c>
      <c r="Q320" s="423">
        <f t="shared" si="58"/>
        <v>193875</v>
      </c>
    </row>
    <row r="321" spans="1:60" ht="38.25" hidden="1" customHeight="1" outlineLevel="1" x14ac:dyDescent="0.2">
      <c r="A321" s="354" t="s">
        <v>475</v>
      </c>
      <c r="B321" s="347" t="s">
        <v>1500</v>
      </c>
      <c r="C321" s="340" t="s">
        <v>14</v>
      </c>
      <c r="D321" s="385">
        <v>30</v>
      </c>
      <c r="E321" s="353">
        <v>48000</v>
      </c>
      <c r="F321" s="353">
        <f t="shared" si="61"/>
        <v>1440000</v>
      </c>
      <c r="G321" s="349">
        <v>36276.5</v>
      </c>
      <c r="H321" s="353">
        <f t="shared" si="60"/>
        <v>1088295</v>
      </c>
      <c r="I321" s="1285">
        <f>IFERROR(VLOOKUP(A321,'valores unit indexados'!$A$14:$O$197,15,FALSE),0)</f>
        <v>75401</v>
      </c>
      <c r="J321" s="349">
        <f t="shared" si="57"/>
        <v>2262030</v>
      </c>
      <c r="L321" s="354" t="str">
        <f t="shared" si="62"/>
        <v>E. 4,9</v>
      </c>
      <c r="M321" s="347" t="str">
        <f t="shared" si="62"/>
        <v>Suministro e instalación tubería  PVC de 4" con sus respectivos accesorios y elementos de soporte, para su correcto funcionamiento.</v>
      </c>
      <c r="N321" s="340" t="str">
        <f t="shared" si="62"/>
        <v>ML</v>
      </c>
      <c r="O321" s="385">
        <f t="shared" si="62"/>
        <v>30</v>
      </c>
      <c r="P321" s="423">
        <f>+'estudio inicial precios'!P351</f>
        <v>61701</v>
      </c>
      <c r="Q321" s="423">
        <f t="shared" si="58"/>
        <v>1851030</v>
      </c>
    </row>
    <row r="322" spans="1:60" ht="38.25" hidden="1" customHeight="1" outlineLevel="1" x14ac:dyDescent="0.2">
      <c r="A322" s="354" t="s">
        <v>477</v>
      </c>
      <c r="B322" s="347" t="s">
        <v>1501</v>
      </c>
      <c r="C322" s="340" t="s">
        <v>14</v>
      </c>
      <c r="D322" s="385">
        <v>25</v>
      </c>
      <c r="E322" s="353">
        <v>35000</v>
      </c>
      <c r="F322" s="353">
        <f t="shared" si="61"/>
        <v>875000</v>
      </c>
      <c r="G322" s="349">
        <v>15392</v>
      </c>
      <c r="H322" s="353">
        <f t="shared" si="60"/>
        <v>384800</v>
      </c>
      <c r="I322" s="1285">
        <f>IFERROR(VLOOKUP(A322,'valores unit indexados'!$A$14:$O$197,15,FALSE),0)</f>
        <v>0</v>
      </c>
      <c r="J322" s="349">
        <f t="shared" si="57"/>
        <v>0</v>
      </c>
      <c r="L322" s="354" t="str">
        <f t="shared" si="62"/>
        <v>E. 4,10</v>
      </c>
      <c r="M322" s="347" t="str">
        <f t="shared" si="62"/>
        <v>Suministro e instalación tubería en PVC de 1 1/2"" con sus respectivos accesorios y elementos de soporte, para su correcto funcionamiento.</v>
      </c>
      <c r="N322" s="340" t="str">
        <f t="shared" si="62"/>
        <v>ML</v>
      </c>
      <c r="O322" s="385">
        <f t="shared" si="62"/>
        <v>25</v>
      </c>
      <c r="P322" s="423">
        <f>+'estudio inicial precios'!P352</f>
        <v>25196</v>
      </c>
      <c r="Q322" s="423">
        <f t="shared" si="58"/>
        <v>629900</v>
      </c>
    </row>
    <row r="323" spans="1:60" ht="25.5" hidden="1" customHeight="1" outlineLevel="1" x14ac:dyDescent="0.2">
      <c r="A323" s="354" t="s">
        <v>479</v>
      </c>
      <c r="B323" s="347" t="s">
        <v>1502</v>
      </c>
      <c r="C323" s="340" t="s">
        <v>6</v>
      </c>
      <c r="D323" s="385">
        <v>5</v>
      </c>
      <c r="E323" s="353">
        <v>600000</v>
      </c>
      <c r="F323" s="353">
        <f t="shared" si="61"/>
        <v>3000000</v>
      </c>
      <c r="G323" s="349">
        <v>312000</v>
      </c>
      <c r="H323" s="353">
        <f t="shared" si="60"/>
        <v>1560000</v>
      </c>
      <c r="I323" s="1285">
        <f>IFERROR(VLOOKUP(A323,'valores unit indexados'!$A$14:$O$197,15,FALSE),0)</f>
        <v>177946</v>
      </c>
      <c r="J323" s="349">
        <f t="shared" si="57"/>
        <v>889730</v>
      </c>
      <c r="L323" s="354" t="str">
        <f t="shared" si="62"/>
        <v>E. 4,11</v>
      </c>
      <c r="M323" s="347" t="str">
        <f t="shared" si="62"/>
        <v>Suministro e instalación tapa de inspección en aluminio de 60 cm x 120 cm, tipo celosía, incluye marco y pasador</v>
      </c>
      <c r="N323" s="340" t="str">
        <f t="shared" si="62"/>
        <v>UND</v>
      </c>
      <c r="O323" s="385">
        <f t="shared" si="62"/>
        <v>5</v>
      </c>
      <c r="P323" s="423">
        <f>+'estudio inicial precios'!P353</f>
        <v>177946</v>
      </c>
      <c r="Q323" s="423">
        <f t="shared" si="58"/>
        <v>889730</v>
      </c>
    </row>
    <row r="324" spans="1:60" ht="12.75" hidden="1" customHeight="1" outlineLevel="1" x14ac:dyDescent="0.2">
      <c r="A324" s="354" t="s">
        <v>481</v>
      </c>
      <c r="B324" s="364" t="s">
        <v>482</v>
      </c>
      <c r="C324" s="367" t="s">
        <v>150</v>
      </c>
      <c r="D324" s="385">
        <v>2</v>
      </c>
      <c r="E324" s="353">
        <v>120000</v>
      </c>
      <c r="F324" s="353">
        <f t="shared" si="61"/>
        <v>240000</v>
      </c>
      <c r="G324" s="349">
        <v>274603.32899999997</v>
      </c>
      <c r="H324" s="353">
        <f t="shared" si="60"/>
        <v>549206.65799999994</v>
      </c>
      <c r="I324" s="1285">
        <f>IFERROR(VLOOKUP(A324,'valores unit indexados'!$A$14:$O$197,15,FALSE),0)</f>
        <v>0</v>
      </c>
      <c r="J324" s="349">
        <f t="shared" si="57"/>
        <v>0</v>
      </c>
      <c r="L324" s="354" t="str">
        <f t="shared" si="62"/>
        <v>E. 4,12</v>
      </c>
      <c r="M324" s="364" t="str">
        <f t="shared" si="62"/>
        <v>Demolición muro existente incluye retiro</v>
      </c>
      <c r="N324" s="367" t="str">
        <f t="shared" si="62"/>
        <v>M3</v>
      </c>
      <c r="O324" s="385">
        <f t="shared" si="62"/>
        <v>2</v>
      </c>
      <c r="P324" s="423">
        <f>+'estudio inicial precios'!P354</f>
        <v>180000</v>
      </c>
      <c r="Q324" s="423">
        <f t="shared" si="58"/>
        <v>360000</v>
      </c>
    </row>
    <row r="325" spans="1:60" ht="38.25" hidden="1" customHeight="1" outlineLevel="1" x14ac:dyDescent="0.2">
      <c r="A325" s="354" t="s">
        <v>483</v>
      </c>
      <c r="B325" s="347" t="s">
        <v>484</v>
      </c>
      <c r="C325" s="340" t="s">
        <v>14</v>
      </c>
      <c r="D325" s="385">
        <v>15</v>
      </c>
      <c r="E325" s="353">
        <v>35000</v>
      </c>
      <c r="F325" s="353">
        <f t="shared" si="61"/>
        <v>525000</v>
      </c>
      <c r="G325" s="349">
        <v>60500.000000000007</v>
      </c>
      <c r="H325" s="353">
        <f t="shared" si="60"/>
        <v>907500.00000000012</v>
      </c>
      <c r="I325" s="1285">
        <f>IFERROR(VLOOKUP(A325,'valores unit indexados'!$A$14:$O$197,15,FALSE),0)</f>
        <v>0</v>
      </c>
      <c r="J325" s="349">
        <f t="shared" si="57"/>
        <v>0</v>
      </c>
      <c r="L325" s="354" t="str">
        <f t="shared" si="62"/>
        <v>E. 4,13</v>
      </c>
      <c r="M325" s="347" t="str">
        <f t="shared" si="62"/>
        <v>Suministro e instalación bajante aguas lluvias en PVC de 3" con sus respectivos accesorios y elementos de soporte, para su correcto funcionamiento.</v>
      </c>
      <c r="N325" s="340" t="str">
        <f t="shared" si="62"/>
        <v>ML</v>
      </c>
      <c r="O325" s="385">
        <f t="shared" si="62"/>
        <v>15</v>
      </c>
      <c r="P325" s="423">
        <f>+'estudio inicial precios'!P355</f>
        <v>47750</v>
      </c>
      <c r="Q325" s="423">
        <f t="shared" si="58"/>
        <v>716250</v>
      </c>
    </row>
    <row r="326" spans="1:60" ht="38.25" hidden="1" customHeight="1" outlineLevel="1" x14ac:dyDescent="0.2">
      <c r="A326" s="354" t="s">
        <v>485</v>
      </c>
      <c r="B326" s="347" t="s">
        <v>1503</v>
      </c>
      <c r="C326" s="340" t="s">
        <v>14</v>
      </c>
      <c r="D326" s="385">
        <v>15</v>
      </c>
      <c r="E326" s="353">
        <v>15000</v>
      </c>
      <c r="F326" s="353">
        <f t="shared" si="61"/>
        <v>225000</v>
      </c>
      <c r="G326" s="349">
        <v>20000</v>
      </c>
      <c r="H326" s="353">
        <f t="shared" si="60"/>
        <v>300000</v>
      </c>
      <c r="I326" s="1285">
        <f>IFERROR(VLOOKUP(A326,'valores unit indexados'!$A$14:$O$197,15,FALSE),0)</f>
        <v>0</v>
      </c>
      <c r="J326" s="349">
        <f t="shared" si="57"/>
        <v>0</v>
      </c>
      <c r="L326" s="354" t="str">
        <f t="shared" si="62"/>
        <v>E. 4,14</v>
      </c>
      <c r="M326" s="347" t="str">
        <f t="shared" si="62"/>
        <v>Suministro e instalación tubería en PVC de  1/2"" con sus respectivos accesorios y elementos de soporte, para su correcto funcionamiento.</v>
      </c>
      <c r="N326" s="340" t="str">
        <f t="shared" si="62"/>
        <v>ML</v>
      </c>
      <c r="O326" s="385">
        <f t="shared" si="62"/>
        <v>15</v>
      </c>
      <c r="P326" s="423">
        <f>+'estudio inicial precios'!P356</f>
        <v>17500</v>
      </c>
      <c r="Q326" s="423">
        <f t="shared" si="58"/>
        <v>262500</v>
      </c>
    </row>
    <row r="327" spans="1:60" ht="25.5" hidden="1" customHeight="1" outlineLevel="1" x14ac:dyDescent="0.2">
      <c r="A327" s="354" t="s">
        <v>487</v>
      </c>
      <c r="B327" s="347" t="s">
        <v>488</v>
      </c>
      <c r="C327" s="340" t="s">
        <v>6</v>
      </c>
      <c r="D327" s="385">
        <v>2</v>
      </c>
      <c r="E327" s="353">
        <v>200000</v>
      </c>
      <c r="F327" s="353">
        <f t="shared" si="61"/>
        <v>400000</v>
      </c>
      <c r="G327" s="412">
        <v>570401</v>
      </c>
      <c r="H327" s="353">
        <f t="shared" si="60"/>
        <v>1140802</v>
      </c>
      <c r="I327" s="1285">
        <f>IFERROR(VLOOKUP(A327,'valores unit indexados'!$A$14:$O$197,15,FALSE),0)</f>
        <v>0</v>
      </c>
      <c r="J327" s="349">
        <f t="shared" si="57"/>
        <v>0</v>
      </c>
      <c r="L327" s="354" t="str">
        <f t="shared" si="62"/>
        <v>E. 4,15</v>
      </c>
      <c r="M327" s="347" t="str">
        <f t="shared" si="62"/>
        <v>Suministro y fabricación de tapa en concreto para caja de aguas negras (100 cm x 50 cm) incluye marco metálico</v>
      </c>
      <c r="N327" s="340" t="str">
        <f t="shared" si="62"/>
        <v>UND</v>
      </c>
      <c r="O327" s="385">
        <f t="shared" si="62"/>
        <v>2</v>
      </c>
      <c r="P327" s="423">
        <f>+'estudio inicial precios'!P357</f>
        <v>200000</v>
      </c>
      <c r="Q327" s="423">
        <f t="shared" si="58"/>
        <v>400000</v>
      </c>
    </row>
    <row r="328" spans="1:60" ht="12.75" hidden="1" customHeight="1" outlineLevel="1" x14ac:dyDescent="0.2">
      <c r="A328" s="354" t="s">
        <v>489</v>
      </c>
      <c r="B328" s="368" t="s">
        <v>490</v>
      </c>
      <c r="C328" s="340" t="s">
        <v>14</v>
      </c>
      <c r="D328" s="385">
        <v>1</v>
      </c>
      <c r="E328" s="353">
        <v>60000</v>
      </c>
      <c r="F328" s="353">
        <f t="shared" si="61"/>
        <v>60000</v>
      </c>
      <c r="G328" s="349">
        <v>16115.000000000002</v>
      </c>
      <c r="H328" s="353">
        <f t="shared" si="60"/>
        <v>16115.000000000002</v>
      </c>
      <c r="I328" s="1285">
        <f>IFERROR(VLOOKUP(A328,'valores unit indexados'!$A$14:$O$197,15,FALSE),0)</f>
        <v>0</v>
      </c>
      <c r="J328" s="349">
        <f t="shared" si="57"/>
        <v>0</v>
      </c>
      <c r="L328" s="354" t="str">
        <f t="shared" si="62"/>
        <v>E. 4,16</v>
      </c>
      <c r="M328" s="368" t="str">
        <f t="shared" si="62"/>
        <v>Corte de losa  en concreto con pulidora incluye retiro</v>
      </c>
      <c r="N328" s="340" t="str">
        <f t="shared" si="62"/>
        <v>ML</v>
      </c>
      <c r="O328" s="385">
        <f t="shared" si="62"/>
        <v>1</v>
      </c>
      <c r="P328" s="423">
        <f>+'estudio inicial precios'!P358</f>
        <v>16115.000000000002</v>
      </c>
      <c r="Q328" s="423">
        <f t="shared" si="58"/>
        <v>16115.000000000002</v>
      </c>
    </row>
    <row r="329" spans="1:60" ht="12.75" hidden="1" customHeight="1" outlineLevel="1" x14ac:dyDescent="0.2">
      <c r="A329" s="354" t="s">
        <v>491</v>
      </c>
      <c r="B329" s="347" t="s">
        <v>1504</v>
      </c>
      <c r="C329" s="340" t="s">
        <v>14</v>
      </c>
      <c r="D329" s="385">
        <v>25</v>
      </c>
      <c r="E329" s="353">
        <v>98000</v>
      </c>
      <c r="F329" s="353">
        <f t="shared" si="61"/>
        <v>2450000</v>
      </c>
      <c r="G329" s="349">
        <v>58617</v>
      </c>
      <c r="H329" s="353">
        <f t="shared" si="60"/>
        <v>1465425</v>
      </c>
      <c r="I329" s="1285">
        <f>IFERROR(VLOOKUP(A329,'valores unit indexados'!$A$14:$O$197,15,FALSE),0)</f>
        <v>0</v>
      </c>
      <c r="J329" s="349">
        <f t="shared" si="57"/>
        <v>0</v>
      </c>
      <c r="L329" s="354" t="str">
        <f t="shared" si="62"/>
        <v>E. 4,17</v>
      </c>
      <c r="M329" s="347" t="str">
        <f t="shared" si="62"/>
        <v>Suministro e instalación de tubería novafort de 6"</v>
      </c>
      <c r="N329" s="340" t="str">
        <f t="shared" si="62"/>
        <v>ML</v>
      </c>
      <c r="O329" s="385">
        <f t="shared" si="62"/>
        <v>25</v>
      </c>
      <c r="P329" s="423">
        <f>+'estudio inicial precios'!P359</f>
        <v>78309</v>
      </c>
      <c r="Q329" s="423">
        <f t="shared" si="58"/>
        <v>1957725</v>
      </c>
    </row>
    <row r="330" spans="1:60" ht="12.75" hidden="1" customHeight="1" outlineLevel="1" x14ac:dyDescent="0.2">
      <c r="A330" s="354" t="s">
        <v>493</v>
      </c>
      <c r="B330" s="368" t="s">
        <v>494</v>
      </c>
      <c r="C330" s="340" t="s">
        <v>6</v>
      </c>
      <c r="D330" s="385">
        <v>1</v>
      </c>
      <c r="E330" s="353">
        <v>45000</v>
      </c>
      <c r="F330" s="353">
        <f t="shared" si="61"/>
        <v>45000</v>
      </c>
      <c r="G330" s="349">
        <v>22100</v>
      </c>
      <c r="H330" s="353">
        <f t="shared" si="60"/>
        <v>22100</v>
      </c>
      <c r="I330" s="1285">
        <f>IFERROR(VLOOKUP(A330,'valores unit indexados'!$A$14:$O$197,15,FALSE),0)</f>
        <v>0</v>
      </c>
      <c r="J330" s="349">
        <f t="shared" si="57"/>
        <v>0</v>
      </c>
      <c r="L330" s="354" t="str">
        <f t="shared" si="62"/>
        <v>E. 4,18</v>
      </c>
      <c r="M330" s="368" t="str">
        <f t="shared" si="62"/>
        <v>Suministro e instalación de yee de 4" con tapón de inspección</v>
      </c>
      <c r="N330" s="340" t="str">
        <f t="shared" si="62"/>
        <v>UND</v>
      </c>
      <c r="O330" s="385">
        <f t="shared" si="62"/>
        <v>1</v>
      </c>
      <c r="P330" s="423">
        <f>+'estudio inicial precios'!P360</f>
        <v>33550</v>
      </c>
      <c r="Q330" s="423">
        <f t="shared" si="58"/>
        <v>33550</v>
      </c>
    </row>
    <row r="331" spans="1:60" s="1533" customFormat="1" ht="24.75" hidden="1" customHeight="1" outlineLevel="1" x14ac:dyDescent="0.2">
      <c r="A331" s="1527" t="s">
        <v>781</v>
      </c>
      <c r="B331" s="1528" t="s">
        <v>294</v>
      </c>
      <c r="C331" s="1527"/>
      <c r="D331" s="1529"/>
      <c r="E331" s="1530"/>
      <c r="F331" s="1531">
        <f t="shared" si="61"/>
        <v>0</v>
      </c>
      <c r="G331" s="1530"/>
      <c r="H331" s="1531">
        <f t="shared" si="60"/>
        <v>0</v>
      </c>
      <c r="I331" s="1532"/>
      <c r="J331" s="1527"/>
      <c r="K331" s="1544"/>
      <c r="L331" s="1527" t="str">
        <f t="shared" si="62"/>
        <v>E.5</v>
      </c>
      <c r="M331" s="1836"/>
      <c r="N331" s="1837"/>
      <c r="O331" s="1837"/>
      <c r="P331" s="1837"/>
      <c r="Q331" s="1838"/>
      <c r="R331" s="1544"/>
      <c r="S331" s="1544"/>
      <c r="T331" s="1544"/>
      <c r="U331" s="1544"/>
      <c r="V331" s="1544"/>
      <c r="W331" s="1544"/>
      <c r="X331" s="1544"/>
      <c r="Y331" s="1544"/>
      <c r="Z331" s="1544"/>
      <c r="AA331" s="1544"/>
      <c r="AB331" s="1544"/>
      <c r="AC331" s="1544"/>
      <c r="AD331" s="1544"/>
      <c r="AE331" s="1544"/>
      <c r="AF331" s="1544"/>
      <c r="AG331" s="1544"/>
      <c r="AH331" s="1544"/>
      <c r="AI331" s="1544"/>
      <c r="AJ331" s="1544"/>
      <c r="AK331" s="1544"/>
      <c r="AL331" s="1544"/>
      <c r="AM331" s="1544"/>
      <c r="AN331" s="1544"/>
      <c r="AO331" s="1544"/>
      <c r="AP331" s="1544"/>
      <c r="AQ331" s="1544"/>
      <c r="AR331" s="1544"/>
      <c r="AS331" s="1544"/>
      <c r="AT331" s="1544"/>
      <c r="AU331" s="1544"/>
      <c r="AV331" s="1544"/>
      <c r="AW331" s="1544"/>
      <c r="AX331" s="1544"/>
      <c r="AY331" s="1544"/>
      <c r="AZ331" s="1544"/>
      <c r="BA331" s="1544"/>
      <c r="BB331" s="1544"/>
      <c r="BC331" s="1544"/>
      <c r="BD331" s="1544"/>
      <c r="BE331" s="1544"/>
      <c r="BF331" s="1544"/>
      <c r="BG331" s="1544"/>
      <c r="BH331" s="1544"/>
    </row>
    <row r="332" spans="1:60" ht="12.75" hidden="1" customHeight="1" outlineLevel="1" x14ac:dyDescent="0.2">
      <c r="A332" s="386" t="s">
        <v>496</v>
      </c>
      <c r="B332" s="347" t="s">
        <v>195</v>
      </c>
      <c r="C332" s="340" t="s">
        <v>19</v>
      </c>
      <c r="D332" s="385">
        <v>816</v>
      </c>
      <c r="E332" s="353">
        <v>7000</v>
      </c>
      <c r="F332" s="353">
        <f t="shared" si="61"/>
        <v>5712000</v>
      </c>
      <c r="G332" s="349">
        <v>4200</v>
      </c>
      <c r="H332" s="353">
        <f t="shared" si="60"/>
        <v>3427200</v>
      </c>
      <c r="I332" s="1285">
        <f>IFERROR(VLOOKUP(A332,'valores unit indexados'!$A$14:$O$197,15,FALSE),0)</f>
        <v>5300</v>
      </c>
      <c r="J332" s="349">
        <f t="shared" si="57"/>
        <v>4324800</v>
      </c>
      <c r="L332" s="386" t="str">
        <f t="shared" si="62"/>
        <v>E. 5,2</v>
      </c>
      <c r="M332" s="347" t="str">
        <f t="shared" si="62"/>
        <v>Aseo general.</v>
      </c>
      <c r="N332" s="340" t="str">
        <f t="shared" si="62"/>
        <v>M2</v>
      </c>
      <c r="O332" s="385">
        <f t="shared" si="62"/>
        <v>816</v>
      </c>
      <c r="P332" s="423">
        <f>+'estudio inicial precios'!P363</f>
        <v>5500</v>
      </c>
      <c r="Q332" s="423">
        <f t="shared" si="58"/>
        <v>4488000</v>
      </c>
    </row>
    <row r="333" spans="1:60" ht="25.5" hidden="1" customHeight="1" outlineLevel="1" x14ac:dyDescent="0.2">
      <c r="A333" s="386" t="s">
        <v>497</v>
      </c>
      <c r="B333" s="347" t="s">
        <v>1505</v>
      </c>
      <c r="C333" s="356" t="s">
        <v>14</v>
      </c>
      <c r="D333" s="385">
        <v>167</v>
      </c>
      <c r="E333" s="353">
        <v>35000</v>
      </c>
      <c r="F333" s="353">
        <f t="shared" si="61"/>
        <v>5845000</v>
      </c>
      <c r="G333" s="349">
        <v>13146</v>
      </c>
      <c r="H333" s="353">
        <f t="shared" si="60"/>
        <v>2195382</v>
      </c>
      <c r="I333" s="1285">
        <f>IFERROR(VLOOKUP(A333,'valores unit indexados'!$A$14:$O$197,15,FALSE),0)</f>
        <v>0</v>
      </c>
      <c r="J333" s="349">
        <f t="shared" si="57"/>
        <v>0</v>
      </c>
      <c r="L333" s="386" t="str">
        <f t="shared" si="62"/>
        <v>E. 5,3</v>
      </c>
      <c r="M333" s="347" t="str">
        <f t="shared" si="62"/>
        <v>Suministro e instalación de tubería de PVC 1" pintada color fachada</v>
      </c>
      <c r="N333" s="356" t="str">
        <f t="shared" si="62"/>
        <v>ML</v>
      </c>
      <c r="O333" s="385">
        <f t="shared" si="62"/>
        <v>167</v>
      </c>
      <c r="P333" s="423">
        <f>+'estudio inicial precios'!P364</f>
        <v>24073</v>
      </c>
      <c r="Q333" s="423">
        <f t="shared" si="58"/>
        <v>4020191</v>
      </c>
    </row>
    <row r="334" spans="1:60" ht="38.25" hidden="1" customHeight="1" outlineLevel="1" x14ac:dyDescent="0.2">
      <c r="A334" s="386" t="s">
        <v>499</v>
      </c>
      <c r="B334" s="347" t="s">
        <v>500</v>
      </c>
      <c r="C334" s="356" t="s">
        <v>501</v>
      </c>
      <c r="D334" s="385">
        <v>1</v>
      </c>
      <c r="E334" s="353">
        <v>3000000</v>
      </c>
      <c r="F334" s="353">
        <f t="shared" si="61"/>
        <v>3000000</v>
      </c>
      <c r="G334" s="387">
        <v>0</v>
      </c>
      <c r="H334" s="353">
        <f t="shared" si="60"/>
        <v>0</v>
      </c>
      <c r="I334" s="1285">
        <f>IFERROR(VLOOKUP(A334,'valores unit indexados'!$A$14:$O$197,15,FALSE),0)</f>
        <v>0</v>
      </c>
      <c r="J334" s="349">
        <f t="shared" si="57"/>
        <v>0</v>
      </c>
      <c r="L334" s="386" t="str">
        <f t="shared" si="62"/>
        <v>E. 5,4</v>
      </c>
      <c r="M334" s="347" t="str">
        <f t="shared" si="62"/>
        <v>Instalación de pasamanos en acero (existente) incluye elementos de fijación como varilla 1/4", abrazadera. (12 mt de largo)</v>
      </c>
      <c r="N334" s="356" t="str">
        <f t="shared" si="62"/>
        <v xml:space="preserve">UND </v>
      </c>
      <c r="O334" s="385">
        <f t="shared" si="62"/>
        <v>1</v>
      </c>
      <c r="P334" s="423">
        <f>+'estudio inicial precios'!P365</f>
        <v>3000000</v>
      </c>
      <c r="Q334" s="423">
        <f t="shared" si="58"/>
        <v>3000000</v>
      </c>
    </row>
    <row r="335" spans="1:60" s="1533" customFormat="1" ht="24.75" hidden="1" customHeight="1" outlineLevel="1" x14ac:dyDescent="0.2">
      <c r="A335" s="1527" t="s">
        <v>518</v>
      </c>
      <c r="B335" s="1528" t="s">
        <v>1467</v>
      </c>
      <c r="C335" s="1527"/>
      <c r="D335" s="1529"/>
      <c r="E335" s="1530"/>
      <c r="F335" s="1531">
        <f t="shared" si="61"/>
        <v>0</v>
      </c>
      <c r="G335" s="1530"/>
      <c r="H335" s="1531">
        <f t="shared" si="60"/>
        <v>0</v>
      </c>
      <c r="I335" s="1532"/>
      <c r="J335" s="1527"/>
      <c r="K335" s="1544"/>
      <c r="L335" s="1527" t="str">
        <f t="shared" ref="L335:O346" si="63">+A335</f>
        <v>E. 6</v>
      </c>
      <c r="M335" s="1836"/>
      <c r="N335" s="1837"/>
      <c r="O335" s="1837"/>
      <c r="P335" s="1837"/>
      <c r="Q335" s="1838"/>
      <c r="R335" s="1544"/>
      <c r="S335" s="1544"/>
      <c r="T335" s="1544"/>
      <c r="U335" s="1544"/>
      <c r="V335" s="1544"/>
      <c r="W335" s="1544"/>
      <c r="X335" s="1544"/>
      <c r="Y335" s="1544"/>
      <c r="Z335" s="1544"/>
      <c r="AA335" s="1544"/>
      <c r="AB335" s="1544"/>
      <c r="AC335" s="1544"/>
      <c r="AD335" s="1544"/>
      <c r="AE335" s="1544"/>
      <c r="AF335" s="1544"/>
      <c r="AG335" s="1544"/>
      <c r="AH335" s="1544"/>
      <c r="AI335" s="1544"/>
      <c r="AJ335" s="1544"/>
      <c r="AK335" s="1544"/>
      <c r="AL335" s="1544"/>
      <c r="AM335" s="1544"/>
      <c r="AN335" s="1544"/>
      <c r="AO335" s="1544"/>
      <c r="AP335" s="1544"/>
      <c r="AQ335" s="1544"/>
      <c r="AR335" s="1544"/>
      <c r="AS335" s="1544"/>
      <c r="AT335" s="1544"/>
      <c r="AU335" s="1544"/>
      <c r="AV335" s="1544"/>
      <c r="AW335" s="1544"/>
      <c r="AX335" s="1544"/>
      <c r="AY335" s="1544"/>
      <c r="AZ335" s="1544"/>
      <c r="BA335" s="1544"/>
      <c r="BB335" s="1544"/>
      <c r="BC335" s="1544"/>
      <c r="BD335" s="1544"/>
      <c r="BE335" s="1544"/>
      <c r="BF335" s="1544"/>
      <c r="BG335" s="1544"/>
      <c r="BH335" s="1544"/>
    </row>
    <row r="336" spans="1:60" ht="25.5" hidden="1" customHeight="1" outlineLevel="1" x14ac:dyDescent="0.2">
      <c r="A336" s="346" t="s">
        <v>519</v>
      </c>
      <c r="B336" s="358" t="s">
        <v>103</v>
      </c>
      <c r="C336" s="356" t="s">
        <v>19</v>
      </c>
      <c r="D336" s="346">
        <v>10</v>
      </c>
      <c r="E336" s="353">
        <v>130000</v>
      </c>
      <c r="F336" s="353">
        <f t="shared" si="61"/>
        <v>1300000</v>
      </c>
      <c r="G336" s="349">
        <v>122971.77200000001</v>
      </c>
      <c r="H336" s="353">
        <f t="shared" ref="H336:H340" si="64">+G336*D336</f>
        <v>1229717.7200000002</v>
      </c>
      <c r="I336" s="1285">
        <f>IFERROR(VLOOKUP(A336,'valores unit indexados'!$A$14:$O$197,15,FALSE),0)</f>
        <v>113422</v>
      </c>
      <c r="J336" s="349">
        <f t="shared" ref="J336:J340" si="65">+I336*D336</f>
        <v>1134220</v>
      </c>
      <c r="L336" s="346" t="str">
        <f t="shared" si="63"/>
        <v>E. 6,1</v>
      </c>
      <c r="M336" s="358" t="str">
        <f t="shared" si="63"/>
        <v>Suministro e instalación muro en perfilería de 90mm en panel yeso de 1/2 , doble cara insonorizado. Altura piso techo</v>
      </c>
      <c r="N336" s="356" t="str">
        <f t="shared" si="63"/>
        <v>M2</v>
      </c>
      <c r="O336" s="346">
        <f t="shared" si="63"/>
        <v>10</v>
      </c>
      <c r="P336" s="423">
        <f>+'estudio inicial precios'!P380</f>
        <v>122131</v>
      </c>
      <c r="Q336" s="423">
        <f t="shared" ref="Q336:Q340" si="66">+P336*O336</f>
        <v>1221310</v>
      </c>
    </row>
    <row r="337" spans="1:60" ht="12.75" hidden="1" customHeight="1" outlineLevel="1" x14ac:dyDescent="0.2">
      <c r="A337" s="346" t="s">
        <v>520</v>
      </c>
      <c r="B337" s="347" t="s">
        <v>105</v>
      </c>
      <c r="C337" s="356" t="s">
        <v>14</v>
      </c>
      <c r="D337" s="346">
        <v>5</v>
      </c>
      <c r="E337" s="353">
        <v>50000</v>
      </c>
      <c r="F337" s="353">
        <f t="shared" si="61"/>
        <v>250000</v>
      </c>
      <c r="G337" s="349">
        <v>111069.57400000001</v>
      </c>
      <c r="H337" s="353">
        <f t="shared" si="64"/>
        <v>555347.87</v>
      </c>
      <c r="I337" s="1285">
        <f>IFERROR(VLOOKUP(A337,'valores unit indexados'!$A$14:$O$197,15,FALSE),0)</f>
        <v>41152</v>
      </c>
      <c r="J337" s="349">
        <f t="shared" si="65"/>
        <v>205760</v>
      </c>
      <c r="L337" s="346" t="str">
        <f t="shared" si="63"/>
        <v>E. 6,2</v>
      </c>
      <c r="M337" s="347" t="str">
        <f t="shared" si="63"/>
        <v>Suministro e instalación de alma en madera de 88mm</v>
      </c>
      <c r="N337" s="356" t="str">
        <f t="shared" si="63"/>
        <v>ML</v>
      </c>
      <c r="O337" s="346">
        <f t="shared" si="63"/>
        <v>5</v>
      </c>
      <c r="P337" s="423">
        <f>+'estudio inicial precios'!P381</f>
        <v>45576</v>
      </c>
      <c r="Q337" s="423">
        <f t="shared" si="66"/>
        <v>227880</v>
      </c>
    </row>
    <row r="338" spans="1:60" ht="51" hidden="1" customHeight="1" outlineLevel="1" x14ac:dyDescent="0.2">
      <c r="A338" s="346" t="s">
        <v>521</v>
      </c>
      <c r="B338" s="358" t="s">
        <v>1468</v>
      </c>
      <c r="C338" s="356" t="s">
        <v>14</v>
      </c>
      <c r="D338" s="346">
        <v>5</v>
      </c>
      <c r="E338" s="353">
        <v>78000</v>
      </c>
      <c r="F338" s="353">
        <f t="shared" si="61"/>
        <v>390000</v>
      </c>
      <c r="G338" s="349">
        <v>76011.936000000002</v>
      </c>
      <c r="H338" s="353">
        <f t="shared" si="64"/>
        <v>380059.68</v>
      </c>
      <c r="I338" s="1285">
        <f>IFERROR(VLOOKUP(A338,'valores unit indexados'!$A$14:$O$197,15,FALSE),0)</f>
        <v>46346</v>
      </c>
      <c r="J338" s="349">
        <f t="shared" si="65"/>
        <v>231730</v>
      </c>
      <c r="L338" s="346" t="str">
        <f t="shared" si="63"/>
        <v>E. 6,3</v>
      </c>
      <c r="M338" s="358" t="str">
        <f t="shared" si="63"/>
        <v>Suministro e instalación de cartera en panel yeso de 12 cm incluye filos, con estructura galvanizada base 9 cal.24 encintada, masillada y rematada, con acabado en pintura de vinilo</v>
      </c>
      <c r="N338" s="356" t="str">
        <f t="shared" si="63"/>
        <v>ML</v>
      </c>
      <c r="O338" s="346">
        <f t="shared" si="63"/>
        <v>5</v>
      </c>
      <c r="P338" s="423">
        <f>+'estudio inicial precios'!P382</f>
        <v>46346</v>
      </c>
      <c r="Q338" s="423">
        <f t="shared" si="66"/>
        <v>231730</v>
      </c>
    </row>
    <row r="339" spans="1:60" ht="12.75" hidden="1" customHeight="1" outlineLevel="1" x14ac:dyDescent="0.2">
      <c r="A339" s="346" t="s">
        <v>522</v>
      </c>
      <c r="B339" s="347" t="s">
        <v>109</v>
      </c>
      <c r="C339" s="356" t="s">
        <v>14</v>
      </c>
      <c r="D339" s="346">
        <v>8</v>
      </c>
      <c r="E339" s="353">
        <v>50000</v>
      </c>
      <c r="F339" s="353">
        <f t="shared" si="61"/>
        <v>400000</v>
      </c>
      <c r="G339" s="349">
        <v>17277</v>
      </c>
      <c r="H339" s="353">
        <f t="shared" si="64"/>
        <v>138216</v>
      </c>
      <c r="I339" s="1285">
        <f>IFERROR(VLOOKUP(A339,'valores unit indexados'!$A$14:$O$197,15,FALSE),0)</f>
        <v>37101</v>
      </c>
      <c r="J339" s="349">
        <f t="shared" si="65"/>
        <v>296808</v>
      </c>
      <c r="L339" s="346" t="str">
        <f t="shared" si="63"/>
        <v>E. 6,4</v>
      </c>
      <c r="M339" s="347" t="str">
        <f t="shared" si="63"/>
        <v>Suministro e instalación de guarda escoba en pvc</v>
      </c>
      <c r="N339" s="356" t="str">
        <f t="shared" si="63"/>
        <v>ML</v>
      </c>
      <c r="O339" s="346">
        <f t="shared" si="63"/>
        <v>8</v>
      </c>
      <c r="P339" s="423">
        <f>+'estudio inicial precios'!P383</f>
        <v>37101</v>
      </c>
      <c r="Q339" s="423">
        <f t="shared" si="66"/>
        <v>296808</v>
      </c>
    </row>
    <row r="340" spans="1:60" ht="51.75" hidden="1" customHeight="1" outlineLevel="1" thickBot="1" x14ac:dyDescent="0.25">
      <c r="A340" s="346" t="s">
        <v>523</v>
      </c>
      <c r="B340" s="358" t="s">
        <v>111</v>
      </c>
      <c r="C340" s="363" t="s">
        <v>6</v>
      </c>
      <c r="D340" s="346">
        <v>1</v>
      </c>
      <c r="E340" s="353">
        <v>650000</v>
      </c>
      <c r="F340" s="353">
        <f t="shared" ref="F340" si="67">+E340*D340</f>
        <v>650000</v>
      </c>
      <c r="G340" s="349">
        <v>802118.24000000011</v>
      </c>
      <c r="H340" s="353">
        <f t="shared" si="64"/>
        <v>802118.24000000011</v>
      </c>
      <c r="I340" s="1285">
        <f>IFERROR(VLOOKUP(A340,'valores unit indexados'!$A$14:$O$197,15,FALSE),0)</f>
        <v>579485</v>
      </c>
      <c r="J340" s="349">
        <f t="shared" si="65"/>
        <v>579485</v>
      </c>
      <c r="L340" s="346" t="str">
        <f t="shared" si="63"/>
        <v>E. 6,5</v>
      </c>
      <c r="M340" s="358" t="str">
        <f t="shared" si="63"/>
        <v>Suministro e instalación puerta entamborada (diseño similar a las existentes) cuyas medidas son de 80 cms de ancho x 200 cm alto, incluye marco y chapa, inmunización y pintura en Barniz</v>
      </c>
      <c r="N340" s="363" t="str">
        <f t="shared" si="63"/>
        <v>UND</v>
      </c>
      <c r="O340" s="346">
        <f t="shared" si="63"/>
        <v>1</v>
      </c>
      <c r="P340" s="423">
        <f>+'estudio inicial precios'!P384</f>
        <v>614743</v>
      </c>
      <c r="Q340" s="423">
        <f t="shared" si="66"/>
        <v>614743</v>
      </c>
    </row>
    <row r="341" spans="1:60" ht="15.75" collapsed="1" thickBot="1" x14ac:dyDescent="0.3">
      <c r="A341"/>
      <c r="B341"/>
      <c r="C341" s="1712" t="s">
        <v>196</v>
      </c>
      <c r="D341" s="1713"/>
      <c r="E341" s="1714"/>
      <c r="F341" s="1715">
        <f>SUM(F257:F340)</f>
        <v>36035556889.892921</v>
      </c>
      <c r="G341" s="1716"/>
      <c r="H341" s="1715">
        <f>SUM(H257:H340)</f>
        <v>23799481773.896481</v>
      </c>
      <c r="I341" s="1717"/>
      <c r="J341" s="1718">
        <f>SUM(J258:J340)</f>
        <v>7805106834.4800014</v>
      </c>
      <c r="K341" s="1719"/>
      <c r="L341" s="1720"/>
      <c r="M341" s="1721"/>
      <c r="N341" s="1734"/>
      <c r="O341" s="1735"/>
      <c r="P341" s="1713"/>
      <c r="Q341" s="1722">
        <f>SUM(Q285:Q340)</f>
        <v>183863257</v>
      </c>
    </row>
    <row r="342" spans="1:60" ht="15" x14ac:dyDescent="0.25">
      <c r="A342"/>
      <c r="B342"/>
      <c r="C342" s="1706" t="s">
        <v>197</v>
      </c>
      <c r="D342" s="1707"/>
      <c r="E342" s="1708">
        <v>0.25</v>
      </c>
      <c r="F342" s="1709">
        <f>+F$341*E342</f>
        <v>9008889222.4732304</v>
      </c>
      <c r="G342" s="1708">
        <v>0.24</v>
      </c>
      <c r="H342" s="1709">
        <f>+H$341*G342</f>
        <v>5711875625.7351551</v>
      </c>
      <c r="I342" s="1708">
        <v>0</v>
      </c>
      <c r="J342" s="1709">
        <f>+J$341*I342</f>
        <v>0</v>
      </c>
      <c r="L342" s="1298"/>
      <c r="M342" s="1645"/>
      <c r="N342" s="1845" t="str">
        <f t="shared" si="63"/>
        <v xml:space="preserve">ADMINISTRACION </v>
      </c>
      <c r="O342" s="1846"/>
      <c r="P342" s="1710">
        <f>+$C$15</f>
        <v>0.185</v>
      </c>
      <c r="Q342" s="1711">
        <f>ROUND(P342*$Q$341,0)</f>
        <v>34014703</v>
      </c>
    </row>
    <row r="343" spans="1:60" ht="15" x14ac:dyDescent="0.25">
      <c r="A343"/>
      <c r="B343"/>
      <c r="C343" s="1671" t="s">
        <v>198</v>
      </c>
      <c r="D343" s="1672"/>
      <c r="E343" s="375">
        <v>0.02</v>
      </c>
      <c r="F343" s="376">
        <f t="shared" ref="F343:H344" si="68">+F$341*E343</f>
        <v>720711137.79785848</v>
      </c>
      <c r="G343" s="375">
        <v>0.01</v>
      </c>
      <c r="H343" s="376">
        <f t="shared" si="68"/>
        <v>237994817.7389648</v>
      </c>
      <c r="I343" s="375">
        <v>0</v>
      </c>
      <c r="J343" s="376">
        <f t="shared" ref="J343:J344" si="69">+J$341*I343</f>
        <v>0</v>
      </c>
      <c r="L343" s="1298"/>
      <c r="M343" s="1645"/>
      <c r="N343" s="1847" t="str">
        <f t="shared" si="63"/>
        <v xml:space="preserve">IMPREVISTO </v>
      </c>
      <c r="O343" s="1848"/>
      <c r="P343" s="1296">
        <f>+$C$16</f>
        <v>0.02</v>
      </c>
      <c r="Q343" s="1711">
        <f t="shared" ref="Q343:Q344" si="70">ROUND(P343*$Q$341,0)</f>
        <v>3677265</v>
      </c>
    </row>
    <row r="344" spans="1:60" ht="15" x14ac:dyDescent="0.25">
      <c r="A344"/>
      <c r="B344"/>
      <c r="C344" s="1671" t="s">
        <v>199</v>
      </c>
      <c r="D344" s="1672"/>
      <c r="E344" s="375">
        <v>0.05</v>
      </c>
      <c r="F344" s="376">
        <f t="shared" si="68"/>
        <v>1801777844.4946461</v>
      </c>
      <c r="G344" s="375">
        <v>0.05</v>
      </c>
      <c r="H344" s="376">
        <f t="shared" si="68"/>
        <v>1189974088.694824</v>
      </c>
      <c r="I344" s="375">
        <v>0</v>
      </c>
      <c r="J344" s="376">
        <f t="shared" si="69"/>
        <v>0</v>
      </c>
      <c r="L344" s="1298"/>
      <c r="M344" s="1645"/>
      <c r="N344" s="1847" t="str">
        <f t="shared" si="63"/>
        <v>UTILIDAD</v>
      </c>
      <c r="O344" s="1848"/>
      <c r="P344" s="1296">
        <f>+$C$17</f>
        <v>4.4999999999999998E-2</v>
      </c>
      <c r="Q344" s="1711">
        <f t="shared" si="70"/>
        <v>8273847</v>
      </c>
    </row>
    <row r="345" spans="1:60" ht="15.75" thickBot="1" x14ac:dyDescent="0.3">
      <c r="A345"/>
      <c r="B345"/>
      <c r="C345" s="1723" t="s">
        <v>200</v>
      </c>
      <c r="D345" s="1724"/>
      <c r="E345" s="1725">
        <v>0.19</v>
      </c>
      <c r="F345" s="1726">
        <f>+F344*E345</f>
        <v>342337790.45398277</v>
      </c>
      <c r="G345" s="1725">
        <v>0.19</v>
      </c>
      <c r="H345" s="1726">
        <f>+H344*G345</f>
        <v>226095076.85201657</v>
      </c>
      <c r="I345" s="1725">
        <v>0</v>
      </c>
      <c r="J345" s="1726">
        <f>+J344*I345</f>
        <v>0</v>
      </c>
      <c r="L345" s="1298"/>
      <c r="M345" s="1645"/>
      <c r="N345" s="1849" t="str">
        <f t="shared" si="63"/>
        <v xml:space="preserve">IVA SOBRE UTILIDAD </v>
      </c>
      <c r="O345" s="1850"/>
      <c r="P345" s="1727">
        <f>+$C$18</f>
        <v>0.19</v>
      </c>
      <c r="Q345" s="1711">
        <f>ROUND(P345*$Q$344,0)</f>
        <v>1572031</v>
      </c>
    </row>
    <row r="346" spans="1:60" ht="15.75" thickBot="1" x14ac:dyDescent="0.3">
      <c r="A346"/>
      <c r="B346"/>
      <c r="C346" s="1868" t="s">
        <v>201</v>
      </c>
      <c r="D346" s="1869"/>
      <c r="E346" s="1869"/>
      <c r="F346" s="1869">
        <f>SUM(F341:F345)</f>
        <v>47909272885.112633</v>
      </c>
      <c r="G346" s="1869"/>
      <c r="H346" s="1869">
        <f>SUM(H341:H345)</f>
        <v>31165421382.917442</v>
      </c>
      <c r="I346" s="1869"/>
      <c r="J346" s="1869">
        <f>SUM(J341:J345)</f>
        <v>7805106834.4800014</v>
      </c>
      <c r="K346" s="1869"/>
      <c r="L346" s="1869"/>
      <c r="M346" s="1869"/>
      <c r="N346" s="1869" t="str">
        <f t="shared" si="63"/>
        <v xml:space="preserve">VALOR TOTAL INCLUIDO AIU E IVA </v>
      </c>
      <c r="O346" s="1869"/>
      <c r="P346" s="1870"/>
      <c r="Q346" s="1733">
        <f>SUM(Q341:Q345)</f>
        <v>231401103</v>
      </c>
    </row>
    <row r="347" spans="1:60" ht="15.75" thickBot="1" x14ac:dyDescent="0.3">
      <c r="L347" s="1298"/>
      <c r="M347"/>
      <c r="N347"/>
      <c r="O347"/>
      <c r="P347"/>
      <c r="Q347"/>
    </row>
    <row r="348" spans="1:60" ht="13.5" thickBot="1" x14ac:dyDescent="0.25">
      <c r="A348" s="1801" t="s">
        <v>524</v>
      </c>
      <c r="B348" s="1802" t="s">
        <v>525</v>
      </c>
      <c r="C348" s="1802"/>
      <c r="D348" s="1802"/>
      <c r="E348" s="1802"/>
      <c r="F348" s="1802">
        <v>0</v>
      </c>
      <c r="G348" s="1802"/>
      <c r="H348" s="1802">
        <v>0</v>
      </c>
      <c r="I348" s="1802"/>
      <c r="J348" s="1802"/>
      <c r="K348" s="1719"/>
      <c r="L348" s="1803" t="str">
        <f t="shared" ref="L348:O379" si="71">+A348</f>
        <v>F</v>
      </c>
      <c r="M348" s="1853"/>
      <c r="N348" s="1854"/>
      <c r="O348" s="1854"/>
      <c r="P348" s="1854"/>
      <c r="Q348" s="1855"/>
    </row>
    <row r="349" spans="1:60" s="1533" customFormat="1" ht="24.75" hidden="1" customHeight="1" outlineLevel="1" x14ac:dyDescent="0.2">
      <c r="A349" s="1527" t="s">
        <v>526</v>
      </c>
      <c r="B349" s="1528" t="s">
        <v>527</v>
      </c>
      <c r="C349" s="1527"/>
      <c r="D349" s="1529"/>
      <c r="E349" s="1530"/>
      <c r="F349" s="1531"/>
      <c r="G349" s="1530"/>
      <c r="H349" s="1531">
        <v>0</v>
      </c>
      <c r="I349" s="1532"/>
      <c r="J349" s="1527"/>
      <c r="K349" s="1544"/>
      <c r="L349" s="1527" t="str">
        <f t="shared" si="71"/>
        <v>F. 1</v>
      </c>
      <c r="M349" s="1836"/>
      <c r="N349" s="1837"/>
      <c r="O349" s="1837"/>
      <c r="P349" s="1837"/>
      <c r="Q349" s="1838"/>
      <c r="R349" s="1544"/>
      <c r="S349" s="1544"/>
      <c r="T349" s="1544"/>
      <c r="U349" s="1544"/>
      <c r="V349" s="1544"/>
      <c r="W349" s="1544"/>
      <c r="X349" s="1544"/>
      <c r="Y349" s="1544"/>
      <c r="Z349" s="1544"/>
      <c r="AA349" s="1544"/>
      <c r="AB349" s="1544"/>
      <c r="AC349" s="1544"/>
      <c r="AD349" s="1544"/>
      <c r="AE349" s="1544"/>
      <c r="AF349" s="1544"/>
      <c r="AG349" s="1544"/>
      <c r="AH349" s="1544"/>
      <c r="AI349" s="1544"/>
      <c r="AJ349" s="1544"/>
      <c r="AK349" s="1544"/>
      <c r="AL349" s="1544"/>
      <c r="AM349" s="1544"/>
      <c r="AN349" s="1544"/>
      <c r="AO349" s="1544"/>
      <c r="AP349" s="1544"/>
      <c r="AQ349" s="1544"/>
      <c r="AR349" s="1544"/>
      <c r="AS349" s="1544"/>
      <c r="AT349" s="1544"/>
      <c r="AU349" s="1544"/>
      <c r="AV349" s="1544"/>
      <c r="AW349" s="1544"/>
      <c r="AX349" s="1544"/>
      <c r="AY349" s="1544"/>
      <c r="AZ349" s="1544"/>
      <c r="BA349" s="1544"/>
      <c r="BB349" s="1544"/>
      <c r="BC349" s="1544"/>
      <c r="BD349" s="1544"/>
      <c r="BE349" s="1544"/>
      <c r="BF349" s="1544"/>
      <c r="BG349" s="1544"/>
      <c r="BH349" s="1544"/>
    </row>
    <row r="350" spans="1:60" ht="25.5" hidden="1" customHeight="1" outlineLevel="1" x14ac:dyDescent="0.2">
      <c r="A350" s="354" t="s">
        <v>528</v>
      </c>
      <c r="B350" s="358" t="s">
        <v>529</v>
      </c>
      <c r="C350" s="356" t="s">
        <v>19</v>
      </c>
      <c r="D350" s="346">
        <v>22</v>
      </c>
      <c r="E350" s="353">
        <v>12500</v>
      </c>
      <c r="F350" s="353">
        <f>+E350*D350</f>
        <v>275000</v>
      </c>
      <c r="G350" s="387">
        <v>0</v>
      </c>
      <c r="H350" s="387">
        <f>+G350*D350</f>
        <v>0</v>
      </c>
      <c r="I350" s="1285">
        <v>0</v>
      </c>
      <c r="J350" s="349">
        <f t="shared" ref="J350:J379" si="72">+I350*D350</f>
        <v>0</v>
      </c>
      <c r="L350" s="354" t="str">
        <f t="shared" si="71"/>
        <v>F. 1,1</v>
      </c>
      <c r="M350" s="358" t="str">
        <f t="shared" si="71"/>
        <v xml:space="preserve">suministro e instalación de protector sobre fachada en poli sombra, incluye accesorios y elementos para su fijación. </v>
      </c>
      <c r="N350" s="356" t="str">
        <f t="shared" si="71"/>
        <v>M2</v>
      </c>
      <c r="O350" s="346">
        <f t="shared" si="71"/>
        <v>22</v>
      </c>
      <c r="P350" s="423">
        <f>+'estudio inicial precios'!P394</f>
        <v>12500</v>
      </c>
      <c r="Q350" s="423">
        <f t="shared" ref="Q350:Q379" si="73">+P350*O350</f>
        <v>275000</v>
      </c>
    </row>
    <row r="351" spans="1:60" ht="25.5" hidden="1" customHeight="1" outlineLevel="1" x14ac:dyDescent="0.2">
      <c r="A351" s="386" t="s">
        <v>530</v>
      </c>
      <c r="B351" s="358" t="s">
        <v>531</v>
      </c>
      <c r="C351" s="356" t="s">
        <v>19</v>
      </c>
      <c r="D351" s="355">
        <v>395</v>
      </c>
      <c r="E351" s="353">
        <v>14000</v>
      </c>
      <c r="F351" s="353">
        <f t="shared" ref="F351:F379" si="74">+E351*D351</f>
        <v>5530000</v>
      </c>
      <c r="G351" s="349">
        <v>4000</v>
      </c>
      <c r="H351" s="412">
        <f>+G351*D351</f>
        <v>1580000</v>
      </c>
      <c r="I351" s="1285">
        <f>IFERROR(VLOOKUP(A351,'valores unit indexados'!$A$14:$O$197,15,FALSE),0)</f>
        <v>0</v>
      </c>
      <c r="J351" s="349">
        <f t="shared" si="72"/>
        <v>0</v>
      </c>
      <c r="L351" s="386" t="str">
        <f t="shared" si="71"/>
        <v>F. 1,2</v>
      </c>
      <c r="M351" s="358" t="str">
        <f t="shared" si="71"/>
        <v>Lavada de fachada con agua a chorro de aspersión con hipoclorito.(incluye retiro de material extraño y piezas rotas)</v>
      </c>
      <c r="N351" s="356" t="str">
        <f t="shared" si="71"/>
        <v>M2</v>
      </c>
      <c r="O351" s="355">
        <f t="shared" si="71"/>
        <v>395</v>
      </c>
      <c r="P351" s="423">
        <f>+'estudio inicial precios'!P395</f>
        <v>9000</v>
      </c>
      <c r="Q351" s="423">
        <f t="shared" si="73"/>
        <v>3555000</v>
      </c>
    </row>
    <row r="352" spans="1:60" ht="12.75" hidden="1" customHeight="1" outlineLevel="1" x14ac:dyDescent="0.2">
      <c r="A352" s="354" t="s">
        <v>532</v>
      </c>
      <c r="B352" s="358" t="s">
        <v>533</v>
      </c>
      <c r="C352" s="356" t="s">
        <v>19</v>
      </c>
      <c r="D352" s="355">
        <v>245</v>
      </c>
      <c r="E352" s="353">
        <v>9000</v>
      </c>
      <c r="F352" s="353">
        <f t="shared" si="74"/>
        <v>2205000</v>
      </c>
      <c r="G352" s="349">
        <v>4000</v>
      </c>
      <c r="H352" s="412">
        <f t="shared" ref="H352:H379" si="75">+G352*D352</f>
        <v>980000</v>
      </c>
      <c r="I352" s="1285">
        <f>IFERROR(VLOOKUP(A352,'valores unit indexados'!$A$14:$O$197,15,FALSE),0)</f>
        <v>6890</v>
      </c>
      <c r="J352" s="349">
        <f t="shared" si="72"/>
        <v>1688050</v>
      </c>
      <c r="L352" s="354" t="str">
        <f t="shared" si="71"/>
        <v>F. 1,3</v>
      </c>
      <c r="M352" s="358" t="str">
        <f t="shared" si="71"/>
        <v>Rasqueteada de pintura y retiro de material  en mal estado</v>
      </c>
      <c r="N352" s="356" t="str">
        <f t="shared" si="71"/>
        <v>M2</v>
      </c>
      <c r="O352" s="355">
        <f t="shared" si="71"/>
        <v>245</v>
      </c>
      <c r="P352" s="423">
        <f>+'estudio inicial precios'!P396</f>
        <v>6630</v>
      </c>
      <c r="Q352" s="423">
        <f t="shared" si="73"/>
        <v>1624350</v>
      </c>
    </row>
    <row r="353" spans="1:60" ht="38.25" hidden="1" customHeight="1" outlineLevel="1" x14ac:dyDescent="0.2">
      <c r="A353" s="386" t="s">
        <v>534</v>
      </c>
      <c r="B353" s="358" t="s">
        <v>86</v>
      </c>
      <c r="C353" s="356" t="s">
        <v>19</v>
      </c>
      <c r="D353" s="355">
        <v>245</v>
      </c>
      <c r="E353" s="353">
        <v>48000</v>
      </c>
      <c r="F353" s="353">
        <f t="shared" si="74"/>
        <v>11760000</v>
      </c>
      <c r="G353" s="349">
        <v>45500</v>
      </c>
      <c r="H353" s="412">
        <f t="shared" si="75"/>
        <v>11147500</v>
      </c>
      <c r="I353" s="1285">
        <f>IFERROR(VLOOKUP(A353,'valores unit indexados'!$A$14:$O$197,15,FALSE),0)</f>
        <v>43614</v>
      </c>
      <c r="J353" s="349">
        <f t="shared" si="72"/>
        <v>10685430</v>
      </c>
      <c r="L353" s="386" t="str">
        <f t="shared" si="71"/>
        <v>F. 1,4</v>
      </c>
      <c r="M353" s="358" t="str">
        <f t="shared" si="71"/>
        <v xml:space="preserve">Suministro e instalación de recubrimiento cementoso (Recubrimiento a base de cemento, arena y aditivos especiales), impermeable para muros color blanco </v>
      </c>
      <c r="N353" s="356" t="str">
        <f t="shared" si="71"/>
        <v>M2</v>
      </c>
      <c r="O353" s="355">
        <f t="shared" si="71"/>
        <v>245</v>
      </c>
      <c r="P353" s="423">
        <f>+'estudio inicial precios'!P397</f>
        <v>45053</v>
      </c>
      <c r="Q353" s="423">
        <f t="shared" si="73"/>
        <v>11037985</v>
      </c>
    </row>
    <row r="354" spans="1:60" ht="25.5" hidden="1" customHeight="1" outlineLevel="1" x14ac:dyDescent="0.2">
      <c r="A354" s="386" t="s">
        <v>535</v>
      </c>
      <c r="B354" s="358" t="s">
        <v>536</v>
      </c>
      <c r="C354" s="356" t="s">
        <v>19</v>
      </c>
      <c r="D354" s="355">
        <v>350</v>
      </c>
      <c r="E354" s="353">
        <v>14000</v>
      </c>
      <c r="F354" s="353">
        <f t="shared" si="74"/>
        <v>4900000</v>
      </c>
      <c r="G354" s="349">
        <v>15288</v>
      </c>
      <c r="H354" s="412">
        <f t="shared" si="75"/>
        <v>5350800</v>
      </c>
      <c r="I354" s="1285">
        <f>IFERROR(VLOOKUP(A354,'valores unit indexados'!$A$14:$O$197,15,FALSE),0)</f>
        <v>0</v>
      </c>
      <c r="J354" s="349">
        <f t="shared" si="72"/>
        <v>0</v>
      </c>
      <c r="L354" s="386" t="str">
        <f t="shared" si="71"/>
        <v>F. 1,5</v>
      </c>
      <c r="M354" s="358" t="str">
        <f t="shared" si="71"/>
        <v>Suministro y aplicación de sellador para superficie altamente alcalina</v>
      </c>
      <c r="N354" s="356" t="str">
        <f t="shared" si="71"/>
        <v>M2</v>
      </c>
      <c r="O354" s="355">
        <f t="shared" si="71"/>
        <v>350</v>
      </c>
      <c r="P354" s="423">
        <f>+'estudio inicial precios'!P398</f>
        <v>14644</v>
      </c>
      <c r="Q354" s="423">
        <f t="shared" si="73"/>
        <v>5125400</v>
      </c>
    </row>
    <row r="355" spans="1:60" ht="38.25" hidden="1" customHeight="1" outlineLevel="1" x14ac:dyDescent="0.2">
      <c r="A355" s="354" t="s">
        <v>537</v>
      </c>
      <c r="B355" s="358" t="s">
        <v>1506</v>
      </c>
      <c r="C355" s="356" t="s">
        <v>19</v>
      </c>
      <c r="D355" s="355">
        <v>350</v>
      </c>
      <c r="E355" s="353">
        <v>35000</v>
      </c>
      <c r="F355" s="353">
        <f t="shared" si="74"/>
        <v>12250000</v>
      </c>
      <c r="G355" s="349">
        <v>12000</v>
      </c>
      <c r="H355" s="412">
        <f t="shared" si="75"/>
        <v>4200000</v>
      </c>
      <c r="I355" s="1285">
        <f>IFERROR(VLOOKUP(A355,'valores unit indexados'!$A$14:$O$197,15,FALSE),0)</f>
        <v>0</v>
      </c>
      <c r="J355" s="349">
        <f t="shared" si="72"/>
        <v>0</v>
      </c>
      <c r="L355" s="354" t="str">
        <f t="shared" si="71"/>
        <v>F. 1,6</v>
      </c>
      <c r="M355" s="358" t="str">
        <f t="shared" si="71"/>
        <v xml:space="preserve">Suministro y aplicación de pintura acrílica resistente a climas tropicales como la humedad y el calor extremo (para exterior)  a 3 manos </v>
      </c>
      <c r="N355" s="356" t="str">
        <f t="shared" si="71"/>
        <v>M2</v>
      </c>
      <c r="O355" s="355">
        <f t="shared" si="71"/>
        <v>350</v>
      </c>
      <c r="P355" s="423">
        <f>+'estudio inicial precios'!P399</f>
        <v>21500</v>
      </c>
      <c r="Q355" s="423">
        <f t="shared" si="73"/>
        <v>7525000</v>
      </c>
    </row>
    <row r="356" spans="1:60" s="1533" customFormat="1" ht="24.75" hidden="1" customHeight="1" outlineLevel="1" x14ac:dyDescent="0.2">
      <c r="A356" s="1527" t="s">
        <v>539</v>
      </c>
      <c r="B356" s="1528" t="s">
        <v>540</v>
      </c>
      <c r="C356" s="1527"/>
      <c r="D356" s="1529"/>
      <c r="E356" s="1530"/>
      <c r="F356" s="1531">
        <f t="shared" si="74"/>
        <v>0</v>
      </c>
      <c r="G356" s="1530"/>
      <c r="H356" s="1531">
        <f t="shared" si="75"/>
        <v>0</v>
      </c>
      <c r="I356" s="1532"/>
      <c r="J356" s="1527"/>
      <c r="K356" s="1544"/>
      <c r="L356" s="1527" t="str">
        <f t="shared" si="71"/>
        <v>F. 2</v>
      </c>
      <c r="M356" s="1836"/>
      <c r="N356" s="1837"/>
      <c r="O356" s="1837"/>
      <c r="P356" s="1837"/>
      <c r="Q356" s="1838"/>
      <c r="R356" s="1544"/>
      <c r="S356" s="1544"/>
      <c r="T356" s="1544"/>
      <c r="U356" s="1544"/>
      <c r="V356" s="1544"/>
      <c r="W356" s="1544"/>
      <c r="X356" s="1544"/>
      <c r="Y356" s="1544"/>
      <c r="Z356" s="1544"/>
      <c r="AA356" s="1544"/>
      <c r="AB356" s="1544"/>
      <c r="AC356" s="1544"/>
      <c r="AD356" s="1544"/>
      <c r="AE356" s="1544"/>
      <c r="AF356" s="1544"/>
      <c r="AG356" s="1544"/>
      <c r="AH356" s="1544"/>
      <c r="AI356" s="1544"/>
      <c r="AJ356" s="1544"/>
      <c r="AK356" s="1544"/>
      <c r="AL356" s="1544"/>
      <c r="AM356" s="1544"/>
      <c r="AN356" s="1544"/>
      <c r="AO356" s="1544"/>
      <c r="AP356" s="1544"/>
      <c r="AQ356" s="1544"/>
      <c r="AR356" s="1544"/>
      <c r="AS356" s="1544"/>
      <c r="AT356" s="1544"/>
      <c r="AU356" s="1544"/>
      <c r="AV356" s="1544"/>
      <c r="AW356" s="1544"/>
      <c r="AX356" s="1544"/>
      <c r="AY356" s="1544"/>
      <c r="AZ356" s="1544"/>
      <c r="BA356" s="1544"/>
      <c r="BB356" s="1544"/>
      <c r="BC356" s="1544"/>
      <c r="BD356" s="1544"/>
      <c r="BE356" s="1544"/>
      <c r="BF356" s="1544"/>
      <c r="BG356" s="1544"/>
      <c r="BH356" s="1544"/>
    </row>
    <row r="357" spans="1:60" ht="12.75" hidden="1" customHeight="1" outlineLevel="1" x14ac:dyDescent="0.2">
      <c r="A357" s="386" t="s">
        <v>541</v>
      </c>
      <c r="B357" s="358" t="s">
        <v>1507</v>
      </c>
      <c r="C357" s="356" t="s">
        <v>6</v>
      </c>
      <c r="D357" s="346">
        <v>6</v>
      </c>
      <c r="E357" s="353">
        <v>50000</v>
      </c>
      <c r="F357" s="353">
        <f t="shared" si="74"/>
        <v>300000</v>
      </c>
      <c r="G357" s="349">
        <v>65000</v>
      </c>
      <c r="H357" s="412">
        <f t="shared" si="75"/>
        <v>390000</v>
      </c>
      <c r="I357" s="1285">
        <f>IFERROR(VLOOKUP(A357,'valores unit indexados'!$A$14:$O$197,15,FALSE),0)</f>
        <v>0</v>
      </c>
      <c r="J357" s="349">
        <f t="shared" si="72"/>
        <v>0</v>
      </c>
      <c r="L357" s="386" t="str">
        <f t="shared" si="71"/>
        <v>F. 2,1</v>
      </c>
      <c r="M357" s="358" t="str">
        <f t="shared" si="71"/>
        <v>Desmonte de puertas en madera incluye hoja y marco metálico</v>
      </c>
      <c r="N357" s="356" t="str">
        <f t="shared" si="71"/>
        <v>UND</v>
      </c>
      <c r="O357" s="1556">
        <f>+D357-3</f>
        <v>3</v>
      </c>
      <c r="P357" s="423">
        <f>+'estudio inicial precios'!P401</f>
        <v>62500</v>
      </c>
      <c r="Q357" s="423">
        <f t="shared" si="73"/>
        <v>187500</v>
      </c>
    </row>
    <row r="358" spans="1:60" ht="51" hidden="1" customHeight="1" outlineLevel="1" x14ac:dyDescent="0.2">
      <c r="A358" s="354" t="s">
        <v>543</v>
      </c>
      <c r="B358" s="358" t="s">
        <v>544</v>
      </c>
      <c r="C358" s="340" t="s">
        <v>6</v>
      </c>
      <c r="D358" s="346">
        <v>22</v>
      </c>
      <c r="E358" s="353">
        <v>550000</v>
      </c>
      <c r="F358" s="353">
        <f t="shared" si="74"/>
        <v>12100000</v>
      </c>
      <c r="G358" s="349">
        <v>300000</v>
      </c>
      <c r="H358" s="412">
        <f t="shared" si="75"/>
        <v>6600000</v>
      </c>
      <c r="I358" s="1285">
        <f>IFERROR(VLOOKUP(A358,'valores unit indexados'!$A$14:$O$197,15,FALSE),0)</f>
        <v>0</v>
      </c>
      <c r="J358" s="349">
        <f t="shared" si="72"/>
        <v>0</v>
      </c>
      <c r="L358" s="354" t="str">
        <f t="shared" si="71"/>
        <v>F. 2,2</v>
      </c>
      <c r="M358" s="358" t="str">
        <f t="shared" si="71"/>
        <v xml:space="preserve">Mantenimiento de puertas de una nave en madera , cuyas medidas son entre  70  a 90 cm de ancho x 180 -220 cm de alto - incluido marco, largueros, travesaños, hojas o panel y cerrajería </v>
      </c>
      <c r="N358" s="340" t="str">
        <f t="shared" si="71"/>
        <v>UND</v>
      </c>
      <c r="O358" s="346">
        <f t="shared" si="71"/>
        <v>22</v>
      </c>
      <c r="P358" s="423">
        <f>+'estudio inicial precios'!P402</f>
        <v>425000</v>
      </c>
      <c r="Q358" s="423">
        <f t="shared" si="73"/>
        <v>9350000</v>
      </c>
    </row>
    <row r="359" spans="1:60" ht="63.75" hidden="1" customHeight="1" outlineLevel="1" x14ac:dyDescent="0.2">
      <c r="A359" s="386" t="s">
        <v>545</v>
      </c>
      <c r="B359" s="358" t="s">
        <v>546</v>
      </c>
      <c r="C359" s="356" t="s">
        <v>6</v>
      </c>
      <c r="D359" s="355">
        <v>6</v>
      </c>
      <c r="E359" s="379">
        <v>2900000</v>
      </c>
      <c r="F359" s="379">
        <f t="shared" si="74"/>
        <v>17400000</v>
      </c>
      <c r="G359" s="412">
        <v>1100000</v>
      </c>
      <c r="H359" s="412">
        <f t="shared" si="75"/>
        <v>6600000</v>
      </c>
      <c r="I359" s="1285">
        <f>IFERROR(VLOOKUP(A359,'valores unit indexados'!$A$14:$O$197,15,FALSE),0)</f>
        <v>0</v>
      </c>
      <c r="J359" s="349">
        <f t="shared" si="72"/>
        <v>0</v>
      </c>
      <c r="L359" s="386" t="str">
        <f t="shared" si="71"/>
        <v>F. 2,3</v>
      </c>
      <c r="M359" s="358" t="str">
        <f t="shared" si="71"/>
        <v>Suministro e instalación de puerta de una nave de madera, diseño y color igual a las existentes, debidamente lijada, masillada y pintada, cuyas medidas son entre  70 a 100 cm de ancho x 180 -210 cm de alto, incluye marco, tapa luz, bisagras, herrajes y cerradura.</v>
      </c>
      <c r="N359" s="356" t="str">
        <f t="shared" si="71"/>
        <v>UND</v>
      </c>
      <c r="O359" s="1557">
        <f>+D359-3</f>
        <v>3</v>
      </c>
      <c r="P359" s="423">
        <f>+'estudio inicial precios'!P403</f>
        <v>1100000</v>
      </c>
      <c r="Q359" s="423">
        <f t="shared" si="73"/>
        <v>3300000</v>
      </c>
    </row>
    <row r="360" spans="1:60" ht="38.25" hidden="1" customHeight="1" outlineLevel="1" x14ac:dyDescent="0.2">
      <c r="A360" s="354" t="s">
        <v>547</v>
      </c>
      <c r="B360" s="358" t="s">
        <v>1508</v>
      </c>
      <c r="C360" s="356" t="s">
        <v>6</v>
      </c>
      <c r="D360" s="355">
        <v>6</v>
      </c>
      <c r="E360" s="379">
        <v>160000</v>
      </c>
      <c r="F360" s="379">
        <f t="shared" si="74"/>
        <v>960000</v>
      </c>
      <c r="G360" s="412">
        <v>250000</v>
      </c>
      <c r="H360" s="412">
        <f t="shared" si="75"/>
        <v>1500000</v>
      </c>
      <c r="I360" s="1285">
        <f>IFERROR(VLOOKUP(A360,'valores unit indexados'!$A$14:$O$197,15,FALSE),0)</f>
        <v>0</v>
      </c>
      <c r="J360" s="349">
        <f t="shared" si="72"/>
        <v>0</v>
      </c>
      <c r="L360" s="354" t="str">
        <f t="shared" si="71"/>
        <v>F. 2,4</v>
      </c>
      <c r="M360" s="358" t="str">
        <f t="shared" si="71"/>
        <v>Suministro e instalación de marco metálico para puerta en madera de medidas entre  70 a 100 cm de ancho x 180 -210 cm de alto</v>
      </c>
      <c r="N360" s="356" t="str">
        <f t="shared" si="71"/>
        <v>UND</v>
      </c>
      <c r="O360" s="1557">
        <f>+D360-3</f>
        <v>3</v>
      </c>
      <c r="P360" s="423">
        <f>+'estudio inicial precios'!P404</f>
        <v>205000</v>
      </c>
      <c r="Q360" s="423">
        <f t="shared" si="73"/>
        <v>615000</v>
      </c>
    </row>
    <row r="361" spans="1:60" ht="12.75" hidden="1" customHeight="1" outlineLevel="1" x14ac:dyDescent="0.2">
      <c r="A361" s="386" t="s">
        <v>549</v>
      </c>
      <c r="B361" s="358" t="s">
        <v>550</v>
      </c>
      <c r="C361" s="356" t="s">
        <v>6</v>
      </c>
      <c r="D361" s="355">
        <v>12</v>
      </c>
      <c r="E361" s="353">
        <v>105000</v>
      </c>
      <c r="F361" s="353">
        <f t="shared" si="74"/>
        <v>1260000</v>
      </c>
      <c r="G361" s="349">
        <v>65000</v>
      </c>
      <c r="H361" s="412">
        <f t="shared" si="75"/>
        <v>780000</v>
      </c>
      <c r="I361" s="1285">
        <f>IFERROR(VLOOKUP(A361,'valores unit indexados'!$A$14:$O$197,15,FALSE),0)</f>
        <v>0</v>
      </c>
      <c r="J361" s="349">
        <f t="shared" si="72"/>
        <v>0</v>
      </c>
      <c r="L361" s="386" t="str">
        <f t="shared" si="71"/>
        <v>F. 2,5</v>
      </c>
      <c r="M361" s="358" t="str">
        <f t="shared" si="71"/>
        <v xml:space="preserve">Suministro e instalación de chapa bola para puerta en madera </v>
      </c>
      <c r="N361" s="356" t="str">
        <f t="shared" si="71"/>
        <v>UND</v>
      </c>
      <c r="O361" s="355">
        <f t="shared" si="71"/>
        <v>12</v>
      </c>
      <c r="P361" s="423">
        <f>+'estudio inicial precios'!P405</f>
        <v>85000</v>
      </c>
      <c r="Q361" s="423">
        <f t="shared" si="73"/>
        <v>1020000</v>
      </c>
    </row>
    <row r="362" spans="1:60" s="1533" customFormat="1" ht="24.75" hidden="1" customHeight="1" outlineLevel="1" x14ac:dyDescent="0.2">
      <c r="A362" s="1527" t="s">
        <v>551</v>
      </c>
      <c r="B362" s="1528" t="s">
        <v>234</v>
      </c>
      <c r="C362" s="1527"/>
      <c r="D362" s="1529"/>
      <c r="E362" s="1530"/>
      <c r="F362" s="1531">
        <f t="shared" si="74"/>
        <v>0</v>
      </c>
      <c r="G362" s="1530"/>
      <c r="H362" s="1531">
        <f t="shared" si="75"/>
        <v>0</v>
      </c>
      <c r="I362" s="1532"/>
      <c r="J362" s="1527"/>
      <c r="K362" s="1544"/>
      <c r="L362" s="1527" t="str">
        <f t="shared" si="71"/>
        <v>F. 3</v>
      </c>
      <c r="M362" s="1836"/>
      <c r="N362" s="1837"/>
      <c r="O362" s="1837"/>
      <c r="P362" s="1837"/>
      <c r="Q362" s="1838"/>
      <c r="R362" s="1544"/>
      <c r="S362" s="1544"/>
      <c r="T362" s="1544"/>
      <c r="U362" s="1544"/>
      <c r="V362" s="1544"/>
      <c r="W362" s="1544"/>
      <c r="X362" s="1544"/>
      <c r="Y362" s="1544"/>
      <c r="Z362" s="1544"/>
      <c r="AA362" s="1544"/>
      <c r="AB362" s="1544"/>
      <c r="AC362" s="1544"/>
      <c r="AD362" s="1544"/>
      <c r="AE362" s="1544"/>
      <c r="AF362" s="1544"/>
      <c r="AG362" s="1544"/>
      <c r="AH362" s="1544"/>
      <c r="AI362" s="1544"/>
      <c r="AJ362" s="1544"/>
      <c r="AK362" s="1544"/>
      <c r="AL362" s="1544"/>
      <c r="AM362" s="1544"/>
      <c r="AN362" s="1544"/>
      <c r="AO362" s="1544"/>
      <c r="AP362" s="1544"/>
      <c r="AQ362" s="1544"/>
      <c r="AR362" s="1544"/>
      <c r="AS362" s="1544"/>
      <c r="AT362" s="1544"/>
      <c r="AU362" s="1544"/>
      <c r="AV362" s="1544"/>
      <c r="AW362" s="1544"/>
      <c r="AX362" s="1544"/>
      <c r="AY362" s="1544"/>
      <c r="AZ362" s="1544"/>
      <c r="BA362" s="1544"/>
      <c r="BB362" s="1544"/>
      <c r="BC362" s="1544"/>
      <c r="BD362" s="1544"/>
      <c r="BE362" s="1544"/>
      <c r="BF362" s="1544"/>
      <c r="BG362" s="1544"/>
      <c r="BH362" s="1544"/>
    </row>
    <row r="363" spans="1:60" ht="12.75" hidden="1" customHeight="1" outlineLevel="1" x14ac:dyDescent="0.2">
      <c r="A363" s="354" t="s">
        <v>552</v>
      </c>
      <c r="B363" s="364" t="s">
        <v>84</v>
      </c>
      <c r="C363" s="367" t="s">
        <v>19</v>
      </c>
      <c r="D363" s="346">
        <v>191</v>
      </c>
      <c r="E363" s="353">
        <v>9000</v>
      </c>
      <c r="F363" s="353">
        <f t="shared" si="74"/>
        <v>1719000</v>
      </c>
      <c r="G363" s="349">
        <v>5200</v>
      </c>
      <c r="H363" s="412">
        <f t="shared" si="75"/>
        <v>993200</v>
      </c>
      <c r="I363" s="1285">
        <f>IFERROR(VLOOKUP(A363,'valores unit indexados'!$A$14:$O$197,15,FALSE),0)</f>
        <v>6890</v>
      </c>
      <c r="J363" s="349">
        <f t="shared" si="72"/>
        <v>1315990</v>
      </c>
      <c r="L363" s="354" t="str">
        <f t="shared" si="71"/>
        <v>F. 3,1</v>
      </c>
      <c r="M363" s="364" t="str">
        <f t="shared" si="71"/>
        <v xml:space="preserve">Rasqueteada de pintura y retiro de mortero en mal estado  </v>
      </c>
      <c r="N363" s="367" t="str">
        <f t="shared" si="71"/>
        <v>M2</v>
      </c>
      <c r="O363" s="346">
        <f t="shared" si="71"/>
        <v>191</v>
      </c>
      <c r="P363" s="423">
        <f>+'estudio inicial precios'!P407</f>
        <v>6630</v>
      </c>
      <c r="Q363" s="423">
        <f t="shared" si="73"/>
        <v>1266330</v>
      </c>
    </row>
    <row r="364" spans="1:60" ht="38.25" hidden="1" customHeight="1" outlineLevel="1" x14ac:dyDescent="0.2">
      <c r="A364" s="386" t="s">
        <v>553</v>
      </c>
      <c r="B364" s="368" t="s">
        <v>86</v>
      </c>
      <c r="C364" s="367" t="s">
        <v>19</v>
      </c>
      <c r="D364" s="346">
        <v>191</v>
      </c>
      <c r="E364" s="353">
        <v>48000</v>
      </c>
      <c r="F364" s="353">
        <f t="shared" si="74"/>
        <v>9168000</v>
      </c>
      <c r="G364" s="349">
        <v>45500</v>
      </c>
      <c r="H364" s="412">
        <f t="shared" si="75"/>
        <v>8690500</v>
      </c>
      <c r="I364" s="1285">
        <f>IFERROR(VLOOKUP(A364,'valores unit indexados'!$A$14:$O$197,15,FALSE),0)</f>
        <v>43614</v>
      </c>
      <c r="J364" s="349">
        <f t="shared" si="72"/>
        <v>8330274</v>
      </c>
      <c r="L364" s="386" t="str">
        <f t="shared" si="71"/>
        <v>F. 3,2</v>
      </c>
      <c r="M364" s="368" t="str">
        <f t="shared" si="71"/>
        <v xml:space="preserve">Suministro e instalación de recubrimiento cementoso (Recubrimiento a base de cemento, arena y aditivos especiales), impermeable para muros color blanco </v>
      </c>
      <c r="N364" s="367" t="str">
        <f t="shared" si="71"/>
        <v>M2</v>
      </c>
      <c r="O364" s="346">
        <f t="shared" si="71"/>
        <v>191</v>
      </c>
      <c r="P364" s="423">
        <f>+'estudio inicial precios'!P408</f>
        <v>45053</v>
      </c>
      <c r="Q364" s="423">
        <f t="shared" si="73"/>
        <v>8605123</v>
      </c>
    </row>
    <row r="365" spans="1:60" ht="12.75" hidden="1" customHeight="1" outlineLevel="1" x14ac:dyDescent="0.2">
      <c r="A365" s="354" t="s">
        <v>554</v>
      </c>
      <c r="B365" s="368" t="s">
        <v>88</v>
      </c>
      <c r="C365" s="367" t="s">
        <v>19</v>
      </c>
      <c r="D365" s="346">
        <v>239</v>
      </c>
      <c r="E365" s="353">
        <v>28000</v>
      </c>
      <c r="F365" s="353">
        <f t="shared" si="74"/>
        <v>6692000</v>
      </c>
      <c r="G365" s="412">
        <v>11700</v>
      </c>
      <c r="H365" s="412">
        <f t="shared" si="75"/>
        <v>2796300</v>
      </c>
      <c r="I365" s="1285">
        <f>IFERROR(VLOOKUP(A365,'valores unit indexados'!$A$14:$O$197,15,FALSE),0)</f>
        <v>24610</v>
      </c>
      <c r="J365" s="349">
        <f t="shared" si="72"/>
        <v>5881790</v>
      </c>
      <c r="L365" s="354" t="str">
        <f t="shared" si="71"/>
        <v>F. 3,3</v>
      </c>
      <c r="M365" s="368" t="str">
        <f t="shared" si="71"/>
        <v xml:space="preserve">Suministro y aplicación de estuco plástico </v>
      </c>
      <c r="N365" s="367" t="str">
        <f t="shared" si="71"/>
        <v>M2</v>
      </c>
      <c r="O365" s="346">
        <f t="shared" si="71"/>
        <v>239</v>
      </c>
      <c r="P365" s="423">
        <f>+'estudio inicial precios'!P409</f>
        <v>26305</v>
      </c>
      <c r="Q365" s="423">
        <f t="shared" si="73"/>
        <v>6286895</v>
      </c>
    </row>
    <row r="366" spans="1:60" ht="12.75" hidden="1" customHeight="1" outlineLevel="1" x14ac:dyDescent="0.2">
      <c r="A366" s="386" t="s">
        <v>555</v>
      </c>
      <c r="B366" s="364" t="s">
        <v>90</v>
      </c>
      <c r="C366" s="367" t="s">
        <v>19</v>
      </c>
      <c r="D366" s="346">
        <v>239</v>
      </c>
      <c r="E366" s="353">
        <v>19000</v>
      </c>
      <c r="F366" s="353">
        <f t="shared" si="74"/>
        <v>4541000</v>
      </c>
      <c r="G366" s="412">
        <v>8710</v>
      </c>
      <c r="H366" s="412">
        <f t="shared" si="75"/>
        <v>2081690</v>
      </c>
      <c r="I366" s="1285">
        <f>IFERROR(VLOOKUP(A366,'valores unit indexados'!$A$14:$O$197,15,FALSE),0)</f>
        <v>0</v>
      </c>
      <c r="J366" s="349">
        <f t="shared" si="72"/>
        <v>0</v>
      </c>
      <c r="L366" s="386" t="str">
        <f t="shared" si="71"/>
        <v>F. 3,4</v>
      </c>
      <c r="M366" s="364" t="str">
        <f t="shared" si="71"/>
        <v>Suministro y aplicación de vinilo tipo 1 (3 manos)</v>
      </c>
      <c r="N366" s="367" t="str">
        <f t="shared" si="71"/>
        <v>M2</v>
      </c>
      <c r="O366" s="346">
        <f t="shared" si="71"/>
        <v>239</v>
      </c>
      <c r="P366" s="423">
        <f>+'estudio inicial precios'!P410</f>
        <v>19000</v>
      </c>
      <c r="Q366" s="423">
        <f t="shared" si="73"/>
        <v>4541000</v>
      </c>
    </row>
    <row r="367" spans="1:60" ht="12.75" hidden="1" customHeight="1" outlineLevel="1" x14ac:dyDescent="0.2">
      <c r="A367" s="354" t="s">
        <v>556</v>
      </c>
      <c r="B367" s="368" t="s">
        <v>92</v>
      </c>
      <c r="C367" s="367" t="s">
        <v>19</v>
      </c>
      <c r="D367" s="346">
        <v>167</v>
      </c>
      <c r="E367" s="353">
        <v>18000</v>
      </c>
      <c r="F367" s="353">
        <f t="shared" si="74"/>
        <v>3006000</v>
      </c>
      <c r="G367" s="412">
        <v>8710</v>
      </c>
      <c r="H367" s="412">
        <f t="shared" si="75"/>
        <v>1454570</v>
      </c>
      <c r="I367" s="1285">
        <f>IFERROR(VLOOKUP(A367,'valores unit indexados'!$A$14:$O$197,15,FALSE),0)</f>
        <v>17005</v>
      </c>
      <c r="J367" s="349">
        <f t="shared" si="72"/>
        <v>2839835</v>
      </c>
      <c r="L367" s="354" t="str">
        <f t="shared" si="71"/>
        <v>F. 3,5</v>
      </c>
      <c r="M367" s="368" t="str">
        <f t="shared" si="71"/>
        <v>Suministro y aplicación de pintura en esmalte</v>
      </c>
      <c r="N367" s="367" t="str">
        <f t="shared" si="71"/>
        <v>M2</v>
      </c>
      <c r="O367" s="346">
        <f t="shared" si="71"/>
        <v>167</v>
      </c>
      <c r="P367" s="423">
        <f>+'estudio inicial precios'!P411</f>
        <v>17503</v>
      </c>
      <c r="Q367" s="423">
        <f t="shared" si="73"/>
        <v>2923001</v>
      </c>
    </row>
    <row r="368" spans="1:60" ht="12.75" hidden="1" customHeight="1" outlineLevel="1" x14ac:dyDescent="0.2">
      <c r="A368" s="386" t="s">
        <v>557</v>
      </c>
      <c r="B368" s="401" t="s">
        <v>94</v>
      </c>
      <c r="C368" s="367" t="s">
        <v>19</v>
      </c>
      <c r="D368" s="346">
        <v>3</v>
      </c>
      <c r="E368" s="353">
        <v>17000</v>
      </c>
      <c r="F368" s="353">
        <f t="shared" si="74"/>
        <v>51000</v>
      </c>
      <c r="G368" s="412">
        <v>8710</v>
      </c>
      <c r="H368" s="412">
        <f t="shared" si="75"/>
        <v>26130</v>
      </c>
      <c r="I368" s="1285">
        <f>IFERROR(VLOOKUP(A368,'valores unit indexados'!$A$14:$O$197,15,FALSE),0)</f>
        <v>0</v>
      </c>
      <c r="J368" s="349">
        <f t="shared" si="72"/>
        <v>0</v>
      </c>
      <c r="L368" s="386" t="str">
        <f t="shared" si="71"/>
        <v>F. 3,6</v>
      </c>
      <c r="M368" s="401" t="str">
        <f t="shared" si="71"/>
        <v>Suministro y aplicación de pintura cielo vinilo tipo 1</v>
      </c>
      <c r="N368" s="367" t="str">
        <f t="shared" si="71"/>
        <v>M2</v>
      </c>
      <c r="O368" s="346">
        <f t="shared" si="71"/>
        <v>3</v>
      </c>
      <c r="P368" s="423">
        <f>+'estudio inicial precios'!P412</f>
        <v>17000</v>
      </c>
      <c r="Q368" s="423">
        <f t="shared" si="73"/>
        <v>51000</v>
      </c>
    </row>
    <row r="369" spans="1:60" ht="12.75" hidden="1" customHeight="1" outlineLevel="1" x14ac:dyDescent="0.2">
      <c r="A369" s="354" t="s">
        <v>558</v>
      </c>
      <c r="B369" s="364" t="s">
        <v>84</v>
      </c>
      <c r="C369" s="367" t="s">
        <v>14</v>
      </c>
      <c r="D369" s="346">
        <v>10</v>
      </c>
      <c r="E369" s="353">
        <v>5400</v>
      </c>
      <c r="F369" s="353">
        <f t="shared" si="74"/>
        <v>54000</v>
      </c>
      <c r="G369" s="349">
        <v>5200</v>
      </c>
      <c r="H369" s="412">
        <f t="shared" si="75"/>
        <v>52000</v>
      </c>
      <c r="I369" s="1285">
        <f>IFERROR(VLOOKUP(A369,'valores unit indexados'!$A$14:$O$197,15,FALSE),0)</f>
        <v>0</v>
      </c>
      <c r="J369" s="349">
        <f t="shared" si="72"/>
        <v>0</v>
      </c>
      <c r="L369" s="354" t="str">
        <f t="shared" si="71"/>
        <v>F. 3,7</v>
      </c>
      <c r="M369" s="364" t="str">
        <f t="shared" si="71"/>
        <v xml:space="preserve">Rasqueteada de pintura y retiro de mortero en mal estado  </v>
      </c>
      <c r="N369" s="367" t="str">
        <f t="shared" si="71"/>
        <v>ML</v>
      </c>
      <c r="O369" s="346">
        <f t="shared" si="71"/>
        <v>10</v>
      </c>
      <c r="P369" s="423">
        <f>+'estudio inicial precios'!P413</f>
        <v>4700</v>
      </c>
      <c r="Q369" s="423">
        <f t="shared" si="73"/>
        <v>47000</v>
      </c>
    </row>
    <row r="370" spans="1:60" ht="38.25" hidden="1" customHeight="1" outlineLevel="1" x14ac:dyDescent="0.2">
      <c r="A370" s="386" t="s">
        <v>559</v>
      </c>
      <c r="B370" s="368" t="s">
        <v>86</v>
      </c>
      <c r="C370" s="367" t="s">
        <v>14</v>
      </c>
      <c r="D370" s="346">
        <v>10</v>
      </c>
      <c r="E370" s="353">
        <v>28800</v>
      </c>
      <c r="F370" s="353">
        <f t="shared" si="74"/>
        <v>288000</v>
      </c>
      <c r="G370" s="349">
        <v>6500</v>
      </c>
      <c r="H370" s="412">
        <f t="shared" si="75"/>
        <v>65000</v>
      </c>
      <c r="I370" s="1285">
        <f>IFERROR(VLOOKUP(A370,'valores unit indexados'!$A$14:$O$197,15,FALSE),0)</f>
        <v>0</v>
      </c>
      <c r="J370" s="349">
        <f t="shared" si="72"/>
        <v>0</v>
      </c>
      <c r="L370" s="386" t="str">
        <f t="shared" si="71"/>
        <v>F. 3,8</v>
      </c>
      <c r="M370" s="368" t="str">
        <f t="shared" si="71"/>
        <v xml:space="preserve">Suministro e instalación de recubrimiento cementoso (Recubrimiento a base de cemento, arena y aditivos especiales), impermeable para muros color blanco </v>
      </c>
      <c r="N370" s="367" t="str">
        <f t="shared" si="71"/>
        <v>ML</v>
      </c>
      <c r="O370" s="346">
        <f t="shared" si="71"/>
        <v>10</v>
      </c>
      <c r="P370" s="423">
        <f>+'estudio inicial precios'!P414</f>
        <v>17650</v>
      </c>
      <c r="Q370" s="423">
        <f t="shared" si="73"/>
        <v>176500</v>
      </c>
    </row>
    <row r="371" spans="1:60" ht="12.75" hidden="1" customHeight="1" outlineLevel="1" x14ac:dyDescent="0.2">
      <c r="A371" s="354" t="s">
        <v>560</v>
      </c>
      <c r="B371" s="368" t="s">
        <v>88</v>
      </c>
      <c r="C371" s="367" t="s">
        <v>14</v>
      </c>
      <c r="D371" s="346">
        <v>10</v>
      </c>
      <c r="E371" s="353">
        <v>16800</v>
      </c>
      <c r="F371" s="353">
        <f t="shared" si="74"/>
        <v>168000</v>
      </c>
      <c r="G371" s="349">
        <v>11700</v>
      </c>
      <c r="H371" s="412">
        <f t="shared" si="75"/>
        <v>117000</v>
      </c>
      <c r="I371" s="1285">
        <f>IFERROR(VLOOKUP(A371,'valores unit indexados'!$A$14:$O$197,15,FALSE),0)</f>
        <v>24610</v>
      </c>
      <c r="J371" s="349">
        <f t="shared" si="72"/>
        <v>246100</v>
      </c>
      <c r="L371" s="354" t="str">
        <f t="shared" si="71"/>
        <v>F. 3,9</v>
      </c>
      <c r="M371" s="368" t="str">
        <f t="shared" si="71"/>
        <v xml:space="preserve">Suministro y aplicación de estuco plástico </v>
      </c>
      <c r="N371" s="367" t="str">
        <f t="shared" si="71"/>
        <v>ML</v>
      </c>
      <c r="O371" s="346">
        <f t="shared" si="71"/>
        <v>10</v>
      </c>
      <c r="P371" s="423">
        <f>+'estudio inicial precios'!P415</f>
        <v>20705</v>
      </c>
      <c r="Q371" s="423">
        <f t="shared" si="73"/>
        <v>207050</v>
      </c>
    </row>
    <row r="372" spans="1:60" ht="12.75" hidden="1" customHeight="1" outlineLevel="1" x14ac:dyDescent="0.2">
      <c r="A372" s="386" t="s">
        <v>561</v>
      </c>
      <c r="B372" s="368" t="s">
        <v>98</v>
      </c>
      <c r="C372" s="367" t="s">
        <v>14</v>
      </c>
      <c r="D372" s="346">
        <v>10</v>
      </c>
      <c r="E372" s="353">
        <v>10200</v>
      </c>
      <c r="F372" s="353">
        <f t="shared" si="74"/>
        <v>102000</v>
      </c>
      <c r="G372" s="349">
        <v>5200</v>
      </c>
      <c r="H372" s="412">
        <f t="shared" si="75"/>
        <v>52000</v>
      </c>
      <c r="I372" s="1285">
        <f>IFERROR(VLOOKUP(A372,'valores unit indexados'!$A$14:$O$197,15,FALSE),0)</f>
        <v>0</v>
      </c>
      <c r="J372" s="349">
        <f t="shared" si="72"/>
        <v>0</v>
      </c>
      <c r="L372" s="386" t="str">
        <f t="shared" si="71"/>
        <v>F. 3,10</v>
      </c>
      <c r="M372" s="368" t="str">
        <f t="shared" si="71"/>
        <v>Suministro y aplicación de vinilo tipo 2 (3 manos)</v>
      </c>
      <c r="N372" s="367" t="str">
        <f t="shared" si="71"/>
        <v>ML</v>
      </c>
      <c r="O372" s="346">
        <f t="shared" si="71"/>
        <v>10</v>
      </c>
      <c r="P372" s="423">
        <f>+'estudio inicial precios'!P416</f>
        <v>6120</v>
      </c>
      <c r="Q372" s="423">
        <f t="shared" si="73"/>
        <v>61200</v>
      </c>
    </row>
    <row r="373" spans="1:60" ht="12.75" hidden="1" customHeight="1" outlineLevel="1" x14ac:dyDescent="0.2">
      <c r="A373" s="354" t="s">
        <v>562</v>
      </c>
      <c r="B373" s="368" t="s">
        <v>92</v>
      </c>
      <c r="C373" s="367" t="s">
        <v>14</v>
      </c>
      <c r="D373" s="346">
        <v>10</v>
      </c>
      <c r="E373" s="353">
        <v>10800</v>
      </c>
      <c r="F373" s="353">
        <f t="shared" si="74"/>
        <v>108000</v>
      </c>
      <c r="G373" s="349">
        <v>5200</v>
      </c>
      <c r="H373" s="412">
        <f t="shared" si="75"/>
        <v>52000</v>
      </c>
      <c r="I373" s="1285">
        <f>IFERROR(VLOOKUP(A373,'valores unit indexados'!$A$14:$O$197,15,FALSE),0)</f>
        <v>0</v>
      </c>
      <c r="J373" s="349">
        <f t="shared" si="72"/>
        <v>0</v>
      </c>
      <c r="L373" s="354" t="str">
        <f t="shared" si="71"/>
        <v>F. 3,11</v>
      </c>
      <c r="M373" s="368" t="str">
        <f t="shared" si="71"/>
        <v>Suministro y aplicación de pintura en esmalte</v>
      </c>
      <c r="N373" s="367" t="str">
        <f t="shared" si="71"/>
        <v>ML</v>
      </c>
      <c r="O373" s="346">
        <f t="shared" si="71"/>
        <v>10</v>
      </c>
      <c r="P373" s="423">
        <f>+'estudio inicial precios'!P417</f>
        <v>8000</v>
      </c>
      <c r="Q373" s="423">
        <f t="shared" si="73"/>
        <v>80000</v>
      </c>
    </row>
    <row r="374" spans="1:60" s="1533" customFormat="1" ht="24.75" hidden="1" customHeight="1" outlineLevel="1" x14ac:dyDescent="0.2">
      <c r="A374" s="1527" t="s">
        <v>563</v>
      </c>
      <c r="B374" s="1528" t="s">
        <v>564</v>
      </c>
      <c r="C374" s="1527"/>
      <c r="D374" s="1529"/>
      <c r="E374" s="1530"/>
      <c r="F374" s="1531">
        <f t="shared" si="74"/>
        <v>0</v>
      </c>
      <c r="G374" s="1530"/>
      <c r="H374" s="1531">
        <f t="shared" si="75"/>
        <v>0</v>
      </c>
      <c r="I374" s="1532"/>
      <c r="J374" s="1527"/>
      <c r="K374" s="1544"/>
      <c r="L374" s="1527" t="str">
        <f t="shared" si="71"/>
        <v>F. 4</v>
      </c>
      <c r="M374" s="1836"/>
      <c r="N374" s="1837"/>
      <c r="O374" s="1837"/>
      <c r="P374" s="1837"/>
      <c r="Q374" s="1838"/>
      <c r="R374" s="1544"/>
      <c r="S374" s="1544"/>
      <c r="T374" s="1544"/>
      <c r="U374" s="1544"/>
      <c r="V374" s="1544"/>
      <c r="W374" s="1544"/>
      <c r="X374" s="1544"/>
      <c r="Y374" s="1544"/>
      <c r="Z374" s="1544"/>
      <c r="AA374" s="1544"/>
      <c r="AB374" s="1544"/>
      <c r="AC374" s="1544"/>
      <c r="AD374" s="1544"/>
      <c r="AE374" s="1544"/>
      <c r="AF374" s="1544"/>
      <c r="AG374" s="1544"/>
      <c r="AH374" s="1544"/>
      <c r="AI374" s="1544"/>
      <c r="AJ374" s="1544"/>
      <c r="AK374" s="1544"/>
      <c r="AL374" s="1544"/>
      <c r="AM374" s="1544"/>
      <c r="AN374" s="1544"/>
      <c r="AO374" s="1544"/>
      <c r="AP374" s="1544"/>
      <c r="AQ374" s="1544"/>
      <c r="AR374" s="1544"/>
      <c r="AS374" s="1544"/>
      <c r="AT374" s="1544"/>
      <c r="AU374" s="1544"/>
      <c r="AV374" s="1544"/>
      <c r="AW374" s="1544"/>
      <c r="AX374" s="1544"/>
      <c r="AY374" s="1544"/>
      <c r="AZ374" s="1544"/>
      <c r="BA374" s="1544"/>
      <c r="BB374" s="1544"/>
      <c r="BC374" s="1544"/>
      <c r="BD374" s="1544"/>
      <c r="BE374" s="1544"/>
      <c r="BF374" s="1544"/>
      <c r="BG374" s="1544"/>
      <c r="BH374" s="1544"/>
    </row>
    <row r="375" spans="1:60" ht="38.25" hidden="1" customHeight="1" outlineLevel="1" x14ac:dyDescent="0.2">
      <c r="A375" s="386" t="s">
        <v>565</v>
      </c>
      <c r="B375" s="388" t="s">
        <v>566</v>
      </c>
      <c r="C375" s="389" t="s">
        <v>19</v>
      </c>
      <c r="D375" s="346">
        <v>490</v>
      </c>
      <c r="E375" s="379">
        <v>33000</v>
      </c>
      <c r="F375" s="353">
        <f t="shared" si="74"/>
        <v>16170000</v>
      </c>
      <c r="G375" s="387">
        <v>0</v>
      </c>
      <c r="H375" s="412">
        <f t="shared" si="75"/>
        <v>0</v>
      </c>
      <c r="I375" s="1285">
        <f>IFERROR(VLOOKUP(A375,'valores unit indexados'!$A$14:$O$197,15,FALSE),0)</f>
        <v>0</v>
      </c>
      <c r="J375" s="349">
        <f t="shared" si="72"/>
        <v>0</v>
      </c>
      <c r="L375" s="386" t="str">
        <f t="shared" si="71"/>
        <v>F. 4,1</v>
      </c>
      <c r="M375" s="388" t="str">
        <f t="shared" si="71"/>
        <v>Lavada de cubierta con agua a chorro de aspersión con hipoclorito.(incluye retiro de material extraño  y debe realizarse con belt manlift)</v>
      </c>
      <c r="N375" s="389" t="str">
        <f>+C375</f>
        <v>M2</v>
      </c>
      <c r="O375" s="1556">
        <f>+D375*50%</f>
        <v>245</v>
      </c>
      <c r="P375" s="423">
        <f>+'estudio inicial precios'!P419</f>
        <v>33000</v>
      </c>
      <c r="Q375" s="423">
        <f t="shared" si="73"/>
        <v>8085000</v>
      </c>
    </row>
    <row r="376" spans="1:60" ht="25.5" hidden="1" customHeight="1" outlineLevel="1" x14ac:dyDescent="0.2">
      <c r="A376" s="386" t="s">
        <v>567</v>
      </c>
      <c r="B376" s="368" t="s">
        <v>568</v>
      </c>
      <c r="C376" s="363" t="s">
        <v>14</v>
      </c>
      <c r="D376" s="346">
        <v>60</v>
      </c>
      <c r="E376" s="353">
        <v>60000</v>
      </c>
      <c r="F376" s="353">
        <f t="shared" si="74"/>
        <v>3600000</v>
      </c>
      <c r="G376" s="387">
        <v>0</v>
      </c>
      <c r="H376" s="412">
        <f t="shared" si="75"/>
        <v>0</v>
      </c>
      <c r="I376" s="1285">
        <f>IFERROR(VLOOKUP(A376,'valores unit indexados'!$A$14:$O$197,15,FALSE),0)</f>
        <v>55754</v>
      </c>
      <c r="J376" s="349">
        <f t="shared" si="72"/>
        <v>3345240</v>
      </c>
      <c r="L376" s="386" t="str">
        <f t="shared" si="71"/>
        <v>F. 4,2</v>
      </c>
      <c r="M376" s="368" t="str">
        <f t="shared" si="71"/>
        <v xml:space="preserve">Suministro e instalación de manto asfáltica Foil de aluminio adhesivo </v>
      </c>
      <c r="N376" s="363" t="str">
        <f t="shared" si="71"/>
        <v>ML</v>
      </c>
      <c r="O376" s="346">
        <f t="shared" si="71"/>
        <v>60</v>
      </c>
      <c r="P376" s="423">
        <f>+'estudio inicial precios'!P420</f>
        <v>57877</v>
      </c>
      <c r="Q376" s="423">
        <f t="shared" si="73"/>
        <v>3472620</v>
      </c>
    </row>
    <row r="377" spans="1:60" ht="12.75" hidden="1" customHeight="1" outlineLevel="1" x14ac:dyDescent="0.2">
      <c r="A377" s="386" t="s">
        <v>571</v>
      </c>
      <c r="B377" s="358" t="s">
        <v>195</v>
      </c>
      <c r="C377" s="356" t="s">
        <v>19</v>
      </c>
      <c r="D377" s="346">
        <v>570</v>
      </c>
      <c r="E377" s="353">
        <v>7000</v>
      </c>
      <c r="F377" s="353">
        <f t="shared" si="74"/>
        <v>3990000</v>
      </c>
      <c r="G377" s="349">
        <v>4200</v>
      </c>
      <c r="H377" s="412">
        <f t="shared" si="75"/>
        <v>2394000</v>
      </c>
      <c r="I377" s="1285">
        <f>IFERROR(VLOOKUP(A377,'valores unit indexados'!$A$14:$O$197,15,FALSE),0)</f>
        <v>5300</v>
      </c>
      <c r="J377" s="349">
        <f t="shared" si="72"/>
        <v>3021000</v>
      </c>
      <c r="L377" s="386" t="str">
        <f t="shared" si="71"/>
        <v>F. 4,5</v>
      </c>
      <c r="M377" s="358" t="str">
        <f t="shared" si="71"/>
        <v>Aseo general.</v>
      </c>
      <c r="N377" s="356" t="str">
        <f t="shared" si="71"/>
        <v>M2</v>
      </c>
      <c r="O377" s="346">
        <f t="shared" si="71"/>
        <v>570</v>
      </c>
      <c r="P377" s="423">
        <f>+'estudio inicial precios'!P423</f>
        <v>5500</v>
      </c>
      <c r="Q377" s="423">
        <f t="shared" si="73"/>
        <v>3135000</v>
      </c>
    </row>
    <row r="378" spans="1:60" ht="12.75" hidden="1" customHeight="1" outlineLevel="1" x14ac:dyDescent="0.2">
      <c r="A378" s="386" t="s">
        <v>572</v>
      </c>
      <c r="B378" s="358" t="s">
        <v>1509</v>
      </c>
      <c r="C378" s="356" t="s">
        <v>6</v>
      </c>
      <c r="D378" s="346">
        <v>6</v>
      </c>
      <c r="E378" s="353">
        <v>45000</v>
      </c>
      <c r="F378" s="353">
        <f t="shared" si="74"/>
        <v>270000</v>
      </c>
      <c r="G378" s="349">
        <v>9000</v>
      </c>
      <c r="H378" s="412">
        <f t="shared" si="75"/>
        <v>54000</v>
      </c>
      <c r="I378" s="1285">
        <f>IFERROR(VLOOKUP(A378,'valores unit indexados'!$A$14:$O$197,15,FALSE),0)</f>
        <v>0</v>
      </c>
      <c r="J378" s="349">
        <f t="shared" si="72"/>
        <v>0</v>
      </c>
      <c r="L378" s="386" t="str">
        <f t="shared" si="71"/>
        <v>F. 4,6</v>
      </c>
      <c r="M378" s="358" t="str">
        <f t="shared" si="71"/>
        <v>retiro de rejilla sifón (incluye demolición y retiro)</v>
      </c>
      <c r="N378" s="356" t="str">
        <f t="shared" si="71"/>
        <v>UND</v>
      </c>
      <c r="O378" s="346">
        <f t="shared" si="71"/>
        <v>6</v>
      </c>
      <c r="P378" s="423">
        <f>+'estudio inicial precios'!P424</f>
        <v>9000</v>
      </c>
      <c r="Q378" s="423">
        <f t="shared" si="73"/>
        <v>54000</v>
      </c>
    </row>
    <row r="379" spans="1:60" ht="13.5" hidden="1" customHeight="1" outlineLevel="1" thickBot="1" x14ac:dyDescent="0.25">
      <c r="A379" s="386" t="s">
        <v>574</v>
      </c>
      <c r="B379" s="358" t="s">
        <v>1510</v>
      </c>
      <c r="C379" s="356" t="s">
        <v>6</v>
      </c>
      <c r="D379" s="346">
        <v>6</v>
      </c>
      <c r="E379" s="353">
        <v>98000</v>
      </c>
      <c r="F379" s="353">
        <f t="shared" si="74"/>
        <v>588000</v>
      </c>
      <c r="G379" s="349">
        <v>15000</v>
      </c>
      <c r="H379" s="412">
        <f t="shared" si="75"/>
        <v>90000</v>
      </c>
      <c r="I379" s="1285">
        <f>IFERROR(VLOOKUP(A379,'valores unit indexados'!$A$14:$O$197,15,FALSE),0)</f>
        <v>0</v>
      </c>
      <c r="J379" s="349">
        <f t="shared" si="72"/>
        <v>0</v>
      </c>
      <c r="L379" s="386" t="str">
        <f t="shared" si="71"/>
        <v>F. 4,7</v>
      </c>
      <c r="M379" s="358" t="str">
        <f t="shared" si="71"/>
        <v>Suministro e instalación de sifón de 3"</v>
      </c>
      <c r="N379" s="356" t="str">
        <f t="shared" si="71"/>
        <v>UND</v>
      </c>
      <c r="O379" s="346">
        <f t="shared" si="71"/>
        <v>6</v>
      </c>
      <c r="P379" s="423">
        <f>+'estudio inicial precios'!P425</f>
        <v>56500</v>
      </c>
      <c r="Q379" s="423">
        <f t="shared" si="73"/>
        <v>339000</v>
      </c>
    </row>
    <row r="380" spans="1:60" ht="15.75" collapsed="1" thickBot="1" x14ac:dyDescent="0.3">
      <c r="A380"/>
      <c r="B380"/>
      <c r="C380" s="1712" t="s">
        <v>196</v>
      </c>
      <c r="D380" s="1713"/>
      <c r="E380" s="1714"/>
      <c r="F380" s="1715">
        <f>SUM(F298:F379)</f>
        <v>96074709970.225266</v>
      </c>
      <c r="G380" s="1716"/>
      <c r="H380" s="1715">
        <f>SUM(H298:H379)</f>
        <v>62467217059.002884</v>
      </c>
      <c r="I380" s="1717"/>
      <c r="J380" s="1718">
        <f>SUM(J299:J379)</f>
        <v>15707192237.960003</v>
      </c>
      <c r="K380" s="1719"/>
      <c r="L380" s="1720"/>
      <c r="M380" s="1721"/>
      <c r="N380" s="1734"/>
      <c r="O380" s="1735"/>
      <c r="P380" s="1713"/>
      <c r="Q380" s="1722">
        <f>SUM(Q348:Q379)</f>
        <v>82945954</v>
      </c>
    </row>
    <row r="381" spans="1:60" ht="15" x14ac:dyDescent="0.25">
      <c r="A381"/>
      <c r="B381"/>
      <c r="C381" s="1706" t="s">
        <v>197</v>
      </c>
      <c r="D381" s="1707"/>
      <c r="E381" s="1708">
        <v>0.25</v>
      </c>
      <c r="F381" s="1709">
        <f>+E381*F$380</f>
        <v>24018677492.556316</v>
      </c>
      <c r="G381" s="1708">
        <v>0.24</v>
      </c>
      <c r="H381" s="1709">
        <f>+G381*H$380</f>
        <v>14992132094.160692</v>
      </c>
      <c r="I381" s="1708">
        <v>0</v>
      </c>
      <c r="J381" s="1709">
        <f>+I381*J$380</f>
        <v>0</v>
      </c>
      <c r="L381" s="1298"/>
      <c r="M381" s="1645"/>
      <c r="N381" s="1845" t="str">
        <f t="shared" ref="N381:N385" si="76">+C381</f>
        <v xml:space="preserve">ADMINISTRACION </v>
      </c>
      <c r="O381" s="1846"/>
      <c r="P381" s="1710">
        <f>+$C$15</f>
        <v>0.185</v>
      </c>
      <c r="Q381" s="1711">
        <f>ROUND(P381*$Q$380,0)</f>
        <v>15345001</v>
      </c>
    </row>
    <row r="382" spans="1:60" ht="15" x14ac:dyDescent="0.25">
      <c r="A382"/>
      <c r="B382"/>
      <c r="C382" s="1671" t="s">
        <v>198</v>
      </c>
      <c r="D382" s="1672"/>
      <c r="E382" s="375">
        <v>0.02</v>
      </c>
      <c r="F382" s="376">
        <f t="shared" ref="F382:H383" si="77">+E382*F$380</f>
        <v>1921494199.4045053</v>
      </c>
      <c r="G382" s="375">
        <v>0.01</v>
      </c>
      <c r="H382" s="376">
        <f t="shared" si="77"/>
        <v>624672170.59002888</v>
      </c>
      <c r="I382" s="375">
        <v>0</v>
      </c>
      <c r="J382" s="376">
        <f t="shared" ref="J382:J383" si="78">+I382*J$380</f>
        <v>0</v>
      </c>
      <c r="L382" s="1298"/>
      <c r="M382" s="1645"/>
      <c r="N382" s="1847" t="str">
        <f t="shared" si="76"/>
        <v xml:space="preserve">IMPREVISTO </v>
      </c>
      <c r="O382" s="1848"/>
      <c r="P382" s="1296">
        <f>+$C$16</f>
        <v>0.02</v>
      </c>
      <c r="Q382" s="1711">
        <f t="shared" ref="Q382:Q383" si="79">ROUND(P382*$Q$380,0)</f>
        <v>1658919</v>
      </c>
    </row>
    <row r="383" spans="1:60" ht="15" x14ac:dyDescent="0.25">
      <c r="A383"/>
      <c r="B383"/>
      <c r="C383" s="1671" t="s">
        <v>199</v>
      </c>
      <c r="D383" s="1672"/>
      <c r="E383" s="375">
        <v>0.05</v>
      </c>
      <c r="F383" s="376">
        <f t="shared" si="77"/>
        <v>4803735498.5112638</v>
      </c>
      <c r="G383" s="375">
        <v>0.05</v>
      </c>
      <c r="H383" s="376">
        <f t="shared" si="77"/>
        <v>3123360852.9501443</v>
      </c>
      <c r="I383" s="375">
        <v>0</v>
      </c>
      <c r="J383" s="376">
        <f t="shared" si="78"/>
        <v>0</v>
      </c>
      <c r="L383" s="1298"/>
      <c r="M383" s="1645"/>
      <c r="N383" s="1847" t="str">
        <f t="shared" si="76"/>
        <v>UTILIDAD</v>
      </c>
      <c r="O383" s="1848"/>
      <c r="P383" s="1296">
        <f>+$C$17</f>
        <v>4.4999999999999998E-2</v>
      </c>
      <c r="Q383" s="1711">
        <f t="shared" si="79"/>
        <v>3732568</v>
      </c>
    </row>
    <row r="384" spans="1:60" ht="15.75" thickBot="1" x14ac:dyDescent="0.3">
      <c r="A384"/>
      <c r="B384"/>
      <c r="C384" s="1723" t="s">
        <v>200</v>
      </c>
      <c r="D384" s="1724"/>
      <c r="E384" s="1725">
        <v>0.19</v>
      </c>
      <c r="F384" s="1726">
        <f>+F383*E384</f>
        <v>912709744.7171402</v>
      </c>
      <c r="G384" s="1725">
        <v>0.19</v>
      </c>
      <c r="H384" s="1726">
        <f>+H383*G384</f>
        <v>593438562.06052744</v>
      </c>
      <c r="I384" s="1725">
        <v>0</v>
      </c>
      <c r="J384" s="1726">
        <f>+J383*I384</f>
        <v>0</v>
      </c>
      <c r="L384" s="1298"/>
      <c r="M384" s="1645"/>
      <c r="N384" s="1849" t="str">
        <f t="shared" si="76"/>
        <v xml:space="preserve">IVA SOBRE UTILIDAD </v>
      </c>
      <c r="O384" s="1850"/>
      <c r="P384" s="1727">
        <f>+$C$18</f>
        <v>0.19</v>
      </c>
      <c r="Q384" s="1711">
        <f>ROUND(P384*$Q$383,0)</f>
        <v>709188</v>
      </c>
    </row>
    <row r="385" spans="1:60" ht="15.75" thickBot="1" x14ac:dyDescent="0.3">
      <c r="A385"/>
      <c r="B385"/>
      <c r="C385" s="1868" t="s">
        <v>201</v>
      </c>
      <c r="D385" s="1869"/>
      <c r="E385" s="1869"/>
      <c r="F385" s="1869">
        <f>SUM(F380:F384)</f>
        <v>127731326905.41449</v>
      </c>
      <c r="G385" s="1869"/>
      <c r="H385" s="1869">
        <f>SUM(H380:H384)</f>
        <v>81800820738.764282</v>
      </c>
      <c r="I385" s="1869"/>
      <c r="J385" s="1869">
        <f>SUM(J380:J384)</f>
        <v>15707192237.960003</v>
      </c>
      <c r="K385" s="1869"/>
      <c r="L385" s="1869"/>
      <c r="M385" s="1869"/>
      <c r="N385" s="1869" t="str">
        <f t="shared" si="76"/>
        <v xml:space="preserve">VALOR TOTAL INCLUIDO AIU E IVA </v>
      </c>
      <c r="O385" s="1869"/>
      <c r="P385" s="1870"/>
      <c r="Q385" s="1733">
        <f>SUM(Q380:Q384)</f>
        <v>104391630</v>
      </c>
    </row>
    <row r="386" spans="1:60" ht="15.75" thickBot="1" x14ac:dyDescent="0.3">
      <c r="L386" s="1298"/>
      <c r="M386"/>
      <c r="N386"/>
      <c r="O386"/>
      <c r="P386"/>
      <c r="Q386"/>
    </row>
    <row r="387" spans="1:60" ht="13.5" thickBot="1" x14ac:dyDescent="0.25">
      <c r="A387" s="1801" t="s">
        <v>576</v>
      </c>
      <c r="B387" s="1802" t="s">
        <v>577</v>
      </c>
      <c r="C387" s="1802"/>
      <c r="D387" s="1802"/>
      <c r="E387" s="1802"/>
      <c r="F387" s="1802"/>
      <c r="G387" s="1802"/>
      <c r="H387" s="1802"/>
      <c r="I387" s="1802"/>
      <c r="J387" s="1802"/>
      <c r="K387" s="1719"/>
      <c r="L387" s="1803" t="str">
        <f t="shared" ref="L387:O416" si="80">+A387</f>
        <v>G</v>
      </c>
      <c r="M387" s="1853"/>
      <c r="N387" s="1854"/>
      <c r="O387" s="1854"/>
      <c r="P387" s="1854"/>
      <c r="Q387" s="1855"/>
    </row>
    <row r="388" spans="1:60" s="1533" customFormat="1" ht="24.75" hidden="1" customHeight="1" outlineLevel="1" x14ac:dyDescent="0.2">
      <c r="A388" s="1527" t="s">
        <v>578</v>
      </c>
      <c r="B388" s="1528" t="s">
        <v>527</v>
      </c>
      <c r="C388" s="1527"/>
      <c r="D388" s="1529"/>
      <c r="E388" s="1530"/>
      <c r="F388" s="1531"/>
      <c r="G388" s="1530"/>
      <c r="H388" s="1531">
        <v>0</v>
      </c>
      <c r="I388" s="1532"/>
      <c r="J388" s="1527"/>
      <c r="K388" s="1544"/>
      <c r="L388" s="1527" t="str">
        <f t="shared" si="80"/>
        <v xml:space="preserve">G.1 </v>
      </c>
      <c r="M388" s="1836"/>
      <c r="N388" s="1837"/>
      <c r="O388" s="1837"/>
      <c r="P388" s="1837"/>
      <c r="Q388" s="1838"/>
      <c r="R388" s="1544"/>
      <c r="S388" s="1544"/>
      <c r="T388" s="1544"/>
      <c r="U388" s="1544"/>
      <c r="V388" s="1544"/>
      <c r="W388" s="1544"/>
      <c r="X388" s="1544"/>
      <c r="Y388" s="1544"/>
      <c r="Z388" s="1544"/>
      <c r="AA388" s="1544"/>
      <c r="AB388" s="1544"/>
      <c r="AC388" s="1544"/>
      <c r="AD388" s="1544"/>
      <c r="AE388" s="1544"/>
      <c r="AF388" s="1544"/>
      <c r="AG388" s="1544"/>
      <c r="AH388" s="1544"/>
      <c r="AI388" s="1544"/>
      <c r="AJ388" s="1544"/>
      <c r="AK388" s="1544"/>
      <c r="AL388" s="1544"/>
      <c r="AM388" s="1544"/>
      <c r="AN388" s="1544"/>
      <c r="AO388" s="1544"/>
      <c r="AP388" s="1544"/>
      <c r="AQ388" s="1544"/>
      <c r="AR388" s="1544"/>
      <c r="AS388" s="1544"/>
      <c r="AT388" s="1544"/>
      <c r="AU388" s="1544"/>
      <c r="AV388" s="1544"/>
      <c r="AW388" s="1544"/>
      <c r="AX388" s="1544"/>
      <c r="AY388" s="1544"/>
      <c r="AZ388" s="1544"/>
      <c r="BA388" s="1544"/>
      <c r="BB388" s="1544"/>
      <c r="BC388" s="1544"/>
      <c r="BD388" s="1544"/>
      <c r="BE388" s="1544"/>
      <c r="BF388" s="1544"/>
      <c r="BG388" s="1544"/>
      <c r="BH388" s="1544"/>
    </row>
    <row r="389" spans="1:60" ht="25.5" hidden="1" customHeight="1" outlineLevel="1" x14ac:dyDescent="0.2">
      <c r="A389" s="386" t="s">
        <v>579</v>
      </c>
      <c r="B389" s="358" t="s">
        <v>529</v>
      </c>
      <c r="C389" s="356" t="s">
        <v>19</v>
      </c>
      <c r="D389" s="346">
        <v>33</v>
      </c>
      <c r="E389" s="353">
        <v>12500</v>
      </c>
      <c r="F389" s="376">
        <f>+E389*D389</f>
        <v>412500</v>
      </c>
      <c r="G389" s="387">
        <v>0</v>
      </c>
      <c r="H389" s="349">
        <f>+G389*D389</f>
        <v>0</v>
      </c>
      <c r="I389" s="1285"/>
      <c r="J389" s="349">
        <f t="shared" ref="J389:J416" si="81">+I389*D389</f>
        <v>0</v>
      </c>
      <c r="L389" s="386" t="str">
        <f t="shared" si="80"/>
        <v>G. 1,1</v>
      </c>
      <c r="M389" s="358" t="str">
        <f t="shared" si="80"/>
        <v xml:space="preserve">suministro e instalación de protector sobre fachada en poli sombra, incluye accesorios y elementos para su fijación. </v>
      </c>
      <c r="N389" s="356" t="str">
        <f t="shared" si="80"/>
        <v>M2</v>
      </c>
      <c r="O389" s="346">
        <f t="shared" si="80"/>
        <v>33</v>
      </c>
      <c r="P389" s="423">
        <f>+'estudio inicial precios'!P435</f>
        <v>12500</v>
      </c>
      <c r="Q389" s="423">
        <f t="shared" ref="Q389:Q416" si="82">+P389*O389</f>
        <v>412500</v>
      </c>
    </row>
    <row r="390" spans="1:60" ht="25.5" hidden="1" customHeight="1" outlineLevel="1" x14ac:dyDescent="0.2">
      <c r="A390" s="354" t="s">
        <v>580</v>
      </c>
      <c r="B390" s="358" t="s">
        <v>531</v>
      </c>
      <c r="C390" s="356" t="s">
        <v>19</v>
      </c>
      <c r="D390" s="346">
        <v>33</v>
      </c>
      <c r="E390" s="353">
        <v>14000</v>
      </c>
      <c r="F390" s="376">
        <f t="shared" ref="F390:F416" si="83">+E390*D390</f>
        <v>462000</v>
      </c>
      <c r="G390" s="349">
        <v>3731</v>
      </c>
      <c r="H390" s="349">
        <f t="shared" ref="H390:H416" si="84">+G390*D390</f>
        <v>123123</v>
      </c>
      <c r="I390" s="1285">
        <f>IFERROR(VLOOKUP(A390,'valores unit indexados'!$A$14:$O$197,15,FALSE),0)</f>
        <v>0</v>
      </c>
      <c r="J390" s="349">
        <f t="shared" si="81"/>
        <v>0</v>
      </c>
      <c r="L390" s="354" t="str">
        <f t="shared" si="80"/>
        <v>G. 1,2</v>
      </c>
      <c r="M390" s="358" t="str">
        <f t="shared" si="80"/>
        <v>Lavada de fachada con agua a chorro de aspersión con hipoclorito.(incluye retiro de material extraño y piezas rotas)</v>
      </c>
      <c r="N390" s="356" t="str">
        <f t="shared" si="80"/>
        <v>M2</v>
      </c>
      <c r="O390" s="346">
        <f t="shared" si="80"/>
        <v>33</v>
      </c>
      <c r="P390" s="423">
        <f>+'estudio inicial precios'!P436</f>
        <v>9000</v>
      </c>
      <c r="Q390" s="423">
        <f t="shared" si="82"/>
        <v>297000</v>
      </c>
    </row>
    <row r="391" spans="1:60" ht="25.5" hidden="1" customHeight="1" outlineLevel="1" x14ac:dyDescent="0.2">
      <c r="A391" s="386" t="s">
        <v>581</v>
      </c>
      <c r="B391" s="358" t="s">
        <v>582</v>
      </c>
      <c r="C391" s="356" t="s">
        <v>14</v>
      </c>
      <c r="D391" s="346">
        <v>5</v>
      </c>
      <c r="E391" s="353">
        <v>85000</v>
      </c>
      <c r="F391" s="376">
        <f t="shared" si="83"/>
        <v>425000</v>
      </c>
      <c r="G391" s="387">
        <v>0</v>
      </c>
      <c r="H391" s="349">
        <f t="shared" si="84"/>
        <v>0</v>
      </c>
      <c r="I391" s="1285">
        <f>IFERROR(VLOOKUP(A391,'valores unit indexados'!$A$14:$O$197,15,FALSE),0)</f>
        <v>0</v>
      </c>
      <c r="J391" s="349">
        <f t="shared" si="81"/>
        <v>0</v>
      </c>
      <c r="L391" s="386" t="str">
        <f t="shared" si="80"/>
        <v>G. 1,3</v>
      </c>
      <c r="M391" s="358" t="str">
        <f t="shared" si="80"/>
        <v>Tratamiento de fisura el cual consiste en sellado con mortero especial para reparaciones.</v>
      </c>
      <c r="N391" s="356" t="str">
        <f t="shared" si="80"/>
        <v>ML</v>
      </c>
      <c r="O391" s="346">
        <f t="shared" si="80"/>
        <v>5</v>
      </c>
      <c r="P391" s="423">
        <f>+'estudio inicial precios'!P437</f>
        <v>85000</v>
      </c>
      <c r="Q391" s="423">
        <f t="shared" si="82"/>
        <v>425000</v>
      </c>
    </row>
    <row r="392" spans="1:60" ht="12.75" hidden="1" customHeight="1" outlineLevel="1" x14ac:dyDescent="0.2">
      <c r="A392" s="354" t="s">
        <v>583</v>
      </c>
      <c r="B392" s="358" t="s">
        <v>533</v>
      </c>
      <c r="C392" s="356" t="s">
        <v>19</v>
      </c>
      <c r="D392" s="346">
        <v>20</v>
      </c>
      <c r="E392" s="353">
        <v>9000</v>
      </c>
      <c r="F392" s="376">
        <f t="shared" si="83"/>
        <v>180000</v>
      </c>
      <c r="G392" s="349">
        <v>4000</v>
      </c>
      <c r="H392" s="349">
        <f t="shared" si="84"/>
        <v>80000</v>
      </c>
      <c r="I392" s="1285">
        <f>IFERROR(VLOOKUP(A392,'valores unit indexados'!$A$14:$O$197,15,FALSE),0)</f>
        <v>6890</v>
      </c>
      <c r="J392" s="349">
        <f t="shared" si="81"/>
        <v>137800</v>
      </c>
      <c r="L392" s="354" t="str">
        <f t="shared" si="80"/>
        <v>G. 1,4</v>
      </c>
      <c r="M392" s="358" t="str">
        <f t="shared" si="80"/>
        <v>Rasqueteada de pintura y retiro de material  en mal estado</v>
      </c>
      <c r="N392" s="356" t="str">
        <f t="shared" si="80"/>
        <v>M2</v>
      </c>
      <c r="O392" s="346">
        <f t="shared" si="80"/>
        <v>20</v>
      </c>
      <c r="P392" s="423">
        <f>+'estudio inicial precios'!P438</f>
        <v>6630</v>
      </c>
      <c r="Q392" s="423">
        <f t="shared" si="82"/>
        <v>132600</v>
      </c>
    </row>
    <row r="393" spans="1:60" ht="25.5" hidden="1" customHeight="1" outlineLevel="1" x14ac:dyDescent="0.2">
      <c r="A393" s="386" t="s">
        <v>584</v>
      </c>
      <c r="B393" s="358" t="s">
        <v>1511</v>
      </c>
      <c r="C393" s="356" t="s">
        <v>19</v>
      </c>
      <c r="D393" s="346">
        <v>33</v>
      </c>
      <c r="E393" s="353">
        <v>22500</v>
      </c>
      <c r="F393" s="376">
        <f t="shared" si="83"/>
        <v>742500</v>
      </c>
      <c r="G393" s="387">
        <v>0</v>
      </c>
      <c r="H393" s="349">
        <f t="shared" si="84"/>
        <v>0</v>
      </c>
      <c r="I393" s="1285">
        <f>IFERROR(VLOOKUP(A393,'valores unit indexados'!$A$14:$O$197,15,FALSE),0)</f>
        <v>0</v>
      </c>
      <c r="J393" s="349">
        <f t="shared" si="81"/>
        <v>0</v>
      </c>
      <c r="L393" s="386" t="str">
        <f t="shared" si="80"/>
        <v>G. 1,5</v>
      </c>
      <c r="M393" s="358" t="str">
        <f t="shared" si="80"/>
        <v xml:space="preserve">Suministro y aplicación de emulsión acrílica al 50% generador de adherencia, (o sellador acrílico) </v>
      </c>
      <c r="N393" s="356" t="str">
        <f t="shared" si="80"/>
        <v>M2</v>
      </c>
      <c r="O393" s="346">
        <f t="shared" si="80"/>
        <v>33</v>
      </c>
      <c r="P393" s="423">
        <f>+'estudio inicial precios'!P439</f>
        <v>22500</v>
      </c>
      <c r="Q393" s="423">
        <f t="shared" si="82"/>
        <v>742500</v>
      </c>
    </row>
    <row r="394" spans="1:60" ht="25.5" hidden="1" customHeight="1" outlineLevel="1" x14ac:dyDescent="0.2">
      <c r="A394" s="354" t="s">
        <v>586</v>
      </c>
      <c r="B394" s="358" t="s">
        <v>1512</v>
      </c>
      <c r="C394" s="356" t="s">
        <v>19</v>
      </c>
      <c r="D394" s="346">
        <v>33</v>
      </c>
      <c r="E394" s="353">
        <v>24000</v>
      </c>
      <c r="F394" s="376">
        <f t="shared" si="83"/>
        <v>792000</v>
      </c>
      <c r="G394" s="412">
        <v>8710</v>
      </c>
      <c r="H394" s="349">
        <f t="shared" si="84"/>
        <v>287430</v>
      </c>
      <c r="I394" s="1285">
        <f>IFERROR(VLOOKUP(A394,'valores unit indexados'!$A$14:$O$197,15,FALSE),0)</f>
        <v>0</v>
      </c>
      <c r="J394" s="349">
        <f t="shared" si="81"/>
        <v>0</v>
      </c>
      <c r="L394" s="354" t="str">
        <f t="shared" si="80"/>
        <v>G. 1,6</v>
      </c>
      <c r="M394" s="358" t="str">
        <f t="shared" si="80"/>
        <v xml:space="preserve">Suministro y aplicación de pintura acrílica para exterior a 3 manos - tipo 1 </v>
      </c>
      <c r="N394" s="356" t="str">
        <f t="shared" si="80"/>
        <v>M2</v>
      </c>
      <c r="O394" s="346">
        <f t="shared" si="80"/>
        <v>33</v>
      </c>
      <c r="P394" s="423">
        <f>+'estudio inicial precios'!P440</f>
        <v>21500</v>
      </c>
      <c r="Q394" s="423">
        <f t="shared" si="82"/>
        <v>709500</v>
      </c>
    </row>
    <row r="395" spans="1:60" ht="38.25" hidden="1" customHeight="1" outlineLevel="1" x14ac:dyDescent="0.2">
      <c r="A395" s="354" t="s">
        <v>588</v>
      </c>
      <c r="B395" s="358" t="s">
        <v>86</v>
      </c>
      <c r="C395" s="356" t="s">
        <v>19</v>
      </c>
      <c r="D395" s="346">
        <v>20</v>
      </c>
      <c r="E395" s="353">
        <v>48000</v>
      </c>
      <c r="F395" s="376">
        <f t="shared" si="83"/>
        <v>960000</v>
      </c>
      <c r="G395" s="349">
        <v>45500</v>
      </c>
      <c r="H395" s="349">
        <f t="shared" si="84"/>
        <v>910000</v>
      </c>
      <c r="I395" s="1285">
        <f>IFERROR(VLOOKUP(A395,'valores unit indexados'!$A$14:$O$197,15,FALSE),0)</f>
        <v>43614</v>
      </c>
      <c r="J395" s="349">
        <f t="shared" si="81"/>
        <v>872280</v>
      </c>
      <c r="L395" s="354" t="str">
        <f t="shared" si="80"/>
        <v>G. 1,7</v>
      </c>
      <c r="M395" s="358" t="str">
        <f t="shared" si="80"/>
        <v xml:space="preserve">Suministro e instalación de recubrimiento cementoso (Recubrimiento a base de cemento, arena y aditivos especiales), impermeable para muros color blanco </v>
      </c>
      <c r="N395" s="356" t="str">
        <f t="shared" si="80"/>
        <v>M2</v>
      </c>
      <c r="O395" s="346">
        <f t="shared" si="80"/>
        <v>20</v>
      </c>
      <c r="P395" s="423">
        <f>+'estudio inicial precios'!P441</f>
        <v>45053</v>
      </c>
      <c r="Q395" s="423">
        <f t="shared" si="82"/>
        <v>901060</v>
      </c>
    </row>
    <row r="396" spans="1:60" s="1533" customFormat="1" ht="24.75" hidden="1" customHeight="1" outlineLevel="1" x14ac:dyDescent="0.2">
      <c r="A396" s="1527" t="s">
        <v>589</v>
      </c>
      <c r="B396" s="1528" t="s">
        <v>590</v>
      </c>
      <c r="C396" s="1527"/>
      <c r="D396" s="1529"/>
      <c r="E396" s="1530"/>
      <c r="F396" s="1531">
        <f t="shared" si="83"/>
        <v>0</v>
      </c>
      <c r="G396" s="1530"/>
      <c r="H396" s="1531">
        <f t="shared" si="84"/>
        <v>0</v>
      </c>
      <c r="I396" s="1532"/>
      <c r="J396" s="1527"/>
      <c r="K396" s="1544"/>
      <c r="L396" s="1527" t="str">
        <f t="shared" si="80"/>
        <v>G. 2</v>
      </c>
      <c r="M396" s="1836"/>
      <c r="N396" s="1837"/>
      <c r="O396" s="1837"/>
      <c r="P396" s="1837"/>
      <c r="Q396" s="1838"/>
      <c r="R396" s="1544"/>
      <c r="S396" s="1544"/>
      <c r="T396" s="1544"/>
      <c r="U396" s="1544"/>
      <c r="V396" s="1544"/>
      <c r="W396" s="1544"/>
      <c r="X396" s="1544"/>
      <c r="Y396" s="1544"/>
      <c r="Z396" s="1544"/>
      <c r="AA396" s="1544"/>
      <c r="AB396" s="1544"/>
      <c r="AC396" s="1544"/>
      <c r="AD396" s="1544"/>
      <c r="AE396" s="1544"/>
      <c r="AF396" s="1544"/>
      <c r="AG396" s="1544"/>
      <c r="AH396" s="1544"/>
      <c r="AI396" s="1544"/>
      <c r="AJ396" s="1544"/>
      <c r="AK396" s="1544"/>
      <c r="AL396" s="1544"/>
      <c r="AM396" s="1544"/>
      <c r="AN396" s="1544"/>
      <c r="AO396" s="1544"/>
      <c r="AP396" s="1544"/>
      <c r="AQ396" s="1544"/>
      <c r="AR396" s="1544"/>
      <c r="AS396" s="1544"/>
      <c r="AT396" s="1544"/>
      <c r="AU396" s="1544"/>
      <c r="AV396" s="1544"/>
      <c r="AW396" s="1544"/>
      <c r="AX396" s="1544"/>
      <c r="AY396" s="1544"/>
      <c r="AZ396" s="1544"/>
      <c r="BA396" s="1544"/>
      <c r="BB396" s="1544"/>
      <c r="BC396" s="1544"/>
      <c r="BD396" s="1544"/>
      <c r="BE396" s="1544"/>
      <c r="BF396" s="1544"/>
      <c r="BG396" s="1544"/>
      <c r="BH396" s="1544"/>
    </row>
    <row r="397" spans="1:60" ht="25.5" hidden="1" customHeight="1" outlineLevel="1" x14ac:dyDescent="0.2">
      <c r="A397" s="386" t="s">
        <v>591</v>
      </c>
      <c r="B397" s="402" t="s">
        <v>1513</v>
      </c>
      <c r="C397" s="389" t="s">
        <v>14</v>
      </c>
      <c r="D397" s="346">
        <v>20</v>
      </c>
      <c r="E397" s="353">
        <v>85000</v>
      </c>
      <c r="F397" s="376">
        <f t="shared" si="83"/>
        <v>1700000</v>
      </c>
      <c r="G397" s="349">
        <v>62000</v>
      </c>
      <c r="H397" s="349">
        <f t="shared" si="84"/>
        <v>1240000</v>
      </c>
      <c r="I397" s="1285">
        <f>IFERROR(VLOOKUP(A397,'valores unit indexados'!$A$14:$O$197,15,FALSE),0)</f>
        <v>0</v>
      </c>
      <c r="J397" s="349">
        <f t="shared" si="81"/>
        <v>0</v>
      </c>
      <c r="L397" s="386" t="str">
        <f t="shared" si="80"/>
        <v>G. 2,1</v>
      </c>
      <c r="M397" s="402" t="str">
        <f t="shared" si="80"/>
        <v>Fabricación e instalación filtro francés tubería  4" ( incluye retiro de tierra a mano)</v>
      </c>
      <c r="N397" s="389" t="str">
        <f t="shared" si="80"/>
        <v>ML</v>
      </c>
      <c r="O397" s="346">
        <f t="shared" si="80"/>
        <v>20</v>
      </c>
      <c r="P397" s="423">
        <f>+'estudio inicial precios'!P443</f>
        <v>73500</v>
      </c>
      <c r="Q397" s="423">
        <f t="shared" si="82"/>
        <v>1470000</v>
      </c>
    </row>
    <row r="398" spans="1:60" ht="12.75" hidden="1" customHeight="1" outlineLevel="1" x14ac:dyDescent="0.2">
      <c r="A398" s="386" t="s">
        <v>593</v>
      </c>
      <c r="B398" s="364" t="s">
        <v>84</v>
      </c>
      <c r="C398" s="367" t="s">
        <v>19</v>
      </c>
      <c r="D398" s="346">
        <v>50</v>
      </c>
      <c r="E398" s="353">
        <v>9000</v>
      </c>
      <c r="F398" s="376">
        <f t="shared" si="83"/>
        <v>450000</v>
      </c>
      <c r="G398" s="349">
        <v>5200</v>
      </c>
      <c r="H398" s="349">
        <f t="shared" si="84"/>
        <v>260000</v>
      </c>
      <c r="I398" s="1285">
        <f>IFERROR(VLOOKUP(A398,'valores unit indexados'!$A$14:$O$197,15,FALSE),0)</f>
        <v>6890</v>
      </c>
      <c r="J398" s="349">
        <f t="shared" si="81"/>
        <v>344500</v>
      </c>
      <c r="L398" s="386" t="str">
        <f t="shared" si="80"/>
        <v>G. 2,2</v>
      </c>
      <c r="M398" s="364" t="str">
        <f t="shared" si="80"/>
        <v xml:space="preserve">Rasqueteada de pintura y retiro de mortero en mal estado  </v>
      </c>
      <c r="N398" s="367" t="str">
        <f t="shared" si="80"/>
        <v>M2</v>
      </c>
      <c r="O398" s="346">
        <f t="shared" si="80"/>
        <v>50</v>
      </c>
      <c r="P398" s="423">
        <f>+'estudio inicial precios'!P444</f>
        <v>6630</v>
      </c>
      <c r="Q398" s="423">
        <f t="shared" si="82"/>
        <v>331500</v>
      </c>
    </row>
    <row r="399" spans="1:60" ht="38.25" hidden="1" customHeight="1" outlineLevel="1" x14ac:dyDescent="0.2">
      <c r="A399" s="386" t="s">
        <v>594</v>
      </c>
      <c r="B399" s="358" t="s">
        <v>86</v>
      </c>
      <c r="C399" s="356" t="s">
        <v>19</v>
      </c>
      <c r="D399" s="346">
        <v>50</v>
      </c>
      <c r="E399" s="353">
        <v>48000</v>
      </c>
      <c r="F399" s="376">
        <f t="shared" si="83"/>
        <v>2400000</v>
      </c>
      <c r="G399" s="349">
        <v>45500</v>
      </c>
      <c r="H399" s="349">
        <f t="shared" si="84"/>
        <v>2275000</v>
      </c>
      <c r="I399" s="1285">
        <f>IFERROR(VLOOKUP(A399,'valores unit indexados'!$A$14:$O$197,15,FALSE),0)</f>
        <v>43614</v>
      </c>
      <c r="J399" s="349">
        <f t="shared" si="81"/>
        <v>2180700</v>
      </c>
      <c r="L399" s="386" t="str">
        <f t="shared" si="80"/>
        <v>G. 2,3</v>
      </c>
      <c r="M399" s="358" t="str">
        <f t="shared" si="80"/>
        <v xml:space="preserve">Suministro e instalación de recubrimiento cementoso (Recubrimiento a base de cemento, arena y aditivos especiales), impermeable para muros color blanco </v>
      </c>
      <c r="N399" s="356" t="str">
        <f t="shared" si="80"/>
        <v>M2</v>
      </c>
      <c r="O399" s="346">
        <f t="shared" si="80"/>
        <v>50</v>
      </c>
      <c r="P399" s="423">
        <f>+'estudio inicial precios'!P445</f>
        <v>45053</v>
      </c>
      <c r="Q399" s="423">
        <f t="shared" si="82"/>
        <v>2252650</v>
      </c>
    </row>
    <row r="400" spans="1:60" ht="12.75" hidden="1" customHeight="1" outlineLevel="1" x14ac:dyDescent="0.2">
      <c r="A400" s="386" t="s">
        <v>595</v>
      </c>
      <c r="B400" s="358" t="s">
        <v>88</v>
      </c>
      <c r="C400" s="356" t="s">
        <v>19</v>
      </c>
      <c r="D400" s="346">
        <v>80</v>
      </c>
      <c r="E400" s="353">
        <v>28000</v>
      </c>
      <c r="F400" s="376">
        <f t="shared" si="83"/>
        <v>2240000</v>
      </c>
      <c r="G400" s="349">
        <v>11700</v>
      </c>
      <c r="H400" s="349">
        <f t="shared" si="84"/>
        <v>936000</v>
      </c>
      <c r="I400" s="1285">
        <f>IFERROR(VLOOKUP(A400,'valores unit indexados'!$A$14:$O$197,15,FALSE),0)</f>
        <v>24610</v>
      </c>
      <c r="J400" s="349">
        <f t="shared" si="81"/>
        <v>1968800</v>
      </c>
      <c r="L400" s="386" t="str">
        <f t="shared" si="80"/>
        <v>G. 2,4</v>
      </c>
      <c r="M400" s="358" t="str">
        <f t="shared" si="80"/>
        <v xml:space="preserve">Suministro y aplicación de estuco plástico </v>
      </c>
      <c r="N400" s="356" t="str">
        <f t="shared" si="80"/>
        <v>M2</v>
      </c>
      <c r="O400" s="346">
        <f t="shared" si="80"/>
        <v>80</v>
      </c>
      <c r="P400" s="423">
        <f>+'estudio inicial precios'!P446</f>
        <v>26305</v>
      </c>
      <c r="Q400" s="423">
        <f t="shared" si="82"/>
        <v>2104400</v>
      </c>
    </row>
    <row r="401" spans="1:60" ht="12.75" hidden="1" customHeight="1" outlineLevel="1" x14ac:dyDescent="0.2">
      <c r="A401" s="354" t="s">
        <v>596</v>
      </c>
      <c r="B401" s="358" t="s">
        <v>90</v>
      </c>
      <c r="C401" s="356" t="s">
        <v>19</v>
      </c>
      <c r="D401" s="346">
        <v>114</v>
      </c>
      <c r="E401" s="353">
        <v>19000</v>
      </c>
      <c r="F401" s="376">
        <f t="shared" si="83"/>
        <v>2166000</v>
      </c>
      <c r="G401" s="412">
        <v>8710</v>
      </c>
      <c r="H401" s="349">
        <f t="shared" si="84"/>
        <v>992940</v>
      </c>
      <c r="I401" s="1285">
        <f>IFERROR(VLOOKUP(A401,'valores unit indexados'!$A$14:$O$197,15,FALSE),0)</f>
        <v>0</v>
      </c>
      <c r="J401" s="349">
        <f t="shared" si="81"/>
        <v>0</v>
      </c>
      <c r="L401" s="354" t="str">
        <f t="shared" si="80"/>
        <v>G. 2,5</v>
      </c>
      <c r="M401" s="358" t="str">
        <f t="shared" si="80"/>
        <v>Suministro y aplicación de vinilo tipo 1 (3 manos)</v>
      </c>
      <c r="N401" s="356" t="str">
        <f t="shared" si="80"/>
        <v>M2</v>
      </c>
      <c r="O401" s="346">
        <f t="shared" si="80"/>
        <v>114</v>
      </c>
      <c r="P401" s="423">
        <f>+'estudio inicial precios'!P447</f>
        <v>19000</v>
      </c>
      <c r="Q401" s="423">
        <f t="shared" si="82"/>
        <v>2166000</v>
      </c>
    </row>
    <row r="402" spans="1:60" ht="12.75" hidden="1" customHeight="1" outlineLevel="1" x14ac:dyDescent="0.2">
      <c r="A402" s="386" t="s">
        <v>597</v>
      </c>
      <c r="B402" s="358" t="s">
        <v>92</v>
      </c>
      <c r="C402" s="356" t="s">
        <v>19</v>
      </c>
      <c r="D402" s="346">
        <v>23</v>
      </c>
      <c r="E402" s="353">
        <v>18000</v>
      </c>
      <c r="F402" s="376">
        <f t="shared" si="83"/>
        <v>414000</v>
      </c>
      <c r="G402" s="412">
        <v>8710</v>
      </c>
      <c r="H402" s="349">
        <f t="shared" si="84"/>
        <v>200330</v>
      </c>
      <c r="I402" s="1285">
        <f>IFERROR(VLOOKUP(A402,'valores unit indexados'!$A$14:$O$197,15,FALSE),0)</f>
        <v>17005</v>
      </c>
      <c r="J402" s="349">
        <f t="shared" si="81"/>
        <v>391115</v>
      </c>
      <c r="L402" s="386" t="str">
        <f t="shared" si="80"/>
        <v>G. 2,6</v>
      </c>
      <c r="M402" s="358" t="str">
        <f t="shared" si="80"/>
        <v>Suministro y aplicación de pintura en esmalte</v>
      </c>
      <c r="N402" s="356" t="str">
        <f t="shared" si="80"/>
        <v>M2</v>
      </c>
      <c r="O402" s="346">
        <f t="shared" si="80"/>
        <v>23</v>
      </c>
      <c r="P402" s="423">
        <f>+'estudio inicial precios'!P448</f>
        <v>17503</v>
      </c>
      <c r="Q402" s="423">
        <f t="shared" si="82"/>
        <v>402569</v>
      </c>
    </row>
    <row r="403" spans="1:60" ht="12.75" hidden="1" customHeight="1" outlineLevel="1" x14ac:dyDescent="0.2">
      <c r="A403" s="354" t="s">
        <v>598</v>
      </c>
      <c r="B403" s="358" t="s">
        <v>94</v>
      </c>
      <c r="C403" s="356" t="s">
        <v>19</v>
      </c>
      <c r="D403" s="346">
        <v>6</v>
      </c>
      <c r="E403" s="353">
        <v>17000</v>
      </c>
      <c r="F403" s="376">
        <f t="shared" si="83"/>
        <v>102000</v>
      </c>
      <c r="G403" s="412">
        <v>8710</v>
      </c>
      <c r="H403" s="349">
        <f t="shared" si="84"/>
        <v>52260</v>
      </c>
      <c r="I403" s="1285">
        <f>IFERROR(VLOOKUP(A403,'valores unit indexados'!$A$14:$O$197,15,FALSE),0)</f>
        <v>0</v>
      </c>
      <c r="J403" s="349">
        <f t="shared" si="81"/>
        <v>0</v>
      </c>
      <c r="L403" s="354" t="str">
        <f t="shared" si="80"/>
        <v>G. 2,7</v>
      </c>
      <c r="M403" s="358" t="str">
        <f t="shared" si="80"/>
        <v>Suministro y aplicación de pintura cielo vinilo tipo 1</v>
      </c>
      <c r="N403" s="356" t="str">
        <f t="shared" si="80"/>
        <v>M2</v>
      </c>
      <c r="O403" s="346">
        <f t="shared" si="80"/>
        <v>6</v>
      </c>
      <c r="P403" s="423">
        <f>+'estudio inicial precios'!P449</f>
        <v>17000</v>
      </c>
      <c r="Q403" s="423">
        <f t="shared" si="82"/>
        <v>102000</v>
      </c>
    </row>
    <row r="404" spans="1:60" ht="12.75" hidden="1" customHeight="1" outlineLevel="1" x14ac:dyDescent="0.2">
      <c r="A404" s="386" t="s">
        <v>599</v>
      </c>
      <c r="B404" s="358" t="s">
        <v>84</v>
      </c>
      <c r="C404" s="356" t="s">
        <v>14</v>
      </c>
      <c r="D404" s="346">
        <v>3</v>
      </c>
      <c r="E404" s="353">
        <v>5400</v>
      </c>
      <c r="F404" s="376">
        <f t="shared" si="83"/>
        <v>16200</v>
      </c>
      <c r="G404" s="349">
        <v>5200</v>
      </c>
      <c r="H404" s="349">
        <f t="shared" si="84"/>
        <v>15600</v>
      </c>
      <c r="I404" s="1285">
        <f>IFERROR(VLOOKUP(A404,'valores unit indexados'!$A$14:$O$197,15,FALSE),0)</f>
        <v>0</v>
      </c>
      <c r="J404" s="349">
        <f t="shared" si="81"/>
        <v>0</v>
      </c>
      <c r="L404" s="386" t="str">
        <f t="shared" si="80"/>
        <v>G. 2,8</v>
      </c>
      <c r="M404" s="358" t="str">
        <f t="shared" si="80"/>
        <v xml:space="preserve">Rasqueteada de pintura y retiro de mortero en mal estado  </v>
      </c>
      <c r="N404" s="356" t="str">
        <f t="shared" si="80"/>
        <v>ML</v>
      </c>
      <c r="O404" s="346">
        <f t="shared" si="80"/>
        <v>3</v>
      </c>
      <c r="P404" s="423">
        <f>+'estudio inicial precios'!P450</f>
        <v>4700</v>
      </c>
      <c r="Q404" s="423">
        <f t="shared" si="82"/>
        <v>14100</v>
      </c>
    </row>
    <row r="405" spans="1:60" ht="38.25" hidden="1" customHeight="1" outlineLevel="1" x14ac:dyDescent="0.2">
      <c r="A405" s="354" t="s">
        <v>600</v>
      </c>
      <c r="B405" s="358" t="s">
        <v>86</v>
      </c>
      <c r="C405" s="356" t="s">
        <v>14</v>
      </c>
      <c r="D405" s="346">
        <v>3</v>
      </c>
      <c r="E405" s="353">
        <v>28800</v>
      </c>
      <c r="F405" s="376">
        <f t="shared" si="83"/>
        <v>86400</v>
      </c>
      <c r="G405" s="349">
        <v>6500</v>
      </c>
      <c r="H405" s="349">
        <f t="shared" si="84"/>
        <v>19500</v>
      </c>
      <c r="I405" s="1285">
        <f>IFERROR(VLOOKUP(A405,'valores unit indexados'!$A$14:$O$197,15,FALSE),0)</f>
        <v>0</v>
      </c>
      <c r="J405" s="349">
        <f t="shared" si="81"/>
        <v>0</v>
      </c>
      <c r="L405" s="354" t="str">
        <f t="shared" si="80"/>
        <v>G. 2,9</v>
      </c>
      <c r="M405" s="358" t="str">
        <f t="shared" si="80"/>
        <v xml:space="preserve">Suministro e instalación de recubrimiento cementoso (Recubrimiento a base de cemento, arena y aditivos especiales), impermeable para muros color blanco </v>
      </c>
      <c r="N405" s="356" t="str">
        <f t="shared" si="80"/>
        <v>ML</v>
      </c>
      <c r="O405" s="346">
        <f t="shared" si="80"/>
        <v>3</v>
      </c>
      <c r="P405" s="423">
        <f>+'estudio inicial precios'!P451</f>
        <v>17650</v>
      </c>
      <c r="Q405" s="423">
        <f t="shared" si="82"/>
        <v>52950</v>
      </c>
    </row>
    <row r="406" spans="1:60" ht="12.75" hidden="1" customHeight="1" outlineLevel="1" x14ac:dyDescent="0.2">
      <c r="A406" s="386" t="s">
        <v>601</v>
      </c>
      <c r="B406" s="358" t="s">
        <v>88</v>
      </c>
      <c r="C406" s="356" t="s">
        <v>14</v>
      </c>
      <c r="D406" s="346">
        <v>3</v>
      </c>
      <c r="E406" s="353">
        <v>16800</v>
      </c>
      <c r="F406" s="376">
        <f t="shared" si="83"/>
        <v>50400</v>
      </c>
      <c r="G406" s="349">
        <v>11700</v>
      </c>
      <c r="H406" s="349">
        <f t="shared" si="84"/>
        <v>35100</v>
      </c>
      <c r="I406" s="1285">
        <f>IFERROR(VLOOKUP(A406,'valores unit indexados'!$A$14:$O$197,15,FALSE),0)</f>
        <v>24610</v>
      </c>
      <c r="J406" s="349">
        <f t="shared" si="81"/>
        <v>73830</v>
      </c>
      <c r="L406" s="386" t="str">
        <f t="shared" si="80"/>
        <v>G. 2,10</v>
      </c>
      <c r="M406" s="358" t="str">
        <f t="shared" si="80"/>
        <v xml:space="preserve">Suministro y aplicación de estuco plástico </v>
      </c>
      <c r="N406" s="356" t="str">
        <f t="shared" si="80"/>
        <v>ML</v>
      </c>
      <c r="O406" s="346">
        <f t="shared" si="80"/>
        <v>3</v>
      </c>
      <c r="P406" s="423">
        <f>+'estudio inicial precios'!P452</f>
        <v>20705</v>
      </c>
      <c r="Q406" s="423">
        <f t="shared" si="82"/>
        <v>62115</v>
      </c>
    </row>
    <row r="407" spans="1:60" ht="12.75" hidden="1" customHeight="1" outlineLevel="1" x14ac:dyDescent="0.2">
      <c r="A407" s="354" t="s">
        <v>602</v>
      </c>
      <c r="B407" s="358" t="s">
        <v>98</v>
      </c>
      <c r="C407" s="356" t="s">
        <v>14</v>
      </c>
      <c r="D407" s="346">
        <v>3</v>
      </c>
      <c r="E407" s="353">
        <v>10200</v>
      </c>
      <c r="F407" s="376">
        <f t="shared" si="83"/>
        <v>30600</v>
      </c>
      <c r="G407" s="349">
        <v>5200</v>
      </c>
      <c r="H407" s="349">
        <f t="shared" si="84"/>
        <v>15600</v>
      </c>
      <c r="I407" s="1285">
        <f>IFERROR(VLOOKUP(A407,'valores unit indexados'!$A$14:$O$197,15,FALSE),0)</f>
        <v>0</v>
      </c>
      <c r="J407" s="349">
        <f t="shared" si="81"/>
        <v>0</v>
      </c>
      <c r="L407" s="354" t="str">
        <f t="shared" si="80"/>
        <v>G. 2,11</v>
      </c>
      <c r="M407" s="358" t="str">
        <f t="shared" si="80"/>
        <v>Suministro y aplicación de vinilo tipo 2 (3 manos)</v>
      </c>
      <c r="N407" s="356" t="str">
        <f t="shared" si="80"/>
        <v>ML</v>
      </c>
      <c r="O407" s="346">
        <f t="shared" si="80"/>
        <v>3</v>
      </c>
      <c r="P407" s="423">
        <f>+'estudio inicial precios'!P453</f>
        <v>6120</v>
      </c>
      <c r="Q407" s="423">
        <f t="shared" si="82"/>
        <v>18360</v>
      </c>
    </row>
    <row r="408" spans="1:60" ht="12.75" hidden="1" customHeight="1" outlineLevel="1" x14ac:dyDescent="0.2">
      <c r="A408" s="386" t="s">
        <v>603</v>
      </c>
      <c r="B408" s="358" t="s">
        <v>92</v>
      </c>
      <c r="C408" s="356" t="s">
        <v>14</v>
      </c>
      <c r="D408" s="346">
        <v>3</v>
      </c>
      <c r="E408" s="353">
        <v>10800</v>
      </c>
      <c r="F408" s="376">
        <f t="shared" si="83"/>
        <v>32400</v>
      </c>
      <c r="G408" s="349">
        <v>5200</v>
      </c>
      <c r="H408" s="349">
        <f t="shared" si="84"/>
        <v>15600</v>
      </c>
      <c r="I408" s="1285">
        <f>IFERROR(VLOOKUP(A408,'valores unit indexados'!$A$14:$O$197,15,FALSE),0)</f>
        <v>0</v>
      </c>
      <c r="J408" s="349">
        <f t="shared" si="81"/>
        <v>0</v>
      </c>
      <c r="L408" s="386" t="str">
        <f t="shared" si="80"/>
        <v>G. 2,12</v>
      </c>
      <c r="M408" s="358" t="str">
        <f t="shared" si="80"/>
        <v>Suministro y aplicación de pintura en esmalte</v>
      </c>
      <c r="N408" s="356" t="str">
        <f t="shared" si="80"/>
        <v>ML</v>
      </c>
      <c r="O408" s="346">
        <f t="shared" si="80"/>
        <v>3</v>
      </c>
      <c r="P408" s="423">
        <f>+'estudio inicial precios'!P454</f>
        <v>8000</v>
      </c>
      <c r="Q408" s="423">
        <f t="shared" si="82"/>
        <v>24000</v>
      </c>
    </row>
    <row r="409" spans="1:60" s="1533" customFormat="1" ht="24.75" hidden="1" customHeight="1" outlineLevel="1" x14ac:dyDescent="0.2">
      <c r="A409" s="1527" t="s">
        <v>604</v>
      </c>
      <c r="B409" s="1528" t="s">
        <v>1514</v>
      </c>
      <c r="C409" s="1527"/>
      <c r="D409" s="1529"/>
      <c r="E409" s="1530"/>
      <c r="F409" s="1531">
        <f t="shared" si="83"/>
        <v>0</v>
      </c>
      <c r="G409" s="1530"/>
      <c r="H409" s="1531">
        <f t="shared" si="84"/>
        <v>0</v>
      </c>
      <c r="I409" s="1532"/>
      <c r="J409" s="1527"/>
      <c r="K409" s="1544"/>
      <c r="L409" s="1527" t="str">
        <f t="shared" si="80"/>
        <v>G. 3</v>
      </c>
      <c r="M409" s="1836"/>
      <c r="N409" s="1837"/>
      <c r="O409" s="1837"/>
      <c r="P409" s="1837"/>
      <c r="Q409" s="1838"/>
      <c r="R409" s="1544"/>
      <c r="S409" s="1544"/>
      <c r="T409" s="1544"/>
      <c r="U409" s="1544"/>
      <c r="V409" s="1544"/>
      <c r="W409" s="1544"/>
      <c r="X409" s="1544"/>
      <c r="Y409" s="1544"/>
      <c r="Z409" s="1544"/>
      <c r="AA409" s="1544"/>
      <c r="AB409" s="1544"/>
      <c r="AC409" s="1544"/>
      <c r="AD409" s="1544"/>
      <c r="AE409" s="1544"/>
      <c r="AF409" s="1544"/>
      <c r="AG409" s="1544"/>
      <c r="AH409" s="1544"/>
      <c r="AI409" s="1544"/>
      <c r="AJ409" s="1544"/>
      <c r="AK409" s="1544"/>
      <c r="AL409" s="1544"/>
      <c r="AM409" s="1544"/>
      <c r="AN409" s="1544"/>
      <c r="AO409" s="1544"/>
      <c r="AP409" s="1544"/>
      <c r="AQ409" s="1544"/>
      <c r="AR409" s="1544"/>
      <c r="AS409" s="1544"/>
      <c r="AT409" s="1544"/>
      <c r="AU409" s="1544"/>
      <c r="AV409" s="1544"/>
      <c r="AW409" s="1544"/>
      <c r="AX409" s="1544"/>
      <c r="AY409" s="1544"/>
      <c r="AZ409" s="1544"/>
      <c r="BA409" s="1544"/>
      <c r="BB409" s="1544"/>
      <c r="BC409" s="1544"/>
      <c r="BD409" s="1544"/>
      <c r="BE409" s="1544"/>
      <c r="BF409" s="1544"/>
      <c r="BG409" s="1544"/>
      <c r="BH409" s="1544"/>
    </row>
    <row r="410" spans="1:60" ht="12.75" hidden="1" customHeight="1" outlineLevel="1" x14ac:dyDescent="0.2">
      <c r="A410" s="386" t="s">
        <v>606</v>
      </c>
      <c r="B410" s="388" t="s">
        <v>607</v>
      </c>
      <c r="C410" s="389" t="s">
        <v>19</v>
      </c>
      <c r="D410" s="346">
        <v>30</v>
      </c>
      <c r="E410" s="353">
        <v>9000</v>
      </c>
      <c r="F410" s="376">
        <f t="shared" si="83"/>
        <v>270000</v>
      </c>
      <c r="G410" s="349">
        <v>7000</v>
      </c>
      <c r="H410" s="349">
        <f t="shared" si="84"/>
        <v>210000</v>
      </c>
      <c r="I410" s="1285">
        <f>IFERROR(VLOOKUP(A410,'valores unit indexados'!$A$14:$O$197,15,FALSE),0)</f>
        <v>9646</v>
      </c>
      <c r="J410" s="349">
        <f t="shared" si="81"/>
        <v>289380</v>
      </c>
      <c r="L410" s="386" t="str">
        <f t="shared" si="80"/>
        <v>G. 3,1</v>
      </c>
      <c r="M410" s="388" t="str">
        <f t="shared" si="80"/>
        <v xml:space="preserve">Desmonte de cubierta en teja plástica </v>
      </c>
      <c r="N410" s="389" t="str">
        <f t="shared" si="80"/>
        <v>M2</v>
      </c>
      <c r="O410" s="346">
        <f t="shared" si="80"/>
        <v>30</v>
      </c>
      <c r="P410" s="423">
        <f>+'estudio inicial precios'!P456</f>
        <v>8549</v>
      </c>
      <c r="Q410" s="423">
        <f t="shared" si="82"/>
        <v>256470</v>
      </c>
    </row>
    <row r="411" spans="1:60" ht="25.5" hidden="1" customHeight="1" outlineLevel="1" x14ac:dyDescent="0.2">
      <c r="A411" s="386" t="s">
        <v>608</v>
      </c>
      <c r="B411" s="388" t="s">
        <v>609</v>
      </c>
      <c r="C411" s="389" t="s">
        <v>19</v>
      </c>
      <c r="D411" s="346">
        <v>30</v>
      </c>
      <c r="E411" s="353">
        <v>80000</v>
      </c>
      <c r="F411" s="376">
        <f t="shared" si="83"/>
        <v>2400000</v>
      </c>
      <c r="G411" s="349">
        <v>45000</v>
      </c>
      <c r="H411" s="349">
        <f t="shared" si="84"/>
        <v>1350000</v>
      </c>
      <c r="I411" s="1285">
        <f>IFERROR(VLOOKUP(A411,'valores unit indexados'!$A$14:$O$197,15,FALSE),0)</f>
        <v>60213</v>
      </c>
      <c r="J411" s="349">
        <f t="shared" si="81"/>
        <v>1806390</v>
      </c>
      <c r="L411" s="386" t="str">
        <f t="shared" si="80"/>
        <v>G. 3,2</v>
      </c>
      <c r="M411" s="388" t="str">
        <f t="shared" si="80"/>
        <v>Suministro e instalación de cubierta en teja ondulada en Policarbonato, opalizado</v>
      </c>
      <c r="N411" s="389" t="str">
        <f t="shared" si="80"/>
        <v>M2</v>
      </c>
      <c r="O411" s="346">
        <f t="shared" si="80"/>
        <v>30</v>
      </c>
      <c r="P411" s="423">
        <f>+'estudio inicial precios'!P457</f>
        <v>61738</v>
      </c>
      <c r="Q411" s="423">
        <f t="shared" si="82"/>
        <v>1852140</v>
      </c>
    </row>
    <row r="412" spans="1:60" ht="12.75" hidden="1" customHeight="1" outlineLevel="1" x14ac:dyDescent="0.2">
      <c r="A412" s="386" t="s">
        <v>610</v>
      </c>
      <c r="B412" s="383" t="s">
        <v>59</v>
      </c>
      <c r="C412" s="403" t="s">
        <v>14</v>
      </c>
      <c r="D412" s="386">
        <v>23</v>
      </c>
      <c r="E412" s="353">
        <v>16000</v>
      </c>
      <c r="F412" s="376">
        <f t="shared" si="83"/>
        <v>368000</v>
      </c>
      <c r="G412" s="349">
        <v>16848</v>
      </c>
      <c r="H412" s="349">
        <f t="shared" si="84"/>
        <v>387504</v>
      </c>
      <c r="I412" s="1285">
        <f>IFERROR(VLOOKUP(A412,'valores unit indexados'!$A$14:$O$197,15,FALSE),0)</f>
        <v>13382</v>
      </c>
      <c r="J412" s="349">
        <f t="shared" si="81"/>
        <v>307786</v>
      </c>
      <c r="L412" s="386" t="str">
        <f t="shared" si="80"/>
        <v>G. 3,3</v>
      </c>
      <c r="M412" s="383" t="str">
        <f t="shared" si="80"/>
        <v>Corte de muro con pulidora</v>
      </c>
      <c r="N412" s="403" t="str">
        <f t="shared" si="80"/>
        <v>ML</v>
      </c>
      <c r="O412" s="386">
        <f t="shared" si="80"/>
        <v>23</v>
      </c>
      <c r="P412" s="423">
        <f>+'estudio inicial precios'!P458</f>
        <v>15410</v>
      </c>
      <c r="Q412" s="423">
        <f t="shared" si="82"/>
        <v>354430</v>
      </c>
    </row>
    <row r="413" spans="1:60" ht="25.5" hidden="1" customHeight="1" outlineLevel="1" x14ac:dyDescent="0.2">
      <c r="A413" s="386" t="s">
        <v>611</v>
      </c>
      <c r="B413" s="358" t="s">
        <v>61</v>
      </c>
      <c r="C413" s="356" t="s">
        <v>14</v>
      </c>
      <c r="D413" s="385">
        <v>23</v>
      </c>
      <c r="E413" s="353">
        <v>46000</v>
      </c>
      <c r="F413" s="376">
        <f t="shared" si="83"/>
        <v>1058000</v>
      </c>
      <c r="G413" s="349">
        <v>57837</v>
      </c>
      <c r="H413" s="349">
        <f t="shared" si="84"/>
        <v>1330251</v>
      </c>
      <c r="I413" s="1285">
        <f>IFERROR(VLOOKUP(A413,'valores unit indexados'!$A$14:$O$197,15,FALSE),0)</f>
        <v>0</v>
      </c>
      <c r="J413" s="349">
        <f t="shared" si="81"/>
        <v>0</v>
      </c>
      <c r="L413" s="386" t="str">
        <f t="shared" si="80"/>
        <v>G. 3,4</v>
      </c>
      <c r="M413" s="358" t="str">
        <f t="shared" si="80"/>
        <v>Suministro e instalación de Solapa en lamina galvanizada Cal 24, incluye sellador sobre muro</v>
      </c>
      <c r="N413" s="356" t="str">
        <f t="shared" si="80"/>
        <v>ML</v>
      </c>
      <c r="O413" s="385">
        <f t="shared" si="80"/>
        <v>23</v>
      </c>
      <c r="P413" s="423">
        <f>+'estudio inicial precios'!P459</f>
        <v>51919</v>
      </c>
      <c r="Q413" s="423">
        <f t="shared" si="82"/>
        <v>1194137</v>
      </c>
    </row>
    <row r="414" spans="1:60" s="1533" customFormat="1" ht="24.75" hidden="1" customHeight="1" outlineLevel="1" x14ac:dyDescent="0.2">
      <c r="A414" s="1527" t="s">
        <v>612</v>
      </c>
      <c r="B414" s="1528" t="s">
        <v>294</v>
      </c>
      <c r="C414" s="1527"/>
      <c r="D414" s="1529"/>
      <c r="E414" s="1530"/>
      <c r="F414" s="1531">
        <f t="shared" si="83"/>
        <v>0</v>
      </c>
      <c r="G414" s="1530"/>
      <c r="H414" s="1531">
        <f t="shared" si="84"/>
        <v>0</v>
      </c>
      <c r="I414" s="1532"/>
      <c r="J414" s="1527"/>
      <c r="K414" s="1544"/>
      <c r="L414" s="1527" t="str">
        <f t="shared" si="80"/>
        <v>G. 4</v>
      </c>
      <c r="M414" s="1836"/>
      <c r="N414" s="1837"/>
      <c r="O414" s="1837"/>
      <c r="P414" s="1837"/>
      <c r="Q414" s="1838"/>
      <c r="R414" s="1544"/>
      <c r="S414" s="1544"/>
      <c r="T414" s="1544"/>
      <c r="U414" s="1544"/>
      <c r="V414" s="1544"/>
      <c r="W414" s="1544"/>
      <c r="X414" s="1544"/>
      <c r="Y414" s="1544"/>
      <c r="Z414" s="1544"/>
      <c r="AA414" s="1544"/>
      <c r="AB414" s="1544"/>
      <c r="AC414" s="1544"/>
      <c r="AD414" s="1544"/>
      <c r="AE414" s="1544"/>
      <c r="AF414" s="1544"/>
      <c r="AG414" s="1544"/>
      <c r="AH414" s="1544"/>
      <c r="AI414" s="1544"/>
      <c r="AJ414" s="1544"/>
      <c r="AK414" s="1544"/>
      <c r="AL414" s="1544"/>
      <c r="AM414" s="1544"/>
      <c r="AN414" s="1544"/>
      <c r="AO414" s="1544"/>
      <c r="AP414" s="1544"/>
      <c r="AQ414" s="1544"/>
      <c r="AR414" s="1544"/>
      <c r="AS414" s="1544"/>
      <c r="AT414" s="1544"/>
      <c r="AU414" s="1544"/>
      <c r="AV414" s="1544"/>
      <c r="AW414" s="1544"/>
      <c r="AX414" s="1544"/>
      <c r="AY414" s="1544"/>
      <c r="AZ414" s="1544"/>
      <c r="BA414" s="1544"/>
      <c r="BB414" s="1544"/>
      <c r="BC414" s="1544"/>
      <c r="BD414" s="1544"/>
      <c r="BE414" s="1544"/>
      <c r="BF414" s="1544"/>
      <c r="BG414" s="1544"/>
      <c r="BH414" s="1544"/>
    </row>
    <row r="415" spans="1:60" ht="12.75" hidden="1" customHeight="1" outlineLevel="1" x14ac:dyDescent="0.2">
      <c r="A415" s="386" t="s">
        <v>613</v>
      </c>
      <c r="B415" s="358" t="s">
        <v>614</v>
      </c>
      <c r="C415" s="389" t="s">
        <v>19</v>
      </c>
      <c r="D415" s="385">
        <v>30</v>
      </c>
      <c r="E415" s="353">
        <v>110000</v>
      </c>
      <c r="F415" s="376">
        <f t="shared" si="83"/>
        <v>3300000</v>
      </c>
      <c r="G415" s="349">
        <v>38000</v>
      </c>
      <c r="H415" s="349">
        <f t="shared" si="84"/>
        <v>1140000</v>
      </c>
      <c r="I415" s="1285">
        <f>IFERROR(VLOOKUP(A415,'valores unit indexados'!$A$14:$O$197,15,FALSE),0)</f>
        <v>56170</v>
      </c>
      <c r="J415" s="349">
        <f t="shared" si="81"/>
        <v>1685100</v>
      </c>
      <c r="L415" s="386" t="str">
        <f t="shared" si="80"/>
        <v>G. 4,1</v>
      </c>
      <c r="M415" s="358" t="str">
        <f t="shared" si="80"/>
        <v xml:space="preserve">Suministro e instalación de película opalizada para ventanas </v>
      </c>
      <c r="N415" s="389" t="str">
        <f>+C415</f>
        <v>M2</v>
      </c>
      <c r="O415" s="385">
        <f>+D415</f>
        <v>30</v>
      </c>
      <c r="P415" s="423">
        <f>+'estudio inicial precios'!P461</f>
        <v>56170</v>
      </c>
      <c r="Q415" s="423">
        <f t="shared" si="82"/>
        <v>1685100</v>
      </c>
    </row>
    <row r="416" spans="1:60" ht="13.5" hidden="1" customHeight="1" outlineLevel="1" thickBot="1" x14ac:dyDescent="0.25">
      <c r="A416" s="386" t="s">
        <v>615</v>
      </c>
      <c r="B416" s="358" t="s">
        <v>195</v>
      </c>
      <c r="C416" s="389" t="s">
        <v>19</v>
      </c>
      <c r="D416" s="385">
        <v>30</v>
      </c>
      <c r="E416" s="353">
        <v>70000</v>
      </c>
      <c r="F416" s="376">
        <f t="shared" si="83"/>
        <v>2100000</v>
      </c>
      <c r="G416" s="349">
        <v>4200</v>
      </c>
      <c r="H416" s="349">
        <f t="shared" si="84"/>
        <v>126000</v>
      </c>
      <c r="I416" s="1285">
        <f>IFERROR(VLOOKUP(A416,'valores unit indexados'!$A$14:$O$197,15,FALSE),0)</f>
        <v>5300</v>
      </c>
      <c r="J416" s="349">
        <f t="shared" si="81"/>
        <v>159000</v>
      </c>
      <c r="L416" s="386" t="str">
        <f t="shared" si="80"/>
        <v>G. 4,2</v>
      </c>
      <c r="M416" s="358" t="str">
        <f t="shared" si="80"/>
        <v>Aseo general.</v>
      </c>
      <c r="N416" s="389" t="str">
        <f>+C416</f>
        <v>M2</v>
      </c>
      <c r="O416" s="385">
        <f>+D416</f>
        <v>30</v>
      </c>
      <c r="P416" s="423">
        <f>+'estudio inicial precios'!P462</f>
        <v>5500</v>
      </c>
      <c r="Q416" s="423">
        <f t="shared" si="82"/>
        <v>165000</v>
      </c>
    </row>
    <row r="417" spans="1:60" ht="15.75" collapsed="1" thickBot="1" x14ac:dyDescent="0.3">
      <c r="A417"/>
      <c r="B417"/>
      <c r="C417" s="1712" t="s">
        <v>196</v>
      </c>
      <c r="D417" s="1713"/>
      <c r="E417" s="1714"/>
      <c r="F417" s="1715">
        <f>SUM(F334:F416)</f>
        <v>351429802581.0542</v>
      </c>
      <c r="G417" s="1716"/>
      <c r="H417" s="1715">
        <f>SUM(H334:H416)</f>
        <v>226005638630.87341</v>
      </c>
      <c r="I417" s="1717"/>
      <c r="J417" s="1718">
        <f>SUM(J335:J416)</f>
        <v>47074616537.880005</v>
      </c>
      <c r="K417" s="1719"/>
      <c r="L417" s="1720"/>
      <c r="M417" s="1721"/>
      <c r="N417" s="1734"/>
      <c r="O417" s="1735"/>
      <c r="P417" s="1713"/>
      <c r="Q417" s="1722">
        <f>SUM(Q387:Q416)</f>
        <v>18128081</v>
      </c>
    </row>
    <row r="418" spans="1:60" ht="15" x14ac:dyDescent="0.25">
      <c r="A418"/>
      <c r="B418"/>
      <c r="C418" s="1706" t="s">
        <v>197</v>
      </c>
      <c r="D418" s="1707"/>
      <c r="E418" s="1708">
        <v>0.35</v>
      </c>
      <c r="F418" s="1709">
        <f>+F$417*E418</f>
        <v>123000430903.36896</v>
      </c>
      <c r="G418" s="1708">
        <v>0.24</v>
      </c>
      <c r="H418" s="1709">
        <f>+H$417*G418</f>
        <v>54241353271.409615</v>
      </c>
      <c r="I418" s="1708">
        <v>0</v>
      </c>
      <c r="J418" s="1709">
        <f>+J$417*I418</f>
        <v>0</v>
      </c>
      <c r="L418" s="1298"/>
      <c r="M418" s="1645"/>
      <c r="N418" s="1845" t="str">
        <f t="shared" ref="N418:N422" si="85">+C418</f>
        <v xml:space="preserve">ADMINISTRACION </v>
      </c>
      <c r="O418" s="1846"/>
      <c r="P418" s="1710">
        <f>+$C$15</f>
        <v>0.185</v>
      </c>
      <c r="Q418" s="1711">
        <f>ROUND(P418*$Q$417,0)</f>
        <v>3353695</v>
      </c>
    </row>
    <row r="419" spans="1:60" ht="15" x14ac:dyDescent="0.25">
      <c r="A419"/>
      <c r="B419"/>
      <c r="C419" s="1671" t="s">
        <v>198</v>
      </c>
      <c r="D419" s="1672"/>
      <c r="E419" s="375">
        <v>0.02</v>
      </c>
      <c r="F419" s="376">
        <f t="shared" ref="F419:H420" si="86">+F$417*E419</f>
        <v>7028596051.6210842</v>
      </c>
      <c r="G419" s="375">
        <v>0.01</v>
      </c>
      <c r="H419" s="376">
        <f t="shared" si="86"/>
        <v>2260056386.3087339</v>
      </c>
      <c r="I419" s="375">
        <v>0</v>
      </c>
      <c r="J419" s="376">
        <f t="shared" ref="J419:J420" si="87">+J$417*I419</f>
        <v>0</v>
      </c>
      <c r="L419" s="1298"/>
      <c r="M419" s="1645"/>
      <c r="N419" s="1847" t="str">
        <f t="shared" si="85"/>
        <v xml:space="preserve">IMPREVISTO </v>
      </c>
      <c r="O419" s="1848"/>
      <c r="P419" s="1296">
        <f>+$C$16</f>
        <v>0.02</v>
      </c>
      <c r="Q419" s="1711">
        <f t="shared" ref="Q419:Q420" si="88">ROUND(P419*$Q$417,0)</f>
        <v>362562</v>
      </c>
    </row>
    <row r="420" spans="1:60" ht="15" x14ac:dyDescent="0.25">
      <c r="A420"/>
      <c r="B420"/>
      <c r="C420" s="1671" t="s">
        <v>199</v>
      </c>
      <c r="D420" s="1672"/>
      <c r="E420" s="375">
        <v>0.05</v>
      </c>
      <c r="F420" s="376">
        <f t="shared" si="86"/>
        <v>17571490129.052711</v>
      </c>
      <c r="G420" s="375">
        <v>0.05</v>
      </c>
      <c r="H420" s="376">
        <f t="shared" si="86"/>
        <v>11300281931.543671</v>
      </c>
      <c r="I420" s="375">
        <v>0</v>
      </c>
      <c r="J420" s="376">
        <f t="shared" si="87"/>
        <v>0</v>
      </c>
      <c r="L420" s="1298"/>
      <c r="M420" s="1645"/>
      <c r="N420" s="1847" t="str">
        <f t="shared" si="85"/>
        <v>UTILIDAD</v>
      </c>
      <c r="O420" s="1848"/>
      <c r="P420" s="1296">
        <f>+$C$17</f>
        <v>4.4999999999999998E-2</v>
      </c>
      <c r="Q420" s="1711">
        <f t="shared" si="88"/>
        <v>815764</v>
      </c>
    </row>
    <row r="421" spans="1:60" ht="15.75" thickBot="1" x14ac:dyDescent="0.3">
      <c r="A421"/>
      <c r="B421"/>
      <c r="C421" s="1723" t="s">
        <v>200</v>
      </c>
      <c r="D421" s="1724"/>
      <c r="E421" s="1725">
        <v>0.19</v>
      </c>
      <c r="F421" s="1726">
        <f>+F420*E421</f>
        <v>3338583124.5200152</v>
      </c>
      <c r="G421" s="1725">
        <v>0.19</v>
      </c>
      <c r="H421" s="1726">
        <f>+H420*G421</f>
        <v>2147053566.9932973</v>
      </c>
      <c r="I421" s="1725">
        <v>0</v>
      </c>
      <c r="J421" s="1726">
        <f>+J420*I421</f>
        <v>0</v>
      </c>
      <c r="L421" s="1298"/>
      <c r="M421" s="1645"/>
      <c r="N421" s="1849" t="str">
        <f t="shared" si="85"/>
        <v xml:space="preserve">IVA SOBRE UTILIDAD </v>
      </c>
      <c r="O421" s="1850"/>
      <c r="P421" s="1727">
        <f>+$C$18</f>
        <v>0.19</v>
      </c>
      <c r="Q421" s="1711">
        <f>ROUND(P421*$Q$420,0)</f>
        <v>154995</v>
      </c>
    </row>
    <row r="422" spans="1:60" ht="15.75" thickBot="1" x14ac:dyDescent="0.3">
      <c r="A422"/>
      <c r="B422"/>
      <c r="C422" s="1868" t="s">
        <v>201</v>
      </c>
      <c r="D422" s="1869"/>
      <c r="E422" s="1869"/>
      <c r="F422" s="1869">
        <f>SUM(F417:F421)</f>
        <v>502368902789.617</v>
      </c>
      <c r="G422" s="1869"/>
      <c r="H422" s="1869">
        <f>SUM(H417:H421)</f>
        <v>295954383787.12866</v>
      </c>
      <c r="I422" s="1869"/>
      <c r="J422" s="1869">
        <f>SUM(J417:J421)</f>
        <v>47074616537.880005</v>
      </c>
      <c r="K422" s="1869"/>
      <c r="L422" s="1869"/>
      <c r="M422" s="1869"/>
      <c r="N422" s="1869" t="str">
        <f t="shared" si="85"/>
        <v xml:space="preserve">VALOR TOTAL INCLUIDO AIU E IVA </v>
      </c>
      <c r="O422" s="1869"/>
      <c r="P422" s="1870"/>
      <c r="Q422" s="1733">
        <f>SUM(Q417:Q421)</f>
        <v>22815097</v>
      </c>
    </row>
    <row r="423" spans="1:60" ht="15.75" thickBot="1" x14ac:dyDescent="0.3">
      <c r="L423" s="1298"/>
      <c r="M423"/>
      <c r="N423"/>
      <c r="O423"/>
      <c r="P423"/>
      <c r="Q423"/>
    </row>
    <row r="424" spans="1:60" ht="13.5" thickBot="1" x14ac:dyDescent="0.25">
      <c r="A424" s="1801" t="s">
        <v>616</v>
      </c>
      <c r="B424" s="1802" t="s">
        <v>617</v>
      </c>
      <c r="C424" s="1802"/>
      <c r="D424" s="1802"/>
      <c r="E424" s="1802"/>
      <c r="F424" s="1802"/>
      <c r="G424" s="1802"/>
      <c r="H424" s="1802">
        <v>0</v>
      </c>
      <c r="I424" s="1802"/>
      <c r="J424" s="1802"/>
      <c r="K424" s="1719"/>
      <c r="L424" s="1803" t="str">
        <f t="shared" ref="L424:O456" si="89">+A424</f>
        <v>H</v>
      </c>
      <c r="M424" s="1853"/>
      <c r="N424" s="1854"/>
      <c r="O424" s="1854"/>
      <c r="P424" s="1854"/>
      <c r="Q424" s="1855"/>
    </row>
    <row r="425" spans="1:60" s="1533" customFormat="1" ht="24.75" hidden="1" customHeight="1" outlineLevel="1" x14ac:dyDescent="0.2">
      <c r="A425" s="1527" t="s">
        <v>618</v>
      </c>
      <c r="B425" s="1528" t="s">
        <v>619</v>
      </c>
      <c r="C425" s="1527"/>
      <c r="D425" s="1529"/>
      <c r="E425" s="1530"/>
      <c r="F425" s="1531"/>
      <c r="G425" s="1530"/>
      <c r="H425" s="1531">
        <v>0</v>
      </c>
      <c r="I425" s="1532"/>
      <c r="J425" s="1527"/>
      <c r="K425" s="1544"/>
      <c r="L425" s="1527" t="str">
        <f t="shared" si="89"/>
        <v>H. 1</v>
      </c>
      <c r="M425" s="1836"/>
      <c r="N425" s="1837"/>
      <c r="O425" s="1837"/>
      <c r="P425" s="1837"/>
      <c r="Q425" s="1838"/>
      <c r="R425" s="1544"/>
      <c r="S425" s="1544"/>
      <c r="T425" s="1544"/>
      <c r="U425" s="1544"/>
      <c r="V425" s="1544"/>
      <c r="W425" s="1544"/>
      <c r="X425" s="1544"/>
      <c r="Y425" s="1544"/>
      <c r="Z425" s="1544"/>
      <c r="AA425" s="1544"/>
      <c r="AB425" s="1544"/>
      <c r="AC425" s="1544"/>
      <c r="AD425" s="1544"/>
      <c r="AE425" s="1544"/>
      <c r="AF425" s="1544"/>
      <c r="AG425" s="1544"/>
      <c r="AH425" s="1544"/>
      <c r="AI425" s="1544"/>
      <c r="AJ425" s="1544"/>
      <c r="AK425" s="1544"/>
      <c r="AL425" s="1544"/>
      <c r="AM425" s="1544"/>
      <c r="AN425" s="1544"/>
      <c r="AO425" s="1544"/>
      <c r="AP425" s="1544"/>
      <c r="AQ425" s="1544"/>
      <c r="AR425" s="1544"/>
      <c r="AS425" s="1544"/>
      <c r="AT425" s="1544"/>
      <c r="AU425" s="1544"/>
      <c r="AV425" s="1544"/>
      <c r="AW425" s="1544"/>
      <c r="AX425" s="1544"/>
      <c r="AY425" s="1544"/>
      <c r="AZ425" s="1544"/>
      <c r="BA425" s="1544"/>
      <c r="BB425" s="1544"/>
      <c r="BC425" s="1544"/>
      <c r="BD425" s="1544"/>
      <c r="BE425" s="1544"/>
      <c r="BF425" s="1544"/>
      <c r="BG425" s="1544"/>
      <c r="BH425" s="1544"/>
    </row>
    <row r="426" spans="1:60" ht="38.25" hidden="1" customHeight="1" outlineLevel="1" x14ac:dyDescent="0.2">
      <c r="A426" s="346" t="s">
        <v>620</v>
      </c>
      <c r="B426" s="358" t="s">
        <v>621</v>
      </c>
      <c r="C426" s="356" t="s">
        <v>19</v>
      </c>
      <c r="D426" s="346">
        <v>17</v>
      </c>
      <c r="E426" s="353">
        <v>14000</v>
      </c>
      <c r="F426" s="353">
        <f>+E426*D426</f>
        <v>238000</v>
      </c>
      <c r="G426" s="387">
        <v>0</v>
      </c>
      <c r="H426" s="349">
        <f>+G426*D426</f>
        <v>0</v>
      </c>
      <c r="I426" s="1285">
        <f>IFERROR(VLOOKUP(A426,'valores unit indexados'!$A$14:$O$197,15,FALSE),0)</f>
        <v>0</v>
      </c>
      <c r="J426" s="349">
        <f t="shared" ref="J426:J456" si="90">+I426*D426</f>
        <v>0</v>
      </c>
      <c r="L426" s="346" t="str">
        <f t="shared" si="89"/>
        <v>H. 1,1</v>
      </c>
      <c r="M426" s="358" t="str">
        <f t="shared" si="89"/>
        <v>Lavada de fachada con agua a chorro de aspersión con hipoclorito.(incluye ventaneria y retiro de material afectado por humedad)</v>
      </c>
      <c r="N426" s="356" t="str">
        <f>+C426</f>
        <v>M2</v>
      </c>
      <c r="O426" s="346">
        <f>+D426</f>
        <v>17</v>
      </c>
      <c r="P426" s="423">
        <f>+'estudio inicial precios'!P472</f>
        <v>9000</v>
      </c>
      <c r="Q426" s="423">
        <f t="shared" ref="Q426:Q456" si="91">+P426*O426</f>
        <v>153000</v>
      </c>
    </row>
    <row r="427" spans="1:60" ht="38.25" hidden="1" customHeight="1" outlineLevel="1" x14ac:dyDescent="0.2">
      <c r="A427" s="346" t="s">
        <v>622</v>
      </c>
      <c r="B427" s="360" t="s">
        <v>86</v>
      </c>
      <c r="C427" s="389" t="s">
        <v>19</v>
      </c>
      <c r="D427" s="346">
        <v>10</v>
      </c>
      <c r="E427" s="353">
        <v>48000</v>
      </c>
      <c r="F427" s="353">
        <f t="shared" ref="F427:F456" si="92">+E427*D427</f>
        <v>480000</v>
      </c>
      <c r="G427" s="349">
        <v>45500</v>
      </c>
      <c r="H427" s="349">
        <f t="shared" ref="H427:H456" si="93">+G427*D427</f>
        <v>455000</v>
      </c>
      <c r="I427" s="1285">
        <f>IFERROR(VLOOKUP(A427,'valores unit indexados'!$A$14:$O$197,15,FALSE),0)</f>
        <v>43614</v>
      </c>
      <c r="J427" s="349">
        <f t="shared" si="90"/>
        <v>436140</v>
      </c>
      <c r="L427" s="346" t="str">
        <f t="shared" si="89"/>
        <v>H. 1,2</v>
      </c>
      <c r="M427" s="360" t="str">
        <f t="shared" si="89"/>
        <v xml:space="preserve">Suministro e instalación de recubrimiento cementoso (Recubrimiento a base de cemento, arena y aditivos especiales), impermeable para muros color blanco </v>
      </c>
      <c r="N427" s="389" t="str">
        <f t="shared" si="89"/>
        <v>M2</v>
      </c>
      <c r="O427" s="346">
        <f t="shared" si="89"/>
        <v>10</v>
      </c>
      <c r="P427" s="423">
        <f>+'estudio inicial precios'!P473</f>
        <v>45053</v>
      </c>
      <c r="Q427" s="423">
        <f t="shared" si="91"/>
        <v>450530</v>
      </c>
    </row>
    <row r="428" spans="1:60" ht="12.75" hidden="1" customHeight="1" outlineLevel="1" x14ac:dyDescent="0.2">
      <c r="A428" s="346" t="s">
        <v>623</v>
      </c>
      <c r="B428" s="358" t="s">
        <v>533</v>
      </c>
      <c r="C428" s="356" t="s">
        <v>19</v>
      </c>
      <c r="D428" s="346">
        <v>10</v>
      </c>
      <c r="E428" s="353">
        <v>9000</v>
      </c>
      <c r="F428" s="353">
        <f t="shared" si="92"/>
        <v>90000</v>
      </c>
      <c r="G428" s="349">
        <v>4000</v>
      </c>
      <c r="H428" s="349">
        <f t="shared" si="93"/>
        <v>40000</v>
      </c>
      <c r="I428" s="1285">
        <f>IFERROR(VLOOKUP(A428,'valores unit indexados'!$A$14:$O$197,15,FALSE),0)</f>
        <v>6890</v>
      </c>
      <c r="J428" s="349">
        <f t="shared" si="90"/>
        <v>68900</v>
      </c>
      <c r="L428" s="346" t="str">
        <f t="shared" si="89"/>
        <v>H. 1,3</v>
      </c>
      <c r="M428" s="358" t="str">
        <f t="shared" si="89"/>
        <v>Rasqueteada de pintura y retiro de material  en mal estado</v>
      </c>
      <c r="N428" s="356" t="str">
        <f t="shared" si="89"/>
        <v>M2</v>
      </c>
      <c r="O428" s="346">
        <f t="shared" si="89"/>
        <v>10</v>
      </c>
      <c r="P428" s="423">
        <f>+'estudio inicial precios'!P474</f>
        <v>6630</v>
      </c>
      <c r="Q428" s="423">
        <f t="shared" si="91"/>
        <v>66300</v>
      </c>
    </row>
    <row r="429" spans="1:60" ht="25.5" hidden="1" customHeight="1" outlineLevel="1" x14ac:dyDescent="0.2">
      <c r="A429" s="346" t="s">
        <v>624</v>
      </c>
      <c r="B429" s="358" t="s">
        <v>536</v>
      </c>
      <c r="C429" s="356" t="s">
        <v>19</v>
      </c>
      <c r="D429" s="346">
        <v>17</v>
      </c>
      <c r="E429" s="353">
        <v>14000</v>
      </c>
      <c r="F429" s="353">
        <f t="shared" si="92"/>
        <v>238000</v>
      </c>
      <c r="G429" s="387">
        <v>0</v>
      </c>
      <c r="H429" s="349">
        <f t="shared" si="93"/>
        <v>0</v>
      </c>
      <c r="I429" s="1285">
        <f>IFERROR(VLOOKUP(A429,'valores unit indexados'!$A$14:$O$197,15,FALSE),0)</f>
        <v>0</v>
      </c>
      <c r="J429" s="349">
        <f t="shared" si="90"/>
        <v>0</v>
      </c>
      <c r="L429" s="346" t="str">
        <f t="shared" si="89"/>
        <v>H. 1,4</v>
      </c>
      <c r="M429" s="358" t="str">
        <f t="shared" si="89"/>
        <v>Suministro y aplicación de sellador para superficie altamente alcalina</v>
      </c>
      <c r="N429" s="356" t="str">
        <f t="shared" si="89"/>
        <v>M2</v>
      </c>
      <c r="O429" s="346">
        <f t="shared" si="89"/>
        <v>17</v>
      </c>
      <c r="P429" s="423">
        <f>+'estudio inicial precios'!P475</f>
        <v>14644</v>
      </c>
      <c r="Q429" s="423">
        <f t="shared" si="91"/>
        <v>248948</v>
      </c>
    </row>
    <row r="430" spans="1:60" ht="38.25" hidden="1" customHeight="1" outlineLevel="1" x14ac:dyDescent="0.2">
      <c r="A430" s="346" t="s">
        <v>625</v>
      </c>
      <c r="B430" s="358" t="s">
        <v>1506</v>
      </c>
      <c r="C430" s="356" t="s">
        <v>19</v>
      </c>
      <c r="D430" s="346">
        <v>17</v>
      </c>
      <c r="E430" s="353">
        <v>28000</v>
      </c>
      <c r="F430" s="353">
        <f t="shared" si="92"/>
        <v>476000</v>
      </c>
      <c r="G430" s="349">
        <v>15000</v>
      </c>
      <c r="H430" s="349">
        <f t="shared" si="93"/>
        <v>255000</v>
      </c>
      <c r="I430" s="1285">
        <f>IFERROR(VLOOKUP(A430,'valores unit indexados'!$A$14:$O$197,15,FALSE),0)</f>
        <v>0</v>
      </c>
      <c r="J430" s="349">
        <f t="shared" si="90"/>
        <v>0</v>
      </c>
      <c r="L430" s="346" t="str">
        <f t="shared" si="89"/>
        <v>H. 1,5</v>
      </c>
      <c r="M430" s="358" t="str">
        <f t="shared" si="89"/>
        <v xml:space="preserve">Suministro y aplicación de pintura acrílica resistente a climas tropicales como la humedad y el calor extremo (para exterior)  a 3 manos </v>
      </c>
      <c r="N430" s="356" t="str">
        <f t="shared" si="89"/>
        <v>M2</v>
      </c>
      <c r="O430" s="346">
        <f t="shared" si="89"/>
        <v>17</v>
      </c>
      <c r="P430" s="423">
        <f>+'estudio inicial precios'!P476</f>
        <v>21500</v>
      </c>
      <c r="Q430" s="423">
        <f t="shared" si="91"/>
        <v>365500</v>
      </c>
    </row>
    <row r="431" spans="1:60" s="1533" customFormat="1" ht="24.75" hidden="1" customHeight="1" outlineLevel="1" x14ac:dyDescent="0.2">
      <c r="A431" s="1527" t="s">
        <v>626</v>
      </c>
      <c r="B431" s="1528" t="s">
        <v>627</v>
      </c>
      <c r="C431" s="1527"/>
      <c r="D431" s="1529"/>
      <c r="E431" s="1530"/>
      <c r="F431" s="1531">
        <f t="shared" si="92"/>
        <v>0</v>
      </c>
      <c r="G431" s="1530"/>
      <c r="H431" s="1531">
        <f t="shared" si="93"/>
        <v>0</v>
      </c>
      <c r="I431" s="1532"/>
      <c r="J431" s="1527"/>
      <c r="K431" s="1544"/>
      <c r="L431" s="1527" t="str">
        <f t="shared" si="89"/>
        <v>H. 2</v>
      </c>
      <c r="M431" s="1836"/>
      <c r="N431" s="1837"/>
      <c r="O431" s="1837"/>
      <c r="P431" s="1837"/>
      <c r="Q431" s="1838"/>
      <c r="R431" s="1544"/>
      <c r="S431" s="1544"/>
      <c r="T431" s="1544"/>
      <c r="U431" s="1544"/>
      <c r="V431" s="1544"/>
      <c r="W431" s="1544"/>
      <c r="X431" s="1544"/>
      <c r="Y431" s="1544"/>
      <c r="Z431" s="1544"/>
      <c r="AA431" s="1544"/>
      <c r="AB431" s="1544"/>
      <c r="AC431" s="1544"/>
      <c r="AD431" s="1544"/>
      <c r="AE431" s="1544"/>
      <c r="AF431" s="1544"/>
      <c r="AG431" s="1544"/>
      <c r="AH431" s="1544"/>
      <c r="AI431" s="1544"/>
      <c r="AJ431" s="1544"/>
      <c r="AK431" s="1544"/>
      <c r="AL431" s="1544"/>
      <c r="AM431" s="1544"/>
      <c r="AN431" s="1544"/>
      <c r="AO431" s="1544"/>
      <c r="AP431" s="1544"/>
      <c r="AQ431" s="1544"/>
      <c r="AR431" s="1544"/>
      <c r="AS431" s="1544"/>
      <c r="AT431" s="1544"/>
      <c r="AU431" s="1544"/>
      <c r="AV431" s="1544"/>
      <c r="AW431" s="1544"/>
      <c r="AX431" s="1544"/>
      <c r="AY431" s="1544"/>
      <c r="AZ431" s="1544"/>
      <c r="BA431" s="1544"/>
      <c r="BB431" s="1544"/>
      <c r="BC431" s="1544"/>
      <c r="BD431" s="1544"/>
      <c r="BE431" s="1544"/>
      <c r="BF431" s="1544"/>
      <c r="BG431" s="1544"/>
      <c r="BH431" s="1544"/>
    </row>
    <row r="432" spans="1:60" ht="12.75" hidden="1" customHeight="1" outlineLevel="1" x14ac:dyDescent="0.2">
      <c r="A432" s="386" t="s">
        <v>628</v>
      </c>
      <c r="B432" s="364" t="s">
        <v>84</v>
      </c>
      <c r="C432" s="367" t="s">
        <v>19</v>
      </c>
      <c r="D432" s="385">
        <v>192</v>
      </c>
      <c r="E432" s="353">
        <v>9000</v>
      </c>
      <c r="F432" s="353">
        <f t="shared" si="92"/>
        <v>1728000</v>
      </c>
      <c r="G432" s="349">
        <v>5200</v>
      </c>
      <c r="H432" s="349">
        <f t="shared" si="93"/>
        <v>998400</v>
      </c>
      <c r="I432" s="1285">
        <f>IFERROR(VLOOKUP(A432,'valores unit indexados'!$A$14:$O$197,15,FALSE),0)</f>
        <v>6890</v>
      </c>
      <c r="J432" s="349">
        <f t="shared" si="90"/>
        <v>1322880</v>
      </c>
      <c r="L432" s="386" t="str">
        <f t="shared" si="89"/>
        <v>H. 2,1</v>
      </c>
      <c r="M432" s="364" t="str">
        <f t="shared" si="89"/>
        <v xml:space="preserve">Rasqueteada de pintura y retiro de mortero en mal estado  </v>
      </c>
      <c r="N432" s="367" t="str">
        <f t="shared" si="89"/>
        <v>M2</v>
      </c>
      <c r="O432" s="385">
        <f t="shared" si="89"/>
        <v>192</v>
      </c>
      <c r="P432" s="423">
        <f>+'estudio inicial precios'!P478</f>
        <v>6630</v>
      </c>
      <c r="Q432" s="423">
        <f t="shared" si="91"/>
        <v>1272960</v>
      </c>
    </row>
    <row r="433" spans="1:60" ht="38.25" hidden="1" customHeight="1" outlineLevel="1" x14ac:dyDescent="0.2">
      <c r="A433" s="386" t="s">
        <v>629</v>
      </c>
      <c r="B433" s="368" t="s">
        <v>86</v>
      </c>
      <c r="C433" s="367" t="s">
        <v>19</v>
      </c>
      <c r="D433" s="385">
        <v>192</v>
      </c>
      <c r="E433" s="353">
        <v>48000</v>
      </c>
      <c r="F433" s="353">
        <f t="shared" si="92"/>
        <v>9216000</v>
      </c>
      <c r="G433" s="349">
        <v>45500</v>
      </c>
      <c r="H433" s="349">
        <f t="shared" si="93"/>
        <v>8736000</v>
      </c>
      <c r="I433" s="1285">
        <f>IFERROR(VLOOKUP(A433,'valores unit indexados'!$A$14:$O$197,15,FALSE),0)</f>
        <v>43614</v>
      </c>
      <c r="J433" s="349">
        <f t="shared" si="90"/>
        <v>8373888</v>
      </c>
      <c r="L433" s="386" t="str">
        <f t="shared" si="89"/>
        <v>H. 2,2</v>
      </c>
      <c r="M433" s="368" t="str">
        <f t="shared" si="89"/>
        <v xml:space="preserve">Suministro e instalación de recubrimiento cementoso (Recubrimiento a base de cemento, arena y aditivos especiales), impermeable para muros color blanco </v>
      </c>
      <c r="N433" s="367" t="str">
        <f t="shared" si="89"/>
        <v>M2</v>
      </c>
      <c r="O433" s="385">
        <f t="shared" si="89"/>
        <v>192</v>
      </c>
      <c r="P433" s="423">
        <f>+'estudio inicial precios'!P479</f>
        <v>45053</v>
      </c>
      <c r="Q433" s="423">
        <f t="shared" si="91"/>
        <v>8650176</v>
      </c>
    </row>
    <row r="434" spans="1:60" ht="12.75" hidden="1" customHeight="1" outlineLevel="1" x14ac:dyDescent="0.2">
      <c r="A434" s="386" t="s">
        <v>630</v>
      </c>
      <c r="B434" s="368" t="s">
        <v>88</v>
      </c>
      <c r="C434" s="367" t="s">
        <v>19</v>
      </c>
      <c r="D434" s="385">
        <v>274</v>
      </c>
      <c r="E434" s="353">
        <v>28000</v>
      </c>
      <c r="F434" s="353">
        <f t="shared" si="92"/>
        <v>7672000</v>
      </c>
      <c r="G434" s="349">
        <v>11700</v>
      </c>
      <c r="H434" s="349">
        <f t="shared" si="93"/>
        <v>3205800</v>
      </c>
      <c r="I434" s="1285">
        <f>IFERROR(VLOOKUP(A434,'valores unit indexados'!$A$14:$O$197,15,FALSE),0)</f>
        <v>24610</v>
      </c>
      <c r="J434" s="349">
        <f t="shared" si="90"/>
        <v>6743140</v>
      </c>
      <c r="L434" s="386" t="str">
        <f t="shared" si="89"/>
        <v>H. 2,3</v>
      </c>
      <c r="M434" s="368" t="str">
        <f t="shared" si="89"/>
        <v xml:space="preserve">Suministro y aplicación de estuco plástico </v>
      </c>
      <c r="N434" s="367" t="str">
        <f t="shared" si="89"/>
        <v>M2</v>
      </c>
      <c r="O434" s="385">
        <f t="shared" si="89"/>
        <v>274</v>
      </c>
      <c r="P434" s="423">
        <f>+'estudio inicial precios'!P480</f>
        <v>26305</v>
      </c>
      <c r="Q434" s="423">
        <f t="shared" si="91"/>
        <v>7207570</v>
      </c>
    </row>
    <row r="435" spans="1:60" ht="12.75" hidden="1" customHeight="1" outlineLevel="1" x14ac:dyDescent="0.2">
      <c r="A435" s="386" t="s">
        <v>631</v>
      </c>
      <c r="B435" s="364" t="s">
        <v>632</v>
      </c>
      <c r="C435" s="367" t="s">
        <v>19</v>
      </c>
      <c r="D435" s="385">
        <v>274</v>
      </c>
      <c r="E435" s="353">
        <v>19000</v>
      </c>
      <c r="F435" s="353">
        <f t="shared" si="92"/>
        <v>5206000</v>
      </c>
      <c r="G435" s="412">
        <v>8710</v>
      </c>
      <c r="H435" s="349">
        <f t="shared" si="93"/>
        <v>2386540</v>
      </c>
      <c r="I435" s="1285">
        <f>IFERROR(VLOOKUP(A435,'valores unit indexados'!$A$14:$O$197,15,FALSE),0)</f>
        <v>0</v>
      </c>
      <c r="J435" s="349">
        <f t="shared" si="90"/>
        <v>0</v>
      </c>
      <c r="L435" s="386" t="str">
        <f t="shared" si="89"/>
        <v>H. 2,4</v>
      </c>
      <c r="M435" s="364" t="str">
        <f t="shared" si="89"/>
        <v>Suministro y aplicación de vinilo tipo 1 (2 manos)</v>
      </c>
      <c r="N435" s="367" t="str">
        <f t="shared" si="89"/>
        <v>M2</v>
      </c>
      <c r="O435" s="385">
        <f t="shared" si="89"/>
        <v>274</v>
      </c>
      <c r="P435" s="423">
        <f>+'estudio inicial precios'!P481</f>
        <v>19000</v>
      </c>
      <c r="Q435" s="423">
        <f t="shared" si="91"/>
        <v>5206000</v>
      </c>
    </row>
    <row r="436" spans="1:60" ht="12.75" hidden="1" customHeight="1" outlineLevel="1" x14ac:dyDescent="0.2">
      <c r="A436" s="386" t="s">
        <v>633</v>
      </c>
      <c r="B436" s="368" t="s">
        <v>92</v>
      </c>
      <c r="C436" s="367" t="s">
        <v>19</v>
      </c>
      <c r="D436" s="385">
        <v>137</v>
      </c>
      <c r="E436" s="353">
        <v>18000</v>
      </c>
      <c r="F436" s="353">
        <f t="shared" si="92"/>
        <v>2466000</v>
      </c>
      <c r="G436" s="412">
        <v>8710</v>
      </c>
      <c r="H436" s="349">
        <f t="shared" si="93"/>
        <v>1193270</v>
      </c>
      <c r="I436" s="1285">
        <f>IFERROR(VLOOKUP(A436,'valores unit indexados'!$A$14:$O$197,15,FALSE),0)</f>
        <v>0</v>
      </c>
      <c r="J436" s="349">
        <f t="shared" si="90"/>
        <v>0</v>
      </c>
      <c r="L436" s="386" t="str">
        <f t="shared" si="89"/>
        <v>H. 2,5</v>
      </c>
      <c r="M436" s="368" t="str">
        <f t="shared" si="89"/>
        <v>Suministro y aplicación de pintura en esmalte</v>
      </c>
      <c r="N436" s="367" t="str">
        <f t="shared" si="89"/>
        <v>M2</v>
      </c>
      <c r="O436" s="385">
        <f t="shared" si="89"/>
        <v>137</v>
      </c>
      <c r="P436" s="423">
        <f>+'estudio inicial precios'!P482</f>
        <v>17503</v>
      </c>
      <c r="Q436" s="423">
        <f t="shared" si="91"/>
        <v>2397911</v>
      </c>
    </row>
    <row r="437" spans="1:60" ht="12.75" hidden="1" customHeight="1" outlineLevel="1" x14ac:dyDescent="0.2">
      <c r="A437" s="386" t="s">
        <v>634</v>
      </c>
      <c r="B437" s="364" t="s">
        <v>84</v>
      </c>
      <c r="C437" s="367" t="s">
        <v>14</v>
      </c>
      <c r="D437" s="385">
        <v>46</v>
      </c>
      <c r="E437" s="353">
        <v>5400</v>
      </c>
      <c r="F437" s="353">
        <f t="shared" si="92"/>
        <v>248400</v>
      </c>
      <c r="G437" s="349">
        <v>5200</v>
      </c>
      <c r="H437" s="349">
        <f t="shared" si="93"/>
        <v>239200</v>
      </c>
      <c r="I437" s="1285">
        <f>IFERROR(VLOOKUP(A437,'valores unit indexados'!$A$14:$O$197,15,FALSE),0)</f>
        <v>0</v>
      </c>
      <c r="J437" s="349">
        <f t="shared" si="90"/>
        <v>0</v>
      </c>
      <c r="L437" s="386" t="str">
        <f t="shared" si="89"/>
        <v>H. 2,6</v>
      </c>
      <c r="M437" s="364" t="str">
        <f t="shared" si="89"/>
        <v xml:space="preserve">Rasqueteada de pintura y retiro de mortero en mal estado  </v>
      </c>
      <c r="N437" s="367" t="str">
        <f t="shared" si="89"/>
        <v>ML</v>
      </c>
      <c r="O437" s="385">
        <f t="shared" si="89"/>
        <v>46</v>
      </c>
      <c r="P437" s="423">
        <f>+'estudio inicial precios'!P483</f>
        <v>4700</v>
      </c>
      <c r="Q437" s="423">
        <f t="shared" si="91"/>
        <v>216200</v>
      </c>
    </row>
    <row r="438" spans="1:60" ht="38.25" hidden="1" customHeight="1" outlineLevel="1" x14ac:dyDescent="0.2">
      <c r="A438" s="386" t="s">
        <v>635</v>
      </c>
      <c r="B438" s="358" t="s">
        <v>636</v>
      </c>
      <c r="C438" s="356" t="s">
        <v>14</v>
      </c>
      <c r="D438" s="385">
        <v>46</v>
      </c>
      <c r="E438" s="353">
        <v>28800</v>
      </c>
      <c r="F438" s="353">
        <f t="shared" si="92"/>
        <v>1324800</v>
      </c>
      <c r="G438" s="349">
        <v>6500</v>
      </c>
      <c r="H438" s="349">
        <f t="shared" si="93"/>
        <v>299000</v>
      </c>
      <c r="I438" s="1285">
        <f>IFERROR(VLOOKUP(A438,'valores unit indexados'!$A$14:$O$197,15,FALSE),0)</f>
        <v>0</v>
      </c>
      <c r="J438" s="349">
        <f t="shared" si="90"/>
        <v>0</v>
      </c>
      <c r="L438" s="386" t="str">
        <f t="shared" si="89"/>
        <v>H. 2,7</v>
      </c>
      <c r="M438" s="358" t="str">
        <f t="shared" si="89"/>
        <v xml:space="preserve">Suministro e instalación de recubrimiento cementoso (Recubrimiento a base de cemento, arena y aditivos especiales), impermeable para muros </v>
      </c>
      <c r="N438" s="356" t="str">
        <f t="shared" si="89"/>
        <v>ML</v>
      </c>
      <c r="O438" s="385">
        <f t="shared" si="89"/>
        <v>46</v>
      </c>
      <c r="P438" s="423">
        <f>+'estudio inicial precios'!P484</f>
        <v>17650</v>
      </c>
      <c r="Q438" s="423">
        <f t="shared" si="91"/>
        <v>811900</v>
      </c>
    </row>
    <row r="439" spans="1:60" ht="12.75" hidden="1" customHeight="1" outlineLevel="1" x14ac:dyDescent="0.2">
      <c r="A439" s="386" t="s">
        <v>637</v>
      </c>
      <c r="B439" s="358" t="s">
        <v>88</v>
      </c>
      <c r="C439" s="356" t="s">
        <v>14</v>
      </c>
      <c r="D439" s="385">
        <v>46</v>
      </c>
      <c r="E439" s="353">
        <v>16800</v>
      </c>
      <c r="F439" s="353">
        <f t="shared" si="92"/>
        <v>772800</v>
      </c>
      <c r="G439" s="349">
        <v>11700</v>
      </c>
      <c r="H439" s="349">
        <f t="shared" si="93"/>
        <v>538200</v>
      </c>
      <c r="I439" s="1285">
        <f>IFERROR(VLOOKUP(A439,'valores unit indexados'!$A$14:$O$197,15,FALSE),0)</f>
        <v>0</v>
      </c>
      <c r="J439" s="349">
        <f t="shared" si="90"/>
        <v>0</v>
      </c>
      <c r="L439" s="386" t="str">
        <f t="shared" si="89"/>
        <v>H. 2,8</v>
      </c>
      <c r="M439" s="358" t="str">
        <f t="shared" si="89"/>
        <v xml:space="preserve">Suministro y aplicación de estuco plástico </v>
      </c>
      <c r="N439" s="356" t="str">
        <f t="shared" si="89"/>
        <v>ML</v>
      </c>
      <c r="O439" s="385">
        <f t="shared" si="89"/>
        <v>46</v>
      </c>
      <c r="P439" s="423">
        <f>+'estudio inicial precios'!P485</f>
        <v>20705</v>
      </c>
      <c r="Q439" s="423">
        <f t="shared" si="91"/>
        <v>952430</v>
      </c>
    </row>
    <row r="440" spans="1:60" ht="12.75" hidden="1" customHeight="1" outlineLevel="1" x14ac:dyDescent="0.2">
      <c r="A440" s="386" t="s">
        <v>638</v>
      </c>
      <c r="B440" s="358" t="s">
        <v>639</v>
      </c>
      <c r="C440" s="356" t="s">
        <v>14</v>
      </c>
      <c r="D440" s="385">
        <v>65</v>
      </c>
      <c r="E440" s="353">
        <v>11400</v>
      </c>
      <c r="F440" s="353">
        <f t="shared" si="92"/>
        <v>741000</v>
      </c>
      <c r="G440" s="349">
        <v>5200</v>
      </c>
      <c r="H440" s="349">
        <f t="shared" si="93"/>
        <v>338000</v>
      </c>
      <c r="I440" s="1285">
        <f>IFERROR(VLOOKUP(A440,'valores unit indexados'!$A$14:$O$197,15,FALSE),0)</f>
        <v>0</v>
      </c>
      <c r="J440" s="349">
        <f t="shared" si="90"/>
        <v>0</v>
      </c>
      <c r="L440" s="386" t="str">
        <f t="shared" si="89"/>
        <v>H. 2,9</v>
      </c>
      <c r="M440" s="358" t="str">
        <f t="shared" si="89"/>
        <v>Suministro y aplicación de vinilo tipo 2 (2 manos)</v>
      </c>
      <c r="N440" s="356" t="str">
        <f t="shared" si="89"/>
        <v>ML</v>
      </c>
      <c r="O440" s="385">
        <f t="shared" si="89"/>
        <v>65</v>
      </c>
      <c r="P440" s="423">
        <f>+'estudio inicial precios'!P486</f>
        <v>6120</v>
      </c>
      <c r="Q440" s="423">
        <f t="shared" si="91"/>
        <v>397800</v>
      </c>
    </row>
    <row r="441" spans="1:60" ht="12.75" hidden="1" customHeight="1" outlineLevel="1" x14ac:dyDescent="0.2">
      <c r="A441" s="386" t="s">
        <v>640</v>
      </c>
      <c r="B441" s="358" t="s">
        <v>92</v>
      </c>
      <c r="C441" s="356" t="s">
        <v>14</v>
      </c>
      <c r="D441" s="385">
        <v>20</v>
      </c>
      <c r="E441" s="353">
        <v>10800</v>
      </c>
      <c r="F441" s="353">
        <f t="shared" si="92"/>
        <v>216000</v>
      </c>
      <c r="G441" s="349">
        <v>5200</v>
      </c>
      <c r="H441" s="349">
        <f t="shared" si="93"/>
        <v>104000</v>
      </c>
      <c r="I441" s="1285">
        <f>IFERROR(VLOOKUP(A441,'valores unit indexados'!$A$14:$O$197,15,FALSE),0)</f>
        <v>0</v>
      </c>
      <c r="J441" s="349">
        <f t="shared" si="90"/>
        <v>0</v>
      </c>
      <c r="L441" s="386" t="str">
        <f t="shared" si="89"/>
        <v>H. 2,10</v>
      </c>
      <c r="M441" s="358" t="str">
        <f t="shared" si="89"/>
        <v>Suministro y aplicación de pintura en esmalte</v>
      </c>
      <c r="N441" s="356" t="str">
        <f t="shared" si="89"/>
        <v>ML</v>
      </c>
      <c r="O441" s="385">
        <f t="shared" si="89"/>
        <v>20</v>
      </c>
      <c r="P441" s="423">
        <f>+'estudio inicial precios'!P487</f>
        <v>8000</v>
      </c>
      <c r="Q441" s="423">
        <f t="shared" si="91"/>
        <v>160000</v>
      </c>
    </row>
    <row r="442" spans="1:60" s="1533" customFormat="1" ht="24.75" hidden="1" customHeight="1" outlineLevel="1" x14ac:dyDescent="0.2">
      <c r="A442" s="1527" t="s">
        <v>641</v>
      </c>
      <c r="B442" s="1528" t="s">
        <v>642</v>
      </c>
      <c r="C442" s="1527"/>
      <c r="D442" s="1529"/>
      <c r="E442" s="1530"/>
      <c r="F442" s="1531">
        <f t="shared" si="92"/>
        <v>0</v>
      </c>
      <c r="G442" s="1530"/>
      <c r="H442" s="1531">
        <f t="shared" si="93"/>
        <v>0</v>
      </c>
      <c r="I442" s="1532"/>
      <c r="J442" s="1527"/>
      <c r="K442" s="1544"/>
      <c r="L442" s="1527" t="str">
        <f t="shared" si="89"/>
        <v>H. 3</v>
      </c>
      <c r="M442" s="1836"/>
      <c r="N442" s="1837"/>
      <c r="O442" s="1837"/>
      <c r="P442" s="1837"/>
      <c r="Q442" s="1838"/>
      <c r="R442" s="1544"/>
      <c r="S442" s="1544"/>
      <c r="T442" s="1544"/>
      <c r="U442" s="1544"/>
      <c r="V442" s="1544"/>
      <c r="W442" s="1544"/>
      <c r="X442" s="1544"/>
      <c r="Y442" s="1544"/>
      <c r="Z442" s="1544"/>
      <c r="AA442" s="1544"/>
      <c r="AB442" s="1544"/>
      <c r="AC442" s="1544"/>
      <c r="AD442" s="1544"/>
      <c r="AE442" s="1544"/>
      <c r="AF442" s="1544"/>
      <c r="AG442" s="1544"/>
      <c r="AH442" s="1544"/>
      <c r="AI442" s="1544"/>
      <c r="AJ442" s="1544"/>
      <c r="AK442" s="1544"/>
      <c r="AL442" s="1544"/>
      <c r="AM442" s="1544"/>
      <c r="AN442" s="1544"/>
      <c r="AO442" s="1544"/>
      <c r="AP442" s="1544"/>
      <c r="AQ442" s="1544"/>
      <c r="AR442" s="1544"/>
      <c r="AS442" s="1544"/>
      <c r="AT442" s="1544"/>
      <c r="AU442" s="1544"/>
      <c r="AV442" s="1544"/>
      <c r="AW442" s="1544"/>
      <c r="AX442" s="1544"/>
      <c r="AY442" s="1544"/>
      <c r="AZ442" s="1544"/>
      <c r="BA442" s="1544"/>
      <c r="BB442" s="1544"/>
      <c r="BC442" s="1544"/>
      <c r="BD442" s="1544"/>
      <c r="BE442" s="1544"/>
      <c r="BF442" s="1544"/>
      <c r="BG442" s="1544"/>
      <c r="BH442" s="1544"/>
    </row>
    <row r="443" spans="1:60" ht="25.5" hidden="1" customHeight="1" outlineLevel="1" x14ac:dyDescent="0.2">
      <c r="A443" s="386" t="s">
        <v>643</v>
      </c>
      <c r="B443" s="360" t="s">
        <v>644</v>
      </c>
      <c r="C443" s="404" t="s">
        <v>19</v>
      </c>
      <c r="D443" s="385">
        <v>10</v>
      </c>
      <c r="E443" s="353">
        <v>50000</v>
      </c>
      <c r="F443" s="353">
        <f t="shared" si="92"/>
        <v>500000</v>
      </c>
      <c r="G443" s="387">
        <v>0</v>
      </c>
      <c r="H443" s="349">
        <f t="shared" si="93"/>
        <v>0</v>
      </c>
      <c r="I443" s="1285">
        <f>IFERROR(VLOOKUP(A443,'valores unit indexados'!$A$14:$O$197,15,FALSE),0)</f>
        <v>0</v>
      </c>
      <c r="J443" s="349">
        <f t="shared" si="90"/>
        <v>0</v>
      </c>
      <c r="L443" s="386" t="str">
        <f t="shared" si="89"/>
        <v>H. 3,1</v>
      </c>
      <c r="M443" s="360" t="str">
        <f t="shared" si="89"/>
        <v>Mantenimiento de reja exterior existente  con puerta de 2 naves, consiste en soldar, lijar y pintar colo crema.</v>
      </c>
      <c r="N443" s="404" t="str">
        <f>+C443</f>
        <v>M2</v>
      </c>
      <c r="O443" s="385">
        <f>+D443</f>
        <v>10</v>
      </c>
      <c r="P443" s="423">
        <f>+'estudio inicial precios'!P489</f>
        <v>50000</v>
      </c>
      <c r="Q443" s="423">
        <f t="shared" si="91"/>
        <v>500000</v>
      </c>
    </row>
    <row r="444" spans="1:60" ht="12.75" hidden="1" customHeight="1" outlineLevel="1" x14ac:dyDescent="0.2">
      <c r="A444" s="386" t="s">
        <v>645</v>
      </c>
      <c r="B444" s="390" t="s">
        <v>646</v>
      </c>
      <c r="C444" s="363" t="s">
        <v>150</v>
      </c>
      <c r="D444" s="405">
        <v>9</v>
      </c>
      <c r="E444" s="353">
        <v>65000</v>
      </c>
      <c r="F444" s="353">
        <f t="shared" si="92"/>
        <v>585000</v>
      </c>
      <c r="G444" s="349">
        <v>17797</v>
      </c>
      <c r="H444" s="349">
        <f t="shared" si="93"/>
        <v>160173</v>
      </c>
      <c r="I444" s="1285">
        <f>IFERROR(VLOOKUP(A444,'valores unit indexados'!$A$14:$O$197,15,FALSE),0)</f>
        <v>0</v>
      </c>
      <c r="J444" s="349">
        <f t="shared" si="90"/>
        <v>0</v>
      </c>
      <c r="L444" s="386" t="str">
        <f t="shared" si="89"/>
        <v>H. 3,2</v>
      </c>
      <c r="M444" s="390" t="str">
        <f t="shared" si="89"/>
        <v>excavación tierra  a mano (tipo terraceo), incluye retiro</v>
      </c>
      <c r="N444" s="363" t="str">
        <f t="shared" si="89"/>
        <v>M3</v>
      </c>
      <c r="O444" s="405">
        <f t="shared" si="89"/>
        <v>9</v>
      </c>
      <c r="P444" s="423">
        <f>+'estudio inicial precios'!P490</f>
        <v>41757</v>
      </c>
      <c r="Q444" s="423">
        <f t="shared" si="91"/>
        <v>375813</v>
      </c>
    </row>
    <row r="445" spans="1:60" ht="25.5" hidden="1" customHeight="1" outlineLevel="1" x14ac:dyDescent="0.2">
      <c r="A445" s="386" t="s">
        <v>647</v>
      </c>
      <c r="B445" s="391" t="s">
        <v>648</v>
      </c>
      <c r="C445" s="340" t="s">
        <v>150</v>
      </c>
      <c r="D445" s="385">
        <v>1</v>
      </c>
      <c r="E445" s="353">
        <v>920000</v>
      </c>
      <c r="F445" s="353">
        <f t="shared" si="92"/>
        <v>920000</v>
      </c>
      <c r="G445" s="349">
        <v>830024</v>
      </c>
      <c r="H445" s="349">
        <f t="shared" si="93"/>
        <v>830024</v>
      </c>
      <c r="I445" s="1285">
        <f>IFERROR(VLOOKUP(A445,'valores unit indexados'!$A$14:$O$197,15,FALSE),0)</f>
        <v>0</v>
      </c>
      <c r="J445" s="349">
        <f t="shared" si="90"/>
        <v>0</v>
      </c>
      <c r="L445" s="386" t="str">
        <f t="shared" si="89"/>
        <v>H. 3,3</v>
      </c>
      <c r="M445" s="391" t="str">
        <f t="shared" si="89"/>
        <v>Suministro y fabricación de Viga en concreto  H=30-40 cm de 21 Mpa incluye acero y flejes de 3/8"</v>
      </c>
      <c r="N445" s="340" t="str">
        <f t="shared" si="89"/>
        <v>M3</v>
      </c>
      <c r="O445" s="385">
        <f t="shared" si="89"/>
        <v>1</v>
      </c>
      <c r="P445" s="423">
        <f>+'estudio inicial precios'!P491</f>
        <v>875012</v>
      </c>
      <c r="Q445" s="423">
        <f t="shared" si="91"/>
        <v>875012</v>
      </c>
    </row>
    <row r="446" spans="1:60" ht="25.5" hidden="1" customHeight="1" outlineLevel="1" x14ac:dyDescent="0.2">
      <c r="A446" s="386" t="s">
        <v>649</v>
      </c>
      <c r="B446" s="358" t="s">
        <v>650</v>
      </c>
      <c r="C446" s="363" t="s">
        <v>19</v>
      </c>
      <c r="D446" s="385">
        <v>52</v>
      </c>
      <c r="E446" s="353">
        <v>45000</v>
      </c>
      <c r="F446" s="353">
        <f t="shared" si="92"/>
        <v>2340000</v>
      </c>
      <c r="G446" s="412">
        <v>180661</v>
      </c>
      <c r="H446" s="349">
        <f t="shared" si="93"/>
        <v>9394372</v>
      </c>
      <c r="I446" s="1285">
        <f>IFERROR(VLOOKUP(A446,'valores unit indexados'!$A$14:$O$197,15,FALSE),0)</f>
        <v>0</v>
      </c>
      <c r="J446" s="349">
        <f t="shared" si="90"/>
        <v>0</v>
      </c>
      <c r="L446" s="386" t="str">
        <f t="shared" si="89"/>
        <v>H. 3,4</v>
      </c>
      <c r="M446" s="358" t="str">
        <f t="shared" si="89"/>
        <v>Suministro e instalación de cerramiento en malla eslabonada calibre 12 hueco 2 1/2" altura 200 cm</v>
      </c>
      <c r="N446" s="363" t="str">
        <f t="shared" si="89"/>
        <v>M2</v>
      </c>
      <c r="O446" s="385">
        <f t="shared" si="89"/>
        <v>52</v>
      </c>
      <c r="P446" s="423">
        <f>+'estudio inicial precios'!P492</f>
        <v>45000</v>
      </c>
      <c r="Q446" s="423">
        <f t="shared" si="91"/>
        <v>2340000</v>
      </c>
    </row>
    <row r="447" spans="1:60" ht="25.5" hidden="1" customHeight="1" outlineLevel="1" x14ac:dyDescent="0.2">
      <c r="A447" s="386" t="s">
        <v>651</v>
      </c>
      <c r="B447" s="358" t="s">
        <v>1515</v>
      </c>
      <c r="C447" s="356" t="s">
        <v>14</v>
      </c>
      <c r="D447" s="355">
        <v>12</v>
      </c>
      <c r="E447" s="353">
        <v>120000</v>
      </c>
      <c r="F447" s="353">
        <f t="shared" si="92"/>
        <v>1440000</v>
      </c>
      <c r="G447" s="349">
        <v>18317</v>
      </c>
      <c r="H447" s="349">
        <f t="shared" si="93"/>
        <v>219804</v>
      </c>
      <c r="I447" s="1285">
        <f>IFERROR(VLOOKUP(A447,'valores unit indexados'!$A$14:$O$197,15,FALSE),0)</f>
        <v>0</v>
      </c>
      <c r="J447" s="349">
        <f t="shared" si="90"/>
        <v>0</v>
      </c>
      <c r="L447" s="386" t="str">
        <f t="shared" si="89"/>
        <v>H. 3,5</v>
      </c>
      <c r="M447" s="358" t="str">
        <f t="shared" si="89"/>
        <v>Suministro e instalación de poste cilíndrico con brazo, diámetro 2 1/2" para cerramiento., incluye alambre de pues y concertina</v>
      </c>
      <c r="N447" s="356" t="str">
        <f t="shared" si="89"/>
        <v>ML</v>
      </c>
      <c r="O447" s="355">
        <f t="shared" si="89"/>
        <v>12</v>
      </c>
      <c r="P447" s="423">
        <f>+'estudio inicial precios'!P493</f>
        <v>69159</v>
      </c>
      <c r="Q447" s="423">
        <f t="shared" si="91"/>
        <v>829908</v>
      </c>
    </row>
    <row r="448" spans="1:60" ht="51" hidden="1" customHeight="1" outlineLevel="1" x14ac:dyDescent="0.2">
      <c r="A448" s="386" t="s">
        <v>653</v>
      </c>
      <c r="B448" s="391" t="s">
        <v>1516</v>
      </c>
      <c r="C448" s="363" t="s">
        <v>19</v>
      </c>
      <c r="D448" s="385">
        <v>22</v>
      </c>
      <c r="E448" s="353">
        <v>250000</v>
      </c>
      <c r="F448" s="353">
        <f t="shared" si="92"/>
        <v>5500000</v>
      </c>
      <c r="G448" s="349">
        <v>252694</v>
      </c>
      <c r="H448" s="349">
        <f t="shared" si="93"/>
        <v>5559268</v>
      </c>
      <c r="I448" s="1285">
        <f>IFERROR(VLOOKUP(A448,'valores unit indexados'!$A$14:$O$197,15,FALSE),0)</f>
        <v>0</v>
      </c>
      <c r="J448" s="349">
        <f t="shared" si="90"/>
        <v>0</v>
      </c>
      <c r="L448" s="386" t="str">
        <f t="shared" si="89"/>
        <v>H. 3,6</v>
      </c>
      <c r="M448" s="391" t="str">
        <f t="shared" si="89"/>
        <v>Suministro e instalación de reja de seguridad en tubo cuadrado de 1" x 1" fabricada en fundición, separación entre barras de 10 cm, , incluye  perforación, pernos y demás elementos para su correcta instalación.</v>
      </c>
      <c r="N448" s="363" t="str">
        <f t="shared" si="89"/>
        <v>M2</v>
      </c>
      <c r="O448" s="385">
        <f t="shared" si="89"/>
        <v>22</v>
      </c>
      <c r="P448" s="423">
        <f>+'estudio inicial precios'!P494</f>
        <v>251347</v>
      </c>
      <c r="Q448" s="423">
        <f t="shared" si="91"/>
        <v>5529634</v>
      </c>
    </row>
    <row r="449" spans="1:17" ht="12.75" hidden="1" customHeight="1" outlineLevel="1" x14ac:dyDescent="0.2">
      <c r="A449" s="386" t="s">
        <v>655</v>
      </c>
      <c r="B449" s="392" t="s">
        <v>1517</v>
      </c>
      <c r="C449" s="340" t="s">
        <v>19</v>
      </c>
      <c r="D449" s="385">
        <v>17</v>
      </c>
      <c r="E449" s="353">
        <v>30000</v>
      </c>
      <c r="F449" s="353">
        <f t="shared" si="92"/>
        <v>510000</v>
      </c>
      <c r="G449" s="349">
        <v>25935</v>
      </c>
      <c r="H449" s="349">
        <f t="shared" si="93"/>
        <v>440895</v>
      </c>
      <c r="I449" s="1285">
        <f>IFERROR(VLOOKUP(A449,'valores unit indexados'!$A$14:$O$197,15,FALSE),0)</f>
        <v>0</v>
      </c>
      <c r="J449" s="349">
        <f t="shared" si="90"/>
        <v>0</v>
      </c>
      <c r="L449" s="386" t="str">
        <f t="shared" si="89"/>
        <v>H. 3,7</v>
      </c>
      <c r="M449" s="392" t="str">
        <f t="shared" si="89"/>
        <v>Desmonte ventana metálica existente</v>
      </c>
      <c r="N449" s="340" t="str">
        <f t="shared" si="89"/>
        <v>M2</v>
      </c>
      <c r="O449" s="385">
        <f t="shared" si="89"/>
        <v>17</v>
      </c>
      <c r="P449" s="423">
        <f>+'estudio inicial precios'!P495</f>
        <v>27968</v>
      </c>
      <c r="Q449" s="423">
        <f t="shared" si="91"/>
        <v>475456</v>
      </c>
    </row>
    <row r="450" spans="1:17" ht="12.75" hidden="1" customHeight="1" outlineLevel="1" x14ac:dyDescent="0.2">
      <c r="A450" s="386" t="s">
        <v>657</v>
      </c>
      <c r="B450" s="392" t="s">
        <v>658</v>
      </c>
      <c r="C450" s="340" t="s">
        <v>19</v>
      </c>
      <c r="D450" s="385">
        <v>17</v>
      </c>
      <c r="E450" s="1290"/>
      <c r="F450" s="353">
        <f t="shared" si="92"/>
        <v>0</v>
      </c>
      <c r="G450" s="349">
        <v>349323</v>
      </c>
      <c r="H450" s="349">
        <f t="shared" si="93"/>
        <v>5938491</v>
      </c>
      <c r="I450" s="1285">
        <f>IFERROR(VLOOKUP(A450,'valores unit indexados'!$A$14:$O$197,15,FALSE),0)</f>
        <v>0</v>
      </c>
      <c r="J450" s="349">
        <f t="shared" si="90"/>
        <v>0</v>
      </c>
      <c r="L450" s="386" t="str">
        <f t="shared" si="89"/>
        <v>H. 3,8</v>
      </c>
      <c r="M450" s="392" t="str">
        <f t="shared" si="89"/>
        <v xml:space="preserve">Suministro e instalación de ventana  en aluminio corrediza </v>
      </c>
      <c r="N450" s="340" t="str">
        <f t="shared" si="89"/>
        <v>M2</v>
      </c>
      <c r="O450" s="385">
        <f t="shared" si="89"/>
        <v>17</v>
      </c>
      <c r="P450" s="423">
        <f>+'estudio inicial precios'!P496</f>
        <v>349323</v>
      </c>
      <c r="Q450" s="423">
        <f t="shared" si="91"/>
        <v>5938491</v>
      </c>
    </row>
    <row r="451" spans="1:17" ht="12.75" hidden="1" customHeight="1" outlineLevel="1" x14ac:dyDescent="0.2">
      <c r="A451" s="354" t="s">
        <v>659</v>
      </c>
      <c r="B451" s="393" t="s">
        <v>195</v>
      </c>
      <c r="C451" s="363" t="s">
        <v>19</v>
      </c>
      <c r="D451" s="385">
        <v>165</v>
      </c>
      <c r="E451" s="353">
        <v>7000</v>
      </c>
      <c r="F451" s="353">
        <f t="shared" si="92"/>
        <v>1155000</v>
      </c>
      <c r="G451" s="349">
        <v>4200</v>
      </c>
      <c r="H451" s="349">
        <f t="shared" si="93"/>
        <v>693000</v>
      </c>
      <c r="I451" s="1285">
        <f>IFERROR(VLOOKUP(A451,'valores unit indexados'!$A$14:$O$197,15,FALSE),0)</f>
        <v>5300</v>
      </c>
      <c r="J451" s="349">
        <f t="shared" si="90"/>
        <v>874500</v>
      </c>
      <c r="L451" s="354" t="str">
        <f t="shared" si="89"/>
        <v>H. 3,9</v>
      </c>
      <c r="M451" s="393" t="str">
        <f t="shared" si="89"/>
        <v>Aseo general.</v>
      </c>
      <c r="N451" s="363" t="str">
        <f t="shared" si="89"/>
        <v>M2</v>
      </c>
      <c r="O451" s="385">
        <f t="shared" si="89"/>
        <v>165</v>
      </c>
      <c r="P451" s="423">
        <f>+'estudio inicial precios'!P497</f>
        <v>5500</v>
      </c>
      <c r="Q451" s="423">
        <f t="shared" si="91"/>
        <v>907500</v>
      </c>
    </row>
    <row r="452" spans="1:17" ht="25.5" hidden="1" customHeight="1" outlineLevel="1" x14ac:dyDescent="0.2">
      <c r="A452" s="354" t="s">
        <v>660</v>
      </c>
      <c r="B452" s="402" t="s">
        <v>1518</v>
      </c>
      <c r="C452" s="389" t="s">
        <v>14</v>
      </c>
      <c r="D452" s="385">
        <v>15</v>
      </c>
      <c r="E452" s="353">
        <v>85000</v>
      </c>
      <c r="F452" s="353">
        <f t="shared" si="92"/>
        <v>1275000</v>
      </c>
      <c r="G452" s="349">
        <v>62000</v>
      </c>
      <c r="H452" s="349">
        <f t="shared" si="93"/>
        <v>930000</v>
      </c>
      <c r="I452" s="1285">
        <f>IFERROR(VLOOKUP(A452,'valores unit indexados'!$A$14:$O$197,15,FALSE),0)</f>
        <v>0</v>
      </c>
      <c r="J452" s="349">
        <f t="shared" si="90"/>
        <v>0</v>
      </c>
      <c r="L452" s="354" t="str">
        <f t="shared" si="89"/>
        <v>H. 3,10</v>
      </c>
      <c r="M452" s="402" t="str">
        <f t="shared" si="89"/>
        <v>Fabricación e instalación filtro francés tubería 4" ( incluye retiro de tierra a mano)</v>
      </c>
      <c r="N452" s="389" t="str">
        <f t="shared" si="89"/>
        <v>ML</v>
      </c>
      <c r="O452" s="385">
        <f t="shared" si="89"/>
        <v>15</v>
      </c>
      <c r="P452" s="423">
        <f>+'estudio inicial precios'!P498</f>
        <v>73500</v>
      </c>
      <c r="Q452" s="423">
        <f t="shared" si="91"/>
        <v>1102500</v>
      </c>
    </row>
    <row r="453" spans="1:17" ht="38.25" hidden="1" customHeight="1" outlineLevel="1" x14ac:dyDescent="0.2">
      <c r="A453" s="354" t="s">
        <v>662</v>
      </c>
      <c r="B453" s="391" t="s">
        <v>663</v>
      </c>
      <c r="C453" s="363" t="s">
        <v>19</v>
      </c>
      <c r="D453" s="385">
        <v>45</v>
      </c>
      <c r="E453" s="353">
        <v>75000</v>
      </c>
      <c r="F453" s="353">
        <f t="shared" si="92"/>
        <v>3375000</v>
      </c>
      <c r="G453" s="387">
        <v>0</v>
      </c>
      <c r="H453" s="349">
        <f t="shared" si="93"/>
        <v>0</v>
      </c>
      <c r="I453" s="1285">
        <f>IFERROR(VLOOKUP(A453,'valores unit indexados'!$A$14:$O$197,15,FALSE),0)</f>
        <v>0</v>
      </c>
      <c r="J453" s="349">
        <f t="shared" si="90"/>
        <v>0</v>
      </c>
      <c r="L453" s="354" t="str">
        <f t="shared" si="89"/>
        <v>H. 3,11</v>
      </c>
      <c r="M453" s="391" t="str">
        <f t="shared" si="89"/>
        <v>Suministro y fabricación de protección a talud existente- consiste en suministrar e instalar un manto control de erosión, incluye manto geotextil, malla y varilla de acero 1/2" </v>
      </c>
      <c r="N453" s="363" t="str">
        <f t="shared" si="89"/>
        <v>M2</v>
      </c>
      <c r="O453" s="385">
        <f t="shared" si="89"/>
        <v>45</v>
      </c>
      <c r="P453" s="423">
        <f>+'estudio inicial precios'!P499</f>
        <v>75000</v>
      </c>
      <c r="Q453" s="423">
        <f t="shared" si="91"/>
        <v>3375000</v>
      </c>
    </row>
    <row r="454" spans="1:17" ht="25.5" hidden="1" customHeight="1" outlineLevel="1" x14ac:dyDescent="0.2">
      <c r="A454" s="354" t="s">
        <v>664</v>
      </c>
      <c r="B454" s="358" t="s">
        <v>1519</v>
      </c>
      <c r="C454" s="356" t="s">
        <v>6</v>
      </c>
      <c r="D454" s="385">
        <v>2</v>
      </c>
      <c r="E454" s="353">
        <v>160000</v>
      </c>
      <c r="F454" s="353">
        <f t="shared" si="92"/>
        <v>320000</v>
      </c>
      <c r="G454" s="349">
        <v>245778</v>
      </c>
      <c r="H454" s="349">
        <f t="shared" si="93"/>
        <v>491556</v>
      </c>
      <c r="I454" s="1285">
        <f>IFERROR(VLOOKUP(A454,'valores unit indexados'!$A$14:$O$197,15,FALSE),0)</f>
        <v>0</v>
      </c>
      <c r="J454" s="349">
        <f t="shared" si="90"/>
        <v>0</v>
      </c>
      <c r="L454" s="354" t="str">
        <f t="shared" si="89"/>
        <v>H. 3,12</v>
      </c>
      <c r="M454" s="358" t="str">
        <f t="shared" si="89"/>
        <v>Suministro e instalación de marco metálico cuyas  medidas oscilan entre 100 cm de ancho x 247 cm de alto</v>
      </c>
      <c r="N454" s="356" t="str">
        <f t="shared" si="89"/>
        <v>UND</v>
      </c>
      <c r="O454" s="385">
        <f t="shared" si="89"/>
        <v>2</v>
      </c>
      <c r="P454" s="423">
        <f>+'estudio inicial precios'!P500</f>
        <v>202889</v>
      </c>
      <c r="Q454" s="423">
        <f t="shared" si="91"/>
        <v>405778</v>
      </c>
    </row>
    <row r="455" spans="1:17" ht="12.75" hidden="1" customHeight="1" outlineLevel="1" x14ac:dyDescent="0.2">
      <c r="A455" s="354" t="s">
        <v>666</v>
      </c>
      <c r="B455" s="392" t="s">
        <v>1520</v>
      </c>
      <c r="C455" s="340" t="s">
        <v>6</v>
      </c>
      <c r="D455" s="385">
        <v>1</v>
      </c>
      <c r="E455" s="353">
        <v>80000</v>
      </c>
      <c r="F455" s="353">
        <f t="shared" si="92"/>
        <v>80000</v>
      </c>
      <c r="G455" s="349">
        <v>47398</v>
      </c>
      <c r="H455" s="349">
        <f t="shared" si="93"/>
        <v>47398</v>
      </c>
      <c r="I455" s="1285">
        <f>IFERROR(VLOOKUP(A455,'valores unit indexados'!$A$14:$O$197,15,FALSE),0)</f>
        <v>0</v>
      </c>
      <c r="J455" s="349">
        <f t="shared" si="90"/>
        <v>0</v>
      </c>
      <c r="L455" s="354" t="str">
        <f t="shared" si="89"/>
        <v>H. 3,13</v>
      </c>
      <c r="M455" s="392" t="str">
        <f t="shared" si="89"/>
        <v>Desmonte de puerta metálica existente 100 cm x 200 cm</v>
      </c>
      <c r="N455" s="340" t="str">
        <f t="shared" si="89"/>
        <v>UND</v>
      </c>
      <c r="O455" s="385">
        <f t="shared" si="89"/>
        <v>1</v>
      </c>
      <c r="P455" s="423">
        <f>+'estudio inicial precios'!P501</f>
        <v>62500</v>
      </c>
      <c r="Q455" s="423">
        <f t="shared" si="91"/>
        <v>62500</v>
      </c>
    </row>
    <row r="456" spans="1:17" ht="13.5" hidden="1" customHeight="1" outlineLevel="1" thickBot="1" x14ac:dyDescent="0.25">
      <c r="A456" s="354" t="s">
        <v>668</v>
      </c>
      <c r="B456" s="347" t="s">
        <v>669</v>
      </c>
      <c r="C456" s="340" t="s">
        <v>6</v>
      </c>
      <c r="D456" s="385">
        <v>1</v>
      </c>
      <c r="E456" s="379">
        <v>800000</v>
      </c>
      <c r="F456" s="353">
        <f t="shared" si="92"/>
        <v>800000</v>
      </c>
      <c r="G456" s="349">
        <v>455624</v>
      </c>
      <c r="H456" s="349">
        <f t="shared" si="93"/>
        <v>455624</v>
      </c>
      <c r="I456" s="1285">
        <f>IFERROR(VLOOKUP(A456,'valores unit indexados'!$A$14:$O$197,15,FALSE),0)</f>
        <v>0</v>
      </c>
      <c r="J456" s="349">
        <f t="shared" si="90"/>
        <v>0</v>
      </c>
      <c r="L456" s="354" t="str">
        <f t="shared" si="89"/>
        <v>H. 3,14</v>
      </c>
      <c r="M456" s="347" t="str">
        <f t="shared" si="89"/>
        <v>Suministro e instalación de puerta metálica 100 cm x 200 cm</v>
      </c>
      <c r="N456" s="340" t="str">
        <f t="shared" si="89"/>
        <v>UND</v>
      </c>
      <c r="O456" s="385">
        <f t="shared" si="89"/>
        <v>1</v>
      </c>
      <c r="P456" s="423">
        <f>+'estudio inicial precios'!P502</f>
        <v>455624</v>
      </c>
      <c r="Q456" s="423">
        <f t="shared" si="91"/>
        <v>455624</v>
      </c>
    </row>
    <row r="457" spans="1:17" ht="15.75" collapsed="1" thickBot="1" x14ac:dyDescent="0.3">
      <c r="A457"/>
      <c r="B457"/>
      <c r="C457" s="1712" t="s">
        <v>196</v>
      </c>
      <c r="D457" s="1713"/>
      <c r="E457" s="1714"/>
      <c r="F457" s="1715">
        <f>SUM(F361:F456)</f>
        <v>1260325305390.063</v>
      </c>
      <c r="G457" s="1716"/>
      <c r="H457" s="1715">
        <f>SUM(H361:H456)</f>
        <v>755586058694.78589</v>
      </c>
      <c r="I457" s="1717"/>
      <c r="J457" s="1718">
        <f>SUM(J362:J456)</f>
        <v>125616633909.68002</v>
      </c>
      <c r="K457" s="1719"/>
      <c r="L457" s="1720"/>
      <c r="M457" s="1721"/>
      <c r="N457" s="1734"/>
      <c r="O457" s="1735"/>
      <c r="P457" s="1713"/>
      <c r="Q457" s="1722">
        <f>SUM(Q424:Q456)</f>
        <v>51730441</v>
      </c>
    </row>
    <row r="458" spans="1:17" ht="15" x14ac:dyDescent="0.25">
      <c r="A458"/>
      <c r="B458"/>
      <c r="C458" s="1706" t="s">
        <v>197</v>
      </c>
      <c r="D458" s="1707"/>
      <c r="E458" s="1708">
        <v>0.35</v>
      </c>
      <c r="F458" s="1709">
        <f>+F$457*E458</f>
        <v>441113856886.52203</v>
      </c>
      <c r="G458" s="1708">
        <v>0.24</v>
      </c>
      <c r="H458" s="1709">
        <f>+H$457*G458</f>
        <v>181340654086.7486</v>
      </c>
      <c r="I458" s="1708">
        <v>0</v>
      </c>
      <c r="J458" s="1709">
        <f>+J$457*I458</f>
        <v>0</v>
      </c>
      <c r="L458" s="1298"/>
      <c r="M458" s="1645"/>
      <c r="N458" s="1845" t="str">
        <f t="shared" ref="N458:N462" si="94">+C458</f>
        <v xml:space="preserve">ADMINISTRACION </v>
      </c>
      <c r="O458" s="1846"/>
      <c r="P458" s="1710">
        <f>+$C$15</f>
        <v>0.185</v>
      </c>
      <c r="Q458" s="1711">
        <f>ROUND(P458*$Q$457,0)</f>
        <v>9570132</v>
      </c>
    </row>
    <row r="459" spans="1:17" ht="15" x14ac:dyDescent="0.25">
      <c r="A459"/>
      <c r="B459"/>
      <c r="C459" s="1671" t="s">
        <v>198</v>
      </c>
      <c r="D459" s="1672"/>
      <c r="E459" s="375">
        <v>0.02</v>
      </c>
      <c r="F459" s="376">
        <f t="shared" ref="F459:H460" si="95">+F$457*E459</f>
        <v>25206506107.801262</v>
      </c>
      <c r="G459" s="375">
        <v>0.01</v>
      </c>
      <c r="H459" s="376">
        <f t="shared" si="95"/>
        <v>7555860586.9478588</v>
      </c>
      <c r="I459" s="375">
        <v>0</v>
      </c>
      <c r="J459" s="376">
        <f t="shared" ref="J459:J460" si="96">+J$457*I459</f>
        <v>0</v>
      </c>
      <c r="L459" s="1298"/>
      <c r="M459" s="1645"/>
      <c r="N459" s="1847" t="str">
        <f t="shared" si="94"/>
        <v xml:space="preserve">IMPREVISTO </v>
      </c>
      <c r="O459" s="1848"/>
      <c r="P459" s="1296">
        <f>+$C$16</f>
        <v>0.02</v>
      </c>
      <c r="Q459" s="1711">
        <f t="shared" ref="Q459:Q460" si="97">ROUND(P459*$Q$457,0)</f>
        <v>1034609</v>
      </c>
    </row>
    <row r="460" spans="1:17" ht="15" x14ac:dyDescent="0.25">
      <c r="A460"/>
      <c r="B460"/>
      <c r="C460" s="1671" t="s">
        <v>199</v>
      </c>
      <c r="D460" s="1672"/>
      <c r="E460" s="375">
        <v>0.05</v>
      </c>
      <c r="F460" s="376">
        <f t="shared" si="95"/>
        <v>63016265269.503151</v>
      </c>
      <c r="G460" s="375">
        <v>0.05</v>
      </c>
      <c r="H460" s="376">
        <f t="shared" si="95"/>
        <v>37779302934.739296</v>
      </c>
      <c r="I460" s="375">
        <v>0</v>
      </c>
      <c r="J460" s="376">
        <f t="shared" si="96"/>
        <v>0</v>
      </c>
      <c r="L460" s="1298"/>
      <c r="M460" s="1645"/>
      <c r="N460" s="1847" t="str">
        <f t="shared" si="94"/>
        <v>UTILIDAD</v>
      </c>
      <c r="O460" s="1848"/>
      <c r="P460" s="1296">
        <f>+$C$17</f>
        <v>4.4999999999999998E-2</v>
      </c>
      <c r="Q460" s="1711">
        <f t="shared" si="97"/>
        <v>2327870</v>
      </c>
    </row>
    <row r="461" spans="1:17" ht="15.75" thickBot="1" x14ac:dyDescent="0.3">
      <c r="A461"/>
      <c r="B461"/>
      <c r="C461" s="1723" t="s">
        <v>200</v>
      </c>
      <c r="D461" s="1724"/>
      <c r="E461" s="1725">
        <v>0.19</v>
      </c>
      <c r="F461" s="1726">
        <f>+F$460*E461</f>
        <v>11973090401.205599</v>
      </c>
      <c r="G461" s="1725">
        <v>0.19</v>
      </c>
      <c r="H461" s="1726">
        <f>+H$460*G461</f>
        <v>7178067557.6004667</v>
      </c>
      <c r="I461" s="1725">
        <v>0</v>
      </c>
      <c r="J461" s="1726">
        <f>+J$460*I461</f>
        <v>0</v>
      </c>
      <c r="L461" s="1298"/>
      <c r="M461" s="1645"/>
      <c r="N461" s="1849" t="str">
        <f t="shared" si="94"/>
        <v xml:space="preserve">IVA SOBRE UTILIDAD </v>
      </c>
      <c r="O461" s="1850"/>
      <c r="P461" s="1727">
        <f>+$C$18</f>
        <v>0.19</v>
      </c>
      <c r="Q461" s="1711">
        <f>ROUND(P461*$Q$460,0)</f>
        <v>442295</v>
      </c>
    </row>
    <row r="462" spans="1:17" ht="15.75" thickBot="1" x14ac:dyDescent="0.3">
      <c r="A462"/>
      <c r="B462"/>
      <c r="C462" s="1868" t="s">
        <v>201</v>
      </c>
      <c r="D462" s="1869"/>
      <c r="E462" s="1869"/>
      <c r="F462" s="1869">
        <f>SUM(F457:F461)</f>
        <v>1801635024055.095</v>
      </c>
      <c r="G462" s="1869"/>
      <c r="H462" s="1869">
        <f>SUM(H457:H461)</f>
        <v>989439943860.82202</v>
      </c>
      <c r="I462" s="1869"/>
      <c r="J462" s="1869">
        <f>SUM(J457:J461)</f>
        <v>125616633909.68002</v>
      </c>
      <c r="K462" s="1869"/>
      <c r="L462" s="1869"/>
      <c r="M462" s="1869"/>
      <c r="N462" s="1869" t="str">
        <f t="shared" si="94"/>
        <v xml:space="preserve">VALOR TOTAL INCLUIDO AIU E IVA </v>
      </c>
      <c r="O462" s="1869"/>
      <c r="P462" s="1870"/>
      <c r="Q462" s="1733">
        <f>SUM(Q457:Q461)</f>
        <v>65105347</v>
      </c>
    </row>
    <row r="463" spans="1:17" ht="15.75" thickBot="1" x14ac:dyDescent="0.3">
      <c r="L463" s="1298"/>
      <c r="M463"/>
      <c r="N463"/>
      <c r="O463"/>
      <c r="P463"/>
      <c r="Q463"/>
    </row>
    <row r="464" spans="1:17" ht="13.5" thickBot="1" x14ac:dyDescent="0.25">
      <c r="A464" s="1801" t="s">
        <v>741</v>
      </c>
      <c r="B464" s="1802" t="s">
        <v>1526</v>
      </c>
      <c r="C464" s="1802"/>
      <c r="D464" s="1802"/>
      <c r="E464" s="1802"/>
      <c r="F464" s="1802"/>
      <c r="G464" s="1802"/>
      <c r="H464" s="1802"/>
      <c r="I464" s="1802"/>
      <c r="J464" s="1802"/>
      <c r="K464" s="1719"/>
      <c r="L464" s="1803" t="str">
        <f t="shared" ref="L464:O474" si="98">+A464</f>
        <v>J</v>
      </c>
      <c r="M464" s="1853"/>
      <c r="N464" s="1854"/>
      <c r="O464" s="1854"/>
      <c r="P464" s="1854"/>
      <c r="Q464" s="1855"/>
    </row>
    <row r="465" spans="1:60" s="1533" customFormat="1" ht="24.75" hidden="1" customHeight="1" outlineLevel="1" x14ac:dyDescent="0.2">
      <c r="A465" s="1795" t="s">
        <v>743</v>
      </c>
      <c r="B465" s="1796" t="s">
        <v>744</v>
      </c>
      <c r="C465" s="1795"/>
      <c r="D465" s="1797"/>
      <c r="E465" s="1798"/>
      <c r="F465" s="1799"/>
      <c r="G465" s="1798"/>
      <c r="H465" s="1799"/>
      <c r="I465" s="1800"/>
      <c r="J465" s="1795"/>
      <c r="K465" s="1544"/>
      <c r="L465" s="1795" t="str">
        <f t="shared" si="98"/>
        <v>J. 1</v>
      </c>
      <c r="M465" s="1796" t="str">
        <f t="shared" si="98"/>
        <v>Reparación de cubierta en teja de barro</v>
      </c>
      <c r="N465" s="1795"/>
      <c r="O465" s="1797"/>
      <c r="P465" s="1799"/>
      <c r="Q465" s="1799"/>
      <c r="R465" s="1544"/>
      <c r="S465" s="1544"/>
      <c r="T465" s="1544"/>
      <c r="U465" s="1544"/>
      <c r="V465" s="1544"/>
      <c r="W465" s="1544"/>
      <c r="X465" s="1544"/>
      <c r="Y465" s="1544"/>
      <c r="Z465" s="1544"/>
      <c r="AA465" s="1544"/>
      <c r="AB465" s="1544"/>
      <c r="AC465" s="1544"/>
      <c r="AD465" s="1544"/>
      <c r="AE465" s="1544"/>
      <c r="AF465" s="1544"/>
      <c r="AG465" s="1544"/>
      <c r="AH465" s="1544"/>
      <c r="AI465" s="1544"/>
      <c r="AJ465" s="1544"/>
      <c r="AK465" s="1544"/>
      <c r="AL465" s="1544"/>
      <c r="AM465" s="1544"/>
      <c r="AN465" s="1544"/>
      <c r="AO465" s="1544"/>
      <c r="AP465" s="1544"/>
      <c r="AQ465" s="1544"/>
      <c r="AR465" s="1544"/>
      <c r="AS465" s="1544"/>
      <c r="AT465" s="1544"/>
      <c r="AU465" s="1544"/>
      <c r="AV465" s="1544"/>
      <c r="AW465" s="1544"/>
      <c r="AX465" s="1544"/>
      <c r="AY465" s="1544"/>
      <c r="AZ465" s="1544"/>
      <c r="BA465" s="1544"/>
      <c r="BB465" s="1544"/>
      <c r="BC465" s="1544"/>
      <c r="BD465" s="1544"/>
      <c r="BE465" s="1544"/>
      <c r="BF465" s="1544"/>
      <c r="BG465" s="1544"/>
      <c r="BH465" s="1544"/>
    </row>
    <row r="466" spans="1:60" ht="38.25" hidden="1" customHeight="1" outlineLevel="1" x14ac:dyDescent="0.2">
      <c r="A466" s="386" t="s">
        <v>745</v>
      </c>
      <c r="B466" s="358" t="s">
        <v>746</v>
      </c>
      <c r="C466" s="389" t="s">
        <v>19</v>
      </c>
      <c r="D466" s="385">
        <v>156</v>
      </c>
      <c r="E466" s="353">
        <v>145000</v>
      </c>
      <c r="F466" s="353">
        <v>22620000</v>
      </c>
      <c r="G466" s="349">
        <v>64150</v>
      </c>
      <c r="H466" s="349">
        <v>10007400</v>
      </c>
      <c r="I466" s="1285">
        <f>IFERROR(VLOOKUP(A466,'valores unit indexados'!$A$14:$O$197,15,FALSE),0)</f>
        <v>0</v>
      </c>
      <c r="J466" s="349">
        <v>0</v>
      </c>
      <c r="L466" s="386" t="str">
        <f t="shared" si="98"/>
        <v>J. 1,1</v>
      </c>
      <c r="M466" s="358" t="str">
        <f t="shared" si="98"/>
        <v>mantenimiento general de cubierta tipo colonial, incluye cambio de tejas en mal estado, reacomodación y atraques nuevos para el área general de cubierta, incluir el retiro de escombros. </v>
      </c>
      <c r="N466" s="389" t="str">
        <f t="shared" si="98"/>
        <v>M2</v>
      </c>
      <c r="O466" s="385">
        <f t="shared" si="98"/>
        <v>156</v>
      </c>
      <c r="P466" s="423">
        <f>+'estudio inicial precios'!P562</f>
        <v>104575</v>
      </c>
      <c r="Q466" s="423">
        <f t="shared" ref="Q466:Q469" si="99">+P466*O466</f>
        <v>16313700</v>
      </c>
    </row>
    <row r="467" spans="1:60" ht="12.75" hidden="1" customHeight="1" outlineLevel="1" x14ac:dyDescent="0.2">
      <c r="A467" s="386" t="s">
        <v>747</v>
      </c>
      <c r="B467" s="358" t="s">
        <v>748</v>
      </c>
      <c r="C467" s="356" t="s">
        <v>19</v>
      </c>
      <c r="D467" s="385">
        <v>24</v>
      </c>
      <c r="E467" s="353">
        <v>45000</v>
      </c>
      <c r="F467" s="353">
        <v>1080000</v>
      </c>
      <c r="G467" s="349">
        <v>36340</v>
      </c>
      <c r="H467" s="349">
        <v>872160</v>
      </c>
      <c r="I467" s="1285">
        <f>IFERROR(VLOOKUP(A467,'valores unit indexados'!$A$14:$O$197,15,FALSE),0)</f>
        <v>0</v>
      </c>
      <c r="J467" s="349">
        <v>0</v>
      </c>
      <c r="L467" s="386" t="str">
        <f t="shared" si="98"/>
        <v>J. 1,2</v>
      </c>
      <c r="M467" s="358" t="str">
        <f t="shared" si="98"/>
        <v>Suministro e instalación de teja de barro</v>
      </c>
      <c r="N467" s="356" t="str">
        <f t="shared" si="98"/>
        <v>M2</v>
      </c>
      <c r="O467" s="385">
        <f t="shared" si="98"/>
        <v>24</v>
      </c>
      <c r="P467" s="423">
        <f>+'estudio inicial precios'!P563</f>
        <v>40670</v>
      </c>
      <c r="Q467" s="423">
        <f t="shared" si="99"/>
        <v>976080</v>
      </c>
    </row>
    <row r="468" spans="1:60" ht="25.5" hidden="1" customHeight="1" outlineLevel="1" x14ac:dyDescent="0.2">
      <c r="A468" s="386" t="s">
        <v>749</v>
      </c>
      <c r="B468" s="358" t="s">
        <v>61</v>
      </c>
      <c r="C468" s="356" t="s">
        <v>14</v>
      </c>
      <c r="D468" s="385">
        <v>24</v>
      </c>
      <c r="E468" s="353">
        <v>46000</v>
      </c>
      <c r="F468" s="353">
        <v>1104000</v>
      </c>
      <c r="G468" s="349">
        <v>57837</v>
      </c>
      <c r="H468" s="349">
        <v>1388088</v>
      </c>
      <c r="I468" s="1285">
        <f>IFERROR(VLOOKUP(A468,'valores unit indexados'!$A$14:$O$197,15,FALSE),0)</f>
        <v>0</v>
      </c>
      <c r="J468" s="349">
        <v>0</v>
      </c>
      <c r="L468" s="386" t="str">
        <f t="shared" si="98"/>
        <v>J. 1,3</v>
      </c>
      <c r="M468" s="358" t="str">
        <f t="shared" si="98"/>
        <v>Suministro e instalación de Solapa en lamina galvanizada Cal 24, incluye sellador sobre muro</v>
      </c>
      <c r="N468" s="356" t="str">
        <f t="shared" si="98"/>
        <v>ML</v>
      </c>
      <c r="O468" s="385">
        <f t="shared" si="98"/>
        <v>24</v>
      </c>
      <c r="P468" s="423">
        <f>+'estudio inicial precios'!P564</f>
        <v>51919</v>
      </c>
      <c r="Q468" s="423">
        <f t="shared" si="99"/>
        <v>1246056</v>
      </c>
    </row>
    <row r="469" spans="1:60" ht="13.5" hidden="1" customHeight="1" outlineLevel="1" thickBot="1" x14ac:dyDescent="0.25">
      <c r="A469" s="386" t="s">
        <v>752</v>
      </c>
      <c r="B469" s="406" t="s">
        <v>195</v>
      </c>
      <c r="C469" s="394" t="s">
        <v>19</v>
      </c>
      <c r="D469" s="385">
        <v>156</v>
      </c>
      <c r="E469" s="353">
        <v>7000</v>
      </c>
      <c r="F469" s="353">
        <v>1092000</v>
      </c>
      <c r="G469" s="349">
        <v>4200</v>
      </c>
      <c r="H469" s="349">
        <v>655200</v>
      </c>
      <c r="I469" s="1285">
        <f>IFERROR(VLOOKUP(A469,'valores unit indexados'!$A$14:$O$197,15,FALSE),0)</f>
        <v>5300</v>
      </c>
      <c r="J469" s="349">
        <v>826800</v>
      </c>
      <c r="L469" s="386" t="str">
        <f t="shared" si="98"/>
        <v>J. 1,4</v>
      </c>
      <c r="M469" s="406" t="str">
        <f t="shared" si="98"/>
        <v>Aseo general.</v>
      </c>
      <c r="N469" s="394" t="str">
        <f t="shared" si="98"/>
        <v>M2</v>
      </c>
      <c r="O469" s="385">
        <f t="shared" si="98"/>
        <v>156</v>
      </c>
      <c r="P469" s="423">
        <f>+'estudio inicial precios'!P565</f>
        <v>5500</v>
      </c>
      <c r="Q469" s="423">
        <f t="shared" si="99"/>
        <v>858000</v>
      </c>
    </row>
    <row r="470" spans="1:60" ht="15.75" collapsed="1" thickBot="1" x14ac:dyDescent="0.3">
      <c r="A470"/>
      <c r="B470"/>
      <c r="C470" s="1712" t="s">
        <v>196</v>
      </c>
      <c r="D470" s="1713"/>
      <c r="E470" s="1714"/>
      <c r="F470" s="1715">
        <f>SUM(F422:F469)</f>
        <v>4105714759899.8066</v>
      </c>
      <c r="G470" s="1716"/>
      <c r="H470" s="1715">
        <f>SUM(H422:H469)</f>
        <v>2274891143371.7725</v>
      </c>
      <c r="I470" s="1717"/>
      <c r="J470" s="1718">
        <f>SUM(J423:J469)</f>
        <v>251251914067.36005</v>
      </c>
      <c r="K470" s="1719"/>
      <c r="L470" s="1720"/>
      <c r="M470" s="1721"/>
      <c r="N470" s="1734"/>
      <c r="O470" s="1735"/>
      <c r="P470" s="1713"/>
      <c r="Q470" s="1722">
        <f>SUM(Q464:Q469)</f>
        <v>19393836</v>
      </c>
    </row>
    <row r="471" spans="1:60" ht="15" x14ac:dyDescent="0.25">
      <c r="A471"/>
      <c r="B471"/>
      <c r="C471" s="1706" t="s">
        <v>197</v>
      </c>
      <c r="D471" s="1707"/>
      <c r="E471" s="1708">
        <v>0.35</v>
      </c>
      <c r="F471" s="1709">
        <f>+F$470*E471</f>
        <v>1437000165964.9321</v>
      </c>
      <c r="G471" s="1708">
        <v>0.24</v>
      </c>
      <c r="H471" s="1709">
        <f>+H$470*G471</f>
        <v>545973874409.22534</v>
      </c>
      <c r="I471" s="1708">
        <v>0</v>
      </c>
      <c r="J471" s="1709">
        <f>+J$470*I471</f>
        <v>0</v>
      </c>
      <c r="L471" s="1298"/>
      <c r="M471" s="1645"/>
      <c r="N471" s="1845" t="str">
        <f t="shared" si="98"/>
        <v xml:space="preserve">ADMINISTRACION </v>
      </c>
      <c r="O471" s="1846"/>
      <c r="P471" s="1710">
        <f>+$C$15</f>
        <v>0.185</v>
      </c>
      <c r="Q471" s="1711">
        <f>ROUND(P471*$Q$470,0)</f>
        <v>3587860</v>
      </c>
    </row>
    <row r="472" spans="1:60" ht="15" x14ac:dyDescent="0.25">
      <c r="A472"/>
      <c r="B472"/>
      <c r="C472" s="1671" t="s">
        <v>198</v>
      </c>
      <c r="D472" s="1672"/>
      <c r="E472" s="375">
        <v>0.02</v>
      </c>
      <c r="F472" s="376">
        <f t="shared" ref="F472:H473" si="100">+F$470*E472</f>
        <v>82114295197.99614</v>
      </c>
      <c r="G472" s="375">
        <v>0.01</v>
      </c>
      <c r="H472" s="376">
        <f t="shared" si="100"/>
        <v>22748911433.717724</v>
      </c>
      <c r="I472" s="375">
        <v>0</v>
      </c>
      <c r="J472" s="376">
        <f t="shared" ref="J472:J473" si="101">+J$470*I472</f>
        <v>0</v>
      </c>
      <c r="L472" s="1298"/>
      <c r="M472" s="1645"/>
      <c r="N472" s="1847" t="str">
        <f t="shared" si="98"/>
        <v xml:space="preserve">IMPREVISTO </v>
      </c>
      <c r="O472" s="1848"/>
      <c r="P472" s="1296">
        <f>+$C$16</f>
        <v>0.02</v>
      </c>
      <c r="Q472" s="1711">
        <f t="shared" ref="Q472:Q473" si="102">ROUND(P472*$Q$470,0)</f>
        <v>387877</v>
      </c>
    </row>
    <row r="473" spans="1:60" ht="15" x14ac:dyDescent="0.25">
      <c r="A473"/>
      <c r="B473"/>
      <c r="C473" s="1671" t="s">
        <v>199</v>
      </c>
      <c r="D473" s="1672"/>
      <c r="E473" s="375">
        <v>0.05</v>
      </c>
      <c r="F473" s="376">
        <f t="shared" si="100"/>
        <v>205285737994.99036</v>
      </c>
      <c r="G473" s="375">
        <v>0.05</v>
      </c>
      <c r="H473" s="376">
        <f t="shared" si="100"/>
        <v>113744557168.58862</v>
      </c>
      <c r="I473" s="375">
        <v>0</v>
      </c>
      <c r="J473" s="376">
        <f t="shared" si="101"/>
        <v>0</v>
      </c>
      <c r="L473" s="1298"/>
      <c r="M473" s="1645"/>
      <c r="N473" s="1847" t="str">
        <f t="shared" si="98"/>
        <v>UTILIDAD</v>
      </c>
      <c r="O473" s="1848"/>
      <c r="P473" s="1296">
        <f>+$C$17</f>
        <v>4.4999999999999998E-2</v>
      </c>
      <c r="Q473" s="1711">
        <f t="shared" si="102"/>
        <v>872723</v>
      </c>
    </row>
    <row r="474" spans="1:60" ht="15.75" thickBot="1" x14ac:dyDescent="0.3">
      <c r="A474"/>
      <c r="B474"/>
      <c r="C474" s="1723" t="s">
        <v>200</v>
      </c>
      <c r="D474" s="1724"/>
      <c r="E474" s="1725">
        <v>0.19</v>
      </c>
      <c r="F474" s="1726">
        <f>+F473*E474</f>
        <v>39004290219.048164</v>
      </c>
      <c r="G474" s="1725">
        <v>0.19</v>
      </c>
      <c r="H474" s="1726">
        <f>+H473*G474</f>
        <v>21611465862.031837</v>
      </c>
      <c r="I474" s="1725">
        <v>0</v>
      </c>
      <c r="J474" s="1726">
        <f>+J473*I474</f>
        <v>0</v>
      </c>
      <c r="L474" s="1298"/>
      <c r="M474" s="1645"/>
      <c r="N474" s="1849" t="str">
        <f t="shared" si="98"/>
        <v xml:space="preserve">IVA SOBRE UTILIDAD </v>
      </c>
      <c r="O474" s="1850"/>
      <c r="P474" s="1727">
        <f>+$C$18</f>
        <v>0.19</v>
      </c>
      <c r="Q474" s="1711">
        <f>ROUND(P474*$Q$473,0)</f>
        <v>165817</v>
      </c>
    </row>
    <row r="475" spans="1:60" ht="15.75" thickBot="1" x14ac:dyDescent="0.3">
      <c r="A475"/>
      <c r="B475"/>
      <c r="C475" s="1868" t="s">
        <v>201</v>
      </c>
      <c r="D475" s="1869"/>
      <c r="E475" s="1869"/>
      <c r="F475" s="1869"/>
      <c r="G475" s="1869"/>
      <c r="H475" s="1869"/>
      <c r="I475" s="1869"/>
      <c r="J475" s="1869"/>
      <c r="K475" s="1869"/>
      <c r="L475" s="1869"/>
      <c r="M475" s="1869"/>
      <c r="N475" s="1869"/>
      <c r="O475" s="1869"/>
      <c r="P475" s="1870"/>
      <c r="Q475" s="1733">
        <f>SUM(Q470:Q474)</f>
        <v>24408113</v>
      </c>
    </row>
    <row r="476" spans="1:60" ht="13.5" thickBot="1" x14ac:dyDescent="0.25">
      <c r="A476" s="395"/>
      <c r="B476" s="395"/>
      <c r="C476" s="395"/>
      <c r="D476" s="395"/>
      <c r="I476" s="395"/>
      <c r="J476" s="395"/>
    </row>
    <row r="477" spans="1:60" ht="13.5" thickBot="1" x14ac:dyDescent="0.25">
      <c r="A477" s="395"/>
      <c r="B477" s="395"/>
      <c r="C477" s="1790" t="s">
        <v>1627</v>
      </c>
      <c r="D477" s="1791"/>
      <c r="E477" s="1792"/>
      <c r="F477" s="1793" t="e">
        <f>+F475+#REF!+F462+F422+F385+F346+F281+F209+F141+F122</f>
        <v>#REF!</v>
      </c>
      <c r="G477" s="1792"/>
      <c r="H477" s="1793" t="e">
        <f>+H475+#REF!+H462+H422+H385+H346+H281+H209+H141+H122</f>
        <v>#REF!</v>
      </c>
      <c r="I477" s="1794"/>
      <c r="J477" s="1793" t="e">
        <f>+J475+#REF!+J462+J422+J385+J346+J281+J209+J141+J122</f>
        <v>#REF!</v>
      </c>
      <c r="K477" s="1792"/>
      <c r="L477" s="1792"/>
      <c r="M477" s="1792"/>
      <c r="N477" s="1787"/>
      <c r="O477" s="1788"/>
      <c r="P477" s="1789"/>
      <c r="Q477" s="1742">
        <f>+Q475+Q462+Q422+Q385+Q346+Q281+Q209+Q141+Q122</f>
        <v>1294216488</v>
      </c>
    </row>
    <row r="478" spans="1:60" hidden="1" x14ac:dyDescent="0.2">
      <c r="J478" s="1293" t="s">
        <v>1364</v>
      </c>
      <c r="N478" s="1736" t="s">
        <v>197</v>
      </c>
      <c r="O478" s="1707"/>
      <c r="P478" s="1710">
        <f>+'Análisis del AIU'!F5</f>
        <v>0.185</v>
      </c>
      <c r="Q478" s="1737"/>
    </row>
    <row r="479" spans="1:60" hidden="1" x14ac:dyDescent="0.2">
      <c r="F479" s="380" t="e">
        <f>+F477-'entrega abogada'!F538</f>
        <v>#REF!</v>
      </c>
      <c r="G479" s="380"/>
      <c r="H479" s="380" t="e">
        <f>+H477-'entrega abogada'!H538</f>
        <v>#REF!</v>
      </c>
      <c r="J479" s="380"/>
      <c r="N479" s="1304" t="s">
        <v>1366</v>
      </c>
      <c r="O479" s="1307"/>
      <c r="P479" s="1296">
        <f>+'Análisis del AIU'!F6</f>
        <v>0.02</v>
      </c>
      <c r="Q479" s="1558"/>
    </row>
    <row r="480" spans="1:60" hidden="1" x14ac:dyDescent="0.2">
      <c r="F480" s="1551">
        <f>+(F475-F470)/F470</f>
        <v>-1</v>
      </c>
      <c r="H480" s="1551">
        <f>+(H475-H470)/H470</f>
        <v>-1</v>
      </c>
      <c r="J480" s="380"/>
      <c r="N480" s="1304" t="s">
        <v>199</v>
      </c>
      <c r="O480" s="1307"/>
      <c r="P480" s="1296">
        <f>+'Análisis del AIU'!F7</f>
        <v>4.4999999999999998E-2</v>
      </c>
      <c r="Q480" s="1558"/>
    </row>
    <row r="481" spans="1:20" hidden="1" x14ac:dyDescent="0.2">
      <c r="F481" s="1522" t="e">
        <f>+F479/(1+F480)</f>
        <v>#REF!</v>
      </c>
      <c r="H481" s="1522" t="e">
        <f>+H479/(1+H480)</f>
        <v>#REF!</v>
      </c>
      <c r="N481" s="1304" t="s">
        <v>200</v>
      </c>
      <c r="O481" s="1307"/>
      <c r="P481" s="1296">
        <f>+'Análisis del AIU'!F8</f>
        <v>0.19</v>
      </c>
      <c r="Q481" s="1558"/>
    </row>
    <row r="482" spans="1:20" hidden="1" x14ac:dyDescent="0.2">
      <c r="F482" s="380"/>
      <c r="H482" s="380"/>
      <c r="N482" s="1286" t="s">
        <v>201</v>
      </c>
      <c r="O482" s="1287"/>
      <c r="P482" s="1288"/>
      <c r="Q482" s="1289"/>
    </row>
    <row r="483" spans="1:20" x14ac:dyDescent="0.2">
      <c r="A483" s="425" t="s">
        <v>1356</v>
      </c>
    </row>
    <row r="484" spans="1:20" x14ac:dyDescent="0.2">
      <c r="A484" s="413"/>
      <c r="B484" s="336" t="s">
        <v>1527</v>
      </c>
    </row>
    <row r="486" spans="1:20" x14ac:dyDescent="0.2">
      <c r="A486" s="414"/>
      <c r="B486" s="336" t="s">
        <v>1462</v>
      </c>
    </row>
    <row r="487" spans="1:20" x14ac:dyDescent="0.2">
      <c r="N487" s="1563"/>
      <c r="O487" s="1565"/>
    </row>
    <row r="488" spans="1:20" x14ac:dyDescent="0.2">
      <c r="B488" s="425"/>
      <c r="N488" s="1564"/>
      <c r="O488" s="1565"/>
    </row>
    <row r="489" spans="1:20" ht="40.5" customHeight="1" x14ac:dyDescent="0.2">
      <c r="B489" s="1865"/>
      <c r="C489" s="1865"/>
      <c r="D489" s="1865"/>
      <c r="E489" s="1865"/>
    </row>
    <row r="490" spans="1:20" ht="33" customHeight="1" x14ac:dyDescent="0.2">
      <c r="B490" s="1865"/>
      <c r="C490" s="1865"/>
      <c r="D490" s="1865"/>
      <c r="E490" s="1865"/>
    </row>
    <row r="491" spans="1:20" ht="15.75" x14ac:dyDescent="0.2">
      <c r="B491" s="1865"/>
      <c r="C491" s="1865"/>
      <c r="D491" s="1865"/>
      <c r="E491" s="1865"/>
    </row>
    <row r="492" spans="1:20" ht="15.75" x14ac:dyDescent="0.2">
      <c r="B492" s="1865"/>
      <c r="C492" s="1865"/>
      <c r="D492" s="1865"/>
      <c r="E492" s="1865"/>
    </row>
    <row r="493" spans="1:20" ht="15.75" x14ac:dyDescent="0.25">
      <c r="B493" s="1588"/>
    </row>
    <row r="494" spans="1:20" ht="15" x14ac:dyDescent="0.25">
      <c r="N494"/>
      <c r="O494"/>
      <c r="P494"/>
      <c r="Q494"/>
      <c r="R494" s="1548"/>
      <c r="S494" s="1548"/>
      <c r="T494" s="1548"/>
    </row>
    <row r="495" spans="1:20" ht="15" x14ac:dyDescent="0.25">
      <c r="N495"/>
      <c r="O495"/>
      <c r="P495"/>
      <c r="Q495"/>
      <c r="R495" s="1548"/>
      <c r="S495" s="1548"/>
      <c r="T495" s="1548"/>
    </row>
    <row r="496" spans="1:20" ht="15" x14ac:dyDescent="0.25">
      <c r="N496"/>
      <c r="O496"/>
      <c r="P496"/>
      <c r="Q496"/>
      <c r="R496" s="1548"/>
      <c r="S496" s="1548"/>
      <c r="T496" s="1548"/>
    </row>
    <row r="497" spans="1:20" ht="15" x14ac:dyDescent="0.25">
      <c r="H497" s="380"/>
      <c r="N497"/>
      <c r="O497"/>
      <c r="P497"/>
      <c r="Q497"/>
      <c r="R497" s="1548"/>
      <c r="S497" s="1548"/>
      <c r="T497" s="1548"/>
    </row>
    <row r="498" spans="1:20" ht="15" x14ac:dyDescent="0.25">
      <c r="N498"/>
      <c r="O498"/>
      <c r="P498"/>
      <c r="Q498"/>
      <c r="R498" s="1548"/>
      <c r="S498" s="1548"/>
      <c r="T498" s="1548"/>
    </row>
    <row r="501" spans="1:20" x14ac:dyDescent="0.2">
      <c r="A501" s="1556"/>
      <c r="B501" s="336" t="s">
        <v>1629</v>
      </c>
    </row>
    <row r="502" spans="1:20" x14ac:dyDescent="0.2">
      <c r="H502" s="380"/>
      <c r="J502" s="380"/>
    </row>
    <row r="503" spans="1:20" x14ac:dyDescent="0.2">
      <c r="H503" s="380"/>
      <c r="J503" s="380"/>
    </row>
    <row r="504" spans="1:20" x14ac:dyDescent="0.2">
      <c r="H504" s="380"/>
      <c r="J504" s="380"/>
    </row>
    <row r="505" spans="1:20" x14ac:dyDescent="0.2">
      <c r="H505" s="380"/>
      <c r="J505" s="380"/>
    </row>
    <row r="506" spans="1:20" x14ac:dyDescent="0.2">
      <c r="H506" s="380"/>
      <c r="J506" s="380"/>
    </row>
    <row r="507" spans="1:20" x14ac:dyDescent="0.2">
      <c r="H507" s="380"/>
      <c r="J507" s="380"/>
    </row>
    <row r="508" spans="1:20" x14ac:dyDescent="0.2">
      <c r="H508" s="380"/>
      <c r="J508" s="380"/>
    </row>
    <row r="509" spans="1:20" x14ac:dyDescent="0.2">
      <c r="H509" s="380"/>
      <c r="J509" s="380"/>
    </row>
    <row r="510" spans="1:20" x14ac:dyDescent="0.2">
      <c r="H510" s="380"/>
      <c r="J510" s="380"/>
    </row>
    <row r="511" spans="1:20" x14ac:dyDescent="0.2">
      <c r="H511" s="380"/>
      <c r="J511" s="380"/>
    </row>
  </sheetData>
  <mergeCells count="99">
    <mergeCell ref="B489:E489"/>
    <mergeCell ref="B490:E490"/>
    <mergeCell ref="B491:E491"/>
    <mergeCell ref="B492:E492"/>
    <mergeCell ref="M464:Q464"/>
    <mergeCell ref="N471:O471"/>
    <mergeCell ref="N472:O472"/>
    <mergeCell ref="N473:O473"/>
    <mergeCell ref="N474:O474"/>
    <mergeCell ref="C475:P475"/>
    <mergeCell ref="C385:P385"/>
    <mergeCell ref="N459:O459"/>
    <mergeCell ref="N460:O460"/>
    <mergeCell ref="N461:O461"/>
    <mergeCell ref="M424:Q424"/>
    <mergeCell ref="M425:Q425"/>
    <mergeCell ref="M431:Q431"/>
    <mergeCell ref="M442:Q442"/>
    <mergeCell ref="N458:O458"/>
    <mergeCell ref="M387:Q387"/>
    <mergeCell ref="M388:Q388"/>
    <mergeCell ref="M396:Q396"/>
    <mergeCell ref="M409:Q409"/>
    <mergeCell ref="M414:Q414"/>
    <mergeCell ref="C462:P462"/>
    <mergeCell ref="N418:O418"/>
    <mergeCell ref="N419:O419"/>
    <mergeCell ref="N420:O420"/>
    <mergeCell ref="N421:O421"/>
    <mergeCell ref="C422:P422"/>
    <mergeCell ref="M374:Q374"/>
    <mergeCell ref="N381:O381"/>
    <mergeCell ref="N382:O382"/>
    <mergeCell ref="N383:O383"/>
    <mergeCell ref="N384:O384"/>
    <mergeCell ref="N345:O345"/>
    <mergeCell ref="M348:Q348"/>
    <mergeCell ref="M349:Q349"/>
    <mergeCell ref="M356:Q356"/>
    <mergeCell ref="M362:Q362"/>
    <mergeCell ref="C346:P346"/>
    <mergeCell ref="N277:O277"/>
    <mergeCell ref="N278:O278"/>
    <mergeCell ref="N279:O279"/>
    <mergeCell ref="M211:Q211"/>
    <mergeCell ref="M212:Q212"/>
    <mergeCell ref="M225:Q225"/>
    <mergeCell ref="M236:Q236"/>
    <mergeCell ref="N207:O207"/>
    <mergeCell ref="N208:O208"/>
    <mergeCell ref="N344:O344"/>
    <mergeCell ref="N280:O280"/>
    <mergeCell ref="M283:Q283"/>
    <mergeCell ref="M284:Q284"/>
    <mergeCell ref="M292:Q292"/>
    <mergeCell ref="M300:Q300"/>
    <mergeCell ref="C281:P281"/>
    <mergeCell ref="C209:P209"/>
    <mergeCell ref="M331:Q331"/>
    <mergeCell ref="M335:Q335"/>
    <mergeCell ref="N342:O342"/>
    <mergeCell ref="N343:O343"/>
    <mergeCell ref="M251:Q251"/>
    <mergeCell ref="M273:Q273"/>
    <mergeCell ref="M173:Q173"/>
    <mergeCell ref="M193:Q193"/>
    <mergeCell ref="M197:Q197"/>
    <mergeCell ref="N205:O205"/>
    <mergeCell ref="N206:O206"/>
    <mergeCell ref="M143:Q143"/>
    <mergeCell ref="M144:Q144"/>
    <mergeCell ref="M151:Q151"/>
    <mergeCell ref="M165:Q165"/>
    <mergeCell ref="M168:Q168"/>
    <mergeCell ref="N120:O120"/>
    <mergeCell ref="N121:O121"/>
    <mergeCell ref="M124:Q124"/>
    <mergeCell ref="N137:O137"/>
    <mergeCell ref="C141:P141"/>
    <mergeCell ref="C122:P122"/>
    <mergeCell ref="N138:O138"/>
    <mergeCell ref="N139:O139"/>
    <mergeCell ref="N140:O140"/>
    <mergeCell ref="M102:Q102"/>
    <mergeCell ref="M107:Q107"/>
    <mergeCell ref="M112:Q112"/>
    <mergeCell ref="N118:O118"/>
    <mergeCell ref="N119:O119"/>
    <mergeCell ref="M33:Q33"/>
    <mergeCell ref="M48:Q48"/>
    <mergeCell ref="M54:Q54"/>
    <mergeCell ref="M65:Q65"/>
    <mergeCell ref="M92:Q92"/>
    <mergeCell ref="M31:Q31"/>
    <mergeCell ref="B3:E3"/>
    <mergeCell ref="A30:B30"/>
    <mergeCell ref="A28:Q29"/>
    <mergeCell ref="B26:Q26"/>
    <mergeCell ref="A27:Q27"/>
  </mergeCells>
  <pageMargins left="0.7" right="0.7" top="0.75" bottom="0.75" header="0.3" footer="0.3"/>
  <pageSetup paperSize="7" scale="31" orientation="landscape" r:id="rId1"/>
  <colBreaks count="1" manualBreakCount="1">
    <brk id="17" min="25" max="591" man="1"/>
  </col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00000"/>
  </sheetPr>
  <dimension ref="A1:AS451"/>
  <sheetViews>
    <sheetView showGridLines="0" topLeftCell="A76" zoomScale="85" zoomScaleNormal="85" workbookViewId="0">
      <selection activeCell="B129" sqref="B129:D129"/>
    </sheetView>
  </sheetViews>
  <sheetFormatPr baseColWidth="10" defaultRowHeight="12.75" outlineLevelRow="1" x14ac:dyDescent="0.2"/>
  <cols>
    <col min="1" max="1" width="8.28515625" style="336" bestFit="1" customWidth="1"/>
    <col min="2" max="2" width="55.28515625" style="336" customWidth="1"/>
    <col min="3" max="3" width="10.42578125" style="336" customWidth="1"/>
    <col min="4" max="4" width="21" style="337" customWidth="1"/>
    <col min="5" max="5" width="19.140625" style="1544" bestFit="1" customWidth="1"/>
    <col min="6" max="6" width="11.42578125" style="1544"/>
    <col min="7" max="7" width="58.140625" style="1544" bestFit="1" customWidth="1"/>
    <col min="8" max="9" width="11.42578125" style="1544"/>
    <col min="10" max="11" width="18.140625" style="1544" bestFit="1" customWidth="1"/>
    <col min="12" max="45" width="11.42578125" style="1544"/>
    <col min="46" max="16384" width="11.42578125" style="336"/>
  </cols>
  <sheetData>
    <row r="1" spans="1:45" ht="23.25" hidden="1" x14ac:dyDescent="0.35">
      <c r="B1" s="1589" t="s">
        <v>1551</v>
      </c>
    </row>
    <row r="2" spans="1:45" hidden="1" x14ac:dyDescent="0.2"/>
    <row r="3" spans="1:45" hidden="1" x14ac:dyDescent="0.2">
      <c r="A3" s="1293"/>
      <c r="B3" s="1864" t="s">
        <v>1362</v>
      </c>
      <c r="C3" s="1864"/>
      <c r="D3" s="336"/>
      <c r="AS3" s="336"/>
    </row>
    <row r="4" spans="1:45" hidden="1" x14ac:dyDescent="0.2">
      <c r="A4" s="1293"/>
      <c r="B4" s="359" t="s">
        <v>1361</v>
      </c>
      <c r="C4" s="359" t="s">
        <v>1357</v>
      </c>
      <c r="D4" s="336"/>
      <c r="AS4" s="336"/>
    </row>
    <row r="5" spans="1:45" hidden="1" x14ac:dyDescent="0.2">
      <c r="A5" s="337" t="s">
        <v>1542</v>
      </c>
      <c r="B5" s="1632" t="str">
        <f>+B31</f>
        <v>Palacio de Justicia de Cali "PEDRO ELIAS SERRANO ABADIA</v>
      </c>
      <c r="C5" s="1283" t="s">
        <v>1358</v>
      </c>
      <c r="D5" s="336"/>
      <c r="AS5" s="336"/>
    </row>
    <row r="6" spans="1:45" hidden="1" x14ac:dyDescent="0.2">
      <c r="A6" s="337" t="s">
        <v>202</v>
      </c>
      <c r="B6" s="1744" t="str">
        <f>+B118</f>
        <v xml:space="preserve">Juzgado Promiscuo Municipal de el Dovio </v>
      </c>
      <c r="C6" s="1283" t="s">
        <v>1358</v>
      </c>
      <c r="D6" s="336"/>
      <c r="AS6" s="336"/>
    </row>
    <row r="7" spans="1:45" ht="25.5" hidden="1" x14ac:dyDescent="0.2">
      <c r="A7" s="337" t="s">
        <v>217</v>
      </c>
      <c r="B7" s="1632" t="str">
        <f>+B131</f>
        <v>Palacio de Justicia "SIMON DAVID CARREJO BEJARANO" Palmira</v>
      </c>
      <c r="C7" s="1283" t="s">
        <v>1358</v>
      </c>
      <c r="D7" s="336"/>
      <c r="AS7" s="336"/>
    </row>
    <row r="8" spans="1:45" hidden="1" x14ac:dyDescent="0.2">
      <c r="A8" s="337" t="s">
        <v>317</v>
      </c>
      <c r="B8" s="1632" t="str">
        <f>+B193</f>
        <v>Sede de Familia de Palmira</v>
      </c>
      <c r="C8" s="1283" t="s">
        <v>1358</v>
      </c>
      <c r="D8" s="336"/>
      <c r="AS8" s="336"/>
    </row>
    <row r="9" spans="1:45" hidden="1" x14ac:dyDescent="0.2">
      <c r="A9" s="337" t="s">
        <v>1543</v>
      </c>
      <c r="B9" s="1632" t="str">
        <f>+B259</f>
        <v>Palacio Nacional de Buenaventura</v>
      </c>
      <c r="C9" s="1283" t="s">
        <v>1358</v>
      </c>
      <c r="D9" s="336"/>
      <c r="AS9" s="336"/>
    </row>
    <row r="10" spans="1:45" hidden="1" x14ac:dyDescent="0.2">
      <c r="A10" s="337" t="s">
        <v>524</v>
      </c>
      <c r="B10" s="1632" t="str">
        <f>+B318</f>
        <v>Edificio de Transferencia de Buenaventura</v>
      </c>
      <c r="C10" s="1283" t="s">
        <v>1358</v>
      </c>
    </row>
    <row r="11" spans="1:45" hidden="1" x14ac:dyDescent="0.2">
      <c r="A11" s="337" t="s">
        <v>576</v>
      </c>
      <c r="B11" s="1744" t="str">
        <f>+B351</f>
        <v xml:space="preserve">Juzgado Promiscuo Municipal de Obando </v>
      </c>
      <c r="C11" s="1283" t="s">
        <v>1358</v>
      </c>
    </row>
    <row r="12" spans="1:45" hidden="1" x14ac:dyDescent="0.2">
      <c r="A12" s="337" t="s">
        <v>616</v>
      </c>
      <c r="B12" s="1744" t="str">
        <f>+B382</f>
        <v>Juzgado Promiscuo Municipal de San José del Palmar</v>
      </c>
      <c r="C12" s="1283" t="s">
        <v>1358</v>
      </c>
    </row>
    <row r="13" spans="1:45" hidden="1" x14ac:dyDescent="0.2">
      <c r="A13" s="337" t="s">
        <v>741</v>
      </c>
      <c r="B13" s="1632" t="str">
        <f>+B416</f>
        <v>Palacio de Justicia de Tuluá</v>
      </c>
      <c r="C13" s="1283" t="s">
        <v>1358</v>
      </c>
    </row>
    <row r="14" spans="1:45" hidden="1" x14ac:dyDescent="0.2">
      <c r="A14" s="1293"/>
      <c r="B14" s="1756" t="s">
        <v>1363</v>
      </c>
      <c r="C14" s="1757"/>
      <c r="G14" s="1751" t="e">
        <f>+#REF!*(1+$G$19)</f>
        <v>#REF!</v>
      </c>
    </row>
    <row r="15" spans="1:45" hidden="1" x14ac:dyDescent="0.2">
      <c r="A15" s="1293"/>
      <c r="B15" s="1753" t="e">
        <f>+#REF!</f>
        <v>#REF!</v>
      </c>
      <c r="C15" s="1754" t="e">
        <f>+#REF!</f>
        <v>#REF!</v>
      </c>
      <c r="G15" s="1761" t="e">
        <f>IF(#REF!=G14,"OK","REVISAR")</f>
        <v>#REF!</v>
      </c>
    </row>
    <row r="16" spans="1:45" s="1544" customFormat="1" hidden="1" x14ac:dyDescent="0.2">
      <c r="A16" s="1293"/>
      <c r="B16" s="1753" t="e">
        <f>+#REF!</f>
        <v>#REF!</v>
      </c>
      <c r="C16" s="1754" t="e">
        <f>+#REF!</f>
        <v>#REF!</v>
      </c>
      <c r="D16" s="337"/>
      <c r="G16" s="1761"/>
    </row>
    <row r="17" spans="1:45" s="1544" customFormat="1" hidden="1" x14ac:dyDescent="0.2">
      <c r="A17" s="1293"/>
      <c r="B17" s="1753" t="e">
        <f>+#REF!</f>
        <v>#REF!</v>
      </c>
      <c r="C17" s="1754" t="e">
        <f>+#REF!</f>
        <v>#REF!</v>
      </c>
      <c r="D17" s="337"/>
      <c r="G17" s="1761"/>
    </row>
    <row r="18" spans="1:45" s="1544" customFormat="1" hidden="1" x14ac:dyDescent="0.2">
      <c r="A18" s="1293"/>
      <c r="B18" s="1753" t="e">
        <f>+#REF!</f>
        <v>#REF!</v>
      </c>
      <c r="C18" s="1754" t="e">
        <f>+#REF!</f>
        <v>#REF!</v>
      </c>
      <c r="D18" s="337"/>
      <c r="G18" s="1761"/>
    </row>
    <row r="19" spans="1:45" s="1544" customFormat="1" hidden="1" x14ac:dyDescent="0.2">
      <c r="A19" s="1293"/>
      <c r="B19" s="1755" t="e">
        <f>+#REF!</f>
        <v>#REF!</v>
      </c>
      <c r="C19" s="1755"/>
      <c r="D19" s="337"/>
      <c r="G19" s="1762" t="e">
        <f>(#REF!/#REF!)-1</f>
        <v>#REF!</v>
      </c>
    </row>
    <row r="20" spans="1:45" s="1544" customFormat="1" hidden="1" x14ac:dyDescent="0.2">
      <c r="A20" s="336"/>
      <c r="B20" s="336"/>
      <c r="C20" s="336"/>
      <c r="D20" s="1523">
        <v>1297000000</v>
      </c>
      <c r="E20" s="1547"/>
      <c r="G20" s="1761"/>
    </row>
    <row r="21" spans="1:45" s="1544" customFormat="1" ht="15.75" hidden="1" x14ac:dyDescent="0.2">
      <c r="A21" s="336"/>
      <c r="B21" s="336"/>
      <c r="C21" s="336"/>
      <c r="D21" s="1535" t="e">
        <v>#REF!</v>
      </c>
      <c r="G21" s="1761"/>
    </row>
    <row r="22" spans="1:45" s="1544" customFormat="1" hidden="1" x14ac:dyDescent="0.2">
      <c r="A22" s="336"/>
      <c r="B22" s="336"/>
      <c r="C22" s="336"/>
      <c r="D22" s="337"/>
      <c r="G22" s="1761"/>
    </row>
    <row r="23" spans="1:45" s="1544" customFormat="1" hidden="1" x14ac:dyDescent="0.2">
      <c r="A23" s="336"/>
      <c r="B23" s="336"/>
      <c r="C23" s="336"/>
      <c r="D23" s="337"/>
    </row>
    <row r="24" spans="1:45" s="1544" customFormat="1" hidden="1" x14ac:dyDescent="0.2">
      <c r="A24" s="336"/>
      <c r="B24" s="336"/>
      <c r="C24" s="336"/>
      <c r="D24" s="337"/>
    </row>
    <row r="25" spans="1:45" s="1544" customFormat="1" hidden="1" x14ac:dyDescent="0.2">
      <c r="A25" s="336"/>
      <c r="B25" s="336"/>
      <c r="C25" s="336"/>
      <c r="D25" s="337"/>
    </row>
    <row r="26" spans="1:45" s="1544" customFormat="1" ht="65.25" customHeight="1" x14ac:dyDescent="0.2">
      <c r="A26" s="1543"/>
      <c r="B26" s="1832" t="s">
        <v>0</v>
      </c>
      <c r="C26" s="1832"/>
      <c r="D26" s="1832"/>
      <c r="E26" s="1553"/>
      <c r="F26" s="1553"/>
    </row>
    <row r="27" spans="1:45" s="1544" customFormat="1" ht="15" customHeight="1" x14ac:dyDescent="0.2">
      <c r="A27" s="1832" t="s">
        <v>1</v>
      </c>
      <c r="B27" s="1832"/>
      <c r="C27" s="1832"/>
      <c r="D27" s="1832"/>
      <c r="E27" s="1553"/>
      <c r="F27" s="1553"/>
    </row>
    <row r="28" spans="1:45" s="1544" customFormat="1" ht="24" customHeight="1" x14ac:dyDescent="0.2">
      <c r="A28" s="1857" t="s">
        <v>1541</v>
      </c>
      <c r="B28" s="1857"/>
      <c r="C28" s="1857"/>
      <c r="D28" s="1857"/>
      <c r="E28" s="419"/>
      <c r="F28" s="419"/>
    </row>
    <row r="29" spans="1:45" s="1544" customFormat="1" ht="30.75" customHeight="1" x14ac:dyDescent="0.2">
      <c r="A29" s="1857"/>
      <c r="B29" s="1857"/>
      <c r="C29" s="1857"/>
      <c r="D29" s="1857"/>
      <c r="E29" s="419"/>
      <c r="F29" s="419"/>
    </row>
    <row r="30" spans="1:45" s="1544" customFormat="1" ht="51" customHeight="1" x14ac:dyDescent="0.2">
      <c r="A30" s="1867" t="s">
        <v>2</v>
      </c>
      <c r="B30" s="1867"/>
      <c r="C30" s="1748"/>
      <c r="D30" s="422"/>
    </row>
    <row r="31" spans="1:45" s="1544" customFormat="1" ht="12.75" customHeight="1" x14ac:dyDescent="0.2">
      <c r="A31" s="1767" t="s">
        <v>806</v>
      </c>
      <c r="B31" s="1874" t="s">
        <v>807</v>
      </c>
      <c r="C31" s="1875"/>
      <c r="D31" s="1876"/>
    </row>
    <row r="32" spans="1:45" s="1293" customFormat="1" outlineLevel="1" x14ac:dyDescent="0.2">
      <c r="A32" s="339" t="s">
        <v>4</v>
      </c>
      <c r="B32" s="344" t="s">
        <v>5</v>
      </c>
      <c r="C32" s="339" t="s">
        <v>6</v>
      </c>
      <c r="D32" s="1768" t="s">
        <v>7</v>
      </c>
      <c r="E32" s="1545"/>
      <c r="F32" s="1545"/>
      <c r="G32" s="1545"/>
      <c r="H32" s="1545"/>
      <c r="I32" s="1545"/>
      <c r="J32" s="1545"/>
      <c r="K32" s="1545"/>
      <c r="L32" s="1545"/>
      <c r="M32" s="1545"/>
      <c r="N32" s="1545"/>
      <c r="O32" s="1545"/>
      <c r="P32" s="1545"/>
      <c r="Q32" s="1545"/>
      <c r="R32" s="1545"/>
      <c r="S32" s="1545"/>
      <c r="T32" s="1545"/>
      <c r="U32" s="1545"/>
      <c r="V32" s="1545"/>
      <c r="W32" s="1545"/>
      <c r="X32" s="1545"/>
      <c r="Y32" s="1545"/>
      <c r="Z32" s="1545"/>
      <c r="AA32" s="1545"/>
      <c r="AB32" s="1545"/>
      <c r="AC32" s="1545"/>
      <c r="AD32" s="1545"/>
      <c r="AE32" s="1545"/>
      <c r="AF32" s="1545"/>
      <c r="AG32" s="1545"/>
      <c r="AH32" s="1545"/>
      <c r="AI32" s="1545"/>
      <c r="AJ32" s="1545"/>
      <c r="AK32" s="1545"/>
      <c r="AL32" s="1545"/>
      <c r="AM32" s="1545"/>
      <c r="AN32" s="1545"/>
      <c r="AO32" s="1545"/>
      <c r="AP32" s="1545"/>
      <c r="AQ32" s="1545"/>
      <c r="AR32" s="1545"/>
      <c r="AS32" s="1545"/>
    </row>
    <row r="33" spans="1:45" s="1533" customFormat="1" ht="24.75" customHeight="1" outlineLevel="1" x14ac:dyDescent="0.2">
      <c r="A33" s="1527" t="s">
        <v>40</v>
      </c>
      <c r="B33" s="1528" t="s">
        <v>41</v>
      </c>
      <c r="C33" s="1527"/>
      <c r="D33" s="1763"/>
      <c r="E33" s="1544"/>
      <c r="F33" s="1544"/>
      <c r="G33" s="1544"/>
      <c r="H33" s="1544"/>
      <c r="I33" s="1544"/>
      <c r="J33" s="1544"/>
      <c r="K33" s="1544"/>
      <c r="L33" s="1544"/>
      <c r="M33" s="1544"/>
      <c r="N33" s="1544"/>
      <c r="O33" s="1544"/>
      <c r="P33" s="1544"/>
      <c r="Q33" s="1544"/>
      <c r="R33" s="1544"/>
      <c r="S33" s="1544"/>
      <c r="T33" s="1544"/>
      <c r="U33" s="1544"/>
      <c r="V33" s="1544"/>
      <c r="W33" s="1544"/>
      <c r="X33" s="1544"/>
      <c r="Y33" s="1544"/>
      <c r="Z33" s="1544"/>
      <c r="AA33" s="1544"/>
      <c r="AB33" s="1544"/>
      <c r="AC33" s="1544"/>
      <c r="AD33" s="1544"/>
      <c r="AE33" s="1544"/>
      <c r="AF33" s="1544"/>
      <c r="AG33" s="1544"/>
      <c r="AH33" s="1544"/>
      <c r="AI33" s="1544"/>
      <c r="AJ33" s="1544"/>
      <c r="AK33" s="1544"/>
      <c r="AL33" s="1544"/>
      <c r="AM33" s="1544"/>
      <c r="AN33" s="1544"/>
      <c r="AO33" s="1544"/>
      <c r="AP33" s="1544"/>
      <c r="AQ33" s="1544"/>
      <c r="AR33" s="1544"/>
      <c r="AS33" s="1544"/>
    </row>
    <row r="34" spans="1:45" ht="25.5" outlineLevel="1" x14ac:dyDescent="0.2">
      <c r="A34" s="346" t="s">
        <v>42</v>
      </c>
      <c r="B34" s="360" t="s">
        <v>43</v>
      </c>
      <c r="C34" s="361" t="s">
        <v>6</v>
      </c>
      <c r="D34" s="348">
        <v>52</v>
      </c>
    </row>
    <row r="35" spans="1:45" ht="63.75" outlineLevel="1" x14ac:dyDescent="0.2">
      <c r="A35" s="354" t="s">
        <v>44</v>
      </c>
      <c r="B35" s="358" t="s">
        <v>45</v>
      </c>
      <c r="C35" s="361" t="s">
        <v>6</v>
      </c>
      <c r="D35" s="348">
        <v>52</v>
      </c>
    </row>
    <row r="36" spans="1:45" ht="25.5" outlineLevel="1" x14ac:dyDescent="0.2">
      <c r="A36" s="340" t="s">
        <v>46</v>
      </c>
      <c r="B36" s="358" t="s">
        <v>47</v>
      </c>
      <c r="C36" s="356" t="s">
        <v>14</v>
      </c>
      <c r="D36" s="348">
        <v>97</v>
      </c>
    </row>
    <row r="37" spans="1:45" ht="25.5" outlineLevel="1" x14ac:dyDescent="0.2">
      <c r="A37" s="354" t="s">
        <v>48</v>
      </c>
      <c r="B37" s="358" t="s">
        <v>49</v>
      </c>
      <c r="C37" s="356" t="s">
        <v>14</v>
      </c>
      <c r="D37" s="348">
        <v>212</v>
      </c>
    </row>
    <row r="38" spans="1:45" ht="38.25" outlineLevel="1" x14ac:dyDescent="0.2">
      <c r="A38" s="362" t="s">
        <v>50</v>
      </c>
      <c r="B38" s="358" t="s">
        <v>51</v>
      </c>
      <c r="C38" s="356" t="s">
        <v>14</v>
      </c>
      <c r="D38" s="348">
        <v>255</v>
      </c>
    </row>
    <row r="39" spans="1:45" ht="25.5" outlineLevel="1" x14ac:dyDescent="0.2">
      <c r="A39" s="354" t="s">
        <v>52</v>
      </c>
      <c r="B39" s="360" t="s">
        <v>53</v>
      </c>
      <c r="C39" s="361" t="s">
        <v>19</v>
      </c>
      <c r="D39" s="348">
        <v>330</v>
      </c>
    </row>
    <row r="40" spans="1:45" ht="25.5" outlineLevel="1" x14ac:dyDescent="0.2">
      <c r="A40" s="362" t="s">
        <v>54</v>
      </c>
      <c r="B40" s="358" t="s">
        <v>55</v>
      </c>
      <c r="C40" s="356" t="s">
        <v>14</v>
      </c>
      <c r="D40" s="348">
        <v>28</v>
      </c>
    </row>
    <row r="41" spans="1:45" ht="25.5" outlineLevel="1" x14ac:dyDescent="0.2">
      <c r="A41" s="354" t="s">
        <v>56</v>
      </c>
      <c r="B41" s="358" t="s">
        <v>57</v>
      </c>
      <c r="C41" s="356" t="s">
        <v>14</v>
      </c>
      <c r="D41" s="348">
        <v>40</v>
      </c>
    </row>
    <row r="42" spans="1:45" outlineLevel="1" x14ac:dyDescent="0.2">
      <c r="A42" s="362" t="s">
        <v>58</v>
      </c>
      <c r="B42" s="358" t="s">
        <v>59</v>
      </c>
      <c r="C42" s="356" t="s">
        <v>14</v>
      </c>
      <c r="D42" s="348">
        <v>40</v>
      </c>
    </row>
    <row r="43" spans="1:45" ht="25.5" outlineLevel="1" x14ac:dyDescent="0.2">
      <c r="A43" s="354" t="s">
        <v>60</v>
      </c>
      <c r="B43" s="358" t="s">
        <v>61</v>
      </c>
      <c r="C43" s="356" t="s">
        <v>14</v>
      </c>
      <c r="D43" s="348">
        <v>70</v>
      </c>
    </row>
    <row r="44" spans="1:45" outlineLevel="1" x14ac:dyDescent="0.2">
      <c r="A44" s="362" t="s">
        <v>62</v>
      </c>
      <c r="B44" s="358" t="s">
        <v>63</v>
      </c>
      <c r="C44" s="356" t="s">
        <v>6</v>
      </c>
      <c r="D44" s="348">
        <v>10</v>
      </c>
    </row>
    <row r="45" spans="1:45" ht="25.5" outlineLevel="1" x14ac:dyDescent="0.2">
      <c r="A45" s="354" t="s">
        <v>64</v>
      </c>
      <c r="B45" s="358" t="s">
        <v>65</v>
      </c>
      <c r="C45" s="356" t="s">
        <v>14</v>
      </c>
      <c r="D45" s="348">
        <v>80</v>
      </c>
    </row>
    <row r="46" spans="1:45" outlineLevel="1" x14ac:dyDescent="0.2">
      <c r="A46" s="354" t="s">
        <v>66</v>
      </c>
      <c r="B46" s="358" t="s">
        <v>67</v>
      </c>
      <c r="C46" s="356" t="s">
        <v>14</v>
      </c>
      <c r="D46" s="348">
        <v>7</v>
      </c>
    </row>
    <row r="47" spans="1:45" ht="51" outlineLevel="1" x14ac:dyDescent="0.2">
      <c r="A47" s="354" t="s">
        <v>68</v>
      </c>
      <c r="B47" s="358" t="s">
        <v>1465</v>
      </c>
      <c r="C47" s="356" t="s">
        <v>6</v>
      </c>
      <c r="D47" s="348">
        <v>1</v>
      </c>
    </row>
    <row r="48" spans="1:45" s="1533" customFormat="1" ht="24.75" customHeight="1" outlineLevel="1" x14ac:dyDescent="0.2">
      <c r="A48" s="1527" t="s">
        <v>69</v>
      </c>
      <c r="B48" s="1528" t="s">
        <v>70</v>
      </c>
      <c r="C48" s="1527"/>
      <c r="D48" s="1763"/>
      <c r="E48" s="1544"/>
      <c r="F48" s="1544"/>
      <c r="G48" s="1544"/>
      <c r="H48" s="1544"/>
      <c r="I48" s="1544"/>
      <c r="J48" s="1544"/>
      <c r="K48" s="1544"/>
      <c r="L48" s="1544"/>
      <c r="M48" s="1544"/>
      <c r="N48" s="1544"/>
      <c r="O48" s="1544"/>
      <c r="P48" s="1544"/>
      <c r="Q48" s="1544"/>
      <c r="R48" s="1544"/>
      <c r="S48" s="1544"/>
      <c r="T48" s="1544"/>
      <c r="U48" s="1544"/>
      <c r="V48" s="1544"/>
      <c r="W48" s="1544"/>
      <c r="X48" s="1544"/>
      <c r="Y48" s="1544"/>
      <c r="Z48" s="1544"/>
      <c r="AA48" s="1544"/>
      <c r="AB48" s="1544"/>
      <c r="AC48" s="1544"/>
      <c r="AD48" s="1544"/>
      <c r="AE48" s="1544"/>
      <c r="AF48" s="1544"/>
      <c r="AG48" s="1544"/>
      <c r="AH48" s="1544"/>
      <c r="AI48" s="1544"/>
      <c r="AJ48" s="1544"/>
      <c r="AK48" s="1544"/>
      <c r="AL48" s="1544"/>
      <c r="AM48" s="1544"/>
      <c r="AN48" s="1544"/>
      <c r="AO48" s="1544"/>
      <c r="AP48" s="1544"/>
      <c r="AQ48" s="1544"/>
      <c r="AR48" s="1544"/>
      <c r="AS48" s="1544"/>
    </row>
    <row r="49" spans="1:45" ht="25.5" outlineLevel="1" x14ac:dyDescent="0.2">
      <c r="A49" s="340" t="s">
        <v>71</v>
      </c>
      <c r="B49" s="360" t="s">
        <v>72</v>
      </c>
      <c r="C49" s="363" t="s">
        <v>19</v>
      </c>
      <c r="D49" s="348">
        <v>191</v>
      </c>
    </row>
    <row r="50" spans="1:45" ht="25.5" outlineLevel="1" x14ac:dyDescent="0.2">
      <c r="A50" s="362" t="s">
        <v>73</v>
      </c>
      <c r="B50" s="364" t="s">
        <v>74</v>
      </c>
      <c r="C50" s="363" t="s">
        <v>19</v>
      </c>
      <c r="D50" s="348">
        <v>191</v>
      </c>
    </row>
    <row r="51" spans="1:45" ht="25.5" outlineLevel="1" x14ac:dyDescent="0.2">
      <c r="A51" s="340" t="s">
        <v>75</v>
      </c>
      <c r="B51" s="365" t="s">
        <v>76</v>
      </c>
      <c r="C51" s="366" t="s">
        <v>19</v>
      </c>
      <c r="D51" s="348">
        <v>51</v>
      </c>
    </row>
    <row r="52" spans="1:45" outlineLevel="1" x14ac:dyDescent="0.2">
      <c r="A52" s="362" t="s">
        <v>77</v>
      </c>
      <c r="B52" s="364" t="s">
        <v>78</v>
      </c>
      <c r="C52" s="363" t="s">
        <v>19</v>
      </c>
      <c r="D52" s="348">
        <v>140</v>
      </c>
    </row>
    <row r="53" spans="1:45" ht="38.25" outlineLevel="1" x14ac:dyDescent="0.2">
      <c r="A53" s="362" t="s">
        <v>79</v>
      </c>
      <c r="B53" s="347" t="s">
        <v>1466</v>
      </c>
      <c r="C53" s="340" t="s">
        <v>19</v>
      </c>
      <c r="D53" s="348">
        <v>140</v>
      </c>
    </row>
    <row r="54" spans="1:45" s="1533" customFormat="1" ht="24.75" customHeight="1" outlineLevel="1" x14ac:dyDescent="0.2">
      <c r="A54" s="1527" t="s">
        <v>81</v>
      </c>
      <c r="B54" s="1528" t="s">
        <v>82</v>
      </c>
      <c r="C54" s="1527"/>
      <c r="D54" s="1763"/>
      <c r="E54" s="1544"/>
      <c r="F54" s="1544"/>
      <c r="G54" s="1544"/>
      <c r="H54" s="1544"/>
      <c r="I54" s="1544"/>
      <c r="J54" s="1544"/>
      <c r="K54" s="1544"/>
      <c r="L54" s="1544"/>
      <c r="M54" s="1544"/>
      <c r="N54" s="1544"/>
      <c r="O54" s="1544"/>
      <c r="P54" s="1544"/>
      <c r="Q54" s="1544"/>
      <c r="R54" s="1544"/>
      <c r="S54" s="1544"/>
      <c r="T54" s="1544"/>
      <c r="U54" s="1544"/>
      <c r="V54" s="1544"/>
      <c r="W54" s="1544"/>
      <c r="X54" s="1544"/>
      <c r="Y54" s="1544"/>
      <c r="Z54" s="1544"/>
      <c r="AA54" s="1544"/>
      <c r="AB54" s="1544"/>
      <c r="AC54" s="1544"/>
      <c r="AD54" s="1544"/>
      <c r="AE54" s="1544"/>
      <c r="AF54" s="1544"/>
      <c r="AG54" s="1544"/>
      <c r="AH54" s="1544"/>
      <c r="AI54" s="1544"/>
      <c r="AJ54" s="1544"/>
      <c r="AK54" s="1544"/>
      <c r="AL54" s="1544"/>
      <c r="AM54" s="1544"/>
      <c r="AN54" s="1544"/>
      <c r="AO54" s="1544"/>
      <c r="AP54" s="1544"/>
      <c r="AQ54" s="1544"/>
      <c r="AR54" s="1544"/>
      <c r="AS54" s="1544"/>
    </row>
    <row r="55" spans="1:45" outlineLevel="1" x14ac:dyDescent="0.2">
      <c r="A55" s="354" t="s">
        <v>83</v>
      </c>
      <c r="B55" s="364" t="s">
        <v>84</v>
      </c>
      <c r="C55" s="367" t="s">
        <v>19</v>
      </c>
      <c r="D55" s="348">
        <v>247</v>
      </c>
    </row>
    <row r="56" spans="1:45" ht="38.25" outlineLevel="1" x14ac:dyDescent="0.2">
      <c r="A56" s="346" t="s">
        <v>85</v>
      </c>
      <c r="B56" s="368" t="s">
        <v>86</v>
      </c>
      <c r="C56" s="367" t="s">
        <v>19</v>
      </c>
      <c r="D56" s="348">
        <v>247</v>
      </c>
    </row>
    <row r="57" spans="1:45" outlineLevel="1" x14ac:dyDescent="0.2">
      <c r="A57" s="354" t="s">
        <v>87</v>
      </c>
      <c r="B57" s="368" t="s">
        <v>88</v>
      </c>
      <c r="C57" s="367" t="s">
        <v>19</v>
      </c>
      <c r="D57" s="348">
        <v>247</v>
      </c>
    </row>
    <row r="58" spans="1:45" outlineLevel="1" x14ac:dyDescent="0.2">
      <c r="A58" s="346" t="s">
        <v>89</v>
      </c>
      <c r="B58" s="364" t="s">
        <v>90</v>
      </c>
      <c r="C58" s="367" t="s">
        <v>19</v>
      </c>
      <c r="D58" s="348">
        <v>353</v>
      </c>
    </row>
    <row r="59" spans="1:45" outlineLevel="1" x14ac:dyDescent="0.2">
      <c r="A59" s="354" t="s">
        <v>91</v>
      </c>
      <c r="B59" s="368" t="s">
        <v>92</v>
      </c>
      <c r="C59" s="367" t="s">
        <v>19</v>
      </c>
      <c r="D59" s="348">
        <v>67.16200000000002</v>
      </c>
    </row>
    <row r="60" spans="1:45" outlineLevel="1" x14ac:dyDescent="0.2">
      <c r="A60" s="346" t="s">
        <v>93</v>
      </c>
      <c r="B60" s="364" t="s">
        <v>94</v>
      </c>
      <c r="C60" s="367" t="s">
        <v>19</v>
      </c>
      <c r="D60" s="348">
        <v>66</v>
      </c>
    </row>
    <row r="61" spans="1:45" outlineLevel="1" x14ac:dyDescent="0.2">
      <c r="A61" s="354" t="s">
        <v>95</v>
      </c>
      <c r="B61" s="364" t="s">
        <v>84</v>
      </c>
      <c r="C61" s="367" t="s">
        <v>14</v>
      </c>
      <c r="D61" s="348">
        <v>73</v>
      </c>
    </row>
    <row r="62" spans="1:45" outlineLevel="1" x14ac:dyDescent="0.2">
      <c r="A62" s="346" t="s">
        <v>96</v>
      </c>
      <c r="B62" s="368" t="s">
        <v>88</v>
      </c>
      <c r="C62" s="367" t="s">
        <v>14</v>
      </c>
      <c r="D62" s="348">
        <v>121</v>
      </c>
    </row>
    <row r="63" spans="1:45" outlineLevel="1" x14ac:dyDescent="0.2">
      <c r="A63" s="354" t="s">
        <v>97</v>
      </c>
      <c r="B63" s="358" t="s">
        <v>98</v>
      </c>
      <c r="C63" s="356" t="s">
        <v>14</v>
      </c>
      <c r="D63" s="348">
        <v>121</v>
      </c>
    </row>
    <row r="64" spans="1:45" outlineLevel="1" x14ac:dyDescent="0.2">
      <c r="A64" s="346" t="s">
        <v>99</v>
      </c>
      <c r="B64" s="358" t="s">
        <v>92</v>
      </c>
      <c r="C64" s="356" t="s">
        <v>14</v>
      </c>
      <c r="D64" s="348">
        <v>73</v>
      </c>
    </row>
    <row r="65" spans="1:45" s="1533" customFormat="1" ht="24.75" customHeight="1" outlineLevel="1" x14ac:dyDescent="0.2">
      <c r="A65" s="1527" t="s">
        <v>100</v>
      </c>
      <c r="B65" s="1528" t="s">
        <v>1467</v>
      </c>
      <c r="C65" s="1527"/>
      <c r="D65" s="1763"/>
      <c r="E65" s="1544"/>
      <c r="F65" s="1544"/>
      <c r="G65" s="1544"/>
      <c r="H65" s="1544"/>
      <c r="I65" s="1544"/>
      <c r="J65" s="1544"/>
      <c r="K65" s="1544"/>
      <c r="L65" s="1544"/>
      <c r="M65" s="1544"/>
      <c r="N65" s="1544"/>
      <c r="O65" s="1544"/>
      <c r="P65" s="1544"/>
      <c r="Q65" s="1544"/>
      <c r="R65" s="1544"/>
      <c r="S65" s="1544"/>
      <c r="T65" s="1544"/>
      <c r="U65" s="1544"/>
      <c r="V65" s="1544"/>
      <c r="W65" s="1544"/>
      <c r="X65" s="1544"/>
      <c r="Y65" s="1544"/>
      <c r="Z65" s="1544"/>
      <c r="AA65" s="1544"/>
      <c r="AB65" s="1544"/>
      <c r="AC65" s="1544"/>
      <c r="AD65" s="1544"/>
      <c r="AE65" s="1544"/>
      <c r="AF65" s="1544"/>
      <c r="AG65" s="1544"/>
      <c r="AH65" s="1544"/>
      <c r="AI65" s="1544"/>
      <c r="AJ65" s="1544"/>
      <c r="AK65" s="1544"/>
      <c r="AL65" s="1544"/>
      <c r="AM65" s="1544"/>
      <c r="AN65" s="1544"/>
      <c r="AO65" s="1544"/>
      <c r="AP65" s="1544"/>
      <c r="AQ65" s="1544"/>
      <c r="AR65" s="1544"/>
      <c r="AS65" s="1544"/>
    </row>
    <row r="66" spans="1:45" s="1544" customFormat="1" ht="25.5" outlineLevel="1" x14ac:dyDescent="0.2">
      <c r="A66" s="346" t="s">
        <v>102</v>
      </c>
      <c r="B66" s="358" t="s">
        <v>103</v>
      </c>
      <c r="C66" s="356" t="s">
        <v>19</v>
      </c>
      <c r="D66" s="1764">
        <v>256</v>
      </c>
    </row>
    <row r="67" spans="1:45" s="1544" customFormat="1" outlineLevel="1" x14ac:dyDescent="0.2">
      <c r="A67" s="346" t="s">
        <v>104</v>
      </c>
      <c r="B67" s="347" t="s">
        <v>105</v>
      </c>
      <c r="C67" s="356" t="s">
        <v>14</v>
      </c>
      <c r="D67" s="1764">
        <v>60</v>
      </c>
    </row>
    <row r="68" spans="1:45" s="1544" customFormat="1" ht="51" outlineLevel="1" x14ac:dyDescent="0.2">
      <c r="A68" s="346" t="s">
        <v>106</v>
      </c>
      <c r="B68" s="358" t="s">
        <v>1468</v>
      </c>
      <c r="C68" s="356" t="s">
        <v>14</v>
      </c>
      <c r="D68" s="1764">
        <v>60</v>
      </c>
    </row>
    <row r="69" spans="1:45" s="1544" customFormat="1" outlineLevel="1" x14ac:dyDescent="0.2">
      <c r="A69" s="346" t="s">
        <v>108</v>
      </c>
      <c r="B69" s="347" t="s">
        <v>109</v>
      </c>
      <c r="C69" s="356" t="s">
        <v>14</v>
      </c>
      <c r="D69" s="1764">
        <v>72</v>
      </c>
    </row>
    <row r="70" spans="1:45" s="1544" customFormat="1" ht="51" outlineLevel="1" x14ac:dyDescent="0.2">
      <c r="A70" s="362" t="s">
        <v>110</v>
      </c>
      <c r="B70" s="358" t="s">
        <v>111</v>
      </c>
      <c r="C70" s="363" t="s">
        <v>6</v>
      </c>
      <c r="D70" s="1765">
        <v>12</v>
      </c>
    </row>
    <row r="71" spans="1:45" s="1544" customFormat="1" outlineLevel="1" x14ac:dyDescent="0.2">
      <c r="A71" s="362" t="s">
        <v>112</v>
      </c>
      <c r="B71" s="347" t="s">
        <v>871</v>
      </c>
      <c r="C71" s="356" t="s">
        <v>14</v>
      </c>
      <c r="D71" s="1765">
        <v>1</v>
      </c>
    </row>
    <row r="72" spans="1:45" s="1544" customFormat="1" ht="38.25" outlineLevel="1" x14ac:dyDescent="0.2">
      <c r="A72" s="362" t="s">
        <v>114</v>
      </c>
      <c r="B72" s="358" t="s">
        <v>115</v>
      </c>
      <c r="C72" s="356" t="s">
        <v>19</v>
      </c>
      <c r="D72" s="1765">
        <v>16</v>
      </c>
    </row>
    <row r="73" spans="1:45" s="1544" customFormat="1" ht="51" outlineLevel="1" x14ac:dyDescent="0.2">
      <c r="A73" s="354" t="s">
        <v>116</v>
      </c>
      <c r="B73" s="347" t="s">
        <v>117</v>
      </c>
      <c r="C73" s="363" t="s">
        <v>14</v>
      </c>
      <c r="D73" s="1765">
        <v>241</v>
      </c>
    </row>
    <row r="74" spans="1:45" s="1544" customFormat="1" ht="38.25" outlineLevel="1" x14ac:dyDescent="0.2">
      <c r="A74" s="348" t="s">
        <v>118</v>
      </c>
      <c r="B74" s="358" t="s">
        <v>119</v>
      </c>
      <c r="C74" s="356" t="s">
        <v>6</v>
      </c>
      <c r="D74" s="1765">
        <v>189</v>
      </c>
    </row>
    <row r="75" spans="1:45" s="1544" customFormat="1" ht="25.5" outlineLevel="1" x14ac:dyDescent="0.2">
      <c r="A75" s="354" t="s">
        <v>120</v>
      </c>
      <c r="B75" s="358" t="s">
        <v>121</v>
      </c>
      <c r="C75" s="356" t="s">
        <v>14</v>
      </c>
      <c r="D75" s="1765">
        <v>1970</v>
      </c>
    </row>
    <row r="76" spans="1:45" s="1544" customFormat="1" ht="51" outlineLevel="1" x14ac:dyDescent="0.2">
      <c r="A76" s="348" t="s">
        <v>122</v>
      </c>
      <c r="B76" s="358" t="s">
        <v>123</v>
      </c>
      <c r="C76" s="356" t="s">
        <v>6</v>
      </c>
      <c r="D76" s="1765">
        <v>75</v>
      </c>
    </row>
    <row r="77" spans="1:45" s="1544" customFormat="1" ht="25.5" outlineLevel="1" x14ac:dyDescent="0.2">
      <c r="A77" s="354" t="s">
        <v>124</v>
      </c>
      <c r="B77" s="358" t="s">
        <v>125</v>
      </c>
      <c r="C77" s="356" t="s">
        <v>6</v>
      </c>
      <c r="D77" s="1765">
        <v>63</v>
      </c>
    </row>
    <row r="78" spans="1:45" s="1544" customFormat="1" ht="51" outlineLevel="1" x14ac:dyDescent="0.2">
      <c r="A78" s="348" t="s">
        <v>126</v>
      </c>
      <c r="B78" s="358" t="s">
        <v>127</v>
      </c>
      <c r="C78" s="356" t="s">
        <v>6</v>
      </c>
      <c r="D78" s="1765">
        <v>35</v>
      </c>
    </row>
    <row r="79" spans="1:45" s="1544" customFormat="1" ht="51" outlineLevel="1" x14ac:dyDescent="0.2">
      <c r="A79" s="354" t="s">
        <v>128</v>
      </c>
      <c r="B79" s="358" t="s">
        <v>129</v>
      </c>
      <c r="C79" s="356" t="s">
        <v>6</v>
      </c>
      <c r="D79" s="1765">
        <v>63</v>
      </c>
    </row>
    <row r="80" spans="1:45" s="1544" customFormat="1" ht="25.5" outlineLevel="1" x14ac:dyDescent="0.2">
      <c r="A80" s="348" t="s">
        <v>130</v>
      </c>
      <c r="B80" s="358" t="s">
        <v>131</v>
      </c>
      <c r="C80" s="356" t="s">
        <v>6</v>
      </c>
      <c r="D80" s="1765">
        <v>9</v>
      </c>
    </row>
    <row r="81" spans="1:45" s="1544" customFormat="1" ht="38.25" outlineLevel="1" x14ac:dyDescent="0.2">
      <c r="A81" s="354" t="s">
        <v>132</v>
      </c>
      <c r="B81" s="358" t="s">
        <v>133</v>
      </c>
      <c r="C81" s="356" t="s">
        <v>6</v>
      </c>
      <c r="D81" s="1765">
        <v>20</v>
      </c>
    </row>
    <row r="82" spans="1:45" ht="25.5" outlineLevel="1" x14ac:dyDescent="0.2">
      <c r="A82" s="348" t="s">
        <v>134</v>
      </c>
      <c r="B82" s="358" t="s">
        <v>135</v>
      </c>
      <c r="C82" s="356" t="s">
        <v>14</v>
      </c>
      <c r="D82" s="1765">
        <v>20</v>
      </c>
    </row>
    <row r="83" spans="1:45" outlineLevel="1" x14ac:dyDescent="0.2">
      <c r="A83" s="354" t="s">
        <v>136</v>
      </c>
      <c r="B83" s="358" t="s">
        <v>1469</v>
      </c>
      <c r="C83" s="356" t="s">
        <v>6</v>
      </c>
      <c r="D83" s="1765">
        <v>63</v>
      </c>
    </row>
    <row r="84" spans="1:45" outlineLevel="1" x14ac:dyDescent="0.2">
      <c r="A84" s="348" t="s">
        <v>138</v>
      </c>
      <c r="B84" s="358" t="s">
        <v>1470</v>
      </c>
      <c r="C84" s="356" t="s">
        <v>6</v>
      </c>
      <c r="D84" s="1765">
        <v>5</v>
      </c>
    </row>
    <row r="85" spans="1:45" ht="25.5" outlineLevel="1" x14ac:dyDescent="0.2">
      <c r="A85" s="354" t="s">
        <v>140</v>
      </c>
      <c r="B85" s="358" t="s">
        <v>141</v>
      </c>
      <c r="C85" s="356" t="s">
        <v>6</v>
      </c>
      <c r="D85" s="1765">
        <v>1</v>
      </c>
    </row>
    <row r="86" spans="1:45" ht="25.5" outlineLevel="1" x14ac:dyDescent="0.2">
      <c r="A86" s="348" t="s">
        <v>142</v>
      </c>
      <c r="B86" s="358" t="s">
        <v>143</v>
      </c>
      <c r="C86" s="356" t="s">
        <v>6</v>
      </c>
      <c r="D86" s="1765">
        <v>1</v>
      </c>
    </row>
    <row r="87" spans="1:45" ht="25.5" outlineLevel="1" x14ac:dyDescent="0.2">
      <c r="A87" s="354" t="s">
        <v>144</v>
      </c>
      <c r="B87" s="368" t="s">
        <v>145</v>
      </c>
      <c r="C87" s="367" t="s">
        <v>19</v>
      </c>
      <c r="D87" s="1765">
        <v>5</v>
      </c>
    </row>
    <row r="88" spans="1:45" outlineLevel="1" x14ac:dyDescent="0.2">
      <c r="A88" s="354" t="s">
        <v>757</v>
      </c>
      <c r="B88" s="368" t="s">
        <v>1471</v>
      </c>
      <c r="C88" s="356" t="s">
        <v>14</v>
      </c>
      <c r="D88" s="1765">
        <v>15</v>
      </c>
    </row>
    <row r="89" spans="1:45" outlineLevel="1" x14ac:dyDescent="0.2">
      <c r="A89" s="354" t="s">
        <v>758</v>
      </c>
      <c r="B89" s="368" t="s">
        <v>1472</v>
      </c>
      <c r="C89" s="356" t="s">
        <v>14</v>
      </c>
      <c r="D89" s="1765">
        <v>15</v>
      </c>
    </row>
    <row r="90" spans="1:45" ht="25.5" outlineLevel="1" x14ac:dyDescent="0.2">
      <c r="A90" s="354" t="s">
        <v>760</v>
      </c>
      <c r="B90" s="358" t="s">
        <v>759</v>
      </c>
      <c r="C90" s="356" t="s">
        <v>6</v>
      </c>
      <c r="D90" s="1765">
        <v>7</v>
      </c>
    </row>
    <row r="91" spans="1:45" ht="38.25" outlineLevel="1" x14ac:dyDescent="0.2">
      <c r="A91" s="354" t="s">
        <v>761</v>
      </c>
      <c r="B91" s="358" t="s">
        <v>409</v>
      </c>
      <c r="C91" s="356" t="s">
        <v>14</v>
      </c>
      <c r="D91" s="1765">
        <v>17</v>
      </c>
    </row>
    <row r="92" spans="1:45" s="1533" customFormat="1" ht="24.75" customHeight="1" outlineLevel="1" x14ac:dyDescent="0.2">
      <c r="A92" s="1527" t="s">
        <v>146</v>
      </c>
      <c r="B92" s="1528" t="s">
        <v>147</v>
      </c>
      <c r="C92" s="1527"/>
      <c r="D92" s="1763"/>
      <c r="E92" s="1544"/>
      <c r="F92" s="1544"/>
      <c r="G92" s="1544"/>
      <c r="H92" s="1544"/>
      <c r="I92" s="1544"/>
      <c r="J92" s="1544"/>
      <c r="K92" s="1544"/>
      <c r="L92" s="1544"/>
      <c r="M92" s="1544"/>
      <c r="N92" s="1544"/>
      <c r="O92" s="1544"/>
      <c r="P92" s="1544"/>
      <c r="Q92" s="1544"/>
      <c r="R92" s="1544"/>
      <c r="S92" s="1544"/>
      <c r="T92" s="1544"/>
      <c r="U92" s="1544"/>
      <c r="V92" s="1544"/>
      <c r="W92" s="1544"/>
      <c r="X92" s="1544"/>
      <c r="Y92" s="1544"/>
      <c r="Z92" s="1544"/>
      <c r="AA92" s="1544"/>
      <c r="AB92" s="1544"/>
      <c r="AC92" s="1544"/>
      <c r="AD92" s="1544"/>
      <c r="AE92" s="1544"/>
      <c r="AF92" s="1544"/>
      <c r="AG92" s="1544"/>
      <c r="AH92" s="1544"/>
      <c r="AI92" s="1544"/>
      <c r="AJ92" s="1544"/>
      <c r="AK92" s="1544"/>
      <c r="AL92" s="1544"/>
      <c r="AM92" s="1544"/>
      <c r="AN92" s="1544"/>
      <c r="AO92" s="1544"/>
      <c r="AP92" s="1544"/>
      <c r="AQ92" s="1544"/>
      <c r="AR92" s="1544"/>
      <c r="AS92" s="1544"/>
    </row>
    <row r="93" spans="1:45" outlineLevel="1" x14ac:dyDescent="0.2">
      <c r="A93" s="348" t="s">
        <v>148</v>
      </c>
      <c r="B93" s="364" t="s">
        <v>1534</v>
      </c>
      <c r="C93" s="367" t="s">
        <v>150</v>
      </c>
      <c r="D93" s="369">
        <v>3</v>
      </c>
    </row>
    <row r="94" spans="1:45" ht="25.5" outlineLevel="1" x14ac:dyDescent="0.2">
      <c r="A94" s="348" t="s">
        <v>151</v>
      </c>
      <c r="B94" s="347" t="s">
        <v>1473</v>
      </c>
      <c r="C94" s="340" t="s">
        <v>19</v>
      </c>
      <c r="D94" s="369">
        <v>17</v>
      </c>
    </row>
    <row r="95" spans="1:45" ht="25.5" outlineLevel="1" x14ac:dyDescent="0.2">
      <c r="A95" s="348" t="s">
        <v>153</v>
      </c>
      <c r="B95" s="358" t="s">
        <v>154</v>
      </c>
      <c r="C95" s="356" t="s">
        <v>14</v>
      </c>
      <c r="D95" s="369">
        <v>33</v>
      </c>
    </row>
    <row r="96" spans="1:45" outlineLevel="1" x14ac:dyDescent="0.2">
      <c r="A96" s="354" t="s">
        <v>155</v>
      </c>
      <c r="B96" s="358" t="s">
        <v>156</v>
      </c>
      <c r="C96" s="356" t="s">
        <v>19</v>
      </c>
      <c r="D96" s="369">
        <v>24</v>
      </c>
    </row>
    <row r="97" spans="1:45" outlineLevel="1" x14ac:dyDescent="0.2">
      <c r="A97" s="348" t="s">
        <v>157</v>
      </c>
      <c r="B97" s="358" t="s">
        <v>158</v>
      </c>
      <c r="C97" s="340" t="s">
        <v>14</v>
      </c>
      <c r="D97" s="369">
        <v>3</v>
      </c>
    </row>
    <row r="98" spans="1:45" outlineLevel="1" x14ac:dyDescent="0.2">
      <c r="A98" s="348" t="s">
        <v>159</v>
      </c>
      <c r="B98" s="358" t="s">
        <v>160</v>
      </c>
      <c r="C98" s="356" t="s">
        <v>150</v>
      </c>
      <c r="D98" s="369">
        <v>1</v>
      </c>
    </row>
    <row r="99" spans="1:45" ht="25.5" outlineLevel="1" x14ac:dyDescent="0.2">
      <c r="A99" s="348" t="s">
        <v>161</v>
      </c>
      <c r="B99" s="358" t="s">
        <v>1474</v>
      </c>
      <c r="C99" s="356" t="s">
        <v>14</v>
      </c>
      <c r="D99" s="369">
        <v>3</v>
      </c>
    </row>
    <row r="100" spans="1:45" ht="25.5" outlineLevel="1" x14ac:dyDescent="0.2">
      <c r="A100" s="348" t="s">
        <v>163</v>
      </c>
      <c r="B100" s="358" t="s">
        <v>164</v>
      </c>
      <c r="C100" s="356" t="s">
        <v>19</v>
      </c>
      <c r="D100" s="369">
        <v>20</v>
      </c>
    </row>
    <row r="101" spans="1:45" outlineLevel="1" x14ac:dyDescent="0.2">
      <c r="A101" s="348" t="s">
        <v>165</v>
      </c>
      <c r="B101" s="358" t="s">
        <v>166</v>
      </c>
      <c r="C101" s="356" t="s">
        <v>150</v>
      </c>
      <c r="D101" s="369">
        <v>2</v>
      </c>
    </row>
    <row r="102" spans="1:45" s="1533" customFormat="1" ht="24.75" customHeight="1" outlineLevel="1" x14ac:dyDescent="0.2">
      <c r="A102" s="1527" t="s">
        <v>167</v>
      </c>
      <c r="B102" s="1528" t="s">
        <v>168</v>
      </c>
      <c r="C102" s="1527"/>
      <c r="D102" s="1763"/>
      <c r="E102" s="1544"/>
      <c r="F102" s="1544"/>
      <c r="G102" s="1544"/>
      <c r="H102" s="1544"/>
      <c r="I102" s="1544"/>
      <c r="J102" s="1544"/>
      <c r="K102" s="1544"/>
      <c r="L102" s="1544"/>
      <c r="M102" s="1544"/>
      <c r="N102" s="1544"/>
      <c r="O102" s="1544"/>
      <c r="P102" s="1544"/>
      <c r="Q102" s="1544"/>
      <c r="R102" s="1544"/>
      <c r="S102" s="1544"/>
      <c r="T102" s="1544"/>
      <c r="U102" s="1544"/>
      <c r="V102" s="1544"/>
      <c r="W102" s="1544"/>
      <c r="X102" s="1544"/>
      <c r="Y102" s="1544"/>
      <c r="Z102" s="1544"/>
      <c r="AA102" s="1544"/>
      <c r="AB102" s="1544"/>
      <c r="AC102" s="1544"/>
      <c r="AD102" s="1544"/>
      <c r="AE102" s="1544"/>
      <c r="AF102" s="1544"/>
      <c r="AG102" s="1544"/>
      <c r="AH102" s="1544"/>
      <c r="AI102" s="1544"/>
      <c r="AJ102" s="1544"/>
      <c r="AK102" s="1544"/>
      <c r="AL102" s="1544"/>
      <c r="AM102" s="1544"/>
      <c r="AN102" s="1544"/>
      <c r="AO102" s="1544"/>
      <c r="AP102" s="1544"/>
      <c r="AQ102" s="1544"/>
      <c r="AR102" s="1544"/>
      <c r="AS102" s="1544"/>
    </row>
    <row r="103" spans="1:45" outlineLevel="1" x14ac:dyDescent="0.2">
      <c r="A103" s="374" t="s">
        <v>169</v>
      </c>
      <c r="B103" s="358" t="s">
        <v>158</v>
      </c>
      <c r="C103" s="340" t="s">
        <v>14</v>
      </c>
      <c r="D103" s="369">
        <v>220</v>
      </c>
    </row>
    <row r="104" spans="1:45" ht="25.5" outlineLevel="1" x14ac:dyDescent="0.2">
      <c r="A104" s="348" t="s">
        <v>170</v>
      </c>
      <c r="B104" s="364" t="s">
        <v>1475</v>
      </c>
      <c r="C104" s="340" t="s">
        <v>14</v>
      </c>
      <c r="D104" s="369">
        <v>120</v>
      </c>
    </row>
    <row r="105" spans="1:45" outlineLevel="1" x14ac:dyDescent="0.2">
      <c r="A105" s="348" t="s">
        <v>172</v>
      </c>
      <c r="B105" s="347" t="s">
        <v>1476</v>
      </c>
      <c r="C105" s="340" t="s">
        <v>14</v>
      </c>
      <c r="D105" s="369">
        <v>100</v>
      </c>
    </row>
    <row r="106" spans="1:45" ht="25.5" outlineLevel="1" x14ac:dyDescent="0.2">
      <c r="A106" s="348" t="s">
        <v>174</v>
      </c>
      <c r="B106" s="347" t="s">
        <v>1477</v>
      </c>
      <c r="C106" s="340" t="s">
        <v>14</v>
      </c>
      <c r="D106" s="369">
        <v>100</v>
      </c>
    </row>
    <row r="107" spans="1:45" s="1533" customFormat="1" ht="24.75" customHeight="1" outlineLevel="1" x14ac:dyDescent="0.2">
      <c r="A107" s="1527" t="s">
        <v>176</v>
      </c>
      <c r="B107" s="1528" t="s">
        <v>177</v>
      </c>
      <c r="C107" s="1527"/>
      <c r="D107" s="1763"/>
      <c r="E107" s="1544"/>
      <c r="F107" s="1544"/>
      <c r="G107" s="1544"/>
      <c r="H107" s="1544"/>
      <c r="I107" s="1544"/>
      <c r="J107" s="1544"/>
      <c r="K107" s="1544"/>
      <c r="L107" s="1544"/>
      <c r="M107" s="1544"/>
      <c r="N107" s="1544"/>
      <c r="O107" s="1544"/>
      <c r="P107" s="1544"/>
      <c r="Q107" s="1544"/>
      <c r="R107" s="1544"/>
      <c r="S107" s="1544"/>
      <c r="T107" s="1544"/>
      <c r="U107" s="1544"/>
      <c r="V107" s="1544"/>
      <c r="W107" s="1544"/>
      <c r="X107" s="1544"/>
      <c r="Y107" s="1544"/>
      <c r="Z107" s="1544"/>
      <c r="AA107" s="1544"/>
      <c r="AB107" s="1544"/>
      <c r="AC107" s="1544"/>
      <c r="AD107" s="1544"/>
      <c r="AE107" s="1544"/>
      <c r="AF107" s="1544"/>
      <c r="AG107" s="1544"/>
      <c r="AH107" s="1544"/>
      <c r="AI107" s="1544"/>
      <c r="AJ107" s="1544"/>
      <c r="AK107" s="1544"/>
      <c r="AL107" s="1544"/>
      <c r="AM107" s="1544"/>
      <c r="AN107" s="1544"/>
      <c r="AO107" s="1544"/>
      <c r="AP107" s="1544"/>
      <c r="AQ107" s="1544"/>
      <c r="AR107" s="1544"/>
      <c r="AS107" s="1544"/>
    </row>
    <row r="108" spans="1:45" outlineLevel="1" x14ac:dyDescent="0.2">
      <c r="A108" s="374" t="s">
        <v>178</v>
      </c>
      <c r="B108" s="358" t="s">
        <v>179</v>
      </c>
      <c r="C108" s="356" t="s">
        <v>14</v>
      </c>
      <c r="D108" s="369">
        <v>170</v>
      </c>
    </row>
    <row r="109" spans="1:45" outlineLevel="1" x14ac:dyDescent="0.2">
      <c r="A109" s="348" t="s">
        <v>180</v>
      </c>
      <c r="B109" s="358" t="s">
        <v>181</v>
      </c>
      <c r="C109" s="356" t="s">
        <v>14</v>
      </c>
      <c r="D109" s="369">
        <v>97</v>
      </c>
    </row>
    <row r="110" spans="1:45" ht="25.5" outlineLevel="1" x14ac:dyDescent="0.2">
      <c r="A110" s="354" t="s">
        <v>182</v>
      </c>
      <c r="B110" s="358" t="s">
        <v>183</v>
      </c>
      <c r="C110" s="356" t="s">
        <v>19</v>
      </c>
      <c r="D110" s="369">
        <v>50</v>
      </c>
    </row>
    <row r="111" spans="1:45" ht="25.5" outlineLevel="1" x14ac:dyDescent="0.2">
      <c r="A111" s="348" t="s">
        <v>184</v>
      </c>
      <c r="B111" s="358" t="s">
        <v>1478</v>
      </c>
      <c r="C111" s="356" t="s">
        <v>14</v>
      </c>
      <c r="D111" s="369">
        <v>112</v>
      </c>
    </row>
    <row r="112" spans="1:45" s="1533" customFormat="1" ht="24.75" customHeight="1" outlineLevel="1" x14ac:dyDescent="0.2">
      <c r="A112" s="1527" t="s">
        <v>186</v>
      </c>
      <c r="B112" s="1528" t="s">
        <v>187</v>
      </c>
      <c r="C112" s="1527"/>
      <c r="D112" s="1763"/>
      <c r="E112" s="1544"/>
      <c r="F112" s="1544"/>
      <c r="G112" s="1544"/>
      <c r="H112" s="1544"/>
      <c r="I112" s="1544"/>
      <c r="J112" s="1544"/>
      <c r="K112" s="1544"/>
      <c r="L112" s="1544"/>
      <c r="M112" s="1544"/>
      <c r="N112" s="1544"/>
      <c r="O112" s="1544"/>
      <c r="P112" s="1544"/>
      <c r="Q112" s="1544"/>
      <c r="R112" s="1544"/>
      <c r="S112" s="1544"/>
      <c r="T112" s="1544"/>
      <c r="U112" s="1544"/>
      <c r="V112" s="1544"/>
      <c r="W112" s="1544"/>
      <c r="X112" s="1544"/>
      <c r="Y112" s="1544"/>
      <c r="Z112" s="1544"/>
      <c r="AA112" s="1544"/>
      <c r="AB112" s="1544"/>
      <c r="AC112" s="1544"/>
      <c r="AD112" s="1544"/>
      <c r="AE112" s="1544"/>
      <c r="AF112" s="1544"/>
      <c r="AG112" s="1544"/>
      <c r="AH112" s="1544"/>
      <c r="AI112" s="1544"/>
      <c r="AJ112" s="1544"/>
      <c r="AK112" s="1544"/>
      <c r="AL112" s="1544"/>
      <c r="AM112" s="1544"/>
      <c r="AN112" s="1544"/>
      <c r="AO112" s="1544"/>
      <c r="AP112" s="1544"/>
      <c r="AQ112" s="1544"/>
      <c r="AR112" s="1544"/>
      <c r="AS112" s="1544"/>
    </row>
    <row r="113" spans="1:5" ht="25.5" outlineLevel="1" x14ac:dyDescent="0.2">
      <c r="A113" s="354" t="s">
        <v>188</v>
      </c>
      <c r="B113" s="364" t="s">
        <v>189</v>
      </c>
      <c r="C113" s="363" t="s">
        <v>19</v>
      </c>
      <c r="D113" s="369">
        <v>41</v>
      </c>
    </row>
    <row r="114" spans="1:5" s="1544" customFormat="1" ht="25.5" outlineLevel="1" x14ac:dyDescent="0.2">
      <c r="A114" s="348" t="s">
        <v>190</v>
      </c>
      <c r="B114" s="358" t="s">
        <v>191</v>
      </c>
      <c r="C114" s="356" t="s">
        <v>19</v>
      </c>
      <c r="D114" s="369">
        <v>41</v>
      </c>
    </row>
    <row r="115" spans="1:5" s="1544" customFormat="1" ht="25.5" outlineLevel="1" x14ac:dyDescent="0.2">
      <c r="A115" s="354" t="s">
        <v>192</v>
      </c>
      <c r="B115" s="364" t="s">
        <v>193</v>
      </c>
      <c r="C115" s="363" t="s">
        <v>19</v>
      </c>
      <c r="D115" s="369">
        <v>41</v>
      </c>
    </row>
    <row r="116" spans="1:5" s="1544" customFormat="1" outlineLevel="1" x14ac:dyDescent="0.2">
      <c r="A116" s="348" t="s">
        <v>194</v>
      </c>
      <c r="B116" s="347" t="s">
        <v>195</v>
      </c>
      <c r="C116" s="340" t="s">
        <v>19</v>
      </c>
      <c r="D116" s="369">
        <v>41</v>
      </c>
    </row>
    <row r="117" spans="1:5" s="1544" customFormat="1" ht="15" x14ac:dyDescent="0.25">
      <c r="A117" s="336"/>
      <c r="B117" s="336"/>
      <c r="C117" s="336"/>
      <c r="D117" s="1645"/>
      <c r="E117" s="1548"/>
    </row>
    <row r="118" spans="1:5" s="1544" customFormat="1" x14ac:dyDescent="0.2">
      <c r="A118" s="377" t="s">
        <v>202</v>
      </c>
      <c r="B118" s="1877" t="s">
        <v>1631</v>
      </c>
      <c r="C118" s="1877"/>
      <c r="D118" s="1877"/>
    </row>
    <row r="119" spans="1:5" s="1544" customFormat="1" outlineLevel="1" x14ac:dyDescent="0.2">
      <c r="A119" s="354" t="s">
        <v>204</v>
      </c>
      <c r="B119" s="347" t="s">
        <v>21</v>
      </c>
      <c r="C119" s="340" t="s">
        <v>19</v>
      </c>
      <c r="D119" s="348">
        <v>6</v>
      </c>
    </row>
    <row r="120" spans="1:5" s="1544" customFormat="1" outlineLevel="1" x14ac:dyDescent="0.2">
      <c r="A120" s="354" t="s">
        <v>205</v>
      </c>
      <c r="B120" s="347" t="s">
        <v>206</v>
      </c>
      <c r="C120" s="340" t="s">
        <v>19</v>
      </c>
      <c r="D120" s="348">
        <v>6</v>
      </c>
    </row>
    <row r="121" spans="1:5" s="1544" customFormat="1" ht="25.5" outlineLevel="1" x14ac:dyDescent="0.2">
      <c r="A121" s="346" t="s">
        <v>207</v>
      </c>
      <c r="B121" s="347" t="s">
        <v>208</v>
      </c>
      <c r="C121" s="340" t="s">
        <v>19</v>
      </c>
      <c r="D121" s="348">
        <v>6</v>
      </c>
    </row>
    <row r="122" spans="1:5" s="1544" customFormat="1" ht="25.5" outlineLevel="1" x14ac:dyDescent="0.2">
      <c r="A122" s="354" t="s">
        <v>209</v>
      </c>
      <c r="B122" s="365" t="s">
        <v>76</v>
      </c>
      <c r="C122" s="366" t="s">
        <v>19</v>
      </c>
      <c r="D122" s="348">
        <v>6</v>
      </c>
    </row>
    <row r="123" spans="1:5" s="1544" customFormat="1" outlineLevel="1" x14ac:dyDescent="0.2">
      <c r="A123" s="346" t="s">
        <v>210</v>
      </c>
      <c r="B123" s="347" t="s">
        <v>211</v>
      </c>
      <c r="C123" s="367" t="s">
        <v>19</v>
      </c>
      <c r="D123" s="348">
        <v>20</v>
      </c>
    </row>
    <row r="124" spans="1:5" ht="38.25" outlineLevel="1" x14ac:dyDescent="0.2">
      <c r="A124" s="354" t="s">
        <v>212</v>
      </c>
      <c r="B124" s="368" t="s">
        <v>86</v>
      </c>
      <c r="C124" s="340" t="s">
        <v>19</v>
      </c>
      <c r="D124" s="348">
        <v>3</v>
      </c>
    </row>
    <row r="125" spans="1:5" outlineLevel="1" x14ac:dyDescent="0.2">
      <c r="A125" s="346" t="s">
        <v>213</v>
      </c>
      <c r="B125" s="347" t="s">
        <v>88</v>
      </c>
      <c r="C125" s="367" t="s">
        <v>19</v>
      </c>
      <c r="D125" s="348">
        <v>20</v>
      </c>
    </row>
    <row r="126" spans="1:5" outlineLevel="1" x14ac:dyDescent="0.2">
      <c r="A126" s="354" t="s">
        <v>214</v>
      </c>
      <c r="B126" s="347" t="s">
        <v>98</v>
      </c>
      <c r="C126" s="367" t="s">
        <v>19</v>
      </c>
      <c r="D126" s="348">
        <v>20</v>
      </c>
    </row>
    <row r="127" spans="1:5" outlineLevel="1" x14ac:dyDescent="0.2">
      <c r="A127" s="340" t="s">
        <v>215</v>
      </c>
      <c r="B127" s="347" t="s">
        <v>92</v>
      </c>
      <c r="C127" s="367" t="s">
        <v>19</v>
      </c>
      <c r="D127" s="348">
        <v>4</v>
      </c>
    </row>
    <row r="128" spans="1:5" outlineLevel="1" x14ac:dyDescent="0.2">
      <c r="A128" s="340" t="s">
        <v>216</v>
      </c>
      <c r="B128" s="347" t="s">
        <v>195</v>
      </c>
      <c r="C128" s="340" t="s">
        <v>19</v>
      </c>
      <c r="D128" s="348">
        <v>21</v>
      </c>
    </row>
    <row r="129" spans="1:45" ht="25.5" outlineLevel="1" x14ac:dyDescent="0.2">
      <c r="A129" s="1283" t="s">
        <v>1630</v>
      </c>
      <c r="B129" s="1820" t="str">
        <f>+POE!B135</f>
        <v>Cerramiento en tela verde o polisombra (incluye postes de madera para soporte) altura: 2.10 mts.</v>
      </c>
      <c r="C129" s="1283" t="str">
        <f>+POE!C135</f>
        <v>ML</v>
      </c>
      <c r="D129" s="1764">
        <f>+POE!D135</f>
        <v>24</v>
      </c>
    </row>
    <row r="130" spans="1:45" ht="15" x14ac:dyDescent="0.25">
      <c r="D130" s="1645"/>
      <c r="E130" s="1548"/>
    </row>
    <row r="131" spans="1:45" x14ac:dyDescent="0.2">
      <c r="A131" s="377" t="s">
        <v>217</v>
      </c>
      <c r="B131" s="1877" t="s">
        <v>1531</v>
      </c>
      <c r="C131" s="1877"/>
      <c r="D131" s="1877"/>
    </row>
    <row r="132" spans="1:45" s="1533" customFormat="1" ht="24.75" customHeight="1" outlineLevel="1" x14ac:dyDescent="0.2">
      <c r="A132" s="1527" t="s">
        <v>219</v>
      </c>
      <c r="B132" s="1528" t="s">
        <v>220</v>
      </c>
      <c r="C132" s="1527"/>
      <c r="D132" s="1763"/>
      <c r="E132" s="1544"/>
      <c r="F132" s="1544"/>
      <c r="G132" s="1544"/>
      <c r="H132" s="1544"/>
      <c r="I132" s="1544"/>
      <c r="J132" s="1544"/>
      <c r="K132" s="1544"/>
      <c r="L132" s="1544"/>
      <c r="M132" s="1544"/>
      <c r="N132" s="1544"/>
      <c r="O132" s="1544"/>
      <c r="P132" s="1544"/>
      <c r="Q132" s="1544"/>
      <c r="R132" s="1544"/>
      <c r="S132" s="1544"/>
      <c r="T132" s="1544"/>
      <c r="U132" s="1544"/>
      <c r="V132" s="1544"/>
      <c r="W132" s="1544"/>
      <c r="X132" s="1544"/>
      <c r="Y132" s="1544"/>
      <c r="Z132" s="1544"/>
      <c r="AA132" s="1544"/>
      <c r="AB132" s="1544"/>
      <c r="AC132" s="1544"/>
      <c r="AD132" s="1544"/>
      <c r="AE132" s="1544"/>
      <c r="AF132" s="1544"/>
      <c r="AG132" s="1544"/>
      <c r="AH132" s="1544"/>
      <c r="AI132" s="1544"/>
      <c r="AJ132" s="1544"/>
      <c r="AK132" s="1544"/>
      <c r="AL132" s="1544"/>
      <c r="AM132" s="1544"/>
      <c r="AN132" s="1544"/>
      <c r="AO132" s="1544"/>
      <c r="AP132" s="1544"/>
      <c r="AQ132" s="1544"/>
      <c r="AR132" s="1544"/>
      <c r="AS132" s="1544"/>
    </row>
    <row r="133" spans="1:45" ht="38.25" outlineLevel="1" x14ac:dyDescent="0.2">
      <c r="A133" s="346" t="s">
        <v>221</v>
      </c>
      <c r="B133" s="347" t="s">
        <v>222</v>
      </c>
      <c r="C133" s="340" t="s">
        <v>14</v>
      </c>
      <c r="D133" s="348">
        <v>47</v>
      </c>
    </row>
    <row r="134" spans="1:45" ht="25.5" outlineLevel="1" x14ac:dyDescent="0.2">
      <c r="A134" s="381" t="s">
        <v>223</v>
      </c>
      <c r="B134" s="347" t="s">
        <v>224</v>
      </c>
      <c r="C134" s="340" t="s">
        <v>19</v>
      </c>
      <c r="D134" s="348">
        <v>47</v>
      </c>
    </row>
    <row r="135" spans="1:45" outlineLevel="1" x14ac:dyDescent="0.2">
      <c r="A135" s="346" t="s">
        <v>225</v>
      </c>
      <c r="B135" s="347" t="s">
        <v>226</v>
      </c>
      <c r="C135" s="340" t="s">
        <v>19</v>
      </c>
      <c r="D135" s="348">
        <v>1037</v>
      </c>
    </row>
    <row r="136" spans="1:45" ht="25.5" outlineLevel="1" x14ac:dyDescent="0.2">
      <c r="A136" s="354" t="s">
        <v>227</v>
      </c>
      <c r="B136" s="347" t="s">
        <v>228</v>
      </c>
      <c r="C136" s="340" t="s">
        <v>19</v>
      </c>
      <c r="D136" s="348">
        <v>1234</v>
      </c>
    </row>
    <row r="137" spans="1:45" ht="25.5" outlineLevel="1" x14ac:dyDescent="0.2">
      <c r="A137" s="354" t="s">
        <v>229</v>
      </c>
      <c r="B137" s="347" t="s">
        <v>230</v>
      </c>
      <c r="C137" s="340" t="s">
        <v>19</v>
      </c>
      <c r="D137" s="348">
        <v>1037</v>
      </c>
    </row>
    <row r="138" spans="1:45" ht="25.5" outlineLevel="1" x14ac:dyDescent="0.2">
      <c r="A138" s="354" t="s">
        <v>231</v>
      </c>
      <c r="B138" s="347" t="s">
        <v>232</v>
      </c>
      <c r="C138" s="356" t="s">
        <v>14</v>
      </c>
      <c r="D138" s="348">
        <v>117</v>
      </c>
    </row>
    <row r="139" spans="1:45" s="1533" customFormat="1" ht="24.75" customHeight="1" outlineLevel="1" x14ac:dyDescent="0.2">
      <c r="A139" s="1527" t="s">
        <v>233</v>
      </c>
      <c r="B139" s="1528" t="s">
        <v>234</v>
      </c>
      <c r="C139" s="1527"/>
      <c r="D139" s="1763"/>
      <c r="E139" s="1544"/>
      <c r="F139" s="1544"/>
      <c r="G139" s="1544"/>
      <c r="H139" s="1544"/>
      <c r="I139" s="1544"/>
      <c r="J139" s="1544"/>
      <c r="K139" s="1544"/>
      <c r="L139" s="1544"/>
      <c r="M139" s="1544"/>
      <c r="N139" s="1544"/>
      <c r="O139" s="1544"/>
      <c r="P139" s="1544"/>
      <c r="Q139" s="1544"/>
      <c r="R139" s="1544"/>
      <c r="S139" s="1544"/>
      <c r="T139" s="1544"/>
      <c r="U139" s="1544"/>
      <c r="V139" s="1544"/>
      <c r="W139" s="1544"/>
      <c r="X139" s="1544"/>
      <c r="Y139" s="1544"/>
      <c r="Z139" s="1544"/>
      <c r="AA139" s="1544"/>
      <c r="AB139" s="1544"/>
      <c r="AC139" s="1544"/>
      <c r="AD139" s="1544"/>
      <c r="AE139" s="1544"/>
      <c r="AF139" s="1544"/>
      <c r="AG139" s="1544"/>
      <c r="AH139" s="1544"/>
      <c r="AI139" s="1544"/>
      <c r="AJ139" s="1544"/>
      <c r="AK139" s="1544"/>
      <c r="AL139" s="1544"/>
      <c r="AM139" s="1544"/>
      <c r="AN139" s="1544"/>
      <c r="AO139" s="1544"/>
      <c r="AP139" s="1544"/>
      <c r="AQ139" s="1544"/>
      <c r="AR139" s="1544"/>
      <c r="AS139" s="1544"/>
    </row>
    <row r="140" spans="1:45" outlineLevel="1" x14ac:dyDescent="0.2">
      <c r="A140" s="381" t="s">
        <v>235</v>
      </c>
      <c r="B140" s="364" t="s">
        <v>84</v>
      </c>
      <c r="C140" s="367" t="s">
        <v>19</v>
      </c>
      <c r="D140" s="381">
        <v>179</v>
      </c>
    </row>
    <row r="141" spans="1:45" ht="38.25" outlineLevel="1" x14ac:dyDescent="0.2">
      <c r="A141" s="346" t="s">
        <v>236</v>
      </c>
      <c r="B141" s="368" t="s">
        <v>86</v>
      </c>
      <c r="C141" s="367" t="s">
        <v>19</v>
      </c>
      <c r="D141" s="348">
        <v>90</v>
      </c>
    </row>
    <row r="142" spans="1:45" outlineLevel="1" x14ac:dyDescent="0.2">
      <c r="A142" s="367" t="s">
        <v>237</v>
      </c>
      <c r="B142" s="368" t="s">
        <v>88</v>
      </c>
      <c r="C142" s="367" t="s">
        <v>19</v>
      </c>
      <c r="D142" s="348">
        <v>149</v>
      </c>
    </row>
    <row r="143" spans="1:45" outlineLevel="1" x14ac:dyDescent="0.2">
      <c r="A143" s="346" t="s">
        <v>238</v>
      </c>
      <c r="B143" s="364" t="s">
        <v>90</v>
      </c>
      <c r="C143" s="367" t="s">
        <v>19</v>
      </c>
      <c r="D143" s="348">
        <v>298</v>
      </c>
    </row>
    <row r="144" spans="1:45" outlineLevel="1" x14ac:dyDescent="0.2">
      <c r="A144" s="367" t="s">
        <v>239</v>
      </c>
      <c r="B144" s="368" t="s">
        <v>92</v>
      </c>
      <c r="C144" s="367" t="s">
        <v>19</v>
      </c>
      <c r="D144" s="348">
        <v>60</v>
      </c>
    </row>
    <row r="145" spans="1:45" outlineLevel="1" x14ac:dyDescent="0.2">
      <c r="A145" s="367" t="s">
        <v>240</v>
      </c>
      <c r="B145" s="364" t="s">
        <v>94</v>
      </c>
      <c r="C145" s="367" t="s">
        <v>19</v>
      </c>
      <c r="D145" s="348">
        <v>56</v>
      </c>
    </row>
    <row r="146" spans="1:45" outlineLevel="1" x14ac:dyDescent="0.2">
      <c r="A146" s="367" t="s">
        <v>241</v>
      </c>
      <c r="B146" s="364" t="s">
        <v>84</v>
      </c>
      <c r="C146" s="367" t="s">
        <v>14</v>
      </c>
      <c r="D146" s="348">
        <v>149</v>
      </c>
    </row>
    <row r="147" spans="1:45" ht="38.25" outlineLevel="1" x14ac:dyDescent="0.2">
      <c r="A147" s="367" t="s">
        <v>242</v>
      </c>
      <c r="B147" s="368" t="s">
        <v>86</v>
      </c>
      <c r="C147" s="367" t="s">
        <v>14</v>
      </c>
      <c r="D147" s="348">
        <v>74</v>
      </c>
    </row>
    <row r="148" spans="1:45" outlineLevel="1" x14ac:dyDescent="0.2">
      <c r="A148" s="367" t="s">
        <v>243</v>
      </c>
      <c r="B148" s="368" t="s">
        <v>88</v>
      </c>
      <c r="C148" s="367" t="s">
        <v>14</v>
      </c>
      <c r="D148" s="348">
        <v>124</v>
      </c>
    </row>
    <row r="149" spans="1:45" outlineLevel="1" x14ac:dyDescent="0.2">
      <c r="A149" s="367" t="s">
        <v>244</v>
      </c>
      <c r="B149" s="368" t="s">
        <v>98</v>
      </c>
      <c r="C149" s="367" t="s">
        <v>14</v>
      </c>
      <c r="D149" s="348">
        <v>248</v>
      </c>
    </row>
    <row r="150" spans="1:45" outlineLevel="1" x14ac:dyDescent="0.2">
      <c r="A150" s="367" t="s">
        <v>245</v>
      </c>
      <c r="B150" s="368" t="s">
        <v>92</v>
      </c>
      <c r="C150" s="367" t="s">
        <v>14</v>
      </c>
      <c r="D150" s="348">
        <v>50</v>
      </c>
    </row>
    <row r="151" spans="1:45" ht="25.5" outlineLevel="1" x14ac:dyDescent="0.2">
      <c r="A151" s="367" t="s">
        <v>246</v>
      </c>
      <c r="B151" s="358" t="s">
        <v>247</v>
      </c>
      <c r="C151" s="356" t="s">
        <v>14</v>
      </c>
      <c r="D151" s="348">
        <v>384</v>
      </c>
    </row>
    <row r="152" spans="1:45" ht="25.5" outlineLevel="1" x14ac:dyDescent="0.2">
      <c r="A152" s="367" t="s">
        <v>248</v>
      </c>
      <c r="B152" s="358" t="s">
        <v>249</v>
      </c>
      <c r="C152" s="356" t="s">
        <v>19</v>
      </c>
      <c r="D152" s="348">
        <v>230</v>
      </c>
    </row>
    <row r="153" spans="1:45" s="1533" customFormat="1" ht="24.75" customHeight="1" outlineLevel="1" x14ac:dyDescent="0.2">
      <c r="A153" s="1527" t="s">
        <v>250</v>
      </c>
      <c r="B153" s="1528" t="s">
        <v>1479</v>
      </c>
      <c r="C153" s="1527"/>
      <c r="D153" s="1763"/>
      <c r="E153" s="1544"/>
      <c r="F153" s="1544"/>
      <c r="G153" s="1544"/>
      <c r="H153" s="1544"/>
      <c r="I153" s="1544"/>
      <c r="J153" s="1544"/>
      <c r="K153" s="1544"/>
      <c r="L153" s="1544"/>
      <c r="M153" s="1544"/>
      <c r="N153" s="1544"/>
      <c r="O153" s="1544"/>
      <c r="P153" s="1544"/>
      <c r="Q153" s="1544"/>
      <c r="R153" s="1544"/>
      <c r="S153" s="1544"/>
      <c r="T153" s="1544"/>
      <c r="U153" s="1544"/>
      <c r="V153" s="1544"/>
      <c r="W153" s="1544"/>
      <c r="X153" s="1544"/>
      <c r="Y153" s="1544"/>
      <c r="Z153" s="1544"/>
      <c r="AA153" s="1544"/>
      <c r="AB153" s="1544"/>
      <c r="AC153" s="1544"/>
      <c r="AD153" s="1544"/>
      <c r="AE153" s="1544"/>
      <c r="AF153" s="1544"/>
      <c r="AG153" s="1544"/>
      <c r="AH153" s="1544"/>
      <c r="AI153" s="1544"/>
      <c r="AJ153" s="1544"/>
      <c r="AK153" s="1544"/>
      <c r="AL153" s="1544"/>
      <c r="AM153" s="1544"/>
      <c r="AN153" s="1544"/>
      <c r="AO153" s="1544"/>
      <c r="AP153" s="1544"/>
      <c r="AQ153" s="1544"/>
      <c r="AR153" s="1544"/>
      <c r="AS153" s="1544"/>
    </row>
    <row r="154" spans="1:45" ht="25.5" outlineLevel="1" x14ac:dyDescent="0.2">
      <c r="A154" s="346" t="s">
        <v>252</v>
      </c>
      <c r="B154" s="368" t="s">
        <v>1480</v>
      </c>
      <c r="C154" s="356" t="s">
        <v>6</v>
      </c>
      <c r="D154" s="348">
        <v>1</v>
      </c>
    </row>
    <row r="155" spans="1:45" ht="25.5" outlineLevel="1" x14ac:dyDescent="0.2">
      <c r="A155" s="346" t="s">
        <v>254</v>
      </c>
      <c r="B155" s="391" t="s">
        <v>1481</v>
      </c>
      <c r="C155" s="367" t="s">
        <v>6</v>
      </c>
      <c r="D155" s="367">
        <v>1</v>
      </c>
    </row>
    <row r="156" spans="1:45" s="1533" customFormat="1" ht="24.75" customHeight="1" outlineLevel="1" x14ac:dyDescent="0.2">
      <c r="A156" s="1527" t="s">
        <v>256</v>
      </c>
      <c r="B156" s="1528" t="s">
        <v>257</v>
      </c>
      <c r="C156" s="1527"/>
      <c r="D156" s="1763"/>
      <c r="E156" s="1544"/>
      <c r="F156" s="1544"/>
      <c r="G156" s="1544"/>
      <c r="H156" s="1544"/>
      <c r="I156" s="1544"/>
      <c r="J156" s="1544"/>
      <c r="K156" s="1544"/>
      <c r="L156" s="1544"/>
      <c r="M156" s="1544"/>
      <c r="N156" s="1544"/>
      <c r="O156" s="1544"/>
      <c r="P156" s="1544"/>
      <c r="Q156" s="1544"/>
      <c r="R156" s="1544"/>
      <c r="S156" s="1544"/>
      <c r="T156" s="1544"/>
      <c r="U156" s="1544"/>
      <c r="V156" s="1544"/>
      <c r="W156" s="1544"/>
      <c r="X156" s="1544"/>
      <c r="Y156" s="1544"/>
      <c r="Z156" s="1544"/>
      <c r="AA156" s="1544"/>
      <c r="AB156" s="1544"/>
      <c r="AC156" s="1544"/>
      <c r="AD156" s="1544"/>
      <c r="AE156" s="1544"/>
      <c r="AF156" s="1544"/>
      <c r="AG156" s="1544"/>
      <c r="AH156" s="1544"/>
      <c r="AI156" s="1544"/>
      <c r="AJ156" s="1544"/>
      <c r="AK156" s="1544"/>
      <c r="AL156" s="1544"/>
      <c r="AM156" s="1544"/>
      <c r="AN156" s="1544"/>
      <c r="AO156" s="1544"/>
      <c r="AP156" s="1544"/>
      <c r="AQ156" s="1544"/>
      <c r="AR156" s="1544"/>
      <c r="AS156" s="1544"/>
    </row>
    <row r="157" spans="1:45" outlineLevel="1" x14ac:dyDescent="0.2">
      <c r="A157" s="346" t="s">
        <v>258</v>
      </c>
      <c r="B157" s="347" t="s">
        <v>21</v>
      </c>
      <c r="C157" s="340" t="s">
        <v>19</v>
      </c>
      <c r="D157" s="348">
        <v>86</v>
      </c>
    </row>
    <row r="158" spans="1:45" ht="25.5" outlineLevel="1" x14ac:dyDescent="0.2">
      <c r="A158" s="346" t="s">
        <v>259</v>
      </c>
      <c r="B158" s="358" t="s">
        <v>23</v>
      </c>
      <c r="C158" s="356" t="s">
        <v>19</v>
      </c>
      <c r="D158" s="348">
        <v>86</v>
      </c>
    </row>
    <row r="159" spans="1:45" ht="38.25" outlineLevel="1" x14ac:dyDescent="0.2">
      <c r="A159" s="346" t="s">
        <v>260</v>
      </c>
      <c r="B159" s="358" t="s">
        <v>29</v>
      </c>
      <c r="C159" s="356" t="s">
        <v>19</v>
      </c>
      <c r="D159" s="348">
        <v>86</v>
      </c>
    </row>
    <row r="160" spans="1:45" ht="38.25" outlineLevel="1" x14ac:dyDescent="0.2">
      <c r="A160" s="346" t="s">
        <v>261</v>
      </c>
      <c r="B160" s="358" t="s">
        <v>262</v>
      </c>
      <c r="C160" s="356" t="s">
        <v>19</v>
      </c>
      <c r="D160" s="348">
        <v>86</v>
      </c>
    </row>
    <row r="161" spans="1:45" s="1533" customFormat="1" ht="24.75" customHeight="1" outlineLevel="1" x14ac:dyDescent="0.2">
      <c r="A161" s="1527" t="s">
        <v>265</v>
      </c>
      <c r="B161" s="1528" t="s">
        <v>1467</v>
      </c>
      <c r="C161" s="1527"/>
      <c r="D161" s="1763"/>
      <c r="E161" s="1544"/>
      <c r="F161" s="1544"/>
      <c r="G161" s="1544"/>
      <c r="H161" s="1544"/>
      <c r="I161" s="1544"/>
      <c r="J161" s="1544"/>
      <c r="K161" s="1544"/>
      <c r="L161" s="1544"/>
      <c r="M161" s="1544"/>
      <c r="N161" s="1544"/>
      <c r="O161" s="1544"/>
      <c r="P161" s="1544"/>
      <c r="Q161" s="1544"/>
      <c r="R161" s="1544"/>
      <c r="S161" s="1544"/>
      <c r="T161" s="1544"/>
      <c r="U161" s="1544"/>
      <c r="V161" s="1544"/>
      <c r="W161" s="1544"/>
      <c r="X161" s="1544"/>
      <c r="Y161" s="1544"/>
      <c r="Z161" s="1544"/>
      <c r="AA161" s="1544"/>
      <c r="AB161" s="1544"/>
      <c r="AC161" s="1544"/>
      <c r="AD161" s="1544"/>
      <c r="AE161" s="1544"/>
      <c r="AF161" s="1544"/>
      <c r="AG161" s="1544"/>
      <c r="AH161" s="1544"/>
      <c r="AI161" s="1544"/>
      <c r="AJ161" s="1544"/>
      <c r="AK161" s="1544"/>
      <c r="AL161" s="1544"/>
      <c r="AM161" s="1544"/>
      <c r="AN161" s="1544"/>
      <c r="AO161" s="1544"/>
      <c r="AP161" s="1544"/>
      <c r="AQ161" s="1544"/>
      <c r="AR161" s="1544"/>
      <c r="AS161" s="1544"/>
    </row>
    <row r="162" spans="1:45" ht="25.5" outlineLevel="1" x14ac:dyDescent="0.2">
      <c r="A162" s="346" t="s">
        <v>266</v>
      </c>
      <c r="B162" s="358" t="s">
        <v>103</v>
      </c>
      <c r="C162" s="356" t="s">
        <v>19</v>
      </c>
      <c r="D162" s="348">
        <v>24</v>
      </c>
    </row>
    <row r="163" spans="1:45" outlineLevel="1" x14ac:dyDescent="0.2">
      <c r="A163" s="346" t="s">
        <v>267</v>
      </c>
      <c r="B163" s="347" t="s">
        <v>105</v>
      </c>
      <c r="C163" s="356" t="s">
        <v>14</v>
      </c>
      <c r="D163" s="348">
        <v>15</v>
      </c>
    </row>
    <row r="164" spans="1:45" ht="51" outlineLevel="1" x14ac:dyDescent="0.2">
      <c r="A164" s="346" t="s">
        <v>268</v>
      </c>
      <c r="B164" s="358" t="s">
        <v>1468</v>
      </c>
      <c r="C164" s="356" t="s">
        <v>14</v>
      </c>
      <c r="D164" s="348">
        <v>15</v>
      </c>
    </row>
    <row r="165" spans="1:45" outlineLevel="1" x14ac:dyDescent="0.2">
      <c r="A165" s="346" t="s">
        <v>269</v>
      </c>
      <c r="B165" s="347" t="s">
        <v>109</v>
      </c>
      <c r="C165" s="356" t="s">
        <v>14</v>
      </c>
      <c r="D165" s="348">
        <v>9.39</v>
      </c>
    </row>
    <row r="166" spans="1:45" ht="51" outlineLevel="1" x14ac:dyDescent="0.2">
      <c r="A166" s="346" t="s">
        <v>270</v>
      </c>
      <c r="B166" s="396" t="s">
        <v>111</v>
      </c>
      <c r="C166" s="363" t="s">
        <v>6</v>
      </c>
      <c r="D166" s="369">
        <v>3</v>
      </c>
    </row>
    <row r="167" spans="1:45" ht="51" outlineLevel="1" x14ac:dyDescent="0.2">
      <c r="A167" s="346" t="s">
        <v>271</v>
      </c>
      <c r="B167" s="347" t="s">
        <v>117</v>
      </c>
      <c r="C167" s="363" t="s">
        <v>14</v>
      </c>
      <c r="D167" s="369">
        <v>54</v>
      </c>
    </row>
    <row r="168" spans="1:45" ht="38.25" outlineLevel="1" x14ac:dyDescent="0.2">
      <c r="A168" s="346" t="s">
        <v>272</v>
      </c>
      <c r="B168" s="358" t="s">
        <v>119</v>
      </c>
      <c r="C168" s="363" t="s">
        <v>6</v>
      </c>
      <c r="D168" s="369">
        <v>48</v>
      </c>
    </row>
    <row r="169" spans="1:45" ht="25.5" outlineLevel="1" x14ac:dyDescent="0.2">
      <c r="A169" s="346" t="s">
        <v>273</v>
      </c>
      <c r="B169" s="347" t="s">
        <v>121</v>
      </c>
      <c r="C169" s="363" t="s">
        <v>14</v>
      </c>
      <c r="D169" s="369">
        <v>375</v>
      </c>
    </row>
    <row r="170" spans="1:45" ht="51" outlineLevel="1" x14ac:dyDescent="0.2">
      <c r="A170" s="346" t="s">
        <v>274</v>
      </c>
      <c r="B170" s="396" t="s">
        <v>123</v>
      </c>
      <c r="C170" s="363" t="s">
        <v>6</v>
      </c>
      <c r="D170" s="369">
        <v>18</v>
      </c>
    </row>
    <row r="171" spans="1:45" ht="25.5" outlineLevel="1" x14ac:dyDescent="0.2">
      <c r="A171" s="346" t="s">
        <v>275</v>
      </c>
      <c r="B171" s="347" t="s">
        <v>125</v>
      </c>
      <c r="C171" s="363" t="s">
        <v>6</v>
      </c>
      <c r="D171" s="369">
        <v>18</v>
      </c>
    </row>
    <row r="172" spans="1:45" ht="51" outlineLevel="1" x14ac:dyDescent="0.2">
      <c r="A172" s="346" t="s">
        <v>276</v>
      </c>
      <c r="B172" s="396" t="s">
        <v>127</v>
      </c>
      <c r="C172" s="363" t="s">
        <v>6</v>
      </c>
      <c r="D172" s="369">
        <v>18</v>
      </c>
    </row>
    <row r="173" spans="1:45" ht="51" outlineLevel="1" x14ac:dyDescent="0.2">
      <c r="A173" s="346" t="s">
        <v>277</v>
      </c>
      <c r="B173" s="396" t="s">
        <v>129</v>
      </c>
      <c r="C173" s="363" t="s">
        <v>6</v>
      </c>
      <c r="D173" s="369">
        <v>18</v>
      </c>
    </row>
    <row r="174" spans="1:45" ht="25.5" outlineLevel="1" x14ac:dyDescent="0.2">
      <c r="A174" s="346" t="s">
        <v>278</v>
      </c>
      <c r="B174" s="347" t="s">
        <v>279</v>
      </c>
      <c r="C174" s="363" t="s">
        <v>6</v>
      </c>
      <c r="D174" s="369">
        <v>3</v>
      </c>
    </row>
    <row r="175" spans="1:45" ht="38.25" outlineLevel="1" x14ac:dyDescent="0.2">
      <c r="A175" s="346" t="s">
        <v>280</v>
      </c>
      <c r="B175" s="347" t="s">
        <v>133</v>
      </c>
      <c r="C175" s="363" t="s">
        <v>6</v>
      </c>
      <c r="D175" s="369">
        <v>12</v>
      </c>
    </row>
    <row r="176" spans="1:45" ht="25.5" outlineLevel="1" x14ac:dyDescent="0.2">
      <c r="A176" s="346" t="s">
        <v>281</v>
      </c>
      <c r="B176" s="347" t="s">
        <v>135</v>
      </c>
      <c r="C176" s="363" t="s">
        <v>14</v>
      </c>
      <c r="D176" s="369">
        <v>20</v>
      </c>
    </row>
    <row r="177" spans="1:45" outlineLevel="1" x14ac:dyDescent="0.2">
      <c r="A177" s="346" t="s">
        <v>282</v>
      </c>
      <c r="B177" s="397" t="s">
        <v>1469</v>
      </c>
      <c r="C177" s="363" t="s">
        <v>6</v>
      </c>
      <c r="D177" s="369">
        <v>18</v>
      </c>
    </row>
    <row r="178" spans="1:45" outlineLevel="1" x14ac:dyDescent="0.2">
      <c r="A178" s="346" t="s">
        <v>283</v>
      </c>
      <c r="B178" s="397" t="s">
        <v>1470</v>
      </c>
      <c r="C178" s="363" t="s">
        <v>6</v>
      </c>
      <c r="D178" s="369">
        <v>3</v>
      </c>
    </row>
    <row r="179" spans="1:45" ht="25.5" outlineLevel="1" x14ac:dyDescent="0.2">
      <c r="A179" s="346" t="s">
        <v>284</v>
      </c>
      <c r="B179" s="364" t="s">
        <v>141</v>
      </c>
      <c r="C179" s="363" t="s">
        <v>6</v>
      </c>
      <c r="D179" s="369">
        <v>1</v>
      </c>
    </row>
    <row r="180" spans="1:45" ht="25.5" outlineLevel="1" x14ac:dyDescent="0.2">
      <c r="A180" s="346" t="s">
        <v>285</v>
      </c>
      <c r="B180" s="398" t="s">
        <v>286</v>
      </c>
      <c r="C180" s="363" t="s">
        <v>6</v>
      </c>
      <c r="D180" s="369">
        <v>1</v>
      </c>
    </row>
    <row r="181" spans="1:45" s="1533" customFormat="1" ht="24.75" customHeight="1" outlineLevel="1" x14ac:dyDescent="0.2">
      <c r="A181" s="1527" t="s">
        <v>293</v>
      </c>
      <c r="B181" s="1528" t="s">
        <v>1528</v>
      </c>
      <c r="C181" s="1527"/>
      <c r="D181" s="1763"/>
      <c r="E181" s="1544"/>
      <c r="F181" s="1544"/>
      <c r="G181" s="1544"/>
      <c r="H181" s="1544"/>
      <c r="I181" s="1544"/>
      <c r="J181" s="1544"/>
      <c r="K181" s="1544"/>
      <c r="L181" s="1544"/>
      <c r="M181" s="1544"/>
      <c r="N181" s="1544"/>
      <c r="O181" s="1544"/>
      <c r="P181" s="1544"/>
      <c r="Q181" s="1544"/>
      <c r="R181" s="1544"/>
      <c r="S181" s="1544"/>
      <c r="T181" s="1544"/>
      <c r="U181" s="1544"/>
      <c r="V181" s="1544"/>
      <c r="W181" s="1544"/>
      <c r="X181" s="1544"/>
      <c r="Y181" s="1544"/>
      <c r="Z181" s="1544"/>
      <c r="AA181" s="1544"/>
      <c r="AB181" s="1544"/>
      <c r="AC181" s="1544"/>
      <c r="AD181" s="1544"/>
      <c r="AE181" s="1544"/>
      <c r="AF181" s="1544"/>
      <c r="AG181" s="1544"/>
      <c r="AH181" s="1544"/>
      <c r="AI181" s="1544"/>
      <c r="AJ181" s="1544"/>
      <c r="AK181" s="1544"/>
      <c r="AL181" s="1544"/>
      <c r="AM181" s="1544"/>
      <c r="AN181" s="1544"/>
      <c r="AO181" s="1544"/>
      <c r="AP181" s="1544"/>
      <c r="AQ181" s="1544"/>
      <c r="AR181" s="1544"/>
      <c r="AS181" s="1544"/>
    </row>
    <row r="182" spans="1:45" ht="38.25" outlineLevel="1" x14ac:dyDescent="0.2">
      <c r="A182" s="346" t="s">
        <v>295</v>
      </c>
      <c r="B182" s="358" t="s">
        <v>296</v>
      </c>
      <c r="C182" s="356" t="s">
        <v>6</v>
      </c>
      <c r="D182" s="348">
        <v>1</v>
      </c>
    </row>
    <row r="183" spans="1:45" ht="25.5" outlineLevel="1" x14ac:dyDescent="0.2">
      <c r="A183" s="346" t="s">
        <v>297</v>
      </c>
      <c r="B183" s="358" t="s">
        <v>298</v>
      </c>
      <c r="C183" s="356" t="s">
        <v>14</v>
      </c>
      <c r="D183" s="348">
        <v>486.00000000000006</v>
      </c>
    </row>
    <row r="184" spans="1:45" outlineLevel="1" x14ac:dyDescent="0.2">
      <c r="A184" s="346" t="s">
        <v>305</v>
      </c>
      <c r="B184" s="358" t="s">
        <v>195</v>
      </c>
      <c r="C184" s="356" t="s">
        <v>19</v>
      </c>
      <c r="D184" s="1764">
        <v>748</v>
      </c>
    </row>
    <row r="185" spans="1:45" s="1533" customFormat="1" ht="24.75" customHeight="1" outlineLevel="1" x14ac:dyDescent="0.2">
      <c r="A185" s="1527" t="s">
        <v>306</v>
      </c>
      <c r="B185" s="1528" t="s">
        <v>307</v>
      </c>
      <c r="C185" s="1527"/>
      <c r="D185" s="1763"/>
      <c r="E185" s="1544"/>
      <c r="F185" s="1544"/>
      <c r="G185" s="1544"/>
      <c r="H185" s="1544"/>
      <c r="I185" s="1544"/>
      <c r="J185" s="1544"/>
      <c r="K185" s="1544"/>
      <c r="L185" s="1544"/>
      <c r="M185" s="1544"/>
      <c r="N185" s="1544"/>
      <c r="O185" s="1544"/>
      <c r="P185" s="1544"/>
      <c r="Q185" s="1544"/>
      <c r="R185" s="1544"/>
      <c r="S185" s="1544"/>
      <c r="T185" s="1544"/>
      <c r="U185" s="1544"/>
      <c r="V185" s="1544"/>
      <c r="W185" s="1544"/>
      <c r="X185" s="1544"/>
      <c r="Y185" s="1544"/>
      <c r="Z185" s="1544"/>
      <c r="AA185" s="1544"/>
      <c r="AB185" s="1544"/>
      <c r="AC185" s="1544"/>
      <c r="AD185" s="1544"/>
      <c r="AE185" s="1544"/>
      <c r="AF185" s="1544"/>
      <c r="AG185" s="1544"/>
      <c r="AH185" s="1544"/>
      <c r="AI185" s="1544"/>
      <c r="AJ185" s="1544"/>
      <c r="AK185" s="1544"/>
      <c r="AL185" s="1544"/>
      <c r="AM185" s="1544"/>
      <c r="AN185" s="1544"/>
      <c r="AO185" s="1544"/>
      <c r="AP185" s="1544"/>
      <c r="AQ185" s="1544"/>
      <c r="AR185" s="1544"/>
      <c r="AS185" s="1544"/>
    </row>
    <row r="186" spans="1:45" ht="25.5" outlineLevel="1" x14ac:dyDescent="0.2">
      <c r="A186" s="346" t="s">
        <v>308</v>
      </c>
      <c r="B186" s="358" t="s">
        <v>309</v>
      </c>
      <c r="C186" s="356" t="s">
        <v>19</v>
      </c>
      <c r="D186" s="348">
        <v>175</v>
      </c>
    </row>
    <row r="187" spans="1:45" ht="25.5" outlineLevel="1" x14ac:dyDescent="0.2">
      <c r="A187" s="346" t="s">
        <v>310</v>
      </c>
      <c r="B187" s="347" t="s">
        <v>43</v>
      </c>
      <c r="C187" s="340" t="s">
        <v>6</v>
      </c>
      <c r="D187" s="348">
        <v>16</v>
      </c>
    </row>
    <row r="188" spans="1:45" ht="63.75" outlineLevel="1" x14ac:dyDescent="0.2">
      <c r="A188" s="346" t="s">
        <v>311</v>
      </c>
      <c r="B188" s="358" t="s">
        <v>45</v>
      </c>
      <c r="C188" s="361" t="s">
        <v>6</v>
      </c>
      <c r="D188" s="348">
        <v>16</v>
      </c>
    </row>
    <row r="189" spans="1:45" ht="25.5" outlineLevel="1" x14ac:dyDescent="0.2">
      <c r="A189" s="346" t="s">
        <v>312</v>
      </c>
      <c r="B189" s="347" t="s">
        <v>49</v>
      </c>
      <c r="C189" s="340" t="s">
        <v>14</v>
      </c>
      <c r="D189" s="348">
        <v>116</v>
      </c>
    </row>
    <row r="190" spans="1:45" ht="25.5" outlineLevel="1" x14ac:dyDescent="0.2">
      <c r="A190" s="346" t="s">
        <v>313</v>
      </c>
      <c r="B190" s="347" t="s">
        <v>314</v>
      </c>
      <c r="C190" s="340" t="s">
        <v>14</v>
      </c>
      <c r="D190" s="348">
        <v>195</v>
      </c>
    </row>
    <row r="191" spans="1:45" ht="25.5" outlineLevel="1" x14ac:dyDescent="0.2">
      <c r="A191" s="354" t="s">
        <v>315</v>
      </c>
      <c r="B191" s="347" t="s">
        <v>316</v>
      </c>
      <c r="C191" s="340" t="s">
        <v>19</v>
      </c>
      <c r="D191" s="348">
        <v>201</v>
      </c>
    </row>
    <row r="192" spans="1:45" ht="15" x14ac:dyDescent="0.25">
      <c r="D192" s="1645"/>
    </row>
    <row r="193" spans="1:45" x14ac:dyDescent="0.2">
      <c r="A193" s="377" t="s">
        <v>317</v>
      </c>
      <c r="B193" s="1877" t="s">
        <v>318</v>
      </c>
      <c r="C193" s="1877"/>
      <c r="D193" s="1877"/>
    </row>
    <row r="194" spans="1:45" s="1533" customFormat="1" ht="24.75" customHeight="1" outlineLevel="1" x14ac:dyDescent="0.2">
      <c r="A194" s="1527" t="s">
        <v>319</v>
      </c>
      <c r="B194" s="1528" t="s">
        <v>320</v>
      </c>
      <c r="C194" s="1527"/>
      <c r="D194" s="1763"/>
      <c r="E194" s="1544"/>
      <c r="F194" s="1544"/>
      <c r="G194" s="1544"/>
      <c r="H194" s="1544"/>
      <c r="I194" s="1544"/>
      <c r="J194" s="1544"/>
      <c r="K194" s="1544"/>
      <c r="L194" s="1544"/>
      <c r="M194" s="1544"/>
      <c r="N194" s="1544"/>
      <c r="O194" s="1544"/>
      <c r="P194" s="1544"/>
      <c r="Q194" s="1544"/>
      <c r="R194" s="1544"/>
      <c r="S194" s="1544"/>
      <c r="T194" s="1544"/>
      <c r="U194" s="1544"/>
      <c r="V194" s="1544"/>
      <c r="W194" s="1544"/>
      <c r="X194" s="1544"/>
      <c r="Y194" s="1544"/>
      <c r="Z194" s="1544"/>
      <c r="AA194" s="1544"/>
      <c r="AB194" s="1544"/>
      <c r="AC194" s="1544"/>
      <c r="AD194" s="1544"/>
      <c r="AE194" s="1544"/>
      <c r="AF194" s="1544"/>
      <c r="AG194" s="1544"/>
      <c r="AH194" s="1544"/>
      <c r="AI194" s="1544"/>
      <c r="AJ194" s="1544"/>
      <c r="AK194" s="1544"/>
      <c r="AL194" s="1544"/>
      <c r="AM194" s="1544"/>
      <c r="AN194" s="1544"/>
      <c r="AO194" s="1544"/>
      <c r="AP194" s="1544"/>
      <c r="AQ194" s="1544"/>
      <c r="AR194" s="1544"/>
      <c r="AS194" s="1544"/>
    </row>
    <row r="195" spans="1:45" ht="38.25" outlineLevel="1" x14ac:dyDescent="0.2">
      <c r="A195" s="346" t="s">
        <v>321</v>
      </c>
      <c r="B195" s="347" t="s">
        <v>222</v>
      </c>
      <c r="C195" s="340" t="s">
        <v>14</v>
      </c>
      <c r="D195" s="348">
        <v>29</v>
      </c>
    </row>
    <row r="196" spans="1:45" ht="25.5" outlineLevel="1" x14ac:dyDescent="0.2">
      <c r="A196" s="381" t="s">
        <v>322</v>
      </c>
      <c r="B196" s="347" t="s">
        <v>224</v>
      </c>
      <c r="C196" s="340" t="s">
        <v>19</v>
      </c>
      <c r="D196" s="348">
        <v>73</v>
      </c>
    </row>
    <row r="197" spans="1:45" outlineLevel="1" x14ac:dyDescent="0.2">
      <c r="A197" s="346" t="s">
        <v>323</v>
      </c>
      <c r="B197" s="358" t="s">
        <v>324</v>
      </c>
      <c r="C197" s="356" t="s">
        <v>19</v>
      </c>
      <c r="D197" s="356">
        <v>7</v>
      </c>
    </row>
    <row r="198" spans="1:45" outlineLevel="1" x14ac:dyDescent="0.2">
      <c r="A198" s="381" t="s">
        <v>325</v>
      </c>
      <c r="B198" s="358" t="s">
        <v>324</v>
      </c>
      <c r="C198" s="356" t="s">
        <v>14</v>
      </c>
      <c r="D198" s="356">
        <v>91</v>
      </c>
    </row>
    <row r="199" spans="1:45" ht="25.5" outlineLevel="1" x14ac:dyDescent="0.2">
      <c r="A199" s="381" t="s">
        <v>326</v>
      </c>
      <c r="B199" s="347" t="s">
        <v>327</v>
      </c>
      <c r="C199" s="356" t="s">
        <v>19</v>
      </c>
      <c r="D199" s="356">
        <v>7</v>
      </c>
    </row>
    <row r="200" spans="1:45" outlineLevel="1" x14ac:dyDescent="0.2">
      <c r="A200" s="381" t="s">
        <v>328</v>
      </c>
      <c r="B200" s="368" t="s">
        <v>88</v>
      </c>
      <c r="C200" s="367" t="s">
        <v>19</v>
      </c>
      <c r="D200" s="356">
        <v>189</v>
      </c>
    </row>
    <row r="201" spans="1:45" ht="25.5" outlineLevel="1" x14ac:dyDescent="0.2">
      <c r="A201" s="346" t="s">
        <v>329</v>
      </c>
      <c r="B201" s="358" t="s">
        <v>330</v>
      </c>
      <c r="C201" s="356" t="s">
        <v>19</v>
      </c>
      <c r="D201" s="356">
        <v>377</v>
      </c>
    </row>
    <row r="202" spans="1:45" ht="25.5" outlineLevel="1" x14ac:dyDescent="0.2">
      <c r="A202" s="381" t="s">
        <v>331</v>
      </c>
      <c r="B202" s="358" t="s">
        <v>1485</v>
      </c>
      <c r="C202" s="356" t="s">
        <v>14</v>
      </c>
      <c r="D202" s="356">
        <v>28</v>
      </c>
    </row>
    <row r="203" spans="1:45" ht="25.5" outlineLevel="1" x14ac:dyDescent="0.2">
      <c r="A203" s="346" t="s">
        <v>333</v>
      </c>
      <c r="B203" s="358" t="s">
        <v>1486</v>
      </c>
      <c r="C203" s="356" t="s">
        <v>14</v>
      </c>
      <c r="D203" s="356">
        <v>16</v>
      </c>
    </row>
    <row r="204" spans="1:45" ht="25.5" outlineLevel="1" x14ac:dyDescent="0.2">
      <c r="A204" s="381" t="s">
        <v>335</v>
      </c>
      <c r="B204" s="358" t="s">
        <v>1487</v>
      </c>
      <c r="C204" s="356" t="s">
        <v>14</v>
      </c>
      <c r="D204" s="356">
        <v>90</v>
      </c>
    </row>
    <row r="205" spans="1:45" outlineLevel="1" x14ac:dyDescent="0.2">
      <c r="A205" s="381" t="s">
        <v>337</v>
      </c>
      <c r="B205" s="347" t="s">
        <v>1488</v>
      </c>
      <c r="C205" s="356" t="s">
        <v>14</v>
      </c>
      <c r="D205" s="355">
        <v>29</v>
      </c>
    </row>
    <row r="206" spans="1:45" ht="25.5" outlineLevel="1" x14ac:dyDescent="0.2">
      <c r="A206" s="381" t="s">
        <v>339</v>
      </c>
      <c r="B206" s="358" t="s">
        <v>340</v>
      </c>
      <c r="C206" s="356" t="s">
        <v>19</v>
      </c>
      <c r="D206" s="355">
        <v>9</v>
      </c>
    </row>
    <row r="207" spans="1:45" s="1533" customFormat="1" ht="24.75" customHeight="1" outlineLevel="1" x14ac:dyDescent="0.2">
      <c r="A207" s="1527" t="s">
        <v>341</v>
      </c>
      <c r="B207" s="1528" t="s">
        <v>342</v>
      </c>
      <c r="C207" s="1527"/>
      <c r="D207" s="1763"/>
      <c r="E207" s="1544"/>
      <c r="F207" s="1544"/>
      <c r="G207" s="1544"/>
      <c r="H207" s="1544"/>
      <c r="I207" s="1544"/>
      <c r="J207" s="1544"/>
      <c r="K207" s="1544"/>
      <c r="L207" s="1544"/>
      <c r="M207" s="1544"/>
      <c r="N207" s="1544"/>
      <c r="O207" s="1544"/>
      <c r="P207" s="1544"/>
      <c r="Q207" s="1544"/>
      <c r="R207" s="1544"/>
      <c r="S207" s="1544"/>
      <c r="T207" s="1544"/>
      <c r="U207" s="1544"/>
      <c r="V207" s="1544"/>
      <c r="W207" s="1544"/>
      <c r="X207" s="1544"/>
      <c r="Y207" s="1544"/>
      <c r="Z207" s="1544"/>
      <c r="AA207" s="1544"/>
      <c r="AB207" s="1544"/>
      <c r="AC207" s="1544"/>
      <c r="AD207" s="1544"/>
      <c r="AE207" s="1544"/>
      <c r="AF207" s="1544"/>
      <c r="AG207" s="1544"/>
      <c r="AH207" s="1544"/>
      <c r="AI207" s="1544"/>
      <c r="AJ207" s="1544"/>
      <c r="AK207" s="1544"/>
      <c r="AL207" s="1544"/>
      <c r="AM207" s="1544"/>
      <c r="AN207" s="1544"/>
      <c r="AO207" s="1544"/>
      <c r="AP207" s="1544"/>
      <c r="AQ207" s="1544"/>
      <c r="AR207" s="1544"/>
      <c r="AS207" s="1544"/>
    </row>
    <row r="208" spans="1:45" outlineLevel="1" x14ac:dyDescent="0.2">
      <c r="A208" s="381" t="s">
        <v>343</v>
      </c>
      <c r="B208" s="347" t="s">
        <v>21</v>
      </c>
      <c r="C208" s="367" t="s">
        <v>19</v>
      </c>
      <c r="D208" s="356">
        <v>14</v>
      </c>
    </row>
    <row r="209" spans="1:45" outlineLevel="1" x14ac:dyDescent="0.2">
      <c r="A209" s="346" t="s">
        <v>344</v>
      </c>
      <c r="B209" s="358" t="s">
        <v>25</v>
      </c>
      <c r="C209" s="356" t="s">
        <v>19</v>
      </c>
      <c r="D209" s="356">
        <v>14</v>
      </c>
    </row>
    <row r="210" spans="1:45" outlineLevel="1" x14ac:dyDescent="0.2">
      <c r="A210" s="367" t="s">
        <v>346</v>
      </c>
      <c r="B210" s="347" t="s">
        <v>206</v>
      </c>
      <c r="C210" s="340" t="s">
        <v>19</v>
      </c>
      <c r="D210" s="356">
        <v>14</v>
      </c>
    </row>
    <row r="211" spans="1:45" ht="25.5" outlineLevel="1" x14ac:dyDescent="0.2">
      <c r="A211" s="354" t="s">
        <v>347</v>
      </c>
      <c r="B211" s="358" t="s">
        <v>208</v>
      </c>
      <c r="C211" s="356" t="s">
        <v>19</v>
      </c>
      <c r="D211" s="356">
        <v>15</v>
      </c>
    </row>
    <row r="212" spans="1:45" ht="25.5" outlineLevel="1" x14ac:dyDescent="0.2">
      <c r="A212" s="367" t="s">
        <v>348</v>
      </c>
      <c r="B212" s="365" t="s">
        <v>76</v>
      </c>
      <c r="C212" s="366" t="s">
        <v>19</v>
      </c>
      <c r="D212" s="356">
        <v>16</v>
      </c>
    </row>
    <row r="213" spans="1:45" outlineLevel="1" x14ac:dyDescent="0.2">
      <c r="A213" s="354" t="s">
        <v>349</v>
      </c>
      <c r="B213" s="347" t="s">
        <v>350</v>
      </c>
      <c r="C213" s="356" t="s">
        <v>6</v>
      </c>
      <c r="D213" s="356">
        <v>4</v>
      </c>
    </row>
    <row r="214" spans="1:45" ht="25.5" outlineLevel="1" x14ac:dyDescent="0.2">
      <c r="A214" s="367" t="s">
        <v>351</v>
      </c>
      <c r="B214" s="365" t="s">
        <v>352</v>
      </c>
      <c r="C214" s="356" t="s">
        <v>14</v>
      </c>
      <c r="D214" s="356">
        <v>27</v>
      </c>
    </row>
    <row r="215" spans="1:45" ht="25.5" outlineLevel="1" x14ac:dyDescent="0.2">
      <c r="A215" s="354" t="s">
        <v>353</v>
      </c>
      <c r="B215" s="365" t="s">
        <v>1489</v>
      </c>
      <c r="C215" s="356" t="s">
        <v>14</v>
      </c>
      <c r="D215" s="356">
        <v>34</v>
      </c>
    </row>
    <row r="216" spans="1:45" outlineLevel="1" x14ac:dyDescent="0.2">
      <c r="A216" s="367" t="s">
        <v>355</v>
      </c>
      <c r="B216" s="383" t="s">
        <v>63</v>
      </c>
      <c r="C216" s="361" t="s">
        <v>6</v>
      </c>
      <c r="D216" s="355">
        <v>4</v>
      </c>
    </row>
    <row r="217" spans="1:45" ht="25.5" outlineLevel="1" x14ac:dyDescent="0.2">
      <c r="A217" s="354" t="s">
        <v>356</v>
      </c>
      <c r="B217" s="360" t="s">
        <v>1490</v>
      </c>
      <c r="C217" s="356" t="s">
        <v>14</v>
      </c>
      <c r="D217" s="355">
        <v>24</v>
      </c>
    </row>
    <row r="218" spans="1:45" s="1533" customFormat="1" ht="24.75" customHeight="1" outlineLevel="1" x14ac:dyDescent="0.2">
      <c r="A218" s="1527" t="s">
        <v>358</v>
      </c>
      <c r="B218" s="1528" t="s">
        <v>234</v>
      </c>
      <c r="C218" s="1527"/>
      <c r="D218" s="1763"/>
      <c r="E218" s="1544"/>
      <c r="F218" s="1544"/>
      <c r="G218" s="1544"/>
      <c r="H218" s="1544"/>
      <c r="I218" s="1544"/>
      <c r="J218" s="1544"/>
      <c r="K218" s="1544"/>
      <c r="L218" s="1544"/>
      <c r="M218" s="1544"/>
      <c r="N218" s="1544"/>
      <c r="O218" s="1544"/>
      <c r="P218" s="1544"/>
      <c r="Q218" s="1544"/>
      <c r="R218" s="1544"/>
      <c r="S218" s="1544"/>
      <c r="T218" s="1544"/>
      <c r="U218" s="1544"/>
      <c r="V218" s="1544"/>
      <c r="W218" s="1544"/>
      <c r="X218" s="1544"/>
      <c r="Y218" s="1544"/>
      <c r="Z218" s="1544"/>
      <c r="AA218" s="1544"/>
      <c r="AB218" s="1544"/>
      <c r="AC218" s="1544"/>
      <c r="AD218" s="1544"/>
      <c r="AE218" s="1544"/>
      <c r="AF218" s="1544"/>
      <c r="AG218" s="1544"/>
      <c r="AH218" s="1544"/>
      <c r="AI218" s="1544"/>
      <c r="AJ218" s="1544"/>
      <c r="AK218" s="1544"/>
      <c r="AL218" s="1544"/>
      <c r="AM218" s="1544"/>
      <c r="AN218" s="1544"/>
      <c r="AO218" s="1544"/>
      <c r="AP218" s="1544"/>
      <c r="AQ218" s="1544"/>
      <c r="AR218" s="1544"/>
      <c r="AS218" s="1544"/>
    </row>
    <row r="219" spans="1:45" outlineLevel="1" x14ac:dyDescent="0.2">
      <c r="A219" s="367" t="s">
        <v>359</v>
      </c>
      <c r="B219" s="364" t="s">
        <v>84</v>
      </c>
      <c r="C219" s="367" t="s">
        <v>19</v>
      </c>
      <c r="D219" s="356">
        <v>7</v>
      </c>
    </row>
    <row r="220" spans="1:45" ht="38.25" outlineLevel="1" x14ac:dyDescent="0.2">
      <c r="A220" s="367" t="s">
        <v>360</v>
      </c>
      <c r="B220" s="368" t="s">
        <v>86</v>
      </c>
      <c r="C220" s="367" t="s">
        <v>19</v>
      </c>
      <c r="D220" s="356">
        <v>7</v>
      </c>
    </row>
    <row r="221" spans="1:45" outlineLevel="1" x14ac:dyDescent="0.2">
      <c r="A221" s="367" t="s">
        <v>361</v>
      </c>
      <c r="B221" s="368" t="s">
        <v>88</v>
      </c>
      <c r="C221" s="367" t="s">
        <v>19</v>
      </c>
      <c r="D221" s="356">
        <v>8</v>
      </c>
    </row>
    <row r="222" spans="1:45" outlineLevel="1" x14ac:dyDescent="0.2">
      <c r="A222" s="367" t="s">
        <v>362</v>
      </c>
      <c r="B222" s="364" t="s">
        <v>90</v>
      </c>
      <c r="C222" s="367" t="s">
        <v>19</v>
      </c>
      <c r="D222" s="356">
        <v>9</v>
      </c>
    </row>
    <row r="223" spans="1:45" outlineLevel="1" x14ac:dyDescent="0.2">
      <c r="A223" s="367" t="s">
        <v>363</v>
      </c>
      <c r="B223" s="368" t="s">
        <v>92</v>
      </c>
      <c r="C223" s="367" t="s">
        <v>19</v>
      </c>
      <c r="D223" s="356">
        <v>2</v>
      </c>
    </row>
    <row r="224" spans="1:45" outlineLevel="1" x14ac:dyDescent="0.2">
      <c r="A224" s="346" t="s">
        <v>364</v>
      </c>
      <c r="B224" s="364" t="s">
        <v>94</v>
      </c>
      <c r="C224" s="367" t="s">
        <v>19</v>
      </c>
      <c r="D224" s="356">
        <v>11</v>
      </c>
    </row>
    <row r="225" spans="1:45" outlineLevel="1" x14ac:dyDescent="0.2">
      <c r="A225" s="367" t="s">
        <v>365</v>
      </c>
      <c r="B225" s="364" t="s">
        <v>84</v>
      </c>
      <c r="C225" s="367" t="s">
        <v>14</v>
      </c>
      <c r="D225" s="356">
        <v>4</v>
      </c>
    </row>
    <row r="226" spans="1:45" ht="38.25" outlineLevel="1" x14ac:dyDescent="0.2">
      <c r="A226" s="346" t="s">
        <v>366</v>
      </c>
      <c r="B226" s="368" t="s">
        <v>86</v>
      </c>
      <c r="C226" s="367" t="s">
        <v>14</v>
      </c>
      <c r="D226" s="356">
        <v>3</v>
      </c>
    </row>
    <row r="227" spans="1:45" outlineLevel="1" x14ac:dyDescent="0.2">
      <c r="A227" s="367" t="s">
        <v>367</v>
      </c>
      <c r="B227" s="368" t="s">
        <v>88</v>
      </c>
      <c r="C227" s="367" t="s">
        <v>14</v>
      </c>
      <c r="D227" s="356">
        <v>4</v>
      </c>
    </row>
    <row r="228" spans="1:45" outlineLevel="1" x14ac:dyDescent="0.2">
      <c r="A228" s="346" t="s">
        <v>368</v>
      </c>
      <c r="B228" s="368" t="s">
        <v>98</v>
      </c>
      <c r="C228" s="367" t="s">
        <v>14</v>
      </c>
      <c r="D228" s="356">
        <v>6</v>
      </c>
    </row>
    <row r="229" spans="1:45" outlineLevel="1" x14ac:dyDescent="0.2">
      <c r="A229" s="367" t="s">
        <v>369</v>
      </c>
      <c r="B229" s="368" t="s">
        <v>92</v>
      </c>
      <c r="C229" s="367" t="s">
        <v>14</v>
      </c>
      <c r="D229" s="346">
        <v>1</v>
      </c>
    </row>
    <row r="230" spans="1:45" outlineLevel="1" x14ac:dyDescent="0.2">
      <c r="A230" s="346" t="s">
        <v>370</v>
      </c>
      <c r="B230" s="368" t="s">
        <v>371</v>
      </c>
      <c r="C230" s="367" t="s">
        <v>19</v>
      </c>
      <c r="D230" s="346">
        <v>18</v>
      </c>
    </row>
    <row r="231" spans="1:45" ht="25.5" outlineLevel="1" x14ac:dyDescent="0.2">
      <c r="A231" s="346" t="s">
        <v>372</v>
      </c>
      <c r="B231" s="368" t="s">
        <v>145</v>
      </c>
      <c r="C231" s="367" t="s">
        <v>19</v>
      </c>
      <c r="D231" s="346">
        <v>4</v>
      </c>
    </row>
    <row r="232" spans="1:45" outlineLevel="1" x14ac:dyDescent="0.2">
      <c r="A232" s="346" t="s">
        <v>373</v>
      </c>
      <c r="B232" s="368" t="s">
        <v>374</v>
      </c>
      <c r="C232" s="367" t="s">
        <v>19</v>
      </c>
      <c r="D232" s="346">
        <v>18</v>
      </c>
    </row>
    <row r="233" spans="1:45" s="1533" customFormat="1" ht="24.75" customHeight="1" outlineLevel="1" x14ac:dyDescent="0.2">
      <c r="A233" s="1527" t="s">
        <v>386</v>
      </c>
      <c r="B233" s="1528" t="s">
        <v>1467</v>
      </c>
      <c r="C233" s="1527"/>
      <c r="D233" s="1763"/>
      <c r="E233" s="1544"/>
      <c r="F233" s="1544"/>
      <c r="G233" s="1544"/>
      <c r="H233" s="1544"/>
      <c r="I233" s="1544"/>
      <c r="J233" s="1544"/>
      <c r="K233" s="1544"/>
      <c r="L233" s="1544"/>
      <c r="M233" s="1544"/>
      <c r="N233" s="1544"/>
      <c r="O233" s="1544"/>
      <c r="P233" s="1544"/>
      <c r="Q233" s="1544"/>
      <c r="R233" s="1544"/>
      <c r="S233" s="1544"/>
      <c r="T233" s="1544"/>
      <c r="U233" s="1544"/>
      <c r="V233" s="1544"/>
      <c r="W233" s="1544"/>
      <c r="X233" s="1544"/>
      <c r="Y233" s="1544"/>
      <c r="Z233" s="1544"/>
      <c r="AA233" s="1544"/>
      <c r="AB233" s="1544"/>
      <c r="AC233" s="1544"/>
      <c r="AD233" s="1544"/>
      <c r="AE233" s="1544"/>
      <c r="AF233" s="1544"/>
      <c r="AG233" s="1544"/>
      <c r="AH233" s="1544"/>
      <c r="AI233" s="1544"/>
      <c r="AJ233" s="1544"/>
      <c r="AK233" s="1544"/>
      <c r="AL233" s="1544"/>
      <c r="AM233" s="1544"/>
      <c r="AN233" s="1544"/>
      <c r="AO233" s="1544"/>
      <c r="AP233" s="1544"/>
      <c r="AQ233" s="1544"/>
      <c r="AR233" s="1544"/>
      <c r="AS233" s="1544"/>
    </row>
    <row r="234" spans="1:45" ht="25.5" outlineLevel="1" x14ac:dyDescent="0.2">
      <c r="A234" s="346" t="s">
        <v>387</v>
      </c>
      <c r="B234" s="358" t="s">
        <v>103</v>
      </c>
      <c r="C234" s="356" t="s">
        <v>19</v>
      </c>
      <c r="D234" s="346">
        <v>10</v>
      </c>
    </row>
    <row r="235" spans="1:45" outlineLevel="1" x14ac:dyDescent="0.2">
      <c r="A235" s="346" t="s">
        <v>388</v>
      </c>
      <c r="B235" s="347" t="s">
        <v>105</v>
      </c>
      <c r="C235" s="356" t="s">
        <v>14</v>
      </c>
      <c r="D235" s="346">
        <v>5</v>
      </c>
    </row>
    <row r="236" spans="1:45" ht="51" outlineLevel="1" x14ac:dyDescent="0.2">
      <c r="A236" s="346" t="s">
        <v>389</v>
      </c>
      <c r="B236" s="358" t="s">
        <v>1468</v>
      </c>
      <c r="C236" s="356" t="s">
        <v>14</v>
      </c>
      <c r="D236" s="346">
        <v>5</v>
      </c>
    </row>
    <row r="237" spans="1:45" outlineLevel="1" x14ac:dyDescent="0.2">
      <c r="A237" s="346" t="s">
        <v>390</v>
      </c>
      <c r="B237" s="347" t="s">
        <v>109</v>
      </c>
      <c r="C237" s="356" t="s">
        <v>14</v>
      </c>
      <c r="D237" s="346">
        <v>8</v>
      </c>
    </row>
    <row r="238" spans="1:45" ht="51" outlineLevel="1" x14ac:dyDescent="0.2">
      <c r="A238" s="346" t="s">
        <v>391</v>
      </c>
      <c r="B238" s="358" t="s">
        <v>111</v>
      </c>
      <c r="C238" s="363" t="s">
        <v>6</v>
      </c>
      <c r="D238" s="346">
        <v>1</v>
      </c>
    </row>
    <row r="239" spans="1:45" ht="51" outlineLevel="1" x14ac:dyDescent="0.2">
      <c r="A239" s="367" t="s">
        <v>392</v>
      </c>
      <c r="B239" s="347" t="s">
        <v>117</v>
      </c>
      <c r="C239" s="363" t="s">
        <v>14</v>
      </c>
      <c r="D239" s="346">
        <v>12</v>
      </c>
    </row>
    <row r="240" spans="1:45" ht="38.25" outlineLevel="1" x14ac:dyDescent="0.2">
      <c r="A240" s="367" t="s">
        <v>393</v>
      </c>
      <c r="B240" s="358" t="s">
        <v>119</v>
      </c>
      <c r="C240" s="363" t="s">
        <v>6</v>
      </c>
      <c r="D240" s="346">
        <v>7</v>
      </c>
    </row>
    <row r="241" spans="1:45" ht="25.5" outlineLevel="1" x14ac:dyDescent="0.2">
      <c r="A241" s="367" t="s">
        <v>394</v>
      </c>
      <c r="B241" s="347" t="s">
        <v>121</v>
      </c>
      <c r="C241" s="363" t="s">
        <v>14</v>
      </c>
      <c r="D241" s="346">
        <v>110</v>
      </c>
    </row>
    <row r="242" spans="1:45" ht="51" outlineLevel="1" x14ac:dyDescent="0.2">
      <c r="A242" s="367" t="s">
        <v>395</v>
      </c>
      <c r="B242" s="358" t="s">
        <v>123</v>
      </c>
      <c r="C242" s="363" t="s">
        <v>6</v>
      </c>
      <c r="D242" s="346">
        <v>7</v>
      </c>
    </row>
    <row r="243" spans="1:45" ht="25.5" outlineLevel="1" x14ac:dyDescent="0.2">
      <c r="A243" s="367" t="s">
        <v>396</v>
      </c>
      <c r="B243" s="347" t="s">
        <v>125</v>
      </c>
      <c r="C243" s="363" t="s">
        <v>6</v>
      </c>
      <c r="D243" s="346">
        <v>7</v>
      </c>
    </row>
    <row r="244" spans="1:45" ht="51" outlineLevel="1" x14ac:dyDescent="0.2">
      <c r="A244" s="367" t="s">
        <v>397</v>
      </c>
      <c r="B244" s="358" t="s">
        <v>127</v>
      </c>
      <c r="C244" s="363" t="s">
        <v>6</v>
      </c>
      <c r="D244" s="346">
        <v>7</v>
      </c>
    </row>
    <row r="245" spans="1:45" ht="51" outlineLevel="1" x14ac:dyDescent="0.2">
      <c r="A245" s="367" t="s">
        <v>398</v>
      </c>
      <c r="B245" s="347" t="s">
        <v>129</v>
      </c>
      <c r="C245" s="363" t="s">
        <v>6</v>
      </c>
      <c r="D245" s="346">
        <v>7</v>
      </c>
    </row>
    <row r="246" spans="1:45" ht="25.5" outlineLevel="1" x14ac:dyDescent="0.2">
      <c r="A246" s="367" t="s">
        <v>399</v>
      </c>
      <c r="B246" s="347" t="s">
        <v>279</v>
      </c>
      <c r="C246" s="363" t="s">
        <v>6</v>
      </c>
      <c r="D246" s="346">
        <v>1</v>
      </c>
    </row>
    <row r="247" spans="1:45" ht="38.25" outlineLevel="1" x14ac:dyDescent="0.2">
      <c r="A247" s="346" t="s">
        <v>400</v>
      </c>
      <c r="B247" s="347" t="s">
        <v>133</v>
      </c>
      <c r="C247" s="363" t="s">
        <v>6</v>
      </c>
      <c r="D247" s="346">
        <v>3</v>
      </c>
    </row>
    <row r="248" spans="1:45" ht="25.5" outlineLevel="1" x14ac:dyDescent="0.2">
      <c r="A248" s="367" t="s">
        <v>401</v>
      </c>
      <c r="B248" s="347" t="s">
        <v>135</v>
      </c>
      <c r="C248" s="363" t="s">
        <v>14</v>
      </c>
      <c r="D248" s="346">
        <v>5</v>
      </c>
    </row>
    <row r="249" spans="1:45" outlineLevel="1" x14ac:dyDescent="0.2">
      <c r="A249" s="346" t="s">
        <v>402</v>
      </c>
      <c r="B249" s="397" t="s">
        <v>1469</v>
      </c>
      <c r="C249" s="363" t="s">
        <v>6</v>
      </c>
      <c r="D249" s="346">
        <v>7</v>
      </c>
    </row>
    <row r="250" spans="1:45" outlineLevel="1" x14ac:dyDescent="0.2">
      <c r="A250" s="367" t="s">
        <v>403</v>
      </c>
      <c r="B250" s="397" t="s">
        <v>1470</v>
      </c>
      <c r="C250" s="363" t="s">
        <v>6</v>
      </c>
      <c r="D250" s="346">
        <v>1</v>
      </c>
    </row>
    <row r="251" spans="1:45" ht="25.5" outlineLevel="1" x14ac:dyDescent="0.2">
      <c r="A251" s="346" t="s">
        <v>404</v>
      </c>
      <c r="B251" s="364" t="s">
        <v>141</v>
      </c>
      <c r="C251" s="363" t="s">
        <v>6</v>
      </c>
      <c r="D251" s="346">
        <v>1</v>
      </c>
    </row>
    <row r="252" spans="1:45" ht="25.5" outlineLevel="1" x14ac:dyDescent="0.2">
      <c r="A252" s="367" t="s">
        <v>405</v>
      </c>
      <c r="B252" s="398" t="s">
        <v>286</v>
      </c>
      <c r="C252" s="363" t="s">
        <v>6</v>
      </c>
      <c r="D252" s="346">
        <v>1</v>
      </c>
    </row>
    <row r="253" spans="1:45" ht="25.5" outlineLevel="1" x14ac:dyDescent="0.2">
      <c r="A253" s="354" t="s">
        <v>406</v>
      </c>
      <c r="B253" s="358" t="s">
        <v>407</v>
      </c>
      <c r="C253" s="356" t="s">
        <v>6</v>
      </c>
      <c r="D253" s="346">
        <v>1</v>
      </c>
    </row>
    <row r="254" spans="1:45" ht="38.25" outlineLevel="1" x14ac:dyDescent="0.2">
      <c r="A254" s="367" t="s">
        <v>408</v>
      </c>
      <c r="B254" s="358" t="s">
        <v>409</v>
      </c>
      <c r="C254" s="356" t="s">
        <v>14</v>
      </c>
      <c r="D254" s="346">
        <v>1</v>
      </c>
    </row>
    <row r="255" spans="1:45" s="1533" customFormat="1" ht="24.75" customHeight="1" outlineLevel="1" x14ac:dyDescent="0.2">
      <c r="A255" s="1527" t="s">
        <v>410</v>
      </c>
      <c r="B255" s="1528" t="s">
        <v>294</v>
      </c>
      <c r="C255" s="1527"/>
      <c r="D255" s="1763"/>
      <c r="E255" s="1544"/>
      <c r="F255" s="1544"/>
      <c r="G255" s="1544"/>
      <c r="H255" s="1544"/>
      <c r="I255" s="1544"/>
      <c r="J255" s="1544"/>
      <c r="K255" s="1544"/>
      <c r="L255" s="1544"/>
      <c r="M255" s="1544"/>
      <c r="N255" s="1544"/>
      <c r="O255" s="1544"/>
      <c r="P255" s="1544"/>
      <c r="Q255" s="1544"/>
      <c r="R255" s="1544"/>
      <c r="S255" s="1544"/>
      <c r="T255" s="1544"/>
      <c r="U255" s="1544"/>
      <c r="V255" s="1544"/>
      <c r="W255" s="1544"/>
      <c r="X255" s="1544"/>
      <c r="Y255" s="1544"/>
      <c r="Z255" s="1544"/>
      <c r="AA255" s="1544"/>
      <c r="AB255" s="1544"/>
      <c r="AC255" s="1544"/>
      <c r="AD255" s="1544"/>
      <c r="AE255" s="1544"/>
      <c r="AF255" s="1544"/>
      <c r="AG255" s="1544"/>
      <c r="AH255" s="1544"/>
      <c r="AI255" s="1544"/>
      <c r="AJ255" s="1544"/>
      <c r="AK255" s="1544"/>
      <c r="AL255" s="1544"/>
      <c r="AM255" s="1544"/>
      <c r="AN255" s="1544"/>
      <c r="AO255" s="1544"/>
      <c r="AP255" s="1544"/>
      <c r="AQ255" s="1544"/>
      <c r="AR255" s="1544"/>
      <c r="AS255" s="1544"/>
    </row>
    <row r="256" spans="1:45" outlineLevel="1" x14ac:dyDescent="0.2">
      <c r="A256" s="346" t="s">
        <v>411</v>
      </c>
      <c r="B256" s="358" t="s">
        <v>412</v>
      </c>
      <c r="C256" s="356" t="s">
        <v>6</v>
      </c>
      <c r="D256" s="346">
        <v>6</v>
      </c>
    </row>
    <row r="257" spans="1:45" outlineLevel="1" x14ac:dyDescent="0.2">
      <c r="A257" s="346" t="s">
        <v>751</v>
      </c>
      <c r="B257" s="358" t="s">
        <v>195</v>
      </c>
      <c r="C257" s="356" t="s">
        <v>19</v>
      </c>
      <c r="D257" s="346">
        <v>380</v>
      </c>
    </row>
    <row r="258" spans="1:45" ht="15" x14ac:dyDescent="0.25">
      <c r="D258" s="1645"/>
    </row>
    <row r="259" spans="1:45" x14ac:dyDescent="0.2">
      <c r="A259" s="377" t="s">
        <v>413</v>
      </c>
      <c r="B259" s="1877" t="s">
        <v>414</v>
      </c>
      <c r="C259" s="1877"/>
      <c r="D259" s="1877"/>
    </row>
    <row r="260" spans="1:45" s="1533" customFormat="1" ht="24.75" customHeight="1" outlineLevel="1" x14ac:dyDescent="0.2">
      <c r="A260" s="1527" t="s">
        <v>415</v>
      </c>
      <c r="B260" s="1528" t="s">
        <v>416</v>
      </c>
      <c r="C260" s="1527"/>
      <c r="D260" s="1763"/>
      <c r="E260" s="1544"/>
      <c r="F260" s="1544"/>
      <c r="G260" s="1544"/>
      <c r="H260" s="1544"/>
      <c r="I260" s="1544"/>
      <c r="J260" s="1544"/>
      <c r="K260" s="1544"/>
      <c r="L260" s="1544"/>
      <c r="M260" s="1544"/>
      <c r="N260" s="1544"/>
      <c r="O260" s="1544"/>
      <c r="P260" s="1544"/>
      <c r="Q260" s="1544"/>
      <c r="R260" s="1544"/>
      <c r="S260" s="1544"/>
      <c r="T260" s="1544"/>
      <c r="U260" s="1544"/>
      <c r="V260" s="1544"/>
      <c r="W260" s="1544"/>
      <c r="X260" s="1544"/>
      <c r="Y260" s="1544"/>
      <c r="Z260" s="1544"/>
      <c r="AA260" s="1544"/>
      <c r="AB260" s="1544"/>
      <c r="AC260" s="1544"/>
      <c r="AD260" s="1544"/>
      <c r="AE260" s="1544"/>
      <c r="AF260" s="1544"/>
      <c r="AG260" s="1544"/>
      <c r="AH260" s="1544"/>
      <c r="AI260" s="1544"/>
      <c r="AJ260" s="1544"/>
      <c r="AK260" s="1544"/>
      <c r="AL260" s="1544"/>
      <c r="AM260" s="1544"/>
      <c r="AN260" s="1544"/>
      <c r="AO260" s="1544"/>
      <c r="AP260" s="1544"/>
      <c r="AQ260" s="1544"/>
      <c r="AR260" s="1544"/>
      <c r="AS260" s="1544"/>
    </row>
    <row r="261" spans="1:45" ht="25.5" outlineLevel="1" x14ac:dyDescent="0.2">
      <c r="A261" s="346" t="s">
        <v>417</v>
      </c>
      <c r="B261" s="347" t="s">
        <v>418</v>
      </c>
      <c r="C261" s="356" t="s">
        <v>19</v>
      </c>
      <c r="D261" s="1766">
        <v>20</v>
      </c>
    </row>
    <row r="262" spans="1:45" ht="89.25" outlineLevel="1" x14ac:dyDescent="0.2">
      <c r="A262" s="367" t="s">
        <v>419</v>
      </c>
      <c r="B262" s="358" t="s">
        <v>1491</v>
      </c>
      <c r="C262" s="340" t="s">
        <v>6</v>
      </c>
      <c r="D262" s="346">
        <v>113</v>
      </c>
    </row>
    <row r="263" spans="1:45" ht="89.25" outlineLevel="1" x14ac:dyDescent="0.2">
      <c r="A263" s="346" t="s">
        <v>420</v>
      </c>
      <c r="B263" s="358" t="s">
        <v>1492</v>
      </c>
      <c r="C263" s="340" t="s">
        <v>6</v>
      </c>
      <c r="D263" s="346">
        <v>16</v>
      </c>
    </row>
    <row r="264" spans="1:45" ht="89.25" outlineLevel="1" x14ac:dyDescent="0.2">
      <c r="A264" s="367" t="s">
        <v>421</v>
      </c>
      <c r="B264" s="358" t="s">
        <v>1493</v>
      </c>
      <c r="C264" s="340" t="s">
        <v>6</v>
      </c>
      <c r="D264" s="346">
        <v>6</v>
      </c>
    </row>
    <row r="265" spans="1:45" ht="51" outlineLevel="1" x14ac:dyDescent="0.2">
      <c r="A265" s="367" t="s">
        <v>422</v>
      </c>
      <c r="B265" s="384" t="s">
        <v>1494</v>
      </c>
      <c r="C265" s="340" t="s">
        <v>6</v>
      </c>
      <c r="D265" s="346">
        <v>5</v>
      </c>
    </row>
    <row r="266" spans="1:45" ht="25.5" outlineLevel="1" x14ac:dyDescent="0.2">
      <c r="A266" s="367" t="s">
        <v>424</v>
      </c>
      <c r="B266" s="358" t="s">
        <v>425</v>
      </c>
      <c r="C266" s="340" t="s">
        <v>19</v>
      </c>
      <c r="D266" s="346">
        <v>4</v>
      </c>
    </row>
    <row r="267" spans="1:45" ht="51" outlineLevel="1" x14ac:dyDescent="0.2">
      <c r="A267" s="367" t="s">
        <v>426</v>
      </c>
      <c r="B267" s="384" t="s">
        <v>1495</v>
      </c>
      <c r="C267" s="340" t="s">
        <v>6</v>
      </c>
      <c r="D267" s="346">
        <v>1</v>
      </c>
    </row>
    <row r="268" spans="1:45" s="1533" customFormat="1" ht="24.75" customHeight="1" outlineLevel="1" x14ac:dyDescent="0.2">
      <c r="A268" s="1527" t="s">
        <v>428</v>
      </c>
      <c r="B268" s="1528" t="s">
        <v>429</v>
      </c>
      <c r="C268" s="1527"/>
      <c r="D268" s="1763"/>
      <c r="E268" s="1544"/>
      <c r="F268" s="1544"/>
      <c r="G268" s="1544"/>
      <c r="H268" s="1544"/>
      <c r="I268" s="1544"/>
      <c r="J268" s="1544"/>
      <c r="K268" s="1544"/>
      <c r="L268" s="1544"/>
      <c r="M268" s="1544"/>
      <c r="N268" s="1544"/>
      <c r="O268" s="1544"/>
      <c r="P268" s="1544"/>
      <c r="Q268" s="1544"/>
      <c r="R268" s="1544"/>
      <c r="S268" s="1544"/>
      <c r="T268" s="1544"/>
      <c r="U268" s="1544"/>
      <c r="V268" s="1544"/>
      <c r="W268" s="1544"/>
      <c r="X268" s="1544"/>
      <c r="Y268" s="1544"/>
      <c r="Z268" s="1544"/>
      <c r="AA268" s="1544"/>
      <c r="AB268" s="1544"/>
      <c r="AC268" s="1544"/>
      <c r="AD268" s="1544"/>
      <c r="AE268" s="1544"/>
      <c r="AF268" s="1544"/>
      <c r="AG268" s="1544"/>
      <c r="AH268" s="1544"/>
      <c r="AI268" s="1544"/>
      <c r="AJ268" s="1544"/>
      <c r="AK268" s="1544"/>
      <c r="AL268" s="1544"/>
      <c r="AM268" s="1544"/>
      <c r="AN268" s="1544"/>
      <c r="AO268" s="1544"/>
      <c r="AP268" s="1544"/>
      <c r="AQ268" s="1544"/>
      <c r="AR268" s="1544"/>
      <c r="AS268" s="1544"/>
    </row>
    <row r="269" spans="1:45" ht="51" outlineLevel="1" x14ac:dyDescent="0.2">
      <c r="A269" s="354" t="s">
        <v>430</v>
      </c>
      <c r="B269" s="384" t="s">
        <v>431</v>
      </c>
      <c r="C269" s="340" t="s">
        <v>6</v>
      </c>
      <c r="D269" s="346">
        <v>37</v>
      </c>
    </row>
    <row r="270" spans="1:45" ht="51" outlineLevel="1" x14ac:dyDescent="0.2">
      <c r="A270" s="367" t="s">
        <v>432</v>
      </c>
      <c r="B270" s="384" t="s">
        <v>1496</v>
      </c>
      <c r="C270" s="340" t="s">
        <v>6</v>
      </c>
      <c r="D270" s="385">
        <v>2</v>
      </c>
    </row>
    <row r="271" spans="1:45" ht="51" outlineLevel="1" x14ac:dyDescent="0.2">
      <c r="A271" s="354" t="s">
        <v>434</v>
      </c>
      <c r="B271" s="384" t="s">
        <v>435</v>
      </c>
      <c r="C271" s="340" t="s">
        <v>6</v>
      </c>
      <c r="D271" s="385">
        <v>1</v>
      </c>
    </row>
    <row r="272" spans="1:45" ht="51" outlineLevel="1" x14ac:dyDescent="0.2">
      <c r="A272" s="367" t="s">
        <v>436</v>
      </c>
      <c r="B272" s="384" t="s">
        <v>437</v>
      </c>
      <c r="C272" s="340" t="s">
        <v>6</v>
      </c>
      <c r="D272" s="385">
        <v>15</v>
      </c>
    </row>
    <row r="273" spans="1:45" ht="51" outlineLevel="1" x14ac:dyDescent="0.2">
      <c r="A273" s="354" t="s">
        <v>438</v>
      </c>
      <c r="B273" s="384" t="s">
        <v>439</v>
      </c>
      <c r="C273" s="340" t="s">
        <v>6</v>
      </c>
      <c r="D273" s="385">
        <v>7</v>
      </c>
    </row>
    <row r="274" spans="1:45" ht="25.5" outlineLevel="1" x14ac:dyDescent="0.2">
      <c r="A274" s="354" t="s">
        <v>440</v>
      </c>
      <c r="B274" s="358" t="s">
        <v>441</v>
      </c>
      <c r="C274" s="356" t="s">
        <v>6</v>
      </c>
      <c r="D274" s="385">
        <v>5</v>
      </c>
    </row>
    <row r="275" spans="1:45" ht="51" outlineLevel="1" x14ac:dyDescent="0.2">
      <c r="A275" s="354" t="s">
        <v>442</v>
      </c>
      <c r="B275" s="400" t="s">
        <v>443</v>
      </c>
      <c r="C275" s="340" t="s">
        <v>6</v>
      </c>
      <c r="D275" s="385">
        <v>5</v>
      </c>
    </row>
    <row r="276" spans="1:45" s="1533" customFormat="1" ht="24.75" customHeight="1" outlineLevel="1" x14ac:dyDescent="0.2">
      <c r="A276" s="1527" t="s">
        <v>444</v>
      </c>
      <c r="B276" s="1528" t="s">
        <v>234</v>
      </c>
      <c r="C276" s="1527"/>
      <c r="D276" s="1763"/>
      <c r="E276" s="1544"/>
      <c r="F276" s="1544"/>
      <c r="G276" s="1544"/>
      <c r="H276" s="1544"/>
      <c r="I276" s="1544"/>
      <c r="J276" s="1544"/>
      <c r="K276" s="1544"/>
      <c r="L276" s="1544"/>
      <c r="M276" s="1544"/>
      <c r="N276" s="1544"/>
      <c r="O276" s="1544"/>
      <c r="P276" s="1544"/>
      <c r="Q276" s="1544"/>
      <c r="R276" s="1544"/>
      <c r="S276" s="1544"/>
      <c r="T276" s="1544"/>
      <c r="U276" s="1544"/>
      <c r="V276" s="1544"/>
      <c r="W276" s="1544"/>
      <c r="X276" s="1544"/>
      <c r="Y276" s="1544"/>
      <c r="Z276" s="1544"/>
      <c r="AA276" s="1544"/>
      <c r="AB276" s="1544"/>
      <c r="AC276" s="1544"/>
      <c r="AD276" s="1544"/>
      <c r="AE276" s="1544"/>
      <c r="AF276" s="1544"/>
      <c r="AG276" s="1544"/>
      <c r="AH276" s="1544"/>
      <c r="AI276" s="1544"/>
      <c r="AJ276" s="1544"/>
      <c r="AK276" s="1544"/>
      <c r="AL276" s="1544"/>
      <c r="AM276" s="1544"/>
      <c r="AN276" s="1544"/>
      <c r="AO276" s="1544"/>
      <c r="AP276" s="1544"/>
      <c r="AQ276" s="1544"/>
      <c r="AR276" s="1544"/>
      <c r="AS276" s="1544"/>
    </row>
    <row r="277" spans="1:45" outlineLevel="1" x14ac:dyDescent="0.2">
      <c r="A277" s="381" t="s">
        <v>445</v>
      </c>
      <c r="B277" s="364" t="s">
        <v>84</v>
      </c>
      <c r="C277" s="367" t="s">
        <v>19</v>
      </c>
      <c r="D277" s="385">
        <v>426</v>
      </c>
    </row>
    <row r="278" spans="1:45" ht="38.25" outlineLevel="1" x14ac:dyDescent="0.2">
      <c r="A278" s="386" t="s">
        <v>446</v>
      </c>
      <c r="B278" s="368" t="s">
        <v>86</v>
      </c>
      <c r="C278" s="367" t="s">
        <v>19</v>
      </c>
      <c r="D278" s="385">
        <v>355</v>
      </c>
    </row>
    <row r="279" spans="1:45" outlineLevel="1" x14ac:dyDescent="0.2">
      <c r="A279" s="386" t="s">
        <v>447</v>
      </c>
      <c r="B279" s="368" t="s">
        <v>88</v>
      </c>
      <c r="C279" s="367" t="s">
        <v>19</v>
      </c>
      <c r="D279" s="385">
        <v>568</v>
      </c>
    </row>
    <row r="280" spans="1:45" outlineLevel="1" x14ac:dyDescent="0.2">
      <c r="A280" s="386" t="s">
        <v>448</v>
      </c>
      <c r="B280" s="364" t="s">
        <v>90</v>
      </c>
      <c r="C280" s="367" t="s">
        <v>19</v>
      </c>
      <c r="D280" s="385">
        <v>710</v>
      </c>
    </row>
    <row r="281" spans="1:45" outlineLevel="1" x14ac:dyDescent="0.2">
      <c r="A281" s="386" t="s">
        <v>449</v>
      </c>
      <c r="B281" s="368" t="s">
        <v>92</v>
      </c>
      <c r="C281" s="367" t="s">
        <v>19</v>
      </c>
      <c r="D281" s="385">
        <v>497</v>
      </c>
    </row>
    <row r="282" spans="1:45" outlineLevel="1" x14ac:dyDescent="0.2">
      <c r="A282" s="386" t="s">
        <v>450</v>
      </c>
      <c r="B282" s="364" t="s">
        <v>94</v>
      </c>
      <c r="C282" s="367" t="s">
        <v>19</v>
      </c>
      <c r="D282" s="385">
        <v>474</v>
      </c>
    </row>
    <row r="283" spans="1:45" outlineLevel="1" x14ac:dyDescent="0.2">
      <c r="A283" s="367" t="s">
        <v>451</v>
      </c>
      <c r="B283" s="364" t="s">
        <v>84</v>
      </c>
      <c r="C283" s="367" t="s">
        <v>14</v>
      </c>
      <c r="D283" s="385">
        <v>281</v>
      </c>
    </row>
    <row r="284" spans="1:45" ht="38.25" outlineLevel="1" x14ac:dyDescent="0.2">
      <c r="A284" s="367" t="s">
        <v>452</v>
      </c>
      <c r="B284" s="368" t="s">
        <v>86</v>
      </c>
      <c r="C284" s="367" t="s">
        <v>14</v>
      </c>
      <c r="D284" s="385">
        <v>281</v>
      </c>
    </row>
    <row r="285" spans="1:45" outlineLevel="1" x14ac:dyDescent="0.2">
      <c r="A285" s="367" t="s">
        <v>453</v>
      </c>
      <c r="B285" s="368" t="s">
        <v>88</v>
      </c>
      <c r="C285" s="367" t="s">
        <v>14</v>
      </c>
      <c r="D285" s="385">
        <v>351</v>
      </c>
    </row>
    <row r="286" spans="1:45" outlineLevel="1" x14ac:dyDescent="0.2">
      <c r="A286" s="367" t="s">
        <v>454</v>
      </c>
      <c r="B286" s="368" t="s">
        <v>90</v>
      </c>
      <c r="C286" s="367" t="s">
        <v>14</v>
      </c>
      <c r="D286" s="385">
        <v>351</v>
      </c>
    </row>
    <row r="287" spans="1:45" outlineLevel="1" x14ac:dyDescent="0.2">
      <c r="A287" s="367" t="s">
        <v>455</v>
      </c>
      <c r="B287" s="368" t="s">
        <v>92</v>
      </c>
      <c r="C287" s="367" t="s">
        <v>14</v>
      </c>
      <c r="D287" s="385">
        <v>351</v>
      </c>
    </row>
    <row r="288" spans="1:45" s="1533" customFormat="1" ht="24.75" customHeight="1" outlineLevel="1" x14ac:dyDescent="0.2">
      <c r="A288" s="1527" t="s">
        <v>456</v>
      </c>
      <c r="B288" s="1528" t="s">
        <v>457</v>
      </c>
      <c r="C288" s="1527"/>
      <c r="D288" s="1529"/>
      <c r="E288" s="1544"/>
      <c r="F288" s="1544"/>
      <c r="G288" s="1544"/>
      <c r="H288" s="1544"/>
      <c r="I288" s="1544"/>
      <c r="J288" s="1544"/>
      <c r="K288" s="1544"/>
      <c r="L288" s="1544"/>
      <c r="M288" s="1544"/>
      <c r="N288" s="1544"/>
      <c r="O288" s="1544"/>
      <c r="P288" s="1544"/>
      <c r="Q288" s="1544"/>
      <c r="R288" s="1544"/>
      <c r="S288" s="1544"/>
      <c r="T288" s="1544"/>
      <c r="U288" s="1544"/>
      <c r="V288" s="1544"/>
      <c r="W288" s="1544"/>
      <c r="X288" s="1544"/>
      <c r="Y288" s="1544"/>
      <c r="Z288" s="1544"/>
      <c r="AA288" s="1544"/>
      <c r="AB288" s="1544"/>
      <c r="AC288" s="1544"/>
      <c r="AD288" s="1544"/>
      <c r="AE288" s="1544"/>
      <c r="AF288" s="1544"/>
      <c r="AG288" s="1544"/>
      <c r="AH288" s="1544"/>
      <c r="AI288" s="1544"/>
      <c r="AJ288" s="1544"/>
      <c r="AK288" s="1544"/>
      <c r="AL288" s="1544"/>
      <c r="AM288" s="1544"/>
      <c r="AN288" s="1544"/>
      <c r="AO288" s="1544"/>
      <c r="AP288" s="1544"/>
      <c r="AQ288" s="1544"/>
      <c r="AR288" s="1544"/>
      <c r="AS288" s="1544"/>
    </row>
    <row r="289" spans="1:4" ht="25.5" outlineLevel="1" x14ac:dyDescent="0.2">
      <c r="A289" s="386" t="s">
        <v>458</v>
      </c>
      <c r="B289" s="368" t="s">
        <v>459</v>
      </c>
      <c r="C289" s="340" t="s">
        <v>6</v>
      </c>
      <c r="D289" s="385">
        <v>4</v>
      </c>
    </row>
    <row r="290" spans="1:4" ht="25.5" outlineLevel="1" x14ac:dyDescent="0.2">
      <c r="A290" s="386" t="s">
        <v>460</v>
      </c>
      <c r="B290" s="347" t="s">
        <v>461</v>
      </c>
      <c r="C290" s="340" t="s">
        <v>6</v>
      </c>
      <c r="D290" s="385">
        <v>1</v>
      </c>
    </row>
    <row r="291" spans="1:4" outlineLevel="1" x14ac:dyDescent="0.2">
      <c r="A291" s="354" t="s">
        <v>462</v>
      </c>
      <c r="B291" s="368" t="s">
        <v>1497</v>
      </c>
      <c r="C291" s="340" t="s">
        <v>150</v>
      </c>
      <c r="D291" s="385">
        <v>25</v>
      </c>
    </row>
    <row r="292" spans="1:4" outlineLevel="1" x14ac:dyDescent="0.2">
      <c r="A292" s="354" t="s">
        <v>464</v>
      </c>
      <c r="B292" s="368" t="s">
        <v>465</v>
      </c>
      <c r="C292" s="340" t="s">
        <v>14</v>
      </c>
      <c r="D292" s="385">
        <v>16</v>
      </c>
    </row>
    <row r="293" spans="1:4" outlineLevel="1" x14ac:dyDescent="0.2">
      <c r="A293" s="354" t="s">
        <v>466</v>
      </c>
      <c r="B293" s="368" t="s">
        <v>467</v>
      </c>
      <c r="C293" s="340" t="s">
        <v>14</v>
      </c>
      <c r="D293" s="385">
        <v>16</v>
      </c>
    </row>
    <row r="294" spans="1:4" outlineLevel="1" x14ac:dyDescent="0.2">
      <c r="A294" s="354" t="s">
        <v>468</v>
      </c>
      <c r="B294" s="358" t="s">
        <v>469</v>
      </c>
      <c r="C294" s="356" t="s">
        <v>6</v>
      </c>
      <c r="D294" s="385">
        <v>4</v>
      </c>
    </row>
    <row r="295" spans="1:4" outlineLevel="1" x14ac:dyDescent="0.2">
      <c r="A295" s="354" t="s">
        <v>470</v>
      </c>
      <c r="B295" s="347" t="s">
        <v>1498</v>
      </c>
      <c r="C295" s="340" t="s">
        <v>14</v>
      </c>
      <c r="D295" s="385">
        <v>50</v>
      </c>
    </row>
    <row r="296" spans="1:4" outlineLevel="1" x14ac:dyDescent="0.2">
      <c r="A296" s="354" t="s">
        <v>472</v>
      </c>
      <c r="B296" s="347" t="s">
        <v>1499</v>
      </c>
      <c r="C296" s="340" t="s">
        <v>474</v>
      </c>
      <c r="D296" s="385">
        <v>25</v>
      </c>
    </row>
    <row r="297" spans="1:4" ht="38.25" outlineLevel="1" x14ac:dyDescent="0.2">
      <c r="A297" s="354" t="s">
        <v>475</v>
      </c>
      <c r="B297" s="347" t="s">
        <v>1500</v>
      </c>
      <c r="C297" s="340" t="s">
        <v>14</v>
      </c>
      <c r="D297" s="385">
        <v>30</v>
      </c>
    </row>
    <row r="298" spans="1:4" ht="38.25" outlineLevel="1" x14ac:dyDescent="0.2">
      <c r="A298" s="354" t="s">
        <v>477</v>
      </c>
      <c r="B298" s="347" t="s">
        <v>1501</v>
      </c>
      <c r="C298" s="340" t="s">
        <v>14</v>
      </c>
      <c r="D298" s="385">
        <v>25</v>
      </c>
    </row>
    <row r="299" spans="1:4" ht="25.5" outlineLevel="1" x14ac:dyDescent="0.2">
      <c r="A299" s="354" t="s">
        <v>479</v>
      </c>
      <c r="B299" s="347" t="s">
        <v>1502</v>
      </c>
      <c r="C299" s="340" t="s">
        <v>6</v>
      </c>
      <c r="D299" s="385">
        <v>5</v>
      </c>
    </row>
    <row r="300" spans="1:4" outlineLevel="1" x14ac:dyDescent="0.2">
      <c r="A300" s="354" t="s">
        <v>481</v>
      </c>
      <c r="B300" s="364" t="s">
        <v>482</v>
      </c>
      <c r="C300" s="367" t="s">
        <v>150</v>
      </c>
      <c r="D300" s="385">
        <v>2</v>
      </c>
    </row>
    <row r="301" spans="1:4" ht="38.25" outlineLevel="1" x14ac:dyDescent="0.2">
      <c r="A301" s="354" t="s">
        <v>483</v>
      </c>
      <c r="B301" s="347" t="s">
        <v>484</v>
      </c>
      <c r="C301" s="340" t="s">
        <v>14</v>
      </c>
      <c r="D301" s="385">
        <v>15</v>
      </c>
    </row>
    <row r="302" spans="1:4" ht="38.25" outlineLevel="1" x14ac:dyDescent="0.2">
      <c r="A302" s="354" t="s">
        <v>485</v>
      </c>
      <c r="B302" s="347" t="s">
        <v>1503</v>
      </c>
      <c r="C302" s="340" t="s">
        <v>14</v>
      </c>
      <c r="D302" s="385">
        <v>15</v>
      </c>
    </row>
    <row r="303" spans="1:4" ht="25.5" outlineLevel="1" x14ac:dyDescent="0.2">
      <c r="A303" s="354" t="s">
        <v>487</v>
      </c>
      <c r="B303" s="347" t="s">
        <v>488</v>
      </c>
      <c r="C303" s="340" t="s">
        <v>6</v>
      </c>
      <c r="D303" s="385">
        <v>2</v>
      </c>
    </row>
    <row r="304" spans="1:4" outlineLevel="1" x14ac:dyDescent="0.2">
      <c r="A304" s="354" t="s">
        <v>489</v>
      </c>
      <c r="B304" s="368" t="s">
        <v>490</v>
      </c>
      <c r="C304" s="340" t="s">
        <v>14</v>
      </c>
      <c r="D304" s="385">
        <v>1</v>
      </c>
    </row>
    <row r="305" spans="1:45" outlineLevel="1" x14ac:dyDescent="0.2">
      <c r="A305" s="354" t="s">
        <v>491</v>
      </c>
      <c r="B305" s="347" t="s">
        <v>1504</v>
      </c>
      <c r="C305" s="340" t="s">
        <v>14</v>
      </c>
      <c r="D305" s="385">
        <v>25</v>
      </c>
    </row>
    <row r="306" spans="1:45" outlineLevel="1" x14ac:dyDescent="0.2">
      <c r="A306" s="354" t="s">
        <v>493</v>
      </c>
      <c r="B306" s="368" t="s">
        <v>494</v>
      </c>
      <c r="C306" s="340" t="s">
        <v>6</v>
      </c>
      <c r="D306" s="385">
        <v>1</v>
      </c>
    </row>
    <row r="307" spans="1:45" s="1533" customFormat="1" ht="24.75" customHeight="1" outlineLevel="1" x14ac:dyDescent="0.2">
      <c r="A307" s="1527" t="s">
        <v>781</v>
      </c>
      <c r="B307" s="1528" t="s">
        <v>294</v>
      </c>
      <c r="C307" s="1527"/>
      <c r="D307" s="1763"/>
      <c r="E307" s="1544"/>
      <c r="F307" s="1544"/>
      <c r="G307" s="1544"/>
      <c r="H307" s="1544"/>
      <c r="I307" s="1544"/>
      <c r="J307" s="1544"/>
      <c r="K307" s="1544"/>
      <c r="L307" s="1544"/>
      <c r="M307" s="1544"/>
      <c r="N307" s="1544"/>
      <c r="O307" s="1544"/>
      <c r="P307" s="1544"/>
      <c r="Q307" s="1544"/>
      <c r="R307" s="1544"/>
      <c r="S307" s="1544"/>
      <c r="T307" s="1544"/>
      <c r="U307" s="1544"/>
      <c r="V307" s="1544"/>
      <c r="W307" s="1544"/>
      <c r="X307" s="1544"/>
      <c r="Y307" s="1544"/>
      <c r="Z307" s="1544"/>
      <c r="AA307" s="1544"/>
      <c r="AB307" s="1544"/>
      <c r="AC307" s="1544"/>
      <c r="AD307" s="1544"/>
      <c r="AE307" s="1544"/>
      <c r="AF307" s="1544"/>
      <c r="AG307" s="1544"/>
      <c r="AH307" s="1544"/>
      <c r="AI307" s="1544"/>
      <c r="AJ307" s="1544"/>
      <c r="AK307" s="1544"/>
      <c r="AL307" s="1544"/>
      <c r="AM307" s="1544"/>
      <c r="AN307" s="1544"/>
      <c r="AO307" s="1544"/>
      <c r="AP307" s="1544"/>
      <c r="AQ307" s="1544"/>
      <c r="AR307" s="1544"/>
      <c r="AS307" s="1544"/>
    </row>
    <row r="308" spans="1:45" outlineLevel="1" x14ac:dyDescent="0.2">
      <c r="A308" s="386" t="s">
        <v>496</v>
      </c>
      <c r="B308" s="347" t="s">
        <v>195</v>
      </c>
      <c r="C308" s="340" t="s">
        <v>19</v>
      </c>
      <c r="D308" s="385">
        <v>816</v>
      </c>
    </row>
    <row r="309" spans="1:45" ht="25.5" outlineLevel="1" x14ac:dyDescent="0.2">
      <c r="A309" s="386" t="s">
        <v>497</v>
      </c>
      <c r="B309" s="347" t="s">
        <v>1505</v>
      </c>
      <c r="C309" s="356" t="s">
        <v>14</v>
      </c>
      <c r="D309" s="385">
        <v>167</v>
      </c>
    </row>
    <row r="310" spans="1:45" ht="38.25" outlineLevel="1" x14ac:dyDescent="0.2">
      <c r="A310" s="386" t="s">
        <v>499</v>
      </c>
      <c r="B310" s="347" t="s">
        <v>500</v>
      </c>
      <c r="C310" s="356" t="s">
        <v>501</v>
      </c>
      <c r="D310" s="385">
        <v>1</v>
      </c>
    </row>
    <row r="311" spans="1:45" s="1533" customFormat="1" ht="24.75" customHeight="1" outlineLevel="1" x14ac:dyDescent="0.2">
      <c r="A311" s="1527" t="s">
        <v>518</v>
      </c>
      <c r="B311" s="1528" t="s">
        <v>1467</v>
      </c>
      <c r="C311" s="1527"/>
      <c r="D311" s="1763"/>
      <c r="E311" s="1544"/>
      <c r="F311" s="1544"/>
      <c r="G311" s="1544"/>
      <c r="H311" s="1544"/>
      <c r="I311" s="1544"/>
      <c r="J311" s="1544"/>
      <c r="K311" s="1544"/>
      <c r="L311" s="1544"/>
      <c r="M311" s="1544"/>
      <c r="N311" s="1544"/>
      <c r="O311" s="1544"/>
      <c r="P311" s="1544"/>
      <c r="Q311" s="1544"/>
      <c r="R311" s="1544"/>
      <c r="S311" s="1544"/>
      <c r="T311" s="1544"/>
      <c r="U311" s="1544"/>
      <c r="V311" s="1544"/>
      <c r="W311" s="1544"/>
      <c r="X311" s="1544"/>
      <c r="Y311" s="1544"/>
      <c r="Z311" s="1544"/>
      <c r="AA311" s="1544"/>
      <c r="AB311" s="1544"/>
      <c r="AC311" s="1544"/>
      <c r="AD311" s="1544"/>
      <c r="AE311" s="1544"/>
      <c r="AF311" s="1544"/>
      <c r="AG311" s="1544"/>
      <c r="AH311" s="1544"/>
      <c r="AI311" s="1544"/>
      <c r="AJ311" s="1544"/>
      <c r="AK311" s="1544"/>
      <c r="AL311" s="1544"/>
      <c r="AM311" s="1544"/>
      <c r="AN311" s="1544"/>
      <c r="AO311" s="1544"/>
      <c r="AP311" s="1544"/>
      <c r="AQ311" s="1544"/>
      <c r="AR311" s="1544"/>
      <c r="AS311" s="1544"/>
    </row>
    <row r="312" spans="1:45" ht="25.5" outlineLevel="1" x14ac:dyDescent="0.2">
      <c r="A312" s="346" t="s">
        <v>519</v>
      </c>
      <c r="B312" s="358" t="s">
        <v>103</v>
      </c>
      <c r="C312" s="356" t="s">
        <v>19</v>
      </c>
      <c r="D312" s="346">
        <v>10</v>
      </c>
    </row>
    <row r="313" spans="1:45" outlineLevel="1" x14ac:dyDescent="0.2">
      <c r="A313" s="346" t="s">
        <v>520</v>
      </c>
      <c r="B313" s="347" t="s">
        <v>105</v>
      </c>
      <c r="C313" s="356" t="s">
        <v>14</v>
      </c>
      <c r="D313" s="346">
        <v>5</v>
      </c>
    </row>
    <row r="314" spans="1:45" ht="51" outlineLevel="1" x14ac:dyDescent="0.2">
      <c r="A314" s="346" t="s">
        <v>521</v>
      </c>
      <c r="B314" s="358" t="s">
        <v>1468</v>
      </c>
      <c r="C314" s="356" t="s">
        <v>14</v>
      </c>
      <c r="D314" s="346">
        <v>5</v>
      </c>
    </row>
    <row r="315" spans="1:45" outlineLevel="1" x14ac:dyDescent="0.2">
      <c r="A315" s="346" t="s">
        <v>522</v>
      </c>
      <c r="B315" s="347" t="s">
        <v>109</v>
      </c>
      <c r="C315" s="356" t="s">
        <v>14</v>
      </c>
      <c r="D315" s="346">
        <v>8</v>
      </c>
    </row>
    <row r="316" spans="1:45" ht="51" outlineLevel="1" x14ac:dyDescent="0.2">
      <c r="A316" s="346" t="s">
        <v>523</v>
      </c>
      <c r="B316" s="358" t="s">
        <v>111</v>
      </c>
      <c r="C316" s="363" t="s">
        <v>6</v>
      </c>
      <c r="D316" s="346">
        <v>1</v>
      </c>
    </row>
    <row r="317" spans="1:45" ht="15" x14ac:dyDescent="0.25">
      <c r="D317" s="1645"/>
    </row>
    <row r="318" spans="1:45" x14ac:dyDescent="0.2">
      <c r="A318" s="377" t="s">
        <v>524</v>
      </c>
      <c r="B318" s="1877" t="s">
        <v>525</v>
      </c>
      <c r="C318" s="1877"/>
      <c r="D318" s="1877"/>
    </row>
    <row r="319" spans="1:45" s="1533" customFormat="1" ht="24.75" customHeight="1" outlineLevel="1" x14ac:dyDescent="0.2">
      <c r="A319" s="1527" t="s">
        <v>526</v>
      </c>
      <c r="B319" s="1528" t="s">
        <v>527</v>
      </c>
      <c r="C319" s="1527"/>
      <c r="D319" s="1763"/>
      <c r="E319" s="1544"/>
      <c r="F319" s="1544"/>
      <c r="G319" s="1544"/>
      <c r="H319" s="1544"/>
      <c r="I319" s="1544"/>
      <c r="J319" s="1544"/>
      <c r="K319" s="1544"/>
      <c r="L319" s="1544"/>
      <c r="M319" s="1544"/>
      <c r="N319" s="1544"/>
      <c r="O319" s="1544"/>
      <c r="P319" s="1544"/>
      <c r="Q319" s="1544"/>
      <c r="R319" s="1544"/>
      <c r="S319" s="1544"/>
      <c r="T319" s="1544"/>
      <c r="U319" s="1544"/>
      <c r="V319" s="1544"/>
      <c r="W319" s="1544"/>
      <c r="X319" s="1544"/>
      <c r="Y319" s="1544"/>
      <c r="Z319" s="1544"/>
      <c r="AA319" s="1544"/>
      <c r="AB319" s="1544"/>
      <c r="AC319" s="1544"/>
      <c r="AD319" s="1544"/>
      <c r="AE319" s="1544"/>
      <c r="AF319" s="1544"/>
      <c r="AG319" s="1544"/>
      <c r="AH319" s="1544"/>
      <c r="AI319" s="1544"/>
      <c r="AJ319" s="1544"/>
      <c r="AK319" s="1544"/>
      <c r="AL319" s="1544"/>
      <c r="AM319" s="1544"/>
      <c r="AN319" s="1544"/>
      <c r="AO319" s="1544"/>
      <c r="AP319" s="1544"/>
      <c r="AQ319" s="1544"/>
      <c r="AR319" s="1544"/>
      <c r="AS319" s="1544"/>
    </row>
    <row r="320" spans="1:45" ht="25.5" outlineLevel="1" x14ac:dyDescent="0.2">
      <c r="A320" s="354" t="s">
        <v>528</v>
      </c>
      <c r="B320" s="358" t="s">
        <v>529</v>
      </c>
      <c r="C320" s="356" t="s">
        <v>19</v>
      </c>
      <c r="D320" s="346">
        <v>22</v>
      </c>
    </row>
    <row r="321" spans="1:45" ht="25.5" outlineLevel="1" x14ac:dyDescent="0.2">
      <c r="A321" s="386" t="s">
        <v>530</v>
      </c>
      <c r="B321" s="358" t="s">
        <v>531</v>
      </c>
      <c r="C321" s="356" t="s">
        <v>19</v>
      </c>
      <c r="D321" s="355">
        <v>395</v>
      </c>
    </row>
    <row r="322" spans="1:45" outlineLevel="1" x14ac:dyDescent="0.2">
      <c r="A322" s="354" t="s">
        <v>532</v>
      </c>
      <c r="B322" s="358" t="s">
        <v>533</v>
      </c>
      <c r="C322" s="356" t="s">
        <v>19</v>
      </c>
      <c r="D322" s="355">
        <v>245</v>
      </c>
    </row>
    <row r="323" spans="1:45" ht="38.25" outlineLevel="1" x14ac:dyDescent="0.2">
      <c r="A323" s="386" t="s">
        <v>534</v>
      </c>
      <c r="B323" s="358" t="s">
        <v>86</v>
      </c>
      <c r="C323" s="356" t="s">
        <v>19</v>
      </c>
      <c r="D323" s="355">
        <v>245</v>
      </c>
    </row>
    <row r="324" spans="1:45" ht="25.5" outlineLevel="1" x14ac:dyDescent="0.2">
      <c r="A324" s="386" t="s">
        <v>535</v>
      </c>
      <c r="B324" s="358" t="s">
        <v>536</v>
      </c>
      <c r="C324" s="356" t="s">
        <v>19</v>
      </c>
      <c r="D324" s="355">
        <v>350</v>
      </c>
    </row>
    <row r="325" spans="1:45" ht="38.25" outlineLevel="1" x14ac:dyDescent="0.2">
      <c r="A325" s="354" t="s">
        <v>537</v>
      </c>
      <c r="B325" s="358" t="s">
        <v>1506</v>
      </c>
      <c r="C325" s="356" t="s">
        <v>19</v>
      </c>
      <c r="D325" s="355">
        <v>350</v>
      </c>
    </row>
    <row r="326" spans="1:45" s="1533" customFormat="1" ht="24.75" customHeight="1" outlineLevel="1" x14ac:dyDescent="0.2">
      <c r="A326" s="1527" t="s">
        <v>539</v>
      </c>
      <c r="B326" s="1528" t="s">
        <v>540</v>
      </c>
      <c r="C326" s="1527"/>
      <c r="D326" s="1763"/>
      <c r="E326" s="1544"/>
      <c r="F326" s="1544"/>
      <c r="G326" s="1544"/>
      <c r="H326" s="1544"/>
      <c r="I326" s="1544"/>
      <c r="J326" s="1544"/>
      <c r="K326" s="1544"/>
      <c r="L326" s="1544"/>
      <c r="M326" s="1544"/>
      <c r="N326" s="1544"/>
      <c r="O326" s="1544"/>
      <c r="P326" s="1544"/>
      <c r="Q326" s="1544"/>
      <c r="R326" s="1544"/>
      <c r="S326" s="1544"/>
      <c r="T326" s="1544"/>
      <c r="U326" s="1544"/>
      <c r="V326" s="1544"/>
      <c r="W326" s="1544"/>
      <c r="X326" s="1544"/>
      <c r="Y326" s="1544"/>
      <c r="Z326" s="1544"/>
      <c r="AA326" s="1544"/>
      <c r="AB326" s="1544"/>
      <c r="AC326" s="1544"/>
      <c r="AD326" s="1544"/>
      <c r="AE326" s="1544"/>
      <c r="AF326" s="1544"/>
      <c r="AG326" s="1544"/>
      <c r="AH326" s="1544"/>
      <c r="AI326" s="1544"/>
      <c r="AJ326" s="1544"/>
      <c r="AK326" s="1544"/>
      <c r="AL326" s="1544"/>
      <c r="AM326" s="1544"/>
      <c r="AN326" s="1544"/>
      <c r="AO326" s="1544"/>
      <c r="AP326" s="1544"/>
      <c r="AQ326" s="1544"/>
      <c r="AR326" s="1544"/>
      <c r="AS326" s="1544"/>
    </row>
    <row r="327" spans="1:45" outlineLevel="1" x14ac:dyDescent="0.2">
      <c r="A327" s="386" t="s">
        <v>541</v>
      </c>
      <c r="B327" s="358" t="s">
        <v>1507</v>
      </c>
      <c r="C327" s="356" t="s">
        <v>6</v>
      </c>
      <c r="D327" s="1766">
        <v>3</v>
      </c>
    </row>
    <row r="328" spans="1:45" ht="51" outlineLevel="1" x14ac:dyDescent="0.2">
      <c r="A328" s="354" t="s">
        <v>543</v>
      </c>
      <c r="B328" s="358" t="s">
        <v>544</v>
      </c>
      <c r="C328" s="340" t="s">
        <v>6</v>
      </c>
      <c r="D328" s="1766">
        <v>22</v>
      </c>
    </row>
    <row r="329" spans="1:45" ht="63.75" outlineLevel="1" x14ac:dyDescent="0.2">
      <c r="A329" s="386" t="s">
        <v>545</v>
      </c>
      <c r="B329" s="358" t="s">
        <v>546</v>
      </c>
      <c r="C329" s="356" t="s">
        <v>6</v>
      </c>
      <c r="D329" s="386">
        <v>3</v>
      </c>
    </row>
    <row r="330" spans="1:45" ht="38.25" outlineLevel="1" x14ac:dyDescent="0.2">
      <c r="A330" s="354" t="s">
        <v>547</v>
      </c>
      <c r="B330" s="358" t="s">
        <v>1508</v>
      </c>
      <c r="C330" s="356" t="s">
        <v>6</v>
      </c>
      <c r="D330" s="386">
        <v>3</v>
      </c>
    </row>
    <row r="331" spans="1:45" outlineLevel="1" x14ac:dyDescent="0.2">
      <c r="A331" s="386" t="s">
        <v>549</v>
      </c>
      <c r="B331" s="358" t="s">
        <v>550</v>
      </c>
      <c r="C331" s="356" t="s">
        <v>6</v>
      </c>
      <c r="D331" s="355">
        <v>12</v>
      </c>
    </row>
    <row r="332" spans="1:45" s="1533" customFormat="1" ht="24.75" customHeight="1" outlineLevel="1" x14ac:dyDescent="0.2">
      <c r="A332" s="1527" t="s">
        <v>551</v>
      </c>
      <c r="B332" s="1528" t="s">
        <v>234</v>
      </c>
      <c r="C332" s="1527"/>
      <c r="D332" s="1763"/>
      <c r="E332" s="1544"/>
      <c r="F332" s="1544"/>
      <c r="G332" s="1544"/>
      <c r="H332" s="1544"/>
      <c r="I332" s="1544"/>
      <c r="J332" s="1544"/>
      <c r="K332" s="1544"/>
      <c r="L332" s="1544"/>
      <c r="M332" s="1544"/>
      <c r="N332" s="1544"/>
      <c r="O332" s="1544"/>
      <c r="P332" s="1544"/>
      <c r="Q332" s="1544"/>
      <c r="R332" s="1544"/>
      <c r="S332" s="1544"/>
      <c r="T332" s="1544"/>
      <c r="U332" s="1544"/>
      <c r="V332" s="1544"/>
      <c r="W332" s="1544"/>
      <c r="X332" s="1544"/>
      <c r="Y332" s="1544"/>
      <c r="Z332" s="1544"/>
      <c r="AA332" s="1544"/>
      <c r="AB332" s="1544"/>
      <c r="AC332" s="1544"/>
      <c r="AD332" s="1544"/>
      <c r="AE332" s="1544"/>
      <c r="AF332" s="1544"/>
      <c r="AG332" s="1544"/>
      <c r="AH332" s="1544"/>
      <c r="AI332" s="1544"/>
      <c r="AJ332" s="1544"/>
      <c r="AK332" s="1544"/>
      <c r="AL332" s="1544"/>
      <c r="AM332" s="1544"/>
      <c r="AN332" s="1544"/>
      <c r="AO332" s="1544"/>
      <c r="AP332" s="1544"/>
      <c r="AQ332" s="1544"/>
      <c r="AR332" s="1544"/>
      <c r="AS332" s="1544"/>
    </row>
    <row r="333" spans="1:45" outlineLevel="1" x14ac:dyDescent="0.2">
      <c r="A333" s="354" t="s">
        <v>552</v>
      </c>
      <c r="B333" s="364" t="s">
        <v>84</v>
      </c>
      <c r="C333" s="367" t="s">
        <v>19</v>
      </c>
      <c r="D333" s="346">
        <v>191</v>
      </c>
    </row>
    <row r="334" spans="1:45" ht="38.25" outlineLevel="1" x14ac:dyDescent="0.2">
      <c r="A334" s="386" t="s">
        <v>553</v>
      </c>
      <c r="B334" s="368" t="s">
        <v>86</v>
      </c>
      <c r="C334" s="367" t="s">
        <v>19</v>
      </c>
      <c r="D334" s="346">
        <v>191</v>
      </c>
    </row>
    <row r="335" spans="1:45" outlineLevel="1" x14ac:dyDescent="0.2">
      <c r="A335" s="354" t="s">
        <v>554</v>
      </c>
      <c r="B335" s="368" t="s">
        <v>88</v>
      </c>
      <c r="C335" s="367" t="s">
        <v>19</v>
      </c>
      <c r="D335" s="346">
        <v>239</v>
      </c>
    </row>
    <row r="336" spans="1:45" outlineLevel="1" x14ac:dyDescent="0.2">
      <c r="A336" s="386" t="s">
        <v>555</v>
      </c>
      <c r="B336" s="364" t="s">
        <v>90</v>
      </c>
      <c r="C336" s="367" t="s">
        <v>19</v>
      </c>
      <c r="D336" s="346">
        <v>239</v>
      </c>
    </row>
    <row r="337" spans="1:45" outlineLevel="1" x14ac:dyDescent="0.2">
      <c r="A337" s="354" t="s">
        <v>556</v>
      </c>
      <c r="B337" s="368" t="s">
        <v>92</v>
      </c>
      <c r="C337" s="367" t="s">
        <v>19</v>
      </c>
      <c r="D337" s="346">
        <v>167</v>
      </c>
    </row>
    <row r="338" spans="1:45" outlineLevel="1" x14ac:dyDescent="0.2">
      <c r="A338" s="386" t="s">
        <v>557</v>
      </c>
      <c r="B338" s="401" t="s">
        <v>94</v>
      </c>
      <c r="C338" s="367" t="s">
        <v>19</v>
      </c>
      <c r="D338" s="346">
        <v>3</v>
      </c>
    </row>
    <row r="339" spans="1:45" outlineLevel="1" x14ac:dyDescent="0.2">
      <c r="A339" s="354" t="s">
        <v>558</v>
      </c>
      <c r="B339" s="364" t="s">
        <v>84</v>
      </c>
      <c r="C339" s="367" t="s">
        <v>14</v>
      </c>
      <c r="D339" s="346">
        <v>10</v>
      </c>
    </row>
    <row r="340" spans="1:45" ht="38.25" outlineLevel="1" x14ac:dyDescent="0.2">
      <c r="A340" s="386" t="s">
        <v>559</v>
      </c>
      <c r="B340" s="368" t="s">
        <v>86</v>
      </c>
      <c r="C340" s="367" t="s">
        <v>14</v>
      </c>
      <c r="D340" s="346">
        <v>10</v>
      </c>
    </row>
    <row r="341" spans="1:45" outlineLevel="1" x14ac:dyDescent="0.2">
      <c r="A341" s="354" t="s">
        <v>560</v>
      </c>
      <c r="B341" s="368" t="s">
        <v>88</v>
      </c>
      <c r="C341" s="367" t="s">
        <v>14</v>
      </c>
      <c r="D341" s="346">
        <v>10</v>
      </c>
    </row>
    <row r="342" spans="1:45" outlineLevel="1" x14ac:dyDescent="0.2">
      <c r="A342" s="386" t="s">
        <v>561</v>
      </c>
      <c r="B342" s="368" t="s">
        <v>98</v>
      </c>
      <c r="C342" s="367" t="s">
        <v>14</v>
      </c>
      <c r="D342" s="346">
        <v>10</v>
      </c>
    </row>
    <row r="343" spans="1:45" outlineLevel="1" x14ac:dyDescent="0.2">
      <c r="A343" s="354" t="s">
        <v>562</v>
      </c>
      <c r="B343" s="368" t="s">
        <v>92</v>
      </c>
      <c r="C343" s="367" t="s">
        <v>14</v>
      </c>
      <c r="D343" s="346">
        <v>10</v>
      </c>
    </row>
    <row r="344" spans="1:45" s="1533" customFormat="1" ht="24.75" customHeight="1" outlineLevel="1" x14ac:dyDescent="0.2">
      <c r="A344" s="1527" t="s">
        <v>563</v>
      </c>
      <c r="B344" s="1528" t="s">
        <v>564</v>
      </c>
      <c r="C344" s="1527"/>
      <c r="D344" s="1763"/>
      <c r="E344" s="1544"/>
      <c r="F344" s="1544"/>
      <c r="G344" s="1544"/>
      <c r="H344" s="1544"/>
      <c r="I344" s="1544"/>
      <c r="J344" s="1544"/>
      <c r="K344" s="1544"/>
      <c r="L344" s="1544"/>
      <c r="M344" s="1544"/>
      <c r="N344" s="1544"/>
      <c r="O344" s="1544"/>
      <c r="P344" s="1544"/>
      <c r="Q344" s="1544"/>
      <c r="R344" s="1544"/>
      <c r="S344" s="1544"/>
      <c r="T344" s="1544"/>
      <c r="U344" s="1544"/>
      <c r="V344" s="1544"/>
      <c r="W344" s="1544"/>
      <c r="X344" s="1544"/>
      <c r="Y344" s="1544"/>
      <c r="Z344" s="1544"/>
      <c r="AA344" s="1544"/>
      <c r="AB344" s="1544"/>
      <c r="AC344" s="1544"/>
      <c r="AD344" s="1544"/>
      <c r="AE344" s="1544"/>
      <c r="AF344" s="1544"/>
      <c r="AG344" s="1544"/>
      <c r="AH344" s="1544"/>
      <c r="AI344" s="1544"/>
      <c r="AJ344" s="1544"/>
      <c r="AK344" s="1544"/>
      <c r="AL344" s="1544"/>
      <c r="AM344" s="1544"/>
      <c r="AN344" s="1544"/>
      <c r="AO344" s="1544"/>
      <c r="AP344" s="1544"/>
      <c r="AQ344" s="1544"/>
      <c r="AR344" s="1544"/>
      <c r="AS344" s="1544"/>
    </row>
    <row r="345" spans="1:45" ht="38.25" outlineLevel="1" x14ac:dyDescent="0.2">
      <c r="A345" s="386" t="s">
        <v>565</v>
      </c>
      <c r="B345" s="388" t="s">
        <v>566</v>
      </c>
      <c r="C345" s="389" t="s">
        <v>19</v>
      </c>
      <c r="D345" s="1766">
        <v>245</v>
      </c>
    </row>
    <row r="346" spans="1:45" ht="25.5" outlineLevel="1" x14ac:dyDescent="0.2">
      <c r="A346" s="386" t="s">
        <v>567</v>
      </c>
      <c r="B346" s="368" t="s">
        <v>568</v>
      </c>
      <c r="C346" s="363" t="s">
        <v>14</v>
      </c>
      <c r="D346" s="346">
        <v>60</v>
      </c>
    </row>
    <row r="347" spans="1:45" outlineLevel="1" x14ac:dyDescent="0.2">
      <c r="A347" s="386" t="s">
        <v>571</v>
      </c>
      <c r="B347" s="358" t="s">
        <v>195</v>
      </c>
      <c r="C347" s="356" t="s">
        <v>19</v>
      </c>
      <c r="D347" s="346">
        <v>570</v>
      </c>
    </row>
    <row r="348" spans="1:45" outlineLevel="1" x14ac:dyDescent="0.2">
      <c r="A348" s="386" t="s">
        <v>572</v>
      </c>
      <c r="B348" s="358" t="s">
        <v>1509</v>
      </c>
      <c r="C348" s="356" t="s">
        <v>6</v>
      </c>
      <c r="D348" s="346">
        <v>6</v>
      </c>
    </row>
    <row r="349" spans="1:45" outlineLevel="1" x14ac:dyDescent="0.2">
      <c r="A349" s="386" t="s">
        <v>574</v>
      </c>
      <c r="B349" s="358" t="s">
        <v>1510</v>
      </c>
      <c r="C349" s="356" t="s">
        <v>6</v>
      </c>
      <c r="D349" s="346">
        <v>6</v>
      </c>
    </row>
    <row r="350" spans="1:45" ht="15" x14ac:dyDescent="0.25">
      <c r="D350" s="1645"/>
    </row>
    <row r="351" spans="1:45" x14ac:dyDescent="0.2">
      <c r="A351" s="377" t="s">
        <v>576</v>
      </c>
      <c r="B351" s="1877" t="s">
        <v>577</v>
      </c>
      <c r="C351" s="1877"/>
      <c r="D351" s="1877"/>
    </row>
    <row r="352" spans="1:45" s="1533" customFormat="1" ht="24.75" customHeight="1" outlineLevel="1" x14ac:dyDescent="0.2">
      <c r="A352" s="1527" t="s">
        <v>578</v>
      </c>
      <c r="B352" s="1528" t="s">
        <v>527</v>
      </c>
      <c r="C352" s="1527"/>
      <c r="D352" s="1763"/>
      <c r="E352" s="1544"/>
      <c r="F352" s="1544"/>
      <c r="G352" s="1544"/>
      <c r="H352" s="1544"/>
      <c r="I352" s="1544"/>
      <c r="J352" s="1544"/>
      <c r="K352" s="1544"/>
      <c r="L352" s="1544"/>
      <c r="M352" s="1544"/>
      <c r="N352" s="1544"/>
      <c r="O352" s="1544"/>
      <c r="P352" s="1544"/>
      <c r="Q352" s="1544"/>
      <c r="R352" s="1544"/>
      <c r="S352" s="1544"/>
      <c r="T352" s="1544"/>
      <c r="U352" s="1544"/>
      <c r="V352" s="1544"/>
      <c r="W352" s="1544"/>
      <c r="X352" s="1544"/>
      <c r="Y352" s="1544"/>
      <c r="Z352" s="1544"/>
      <c r="AA352" s="1544"/>
      <c r="AB352" s="1544"/>
      <c r="AC352" s="1544"/>
      <c r="AD352" s="1544"/>
      <c r="AE352" s="1544"/>
      <c r="AF352" s="1544"/>
      <c r="AG352" s="1544"/>
      <c r="AH352" s="1544"/>
      <c r="AI352" s="1544"/>
      <c r="AJ352" s="1544"/>
      <c r="AK352" s="1544"/>
      <c r="AL352" s="1544"/>
      <c r="AM352" s="1544"/>
      <c r="AN352" s="1544"/>
      <c r="AO352" s="1544"/>
      <c r="AP352" s="1544"/>
      <c r="AQ352" s="1544"/>
      <c r="AR352" s="1544"/>
      <c r="AS352" s="1544"/>
    </row>
    <row r="353" spans="1:45" ht="25.5" outlineLevel="1" x14ac:dyDescent="0.2">
      <c r="A353" s="386" t="s">
        <v>579</v>
      </c>
      <c r="B353" s="358" t="s">
        <v>529</v>
      </c>
      <c r="C353" s="356" t="s">
        <v>19</v>
      </c>
      <c r="D353" s="346">
        <v>33</v>
      </c>
    </row>
    <row r="354" spans="1:45" ht="25.5" outlineLevel="1" x14ac:dyDescent="0.2">
      <c r="A354" s="354" t="s">
        <v>580</v>
      </c>
      <c r="B354" s="358" t="s">
        <v>531</v>
      </c>
      <c r="C354" s="356" t="s">
        <v>19</v>
      </c>
      <c r="D354" s="346">
        <v>33</v>
      </c>
    </row>
    <row r="355" spans="1:45" ht="25.5" outlineLevel="1" x14ac:dyDescent="0.2">
      <c r="A355" s="386" t="s">
        <v>581</v>
      </c>
      <c r="B355" s="358" t="s">
        <v>582</v>
      </c>
      <c r="C355" s="356" t="s">
        <v>14</v>
      </c>
      <c r="D355" s="346">
        <v>5</v>
      </c>
    </row>
    <row r="356" spans="1:45" outlineLevel="1" x14ac:dyDescent="0.2">
      <c r="A356" s="354" t="s">
        <v>583</v>
      </c>
      <c r="B356" s="358" t="s">
        <v>533</v>
      </c>
      <c r="C356" s="356" t="s">
        <v>19</v>
      </c>
      <c r="D356" s="346">
        <v>20</v>
      </c>
    </row>
    <row r="357" spans="1:45" ht="25.5" outlineLevel="1" x14ac:dyDescent="0.2">
      <c r="A357" s="386" t="s">
        <v>584</v>
      </c>
      <c r="B357" s="358" t="s">
        <v>1511</v>
      </c>
      <c r="C357" s="356" t="s">
        <v>19</v>
      </c>
      <c r="D357" s="346">
        <v>33</v>
      </c>
    </row>
    <row r="358" spans="1:45" ht="25.5" outlineLevel="1" x14ac:dyDescent="0.2">
      <c r="A358" s="354" t="s">
        <v>586</v>
      </c>
      <c r="B358" s="358" t="s">
        <v>1512</v>
      </c>
      <c r="C358" s="356" t="s">
        <v>19</v>
      </c>
      <c r="D358" s="346">
        <v>33</v>
      </c>
    </row>
    <row r="359" spans="1:45" ht="38.25" outlineLevel="1" x14ac:dyDescent="0.2">
      <c r="A359" s="354" t="s">
        <v>588</v>
      </c>
      <c r="B359" s="358" t="s">
        <v>86</v>
      </c>
      <c r="C359" s="356" t="s">
        <v>19</v>
      </c>
      <c r="D359" s="346">
        <v>20</v>
      </c>
    </row>
    <row r="360" spans="1:45" s="1533" customFormat="1" ht="24.75" customHeight="1" outlineLevel="1" x14ac:dyDescent="0.2">
      <c r="A360" s="1527" t="s">
        <v>589</v>
      </c>
      <c r="B360" s="1528" t="s">
        <v>590</v>
      </c>
      <c r="C360" s="1527"/>
      <c r="D360" s="1763"/>
      <c r="E360" s="1544"/>
      <c r="F360" s="1544"/>
      <c r="G360" s="1544"/>
      <c r="H360" s="1544"/>
      <c r="I360" s="1544"/>
      <c r="J360" s="1544"/>
      <c r="K360" s="1544"/>
      <c r="L360" s="1544"/>
      <c r="M360" s="1544"/>
      <c r="N360" s="1544"/>
      <c r="O360" s="1544"/>
      <c r="P360" s="1544"/>
      <c r="Q360" s="1544"/>
      <c r="R360" s="1544"/>
      <c r="S360" s="1544"/>
      <c r="T360" s="1544"/>
      <c r="U360" s="1544"/>
      <c r="V360" s="1544"/>
      <c r="W360" s="1544"/>
      <c r="X360" s="1544"/>
      <c r="Y360" s="1544"/>
      <c r="Z360" s="1544"/>
      <c r="AA360" s="1544"/>
      <c r="AB360" s="1544"/>
      <c r="AC360" s="1544"/>
      <c r="AD360" s="1544"/>
      <c r="AE360" s="1544"/>
      <c r="AF360" s="1544"/>
      <c r="AG360" s="1544"/>
      <c r="AH360" s="1544"/>
      <c r="AI360" s="1544"/>
      <c r="AJ360" s="1544"/>
      <c r="AK360" s="1544"/>
      <c r="AL360" s="1544"/>
      <c r="AM360" s="1544"/>
      <c r="AN360" s="1544"/>
      <c r="AO360" s="1544"/>
      <c r="AP360" s="1544"/>
      <c r="AQ360" s="1544"/>
      <c r="AR360" s="1544"/>
      <c r="AS360" s="1544"/>
    </row>
    <row r="361" spans="1:45" ht="25.5" outlineLevel="1" x14ac:dyDescent="0.2">
      <c r="A361" s="386" t="s">
        <v>591</v>
      </c>
      <c r="B361" s="402" t="s">
        <v>1513</v>
      </c>
      <c r="C361" s="389" t="s">
        <v>14</v>
      </c>
      <c r="D361" s="346">
        <v>20</v>
      </c>
    </row>
    <row r="362" spans="1:45" outlineLevel="1" x14ac:dyDescent="0.2">
      <c r="A362" s="386" t="s">
        <v>593</v>
      </c>
      <c r="B362" s="364" t="s">
        <v>84</v>
      </c>
      <c r="C362" s="367" t="s">
        <v>19</v>
      </c>
      <c r="D362" s="346">
        <v>50</v>
      </c>
    </row>
    <row r="363" spans="1:45" ht="38.25" outlineLevel="1" x14ac:dyDescent="0.2">
      <c r="A363" s="386" t="s">
        <v>594</v>
      </c>
      <c r="B363" s="358" t="s">
        <v>86</v>
      </c>
      <c r="C363" s="356" t="s">
        <v>19</v>
      </c>
      <c r="D363" s="346">
        <v>50</v>
      </c>
    </row>
    <row r="364" spans="1:45" outlineLevel="1" x14ac:dyDescent="0.2">
      <c r="A364" s="386" t="s">
        <v>595</v>
      </c>
      <c r="B364" s="358" t="s">
        <v>88</v>
      </c>
      <c r="C364" s="356" t="s">
        <v>19</v>
      </c>
      <c r="D364" s="346">
        <v>80</v>
      </c>
    </row>
    <row r="365" spans="1:45" outlineLevel="1" x14ac:dyDescent="0.2">
      <c r="A365" s="354" t="s">
        <v>596</v>
      </c>
      <c r="B365" s="358" t="s">
        <v>90</v>
      </c>
      <c r="C365" s="356" t="s">
        <v>19</v>
      </c>
      <c r="D365" s="346">
        <v>114</v>
      </c>
    </row>
    <row r="366" spans="1:45" outlineLevel="1" x14ac:dyDescent="0.2">
      <c r="A366" s="386" t="s">
        <v>597</v>
      </c>
      <c r="B366" s="358" t="s">
        <v>92</v>
      </c>
      <c r="C366" s="356" t="s">
        <v>19</v>
      </c>
      <c r="D366" s="346">
        <v>23</v>
      </c>
    </row>
    <row r="367" spans="1:45" outlineLevel="1" x14ac:dyDescent="0.2">
      <c r="A367" s="354" t="s">
        <v>598</v>
      </c>
      <c r="B367" s="358" t="s">
        <v>94</v>
      </c>
      <c r="C367" s="356" t="s">
        <v>19</v>
      </c>
      <c r="D367" s="346">
        <v>6</v>
      </c>
    </row>
    <row r="368" spans="1:45" outlineLevel="1" x14ac:dyDescent="0.2">
      <c r="A368" s="386" t="s">
        <v>599</v>
      </c>
      <c r="B368" s="358" t="s">
        <v>84</v>
      </c>
      <c r="C368" s="356" t="s">
        <v>14</v>
      </c>
      <c r="D368" s="346">
        <v>3</v>
      </c>
    </row>
    <row r="369" spans="1:45" ht="38.25" outlineLevel="1" x14ac:dyDescent="0.2">
      <c r="A369" s="354" t="s">
        <v>600</v>
      </c>
      <c r="B369" s="358" t="s">
        <v>86</v>
      </c>
      <c r="C369" s="356" t="s">
        <v>14</v>
      </c>
      <c r="D369" s="346">
        <v>3</v>
      </c>
    </row>
    <row r="370" spans="1:45" outlineLevel="1" x14ac:dyDescent="0.2">
      <c r="A370" s="386" t="s">
        <v>601</v>
      </c>
      <c r="B370" s="358" t="s">
        <v>88</v>
      </c>
      <c r="C370" s="356" t="s">
        <v>14</v>
      </c>
      <c r="D370" s="346">
        <v>3</v>
      </c>
    </row>
    <row r="371" spans="1:45" outlineLevel="1" x14ac:dyDescent="0.2">
      <c r="A371" s="354" t="s">
        <v>602</v>
      </c>
      <c r="B371" s="358" t="s">
        <v>98</v>
      </c>
      <c r="C371" s="356" t="s">
        <v>14</v>
      </c>
      <c r="D371" s="346">
        <v>3</v>
      </c>
    </row>
    <row r="372" spans="1:45" outlineLevel="1" x14ac:dyDescent="0.2">
      <c r="A372" s="386" t="s">
        <v>603</v>
      </c>
      <c r="B372" s="358" t="s">
        <v>92</v>
      </c>
      <c r="C372" s="356" t="s">
        <v>14</v>
      </c>
      <c r="D372" s="346">
        <v>3</v>
      </c>
    </row>
    <row r="373" spans="1:45" s="1533" customFormat="1" ht="24.75" customHeight="1" outlineLevel="1" x14ac:dyDescent="0.2">
      <c r="A373" s="1527" t="s">
        <v>604</v>
      </c>
      <c r="B373" s="1528" t="s">
        <v>1514</v>
      </c>
      <c r="C373" s="1527"/>
      <c r="D373" s="1763"/>
      <c r="E373" s="1544"/>
      <c r="F373" s="1544"/>
      <c r="G373" s="1544"/>
      <c r="H373" s="1544"/>
      <c r="I373" s="1544"/>
      <c r="J373" s="1544"/>
      <c r="K373" s="1544"/>
      <c r="L373" s="1544"/>
      <c r="M373" s="1544"/>
      <c r="N373" s="1544"/>
      <c r="O373" s="1544"/>
      <c r="P373" s="1544"/>
      <c r="Q373" s="1544"/>
      <c r="R373" s="1544"/>
      <c r="S373" s="1544"/>
      <c r="T373" s="1544"/>
      <c r="U373" s="1544"/>
      <c r="V373" s="1544"/>
      <c r="W373" s="1544"/>
      <c r="X373" s="1544"/>
      <c r="Y373" s="1544"/>
      <c r="Z373" s="1544"/>
      <c r="AA373" s="1544"/>
      <c r="AB373" s="1544"/>
      <c r="AC373" s="1544"/>
      <c r="AD373" s="1544"/>
      <c r="AE373" s="1544"/>
      <c r="AF373" s="1544"/>
      <c r="AG373" s="1544"/>
      <c r="AH373" s="1544"/>
      <c r="AI373" s="1544"/>
      <c r="AJ373" s="1544"/>
      <c r="AK373" s="1544"/>
      <c r="AL373" s="1544"/>
      <c r="AM373" s="1544"/>
      <c r="AN373" s="1544"/>
      <c r="AO373" s="1544"/>
      <c r="AP373" s="1544"/>
      <c r="AQ373" s="1544"/>
      <c r="AR373" s="1544"/>
      <c r="AS373" s="1544"/>
    </row>
    <row r="374" spans="1:45" outlineLevel="1" x14ac:dyDescent="0.2">
      <c r="A374" s="386" t="s">
        <v>606</v>
      </c>
      <c r="B374" s="388" t="s">
        <v>607</v>
      </c>
      <c r="C374" s="389" t="s">
        <v>19</v>
      </c>
      <c r="D374" s="346">
        <v>30</v>
      </c>
    </row>
    <row r="375" spans="1:45" ht="25.5" outlineLevel="1" x14ac:dyDescent="0.2">
      <c r="A375" s="386" t="s">
        <v>608</v>
      </c>
      <c r="B375" s="388" t="s">
        <v>609</v>
      </c>
      <c r="C375" s="389" t="s">
        <v>19</v>
      </c>
      <c r="D375" s="346">
        <v>30</v>
      </c>
    </row>
    <row r="376" spans="1:45" outlineLevel="1" x14ac:dyDescent="0.2">
      <c r="A376" s="386" t="s">
        <v>610</v>
      </c>
      <c r="B376" s="383" t="s">
        <v>59</v>
      </c>
      <c r="C376" s="403" t="s">
        <v>14</v>
      </c>
      <c r="D376" s="386">
        <v>23</v>
      </c>
    </row>
    <row r="377" spans="1:45" ht="25.5" outlineLevel="1" x14ac:dyDescent="0.2">
      <c r="A377" s="386" t="s">
        <v>611</v>
      </c>
      <c r="B377" s="358" t="s">
        <v>61</v>
      </c>
      <c r="C377" s="356" t="s">
        <v>14</v>
      </c>
      <c r="D377" s="385">
        <v>23</v>
      </c>
    </row>
    <row r="378" spans="1:45" s="1533" customFormat="1" ht="24.75" customHeight="1" outlineLevel="1" x14ac:dyDescent="0.2">
      <c r="A378" s="1527" t="s">
        <v>612</v>
      </c>
      <c r="B378" s="1528" t="s">
        <v>294</v>
      </c>
      <c r="C378" s="1527"/>
      <c r="D378" s="1763"/>
      <c r="E378" s="1544"/>
      <c r="F378" s="1544"/>
      <c r="G378" s="1544"/>
      <c r="H378" s="1544"/>
      <c r="I378" s="1544"/>
      <c r="J378" s="1544"/>
      <c r="K378" s="1544"/>
      <c r="L378" s="1544"/>
      <c r="M378" s="1544"/>
      <c r="N378" s="1544"/>
      <c r="O378" s="1544"/>
      <c r="P378" s="1544"/>
      <c r="Q378" s="1544"/>
      <c r="R378" s="1544"/>
      <c r="S378" s="1544"/>
      <c r="T378" s="1544"/>
      <c r="U378" s="1544"/>
      <c r="V378" s="1544"/>
      <c r="W378" s="1544"/>
      <c r="X378" s="1544"/>
      <c r="Y378" s="1544"/>
      <c r="Z378" s="1544"/>
      <c r="AA378" s="1544"/>
      <c r="AB378" s="1544"/>
      <c r="AC378" s="1544"/>
      <c r="AD378" s="1544"/>
      <c r="AE378" s="1544"/>
      <c r="AF378" s="1544"/>
      <c r="AG378" s="1544"/>
      <c r="AH378" s="1544"/>
      <c r="AI378" s="1544"/>
      <c r="AJ378" s="1544"/>
      <c r="AK378" s="1544"/>
      <c r="AL378" s="1544"/>
      <c r="AM378" s="1544"/>
      <c r="AN378" s="1544"/>
      <c r="AO378" s="1544"/>
      <c r="AP378" s="1544"/>
      <c r="AQ378" s="1544"/>
      <c r="AR378" s="1544"/>
      <c r="AS378" s="1544"/>
    </row>
    <row r="379" spans="1:45" outlineLevel="1" x14ac:dyDescent="0.2">
      <c r="A379" s="386" t="s">
        <v>613</v>
      </c>
      <c r="B379" s="358" t="s">
        <v>614</v>
      </c>
      <c r="C379" s="389" t="s">
        <v>19</v>
      </c>
      <c r="D379" s="385">
        <v>30</v>
      </c>
    </row>
    <row r="380" spans="1:45" outlineLevel="1" x14ac:dyDescent="0.2">
      <c r="A380" s="386" t="s">
        <v>615</v>
      </c>
      <c r="B380" s="358" t="s">
        <v>195</v>
      </c>
      <c r="C380" s="389" t="s">
        <v>19</v>
      </c>
      <c r="D380" s="385">
        <v>30</v>
      </c>
    </row>
    <row r="381" spans="1:45" ht="15" x14ac:dyDescent="0.25">
      <c r="D381" s="1645"/>
    </row>
    <row r="382" spans="1:45" x14ac:dyDescent="0.2">
      <c r="A382" s="377" t="s">
        <v>616</v>
      </c>
      <c r="B382" s="1877" t="s">
        <v>617</v>
      </c>
      <c r="C382" s="1877"/>
      <c r="D382" s="1877"/>
    </row>
    <row r="383" spans="1:45" s="1533" customFormat="1" ht="24.75" customHeight="1" outlineLevel="1" x14ac:dyDescent="0.2">
      <c r="A383" s="1527" t="s">
        <v>618</v>
      </c>
      <c r="B383" s="1528" t="s">
        <v>619</v>
      </c>
      <c r="C383" s="1527"/>
      <c r="D383" s="1763"/>
      <c r="E383" s="1544"/>
      <c r="F383" s="1544"/>
      <c r="G383" s="1544"/>
      <c r="H383" s="1544"/>
      <c r="I383" s="1544"/>
      <c r="J383" s="1544"/>
      <c r="K383" s="1544"/>
      <c r="L383" s="1544"/>
      <c r="M383" s="1544"/>
      <c r="N383" s="1544"/>
      <c r="O383" s="1544"/>
      <c r="P383" s="1544"/>
      <c r="Q383" s="1544"/>
      <c r="R383" s="1544"/>
      <c r="S383" s="1544"/>
      <c r="T383" s="1544"/>
      <c r="U383" s="1544"/>
      <c r="V383" s="1544"/>
      <c r="W383" s="1544"/>
      <c r="X383" s="1544"/>
      <c r="Y383" s="1544"/>
      <c r="Z383" s="1544"/>
      <c r="AA383" s="1544"/>
      <c r="AB383" s="1544"/>
      <c r="AC383" s="1544"/>
      <c r="AD383" s="1544"/>
      <c r="AE383" s="1544"/>
      <c r="AF383" s="1544"/>
      <c r="AG383" s="1544"/>
      <c r="AH383" s="1544"/>
      <c r="AI383" s="1544"/>
      <c r="AJ383" s="1544"/>
      <c r="AK383" s="1544"/>
      <c r="AL383" s="1544"/>
      <c r="AM383" s="1544"/>
      <c r="AN383" s="1544"/>
      <c r="AO383" s="1544"/>
      <c r="AP383" s="1544"/>
      <c r="AQ383" s="1544"/>
      <c r="AR383" s="1544"/>
      <c r="AS383" s="1544"/>
    </row>
    <row r="384" spans="1:45" ht="38.25" outlineLevel="1" x14ac:dyDescent="0.2">
      <c r="A384" s="346" t="s">
        <v>620</v>
      </c>
      <c r="B384" s="358" t="s">
        <v>621</v>
      </c>
      <c r="C384" s="356" t="s">
        <v>19</v>
      </c>
      <c r="D384" s="346">
        <v>17</v>
      </c>
    </row>
    <row r="385" spans="1:45" ht="38.25" outlineLevel="1" x14ac:dyDescent="0.2">
      <c r="A385" s="346" t="s">
        <v>622</v>
      </c>
      <c r="B385" s="360" t="s">
        <v>86</v>
      </c>
      <c r="C385" s="389" t="s">
        <v>19</v>
      </c>
      <c r="D385" s="346">
        <v>10</v>
      </c>
    </row>
    <row r="386" spans="1:45" outlineLevel="1" x14ac:dyDescent="0.2">
      <c r="A386" s="346" t="s">
        <v>623</v>
      </c>
      <c r="B386" s="358" t="s">
        <v>533</v>
      </c>
      <c r="C386" s="356" t="s">
        <v>19</v>
      </c>
      <c r="D386" s="346">
        <v>10</v>
      </c>
    </row>
    <row r="387" spans="1:45" ht="25.5" outlineLevel="1" x14ac:dyDescent="0.2">
      <c r="A387" s="346" t="s">
        <v>624</v>
      </c>
      <c r="B387" s="358" t="s">
        <v>536</v>
      </c>
      <c r="C387" s="356" t="s">
        <v>19</v>
      </c>
      <c r="D387" s="346">
        <v>17</v>
      </c>
    </row>
    <row r="388" spans="1:45" ht="38.25" outlineLevel="1" x14ac:dyDescent="0.2">
      <c r="A388" s="346" t="s">
        <v>625</v>
      </c>
      <c r="B388" s="358" t="s">
        <v>1506</v>
      </c>
      <c r="C388" s="356" t="s">
        <v>19</v>
      </c>
      <c r="D388" s="346">
        <v>17</v>
      </c>
    </row>
    <row r="389" spans="1:45" s="1533" customFormat="1" ht="24.75" customHeight="1" outlineLevel="1" x14ac:dyDescent="0.2">
      <c r="A389" s="1527" t="s">
        <v>626</v>
      </c>
      <c r="B389" s="1528" t="s">
        <v>627</v>
      </c>
      <c r="C389" s="1527"/>
      <c r="D389" s="1763"/>
      <c r="E389" s="1544"/>
      <c r="F389" s="1544"/>
      <c r="G389" s="1544"/>
      <c r="H389" s="1544"/>
      <c r="I389" s="1544"/>
      <c r="J389" s="1544"/>
      <c r="K389" s="1544"/>
      <c r="L389" s="1544"/>
      <c r="M389" s="1544"/>
      <c r="N389" s="1544"/>
      <c r="O389" s="1544"/>
      <c r="P389" s="1544"/>
      <c r="Q389" s="1544"/>
      <c r="R389" s="1544"/>
      <c r="S389" s="1544"/>
      <c r="T389" s="1544"/>
      <c r="U389" s="1544"/>
      <c r="V389" s="1544"/>
      <c r="W389" s="1544"/>
      <c r="X389" s="1544"/>
      <c r="Y389" s="1544"/>
      <c r="Z389" s="1544"/>
      <c r="AA389" s="1544"/>
      <c r="AB389" s="1544"/>
      <c r="AC389" s="1544"/>
      <c r="AD389" s="1544"/>
      <c r="AE389" s="1544"/>
      <c r="AF389" s="1544"/>
      <c r="AG389" s="1544"/>
      <c r="AH389" s="1544"/>
      <c r="AI389" s="1544"/>
      <c r="AJ389" s="1544"/>
      <c r="AK389" s="1544"/>
      <c r="AL389" s="1544"/>
      <c r="AM389" s="1544"/>
      <c r="AN389" s="1544"/>
      <c r="AO389" s="1544"/>
      <c r="AP389" s="1544"/>
      <c r="AQ389" s="1544"/>
      <c r="AR389" s="1544"/>
      <c r="AS389" s="1544"/>
    </row>
    <row r="390" spans="1:45" outlineLevel="1" x14ac:dyDescent="0.2">
      <c r="A390" s="386" t="s">
        <v>628</v>
      </c>
      <c r="B390" s="364" t="s">
        <v>84</v>
      </c>
      <c r="C390" s="367" t="s">
        <v>19</v>
      </c>
      <c r="D390" s="385">
        <v>192</v>
      </c>
    </row>
    <row r="391" spans="1:45" ht="38.25" outlineLevel="1" x14ac:dyDescent="0.2">
      <c r="A391" s="386" t="s">
        <v>629</v>
      </c>
      <c r="B391" s="368" t="s">
        <v>86</v>
      </c>
      <c r="C391" s="367" t="s">
        <v>19</v>
      </c>
      <c r="D391" s="385">
        <v>192</v>
      </c>
    </row>
    <row r="392" spans="1:45" outlineLevel="1" x14ac:dyDescent="0.2">
      <c r="A392" s="386" t="s">
        <v>630</v>
      </c>
      <c r="B392" s="368" t="s">
        <v>88</v>
      </c>
      <c r="C392" s="367" t="s">
        <v>19</v>
      </c>
      <c r="D392" s="385">
        <v>274</v>
      </c>
    </row>
    <row r="393" spans="1:45" outlineLevel="1" x14ac:dyDescent="0.2">
      <c r="A393" s="386" t="s">
        <v>631</v>
      </c>
      <c r="B393" s="364" t="s">
        <v>632</v>
      </c>
      <c r="C393" s="367" t="s">
        <v>19</v>
      </c>
      <c r="D393" s="385">
        <v>274</v>
      </c>
    </row>
    <row r="394" spans="1:45" outlineLevel="1" x14ac:dyDescent="0.2">
      <c r="A394" s="386" t="s">
        <v>633</v>
      </c>
      <c r="B394" s="368" t="s">
        <v>92</v>
      </c>
      <c r="C394" s="367" t="s">
        <v>19</v>
      </c>
      <c r="D394" s="385">
        <v>137</v>
      </c>
    </row>
    <row r="395" spans="1:45" outlineLevel="1" x14ac:dyDescent="0.2">
      <c r="A395" s="386" t="s">
        <v>634</v>
      </c>
      <c r="B395" s="364" t="s">
        <v>84</v>
      </c>
      <c r="C395" s="367" t="s">
        <v>14</v>
      </c>
      <c r="D395" s="385">
        <v>46</v>
      </c>
    </row>
    <row r="396" spans="1:45" ht="38.25" outlineLevel="1" x14ac:dyDescent="0.2">
      <c r="A396" s="386" t="s">
        <v>635</v>
      </c>
      <c r="B396" s="358" t="s">
        <v>636</v>
      </c>
      <c r="C396" s="356" t="s">
        <v>14</v>
      </c>
      <c r="D396" s="385">
        <v>46</v>
      </c>
    </row>
    <row r="397" spans="1:45" outlineLevel="1" x14ac:dyDescent="0.2">
      <c r="A397" s="386" t="s">
        <v>637</v>
      </c>
      <c r="B397" s="358" t="s">
        <v>88</v>
      </c>
      <c r="C397" s="356" t="s">
        <v>14</v>
      </c>
      <c r="D397" s="385">
        <v>46</v>
      </c>
    </row>
    <row r="398" spans="1:45" outlineLevel="1" x14ac:dyDescent="0.2">
      <c r="A398" s="386" t="s">
        <v>638</v>
      </c>
      <c r="B398" s="358" t="s">
        <v>639</v>
      </c>
      <c r="C398" s="356" t="s">
        <v>14</v>
      </c>
      <c r="D398" s="385">
        <v>65</v>
      </c>
    </row>
    <row r="399" spans="1:45" outlineLevel="1" x14ac:dyDescent="0.2">
      <c r="A399" s="386" t="s">
        <v>640</v>
      </c>
      <c r="B399" s="358" t="s">
        <v>92</v>
      </c>
      <c r="C399" s="356" t="s">
        <v>14</v>
      </c>
      <c r="D399" s="385">
        <v>20</v>
      </c>
    </row>
    <row r="400" spans="1:45" s="1533" customFormat="1" ht="24.75" customHeight="1" outlineLevel="1" x14ac:dyDescent="0.2">
      <c r="A400" s="1527" t="s">
        <v>641</v>
      </c>
      <c r="B400" s="1528" t="s">
        <v>642</v>
      </c>
      <c r="C400" s="1527"/>
      <c r="D400" s="1763"/>
      <c r="E400" s="1544"/>
      <c r="F400" s="1544"/>
      <c r="G400" s="1544"/>
      <c r="H400" s="1544"/>
      <c r="I400" s="1544"/>
      <c r="J400" s="1544"/>
      <c r="K400" s="1544"/>
      <c r="L400" s="1544"/>
      <c r="M400" s="1544"/>
      <c r="N400" s="1544"/>
      <c r="O400" s="1544"/>
      <c r="P400" s="1544"/>
      <c r="Q400" s="1544"/>
      <c r="R400" s="1544"/>
      <c r="S400" s="1544"/>
      <c r="T400" s="1544"/>
      <c r="U400" s="1544"/>
      <c r="V400" s="1544"/>
      <c r="W400" s="1544"/>
      <c r="X400" s="1544"/>
      <c r="Y400" s="1544"/>
      <c r="Z400" s="1544"/>
      <c r="AA400" s="1544"/>
      <c r="AB400" s="1544"/>
      <c r="AC400" s="1544"/>
      <c r="AD400" s="1544"/>
      <c r="AE400" s="1544"/>
      <c r="AF400" s="1544"/>
      <c r="AG400" s="1544"/>
      <c r="AH400" s="1544"/>
      <c r="AI400" s="1544"/>
      <c r="AJ400" s="1544"/>
      <c r="AK400" s="1544"/>
      <c r="AL400" s="1544"/>
      <c r="AM400" s="1544"/>
      <c r="AN400" s="1544"/>
      <c r="AO400" s="1544"/>
      <c r="AP400" s="1544"/>
      <c r="AQ400" s="1544"/>
      <c r="AR400" s="1544"/>
      <c r="AS400" s="1544"/>
    </row>
    <row r="401" spans="1:4" ht="25.5" outlineLevel="1" x14ac:dyDescent="0.2">
      <c r="A401" s="386" t="s">
        <v>643</v>
      </c>
      <c r="B401" s="360" t="s">
        <v>644</v>
      </c>
      <c r="C401" s="404" t="s">
        <v>19</v>
      </c>
      <c r="D401" s="385">
        <v>10</v>
      </c>
    </row>
    <row r="402" spans="1:4" outlineLevel="1" x14ac:dyDescent="0.2">
      <c r="A402" s="386" t="s">
        <v>645</v>
      </c>
      <c r="B402" s="390" t="s">
        <v>646</v>
      </c>
      <c r="C402" s="363" t="s">
        <v>150</v>
      </c>
      <c r="D402" s="405">
        <v>9</v>
      </c>
    </row>
    <row r="403" spans="1:4" ht="25.5" outlineLevel="1" x14ac:dyDescent="0.2">
      <c r="A403" s="386" t="s">
        <v>647</v>
      </c>
      <c r="B403" s="391" t="s">
        <v>648</v>
      </c>
      <c r="C403" s="340" t="s">
        <v>150</v>
      </c>
      <c r="D403" s="385">
        <v>1</v>
      </c>
    </row>
    <row r="404" spans="1:4" ht="25.5" outlineLevel="1" x14ac:dyDescent="0.2">
      <c r="A404" s="386" t="s">
        <v>649</v>
      </c>
      <c r="B404" s="358" t="s">
        <v>650</v>
      </c>
      <c r="C404" s="363" t="s">
        <v>19</v>
      </c>
      <c r="D404" s="385">
        <v>52</v>
      </c>
    </row>
    <row r="405" spans="1:4" ht="25.5" outlineLevel="1" x14ac:dyDescent="0.2">
      <c r="A405" s="386" t="s">
        <v>651</v>
      </c>
      <c r="B405" s="358" t="s">
        <v>1515</v>
      </c>
      <c r="C405" s="356" t="s">
        <v>14</v>
      </c>
      <c r="D405" s="355">
        <v>12</v>
      </c>
    </row>
    <row r="406" spans="1:4" ht="51" outlineLevel="1" x14ac:dyDescent="0.2">
      <c r="A406" s="386" t="s">
        <v>653</v>
      </c>
      <c r="B406" s="391" t="s">
        <v>1516</v>
      </c>
      <c r="C406" s="363" t="s">
        <v>19</v>
      </c>
      <c r="D406" s="385">
        <v>22</v>
      </c>
    </row>
    <row r="407" spans="1:4" outlineLevel="1" x14ac:dyDescent="0.2">
      <c r="A407" s="386" t="s">
        <v>655</v>
      </c>
      <c r="B407" s="392" t="s">
        <v>1517</v>
      </c>
      <c r="C407" s="340" t="s">
        <v>19</v>
      </c>
      <c r="D407" s="385">
        <v>17</v>
      </c>
    </row>
    <row r="408" spans="1:4" outlineLevel="1" x14ac:dyDescent="0.2">
      <c r="A408" s="386" t="s">
        <v>657</v>
      </c>
      <c r="B408" s="392" t="s">
        <v>658</v>
      </c>
      <c r="C408" s="340" t="s">
        <v>19</v>
      </c>
      <c r="D408" s="385">
        <v>17</v>
      </c>
    </row>
    <row r="409" spans="1:4" outlineLevel="1" x14ac:dyDescent="0.2">
      <c r="A409" s="354" t="s">
        <v>659</v>
      </c>
      <c r="B409" s="393" t="s">
        <v>195</v>
      </c>
      <c r="C409" s="363" t="s">
        <v>19</v>
      </c>
      <c r="D409" s="385">
        <v>165</v>
      </c>
    </row>
    <row r="410" spans="1:4" ht="25.5" outlineLevel="1" x14ac:dyDescent="0.2">
      <c r="A410" s="354" t="s">
        <v>660</v>
      </c>
      <c r="B410" s="402" t="s">
        <v>1518</v>
      </c>
      <c r="C410" s="389" t="s">
        <v>14</v>
      </c>
      <c r="D410" s="385">
        <v>15</v>
      </c>
    </row>
    <row r="411" spans="1:4" ht="38.25" outlineLevel="1" x14ac:dyDescent="0.2">
      <c r="A411" s="354" t="s">
        <v>662</v>
      </c>
      <c r="B411" s="391" t="s">
        <v>663</v>
      </c>
      <c r="C411" s="363" t="s">
        <v>19</v>
      </c>
      <c r="D411" s="385">
        <v>45</v>
      </c>
    </row>
    <row r="412" spans="1:4" ht="25.5" outlineLevel="1" x14ac:dyDescent="0.2">
      <c r="A412" s="354" t="s">
        <v>664</v>
      </c>
      <c r="B412" s="358" t="s">
        <v>1519</v>
      </c>
      <c r="C412" s="356" t="s">
        <v>6</v>
      </c>
      <c r="D412" s="385">
        <v>2</v>
      </c>
    </row>
    <row r="413" spans="1:4" outlineLevel="1" x14ac:dyDescent="0.2">
      <c r="A413" s="354" t="s">
        <v>666</v>
      </c>
      <c r="B413" s="392" t="s">
        <v>1520</v>
      </c>
      <c r="C413" s="340" t="s">
        <v>6</v>
      </c>
      <c r="D413" s="385">
        <v>1</v>
      </c>
    </row>
    <row r="414" spans="1:4" outlineLevel="1" x14ac:dyDescent="0.2">
      <c r="A414" s="354" t="s">
        <v>668</v>
      </c>
      <c r="B414" s="347" t="s">
        <v>669</v>
      </c>
      <c r="C414" s="340" t="s">
        <v>6</v>
      </c>
      <c r="D414" s="385">
        <v>1</v>
      </c>
    </row>
    <row r="415" spans="1:4" ht="15" x14ac:dyDescent="0.25">
      <c r="D415" s="1645"/>
    </row>
    <row r="416" spans="1:4" x14ac:dyDescent="0.2">
      <c r="A416" s="377" t="s">
        <v>741</v>
      </c>
      <c r="B416" s="1877" t="s">
        <v>1526</v>
      </c>
      <c r="C416" s="1877"/>
      <c r="D416" s="1877"/>
    </row>
    <row r="417" spans="1:45" s="1533" customFormat="1" ht="24.75" customHeight="1" outlineLevel="1" x14ac:dyDescent="0.2">
      <c r="A417" s="1527" t="s">
        <v>743</v>
      </c>
      <c r="B417" s="1528" t="s">
        <v>744</v>
      </c>
      <c r="C417" s="1527"/>
      <c r="D417" s="1529"/>
      <c r="E417" s="1544"/>
      <c r="F417" s="1544"/>
      <c r="G417" s="1544"/>
      <c r="H417" s="1544"/>
      <c r="I417" s="1544"/>
      <c r="J417" s="1544"/>
      <c r="K417" s="1544"/>
      <c r="L417" s="1544"/>
      <c r="M417" s="1544"/>
      <c r="N417" s="1544"/>
      <c r="O417" s="1544"/>
      <c r="P417" s="1544"/>
      <c r="Q417" s="1544"/>
      <c r="R417" s="1544"/>
      <c r="S417" s="1544"/>
      <c r="T417" s="1544"/>
      <c r="U417" s="1544"/>
      <c r="V417" s="1544"/>
      <c r="W417" s="1544"/>
      <c r="X417" s="1544"/>
      <c r="Y417" s="1544"/>
      <c r="Z417" s="1544"/>
      <c r="AA417" s="1544"/>
      <c r="AB417" s="1544"/>
      <c r="AC417" s="1544"/>
      <c r="AD417" s="1544"/>
      <c r="AE417" s="1544"/>
      <c r="AF417" s="1544"/>
      <c r="AG417" s="1544"/>
      <c r="AH417" s="1544"/>
      <c r="AI417" s="1544"/>
      <c r="AJ417" s="1544"/>
      <c r="AK417" s="1544"/>
      <c r="AL417" s="1544"/>
      <c r="AM417" s="1544"/>
      <c r="AN417" s="1544"/>
      <c r="AO417" s="1544"/>
      <c r="AP417" s="1544"/>
      <c r="AQ417" s="1544"/>
      <c r="AR417" s="1544"/>
      <c r="AS417" s="1544"/>
    </row>
    <row r="418" spans="1:45" s="1544" customFormat="1" ht="38.25" outlineLevel="1" x14ac:dyDescent="0.2">
      <c r="A418" s="386" t="s">
        <v>745</v>
      </c>
      <c r="B418" s="358" t="s">
        <v>746</v>
      </c>
      <c r="C418" s="389" t="s">
        <v>19</v>
      </c>
      <c r="D418" s="385">
        <v>156</v>
      </c>
    </row>
    <row r="419" spans="1:45" s="1544" customFormat="1" outlineLevel="1" x14ac:dyDescent="0.2">
      <c r="A419" s="386" t="s">
        <v>747</v>
      </c>
      <c r="B419" s="358" t="s">
        <v>748</v>
      </c>
      <c r="C419" s="356" t="s">
        <v>19</v>
      </c>
      <c r="D419" s="385">
        <v>24</v>
      </c>
    </row>
    <row r="420" spans="1:45" s="1544" customFormat="1" ht="25.5" outlineLevel="1" x14ac:dyDescent="0.2">
      <c r="A420" s="386" t="s">
        <v>749</v>
      </c>
      <c r="B420" s="358" t="s">
        <v>61</v>
      </c>
      <c r="C420" s="356" t="s">
        <v>14</v>
      </c>
      <c r="D420" s="385">
        <v>24</v>
      </c>
    </row>
    <row r="421" spans="1:45" s="1544" customFormat="1" outlineLevel="1" x14ac:dyDescent="0.2">
      <c r="A421" s="386" t="s">
        <v>752</v>
      </c>
      <c r="B421" s="406" t="s">
        <v>195</v>
      </c>
      <c r="C421" s="394" t="s">
        <v>19</v>
      </c>
      <c r="D421" s="385">
        <v>156</v>
      </c>
    </row>
    <row r="422" spans="1:45" s="1544" customFormat="1" hidden="1" x14ac:dyDescent="0.2">
      <c r="A422" s="336"/>
      <c r="B422" s="336"/>
      <c r="C422" s="336"/>
      <c r="D422" s="1746"/>
    </row>
    <row r="423" spans="1:45" s="1544" customFormat="1" hidden="1" x14ac:dyDescent="0.2">
      <c r="A423" s="336"/>
      <c r="B423" s="336"/>
      <c r="C423" s="336"/>
      <c r="D423" s="1747"/>
    </row>
    <row r="424" spans="1:45" s="1544" customFormat="1" hidden="1" x14ac:dyDescent="0.2">
      <c r="A424" s="336"/>
      <c r="B424" s="336"/>
      <c r="C424" s="336"/>
      <c r="D424" s="1747"/>
    </row>
    <row r="425" spans="1:45" s="1544" customFormat="1" hidden="1" x14ac:dyDescent="0.2">
      <c r="A425" s="425" t="s">
        <v>1356</v>
      </c>
      <c r="B425" s="336"/>
      <c r="C425" s="336"/>
      <c r="D425" s="1747"/>
    </row>
    <row r="426" spans="1:45" s="1544" customFormat="1" hidden="1" x14ac:dyDescent="0.2">
      <c r="A426" s="336"/>
      <c r="B426" s="336"/>
      <c r="C426" s="336"/>
      <c r="D426" s="1287"/>
    </row>
    <row r="427" spans="1:45" s="1544" customFormat="1" hidden="1" x14ac:dyDescent="0.2">
      <c r="A427" s="336"/>
      <c r="B427" s="336"/>
      <c r="C427" s="336"/>
      <c r="D427" s="337"/>
    </row>
    <row r="428" spans="1:45" s="1544" customFormat="1" hidden="1" x14ac:dyDescent="0.2">
      <c r="A428" s="413"/>
      <c r="B428" s="336" t="s">
        <v>1527</v>
      </c>
      <c r="C428" s="336"/>
      <c r="D428" s="337"/>
    </row>
    <row r="429" spans="1:45" s="1544" customFormat="1" hidden="1" x14ac:dyDescent="0.2">
      <c r="A429" s="336"/>
      <c r="B429" s="336"/>
      <c r="C429" s="336"/>
      <c r="D429" s="337"/>
    </row>
    <row r="430" spans="1:45" s="1544" customFormat="1" hidden="1" x14ac:dyDescent="0.2">
      <c r="A430" s="414"/>
      <c r="B430" s="336" t="s">
        <v>1462</v>
      </c>
      <c r="C430" s="336"/>
      <c r="D430" s="337"/>
    </row>
    <row r="431" spans="1:45" s="1544" customFormat="1" hidden="1" x14ac:dyDescent="0.2">
      <c r="A431" s="336"/>
      <c r="B431" s="336"/>
      <c r="C431" s="336"/>
      <c r="D431" s="1565" t="s">
        <v>1532</v>
      </c>
    </row>
    <row r="432" spans="1:45" s="1544" customFormat="1" hidden="1" x14ac:dyDescent="0.2">
      <c r="A432" s="336"/>
      <c r="B432" s="425" t="s">
        <v>809</v>
      </c>
      <c r="C432" s="336"/>
      <c r="D432" s="1565" t="s">
        <v>1533</v>
      </c>
    </row>
    <row r="433" spans="1:5" s="1544" customFormat="1" ht="40.5" hidden="1" customHeight="1" x14ac:dyDescent="0.2">
      <c r="A433" s="336"/>
      <c r="B433" s="1865" t="s">
        <v>1544</v>
      </c>
      <c r="C433" s="1865"/>
      <c r="D433" s="337"/>
    </row>
    <row r="434" spans="1:5" s="1544" customFormat="1" ht="33" hidden="1" customHeight="1" x14ac:dyDescent="0.2">
      <c r="A434" s="336"/>
      <c r="B434" s="1865" t="s">
        <v>1545</v>
      </c>
      <c r="C434" s="1865"/>
      <c r="D434" s="337"/>
    </row>
    <row r="435" spans="1:5" s="1544" customFormat="1" ht="15.75" hidden="1" x14ac:dyDescent="0.2">
      <c r="A435" s="336"/>
      <c r="B435" s="1865" t="s">
        <v>1546</v>
      </c>
      <c r="C435" s="1865"/>
      <c r="D435" s="337"/>
    </row>
    <row r="436" spans="1:5" s="1544" customFormat="1" ht="15.75" hidden="1" x14ac:dyDescent="0.2">
      <c r="A436" s="336"/>
      <c r="B436" s="1865" t="s">
        <v>1547</v>
      </c>
      <c r="C436" s="1865"/>
      <c r="D436" s="337"/>
    </row>
    <row r="437" spans="1:5" s="1544" customFormat="1" ht="15.75" hidden="1" x14ac:dyDescent="0.25">
      <c r="A437" s="336"/>
      <c r="B437" s="1588" t="s">
        <v>1548</v>
      </c>
      <c r="C437" s="336"/>
      <c r="D437" s="337"/>
    </row>
    <row r="438" spans="1:5" s="1544" customFormat="1" ht="15" x14ac:dyDescent="0.25">
      <c r="A438" s="336"/>
      <c r="B438" s="336"/>
      <c r="C438" s="336"/>
      <c r="D438" s="1645"/>
      <c r="E438" s="1548"/>
    </row>
    <row r="439" spans="1:5" s="1544" customFormat="1" ht="15" x14ac:dyDescent="0.25">
      <c r="A439" s="336"/>
      <c r="B439" s="336"/>
      <c r="C439" s="336"/>
      <c r="D439" s="1645"/>
      <c r="E439" s="1548"/>
    </row>
    <row r="440" spans="1:5" s="1544" customFormat="1" ht="15" x14ac:dyDescent="0.25">
      <c r="A440" s="336"/>
      <c r="B440" s="336"/>
      <c r="C440" s="336"/>
      <c r="D440" s="1645"/>
      <c r="E440" s="1548"/>
    </row>
    <row r="441" spans="1:5" s="1544" customFormat="1" ht="15" x14ac:dyDescent="0.25">
      <c r="A441" s="336"/>
      <c r="B441" s="336"/>
      <c r="C441" s="336"/>
      <c r="D441" s="1645"/>
      <c r="E441" s="1548"/>
    </row>
    <row r="442" spans="1:5" s="1544" customFormat="1" ht="15" x14ac:dyDescent="0.25">
      <c r="A442" s="336"/>
      <c r="B442" s="336"/>
      <c r="C442" s="336"/>
      <c r="D442" s="1645"/>
      <c r="E442" s="1548"/>
    </row>
    <row r="443" spans="1:5" s="1544" customFormat="1" x14ac:dyDescent="0.2">
      <c r="A443" s="336"/>
      <c r="B443" s="336"/>
      <c r="C443" s="336"/>
      <c r="D443" s="337"/>
    </row>
    <row r="444" spans="1:5" s="1544" customFormat="1" x14ac:dyDescent="0.2">
      <c r="A444" s="336"/>
      <c r="B444" s="336"/>
      <c r="C444" s="336"/>
      <c r="D444" s="337"/>
    </row>
    <row r="445" spans="1:5" s="1544" customFormat="1" x14ac:dyDescent="0.2">
      <c r="A445" s="336"/>
      <c r="B445" s="336"/>
      <c r="C445" s="336"/>
      <c r="D445" s="337"/>
    </row>
    <row r="446" spans="1:5" s="1544" customFormat="1" x14ac:dyDescent="0.2">
      <c r="A446" s="336"/>
      <c r="B446" s="336"/>
      <c r="C446" s="336"/>
      <c r="D446" s="337"/>
    </row>
    <row r="447" spans="1:5" s="1544" customFormat="1" x14ac:dyDescent="0.2">
      <c r="A447" s="336"/>
      <c r="B447" s="336"/>
      <c r="C447" s="336"/>
      <c r="D447" s="337"/>
    </row>
    <row r="448" spans="1:5" s="1544" customFormat="1" x14ac:dyDescent="0.2">
      <c r="A448" s="336"/>
      <c r="B448" s="336"/>
      <c r="C448" s="336"/>
      <c r="D448" s="337"/>
    </row>
    <row r="449" spans="1:4" s="1544" customFormat="1" x14ac:dyDescent="0.2">
      <c r="A449" s="336"/>
      <c r="B449" s="336"/>
      <c r="C449" s="336"/>
      <c r="D449" s="337"/>
    </row>
    <row r="450" spans="1:4" s="1544" customFormat="1" x14ac:dyDescent="0.2">
      <c r="A450" s="336"/>
      <c r="B450" s="336"/>
      <c r="C450" s="336"/>
      <c r="D450" s="337"/>
    </row>
    <row r="451" spans="1:4" s="1544" customFormat="1" x14ac:dyDescent="0.2">
      <c r="A451" s="336"/>
      <c r="B451" s="336"/>
      <c r="C451" s="336"/>
      <c r="D451" s="337"/>
    </row>
  </sheetData>
  <mergeCells count="18">
    <mergeCell ref="B3:C3"/>
    <mergeCell ref="B26:D26"/>
    <mergeCell ref="A27:D27"/>
    <mergeCell ref="A28:D29"/>
    <mergeCell ref="A30:B30"/>
    <mergeCell ref="B31:D31"/>
    <mergeCell ref="B435:C435"/>
    <mergeCell ref="B436:C436"/>
    <mergeCell ref="B416:D416"/>
    <mergeCell ref="B118:D118"/>
    <mergeCell ref="B131:D131"/>
    <mergeCell ref="B193:D193"/>
    <mergeCell ref="B259:D259"/>
    <mergeCell ref="B318:D318"/>
    <mergeCell ref="B351:D351"/>
    <mergeCell ref="B382:D382"/>
    <mergeCell ref="B433:C433"/>
    <mergeCell ref="B434:C434"/>
  </mergeCells>
  <pageMargins left="0.7" right="0.7" top="0.75" bottom="0.75" header="0.3" footer="0.3"/>
  <pageSetup paperSize="7" scale="31" orientation="landscape" r:id="rId1"/>
  <colBreaks count="1" manualBreakCount="1">
    <brk id="4" min="25" max="591" man="1"/>
  </colBreak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rgb="FFFFFF00"/>
  </sheetPr>
  <dimension ref="A1:AZ435"/>
  <sheetViews>
    <sheetView showGridLines="0" zoomScale="85" zoomScaleNormal="85" workbookViewId="0">
      <selection activeCell="E3" sqref="E3"/>
    </sheetView>
  </sheetViews>
  <sheetFormatPr baseColWidth="10" defaultRowHeight="12.75" x14ac:dyDescent="0.2"/>
  <cols>
    <col min="1" max="1" width="8.28515625" style="336" bestFit="1" customWidth="1"/>
    <col min="2" max="2" width="66.140625" style="336" customWidth="1"/>
    <col min="3" max="3" width="10.42578125" style="336" customWidth="1"/>
    <col min="4" max="4" width="11.5703125" style="336" customWidth="1"/>
    <col min="5" max="6" width="20.28515625" style="336" customWidth="1"/>
    <col min="7" max="7" width="19.140625" style="336" customWidth="1"/>
    <col min="8" max="8" width="3.85546875" style="1544" customWidth="1"/>
    <col min="9" max="9" width="22.42578125" style="336" bestFit="1" customWidth="1"/>
    <col min="10" max="10" width="19.140625" style="1544" bestFit="1" customWidth="1"/>
    <col min="11" max="11" width="11.42578125" style="1544"/>
    <col min="12" max="12" width="24.7109375" style="1544" bestFit="1" customWidth="1"/>
    <col min="13" max="13" width="11.42578125" style="1544"/>
    <col min="14" max="14" width="58.140625" style="1544" bestFit="1" customWidth="1"/>
    <col min="15" max="16" width="11.42578125" style="1544"/>
    <col min="17" max="18" width="18.140625" style="1544" bestFit="1" customWidth="1"/>
    <col min="19" max="52" width="11.42578125" style="1544"/>
    <col min="53" max="16384" width="11.42578125" style="336"/>
  </cols>
  <sheetData>
    <row r="1" spans="1:52" ht="23.25" x14ac:dyDescent="0.35">
      <c r="A1" s="1589" t="s">
        <v>1549</v>
      </c>
    </row>
    <row r="3" spans="1:52" ht="45.75" customHeight="1" x14ac:dyDescent="0.2">
      <c r="E3" s="1569" t="str">
        <f>+'estudio inicial precios'!E32</f>
        <v xml:space="preserve">COTIZACIÓN 1 - </v>
      </c>
      <c r="F3" s="1570" t="str">
        <f>+'estudio inicial precios'!G32</f>
        <v xml:space="preserve">COTIZACIÓN 2 - </v>
      </c>
      <c r="G3" s="1571" t="str">
        <f>+'estudio inicial precios'!I32</f>
        <v>OTROS CONTRATOS REALIZADOS POR LA ENTIDAD</v>
      </c>
      <c r="I3" s="1760" t="s">
        <v>1628</v>
      </c>
    </row>
    <row r="4" spans="1:52" s="1293" customFormat="1" ht="25.5" x14ac:dyDescent="0.2">
      <c r="A4" s="339" t="s">
        <v>4</v>
      </c>
      <c r="B4" s="344" t="s">
        <v>5</v>
      </c>
      <c r="C4" s="339" t="s">
        <v>6</v>
      </c>
      <c r="D4" s="1526" t="s">
        <v>7</v>
      </c>
      <c r="E4" s="1572" t="s">
        <v>8</v>
      </c>
      <c r="F4" s="1572" t="s">
        <v>772</v>
      </c>
      <c r="G4" s="1572" t="s">
        <v>1461</v>
      </c>
      <c r="H4" s="1545"/>
      <c r="I4" s="1578"/>
      <c r="J4" s="1545"/>
      <c r="K4" s="1545"/>
      <c r="L4" s="1545"/>
      <c r="M4" s="1545"/>
      <c r="N4" s="1545"/>
      <c r="O4" s="1545"/>
      <c r="P4" s="1545"/>
      <c r="Q4" s="1545"/>
      <c r="R4" s="1545"/>
      <c r="S4" s="1545"/>
      <c r="T4" s="1545"/>
      <c r="U4" s="1545"/>
      <c r="V4" s="1545"/>
      <c r="W4" s="1545"/>
      <c r="X4" s="1545"/>
      <c r="Y4" s="1545"/>
      <c r="Z4" s="1545"/>
      <c r="AA4" s="1545"/>
      <c r="AB4" s="1545"/>
      <c r="AC4" s="1545"/>
      <c r="AD4" s="1545"/>
      <c r="AE4" s="1545"/>
      <c r="AF4" s="1545"/>
      <c r="AG4" s="1545"/>
      <c r="AH4" s="1545"/>
      <c r="AI4" s="1545"/>
      <c r="AJ4" s="1545"/>
      <c r="AK4" s="1545"/>
      <c r="AL4" s="1545"/>
      <c r="AM4" s="1545"/>
      <c r="AN4" s="1545"/>
      <c r="AO4" s="1545"/>
      <c r="AP4" s="1545"/>
      <c r="AQ4" s="1545"/>
      <c r="AR4" s="1545"/>
      <c r="AS4" s="1545"/>
      <c r="AT4" s="1545"/>
      <c r="AU4" s="1545"/>
      <c r="AV4" s="1545"/>
      <c r="AW4" s="1545"/>
      <c r="AX4" s="1545"/>
      <c r="AY4" s="1545"/>
      <c r="AZ4" s="1545"/>
    </row>
    <row r="5" spans="1:52" x14ac:dyDescent="0.2">
      <c r="A5" s="354" t="s">
        <v>144</v>
      </c>
      <c r="B5" s="368" t="s">
        <v>145</v>
      </c>
      <c r="C5" s="367" t="s">
        <v>19</v>
      </c>
      <c r="D5" s="369">
        <v>5</v>
      </c>
      <c r="E5" s="1538">
        <v>55000</v>
      </c>
      <c r="F5" s="1537">
        <v>9000</v>
      </c>
      <c r="G5" s="1285">
        <f>IFERROR(VLOOKUP(A5,'valores unit indexados'!$A$14:$O$197,15,FALSE),0)</f>
        <v>18551</v>
      </c>
      <c r="I5" s="423">
        <f>+G5</f>
        <v>18551</v>
      </c>
    </row>
    <row r="6" spans="1:52" x14ac:dyDescent="0.2">
      <c r="A6" s="346" t="s">
        <v>372</v>
      </c>
      <c r="B6" s="368" t="s">
        <v>145</v>
      </c>
      <c r="C6" s="367" t="s">
        <v>19</v>
      </c>
      <c r="D6" s="346">
        <v>4</v>
      </c>
      <c r="E6" s="1536">
        <v>55000</v>
      </c>
      <c r="F6" s="350">
        <v>8000</v>
      </c>
      <c r="G6" s="1285">
        <f>+G5</f>
        <v>18551</v>
      </c>
      <c r="I6" s="423">
        <f>+I5</f>
        <v>18551</v>
      </c>
    </row>
    <row r="7" spans="1:52" x14ac:dyDescent="0.2">
      <c r="A7" s="348" t="s">
        <v>194</v>
      </c>
      <c r="B7" s="347" t="s">
        <v>195</v>
      </c>
      <c r="C7" s="340" t="s">
        <v>19</v>
      </c>
      <c r="D7" s="369">
        <v>41</v>
      </c>
      <c r="E7" s="370">
        <v>7000</v>
      </c>
      <c r="F7" s="349">
        <v>4200</v>
      </c>
      <c r="G7" s="1285">
        <f>IFERROR(VLOOKUP(A7,'valores unit indexados'!$A$14:$O$197,15,FALSE),0)</f>
        <v>5300</v>
      </c>
      <c r="I7" s="423">
        <f>+AVERAGE(E7:G7)</f>
        <v>5500</v>
      </c>
    </row>
    <row r="8" spans="1:52" x14ac:dyDescent="0.2">
      <c r="A8" s="340" t="s">
        <v>216</v>
      </c>
      <c r="B8" s="347" t="s">
        <v>195</v>
      </c>
      <c r="C8" s="340" t="s">
        <v>19</v>
      </c>
      <c r="D8" s="348">
        <v>21</v>
      </c>
      <c r="E8" s="1536">
        <v>10000</v>
      </c>
      <c r="F8" s="349">
        <v>4200</v>
      </c>
      <c r="G8" s="1285">
        <f>IFERROR(VLOOKUP(A8,'valores unit indexados'!$A$14:$O$197,15,FALSE),0)</f>
        <v>5300</v>
      </c>
      <c r="I8" s="423">
        <f t="shared" ref="I8:I16" si="0">+I7</f>
        <v>5500</v>
      </c>
    </row>
    <row r="9" spans="1:52" x14ac:dyDescent="0.2">
      <c r="A9" s="346" t="s">
        <v>305</v>
      </c>
      <c r="B9" s="358" t="s">
        <v>195</v>
      </c>
      <c r="C9" s="356" t="s">
        <v>19</v>
      </c>
      <c r="D9" s="348">
        <v>1148</v>
      </c>
      <c r="E9" s="379">
        <v>7000</v>
      </c>
      <c r="F9" s="349">
        <v>4200</v>
      </c>
      <c r="G9" s="1285">
        <f>IFERROR(VLOOKUP(A9,'valores unit indexados'!$A$14:$O$197,15,FALSE),0)</f>
        <v>5300</v>
      </c>
      <c r="I9" s="423">
        <f t="shared" si="0"/>
        <v>5500</v>
      </c>
    </row>
    <row r="10" spans="1:52" x14ac:dyDescent="0.2">
      <c r="A10" s="346" t="s">
        <v>751</v>
      </c>
      <c r="B10" s="358" t="s">
        <v>195</v>
      </c>
      <c r="C10" s="356" t="s">
        <v>19</v>
      </c>
      <c r="D10" s="346">
        <v>380</v>
      </c>
      <c r="E10" s="353">
        <v>7000</v>
      </c>
      <c r="F10" s="349">
        <v>4200</v>
      </c>
      <c r="G10" s="1285">
        <f>IFERROR(VLOOKUP(A10,'valores unit indexados'!$A$14:$O$197,15,FALSE),0)</f>
        <v>5300</v>
      </c>
      <c r="I10" s="423">
        <f t="shared" si="0"/>
        <v>5500</v>
      </c>
    </row>
    <row r="11" spans="1:52" x14ac:dyDescent="0.2">
      <c r="A11" s="386" t="s">
        <v>496</v>
      </c>
      <c r="B11" s="347" t="s">
        <v>195</v>
      </c>
      <c r="C11" s="340" t="s">
        <v>19</v>
      </c>
      <c r="D11" s="385">
        <v>816</v>
      </c>
      <c r="E11" s="353">
        <v>7000</v>
      </c>
      <c r="F11" s="349">
        <v>4200</v>
      </c>
      <c r="G11" s="1285">
        <f>IFERROR(VLOOKUP(A11,'valores unit indexados'!$A$14:$O$197,15,FALSE),0)</f>
        <v>5300</v>
      </c>
      <c r="I11" s="423">
        <f t="shared" si="0"/>
        <v>5500</v>
      </c>
    </row>
    <row r="12" spans="1:52" x14ac:dyDescent="0.2">
      <c r="A12" s="386" t="s">
        <v>571</v>
      </c>
      <c r="B12" s="358" t="s">
        <v>195</v>
      </c>
      <c r="C12" s="356" t="s">
        <v>19</v>
      </c>
      <c r="D12" s="346">
        <v>570</v>
      </c>
      <c r="E12" s="353">
        <v>7000</v>
      </c>
      <c r="F12" s="349">
        <v>4200</v>
      </c>
      <c r="G12" s="1285">
        <f>IFERROR(VLOOKUP(A12,'valores unit indexados'!$A$14:$O$197,15,FALSE),0)</f>
        <v>5300</v>
      </c>
      <c r="I12" s="423">
        <f t="shared" si="0"/>
        <v>5500</v>
      </c>
    </row>
    <row r="13" spans="1:52" x14ac:dyDescent="0.2">
      <c r="A13" s="386" t="s">
        <v>615</v>
      </c>
      <c r="B13" s="358" t="s">
        <v>195</v>
      </c>
      <c r="C13" s="389" t="s">
        <v>19</v>
      </c>
      <c r="D13" s="385">
        <v>30</v>
      </c>
      <c r="E13" s="353">
        <v>70000</v>
      </c>
      <c r="F13" s="349">
        <v>4200</v>
      </c>
      <c r="G13" s="1285">
        <f>IFERROR(VLOOKUP(A13,'valores unit indexados'!$A$14:$O$197,15,FALSE),0)</f>
        <v>5300</v>
      </c>
      <c r="I13" s="423">
        <f t="shared" si="0"/>
        <v>5500</v>
      </c>
    </row>
    <row r="14" spans="1:52" x14ac:dyDescent="0.2">
      <c r="A14" s="354" t="s">
        <v>659</v>
      </c>
      <c r="B14" s="393" t="s">
        <v>195</v>
      </c>
      <c r="C14" s="363" t="s">
        <v>19</v>
      </c>
      <c r="D14" s="385">
        <v>165</v>
      </c>
      <c r="E14" s="353">
        <v>7000</v>
      </c>
      <c r="F14" s="349">
        <v>4200</v>
      </c>
      <c r="G14" s="1285">
        <f>IFERROR(VLOOKUP(A14,'valores unit indexados'!$A$14:$O$197,15,FALSE),0)</f>
        <v>5300</v>
      </c>
      <c r="I14" s="423">
        <f t="shared" si="0"/>
        <v>5500</v>
      </c>
    </row>
    <row r="15" spans="1:52" x14ac:dyDescent="0.2">
      <c r="A15" s="386" t="s">
        <v>732</v>
      </c>
      <c r="B15" s="358" t="s">
        <v>195</v>
      </c>
      <c r="C15" s="356" t="s">
        <v>19</v>
      </c>
      <c r="D15" s="385">
        <v>390</v>
      </c>
      <c r="E15" s="353">
        <v>7000</v>
      </c>
      <c r="F15" s="349">
        <v>4200</v>
      </c>
      <c r="G15" s="1285">
        <f>IFERROR(VLOOKUP(A15,'valores unit indexados'!$A$14:$O$197,15,FALSE),0)</f>
        <v>5300</v>
      </c>
      <c r="I15" s="423">
        <f t="shared" si="0"/>
        <v>5500</v>
      </c>
    </row>
    <row r="16" spans="1:52" x14ac:dyDescent="0.2">
      <c r="A16" s="386" t="s">
        <v>752</v>
      </c>
      <c r="B16" s="406" t="s">
        <v>195</v>
      </c>
      <c r="C16" s="394" t="s">
        <v>19</v>
      </c>
      <c r="D16" s="385">
        <v>156</v>
      </c>
      <c r="E16" s="353">
        <v>7000</v>
      </c>
      <c r="F16" s="349">
        <v>4200</v>
      </c>
      <c r="G16" s="1285">
        <f>IFERROR(VLOOKUP(A16,'valores unit indexados'!$A$14:$O$197,15,FALSE),0)</f>
        <v>5300</v>
      </c>
      <c r="I16" s="423">
        <f t="shared" si="0"/>
        <v>5500</v>
      </c>
    </row>
    <row r="17" spans="1:9" ht="25.5" x14ac:dyDescent="0.2">
      <c r="A17" s="346" t="s">
        <v>12</v>
      </c>
      <c r="B17" s="347" t="s">
        <v>13</v>
      </c>
      <c r="C17" s="340" t="s">
        <v>14</v>
      </c>
      <c r="D17" s="348">
        <v>36</v>
      </c>
      <c r="E17" s="1537">
        <v>40000</v>
      </c>
      <c r="F17" s="350">
        <v>27131</v>
      </c>
      <c r="G17" s="1285">
        <f>IFERROR(VLOOKUP(A17,'valores unit indexados'!$A$14:$O$197,15,FALSE),0)</f>
        <v>0</v>
      </c>
      <c r="I17" s="423">
        <f>+F17</f>
        <v>27131</v>
      </c>
    </row>
    <row r="18" spans="1:9" ht="25.5" x14ac:dyDescent="0.2">
      <c r="A18" s="1556" t="str">
        <f>+'ACTIVIDADES DE OBRA A EJECUTAR'!A129</f>
        <v>B. 1,11</v>
      </c>
      <c r="B18" s="1776" t="str">
        <f>+B17</f>
        <v>Cerramiento en tela verde o polisombra (incluye postes de madera para soporte) altura: 2.10 mts.</v>
      </c>
      <c r="C18" s="1564" t="str">
        <f>+C17</f>
        <v>ML</v>
      </c>
      <c r="D18" s="1555">
        <f>+'estudio inicial precios'!O150</f>
        <v>24</v>
      </c>
      <c r="E18" s="1537">
        <f>+E17</f>
        <v>40000</v>
      </c>
      <c r="F18" s="350">
        <f>+F17</f>
        <v>27131</v>
      </c>
      <c r="G18" s="1285">
        <f>+G17</f>
        <v>0</v>
      </c>
      <c r="I18" s="423">
        <f>+I17</f>
        <v>27131</v>
      </c>
    </row>
    <row r="19" spans="1:9" x14ac:dyDescent="0.2">
      <c r="A19" s="348" t="s">
        <v>157</v>
      </c>
      <c r="B19" s="358" t="s">
        <v>158</v>
      </c>
      <c r="C19" s="340" t="s">
        <v>14</v>
      </c>
      <c r="D19" s="369">
        <v>3</v>
      </c>
      <c r="E19" s="1538">
        <v>30000</v>
      </c>
      <c r="F19" s="349">
        <v>16117.178000000002</v>
      </c>
      <c r="G19" s="1285">
        <f>IFERROR(VLOOKUP(A19,'valores unit indexados'!$A$14:$O$197,15,FALSE),0)</f>
        <v>13382</v>
      </c>
      <c r="I19" s="423">
        <f>+I20</f>
        <v>14833</v>
      </c>
    </row>
    <row r="20" spans="1:9" x14ac:dyDescent="0.2">
      <c r="A20" s="374" t="s">
        <v>169</v>
      </c>
      <c r="B20" s="358" t="s">
        <v>158</v>
      </c>
      <c r="C20" s="340" t="s">
        <v>14</v>
      </c>
      <c r="D20" s="369">
        <v>220</v>
      </c>
      <c r="E20" s="370">
        <v>15000</v>
      </c>
      <c r="F20" s="349">
        <v>16117.178000000002</v>
      </c>
      <c r="G20" s="1285">
        <f>IFERROR(VLOOKUP(A20,'valores unit indexados'!$A$14:$O$197,15,FALSE),0)</f>
        <v>13382</v>
      </c>
      <c r="I20" s="423">
        <f>ROUND(AVERAGE(E20:G20),0)</f>
        <v>14833</v>
      </c>
    </row>
    <row r="21" spans="1:9" x14ac:dyDescent="0.2">
      <c r="A21" s="354" t="s">
        <v>489</v>
      </c>
      <c r="B21" s="368" t="s">
        <v>490</v>
      </c>
      <c r="C21" s="340" t="s">
        <v>14</v>
      </c>
      <c r="D21" s="385">
        <v>1</v>
      </c>
      <c r="E21" s="1536">
        <v>60000</v>
      </c>
      <c r="F21" s="349">
        <v>16115.000000000002</v>
      </c>
      <c r="G21" s="1285">
        <f>IFERROR(VLOOKUP(A21,'valores unit indexados'!$A$14:$O$197,15,FALSE),0)</f>
        <v>0</v>
      </c>
      <c r="I21" s="423">
        <f>+F21</f>
        <v>16115.000000000002</v>
      </c>
    </row>
    <row r="22" spans="1:9" x14ac:dyDescent="0.2">
      <c r="A22" s="362" t="s">
        <v>58</v>
      </c>
      <c r="B22" s="358" t="s">
        <v>59</v>
      </c>
      <c r="C22" s="356" t="s">
        <v>14</v>
      </c>
      <c r="D22" s="348">
        <v>40</v>
      </c>
      <c r="E22" s="353">
        <v>16000</v>
      </c>
      <c r="F22" s="350">
        <v>16848</v>
      </c>
      <c r="G22" s="1285">
        <f>IFERROR(VLOOKUP(A22,'valores unit indexados'!$A$14:$O$197,15,FALSE),0)</f>
        <v>13382</v>
      </c>
      <c r="I22" s="423">
        <f>AVERAGE(E22:G22)</f>
        <v>15410</v>
      </c>
    </row>
    <row r="23" spans="1:9" x14ac:dyDescent="0.2">
      <c r="A23" s="346" t="s">
        <v>382</v>
      </c>
      <c r="B23" s="383" t="s">
        <v>59</v>
      </c>
      <c r="C23" s="361" t="s">
        <v>14</v>
      </c>
      <c r="D23" s="346">
        <v>10</v>
      </c>
      <c r="E23" s="353">
        <v>16000</v>
      </c>
      <c r="F23" s="349">
        <v>16848</v>
      </c>
      <c r="G23" s="1285">
        <f>IFERROR(VLOOKUP(A23,'valores unit indexados'!$A$14:$O$197,15,FALSE),0)</f>
        <v>13382</v>
      </c>
      <c r="I23" s="423">
        <f>AVERAGE(E23:G23)</f>
        <v>15410</v>
      </c>
    </row>
    <row r="24" spans="1:9" x14ac:dyDescent="0.2">
      <c r="A24" s="386" t="s">
        <v>610</v>
      </c>
      <c r="B24" s="383" t="s">
        <v>59</v>
      </c>
      <c r="C24" s="403" t="s">
        <v>14</v>
      </c>
      <c r="D24" s="386">
        <v>23</v>
      </c>
      <c r="E24" s="353">
        <v>16000</v>
      </c>
      <c r="F24" s="349">
        <v>16848</v>
      </c>
      <c r="G24" s="1285">
        <f>IFERROR(VLOOKUP(A24,'valores unit indexados'!$A$14:$O$197,15,FALSE),0)</f>
        <v>13382</v>
      </c>
      <c r="I24" s="423">
        <f>AVERAGE(E24:G24)</f>
        <v>15410</v>
      </c>
    </row>
    <row r="25" spans="1:9" x14ac:dyDescent="0.2">
      <c r="A25" s="354" t="s">
        <v>466</v>
      </c>
      <c r="B25" s="368" t="s">
        <v>467</v>
      </c>
      <c r="C25" s="340" t="s">
        <v>14</v>
      </c>
      <c r="D25" s="385">
        <v>16</v>
      </c>
      <c r="E25" s="353">
        <v>16000</v>
      </c>
      <c r="F25" s="349">
        <v>23000</v>
      </c>
      <c r="G25" s="1285">
        <f>IFERROR(VLOOKUP(A25,'valores unit indexados'!$A$14:$O$197,15,FALSE),0)</f>
        <v>13382</v>
      </c>
      <c r="I25" s="423">
        <f>ROUND(AVERAGE(E25:G25),0)</f>
        <v>17461</v>
      </c>
    </row>
    <row r="26" spans="1:9" ht="25.5" x14ac:dyDescent="0.2">
      <c r="A26" s="346" t="s">
        <v>17</v>
      </c>
      <c r="B26" s="347" t="s">
        <v>18</v>
      </c>
      <c r="C26" s="340" t="s">
        <v>19</v>
      </c>
      <c r="D26" s="348">
        <v>288</v>
      </c>
      <c r="E26" s="353">
        <v>30000</v>
      </c>
      <c r="F26" s="353">
        <v>8450</v>
      </c>
      <c r="G26" s="1285">
        <f>IFERROR(VLOOKUP(A26,'valores unit indexados'!$A$14:$O$197,15,FALSE),0)</f>
        <v>0</v>
      </c>
      <c r="I26" s="423">
        <f>AVERAGE(E26:F26)</f>
        <v>19225</v>
      </c>
    </row>
    <row r="27" spans="1:9" x14ac:dyDescent="0.2">
      <c r="A27" s="346" t="s">
        <v>344</v>
      </c>
      <c r="B27" s="358" t="s">
        <v>25</v>
      </c>
      <c r="C27" s="356" t="s">
        <v>19</v>
      </c>
      <c r="D27" s="356">
        <v>14</v>
      </c>
      <c r="E27" s="353">
        <v>27000</v>
      </c>
      <c r="F27" s="350">
        <v>5200</v>
      </c>
      <c r="G27" s="1285">
        <f>IFERROR(VLOOKUP(A27,'valores unit indexados'!$A$14:$O$197,15,FALSE),0)</f>
        <v>0</v>
      </c>
      <c r="I27" s="423">
        <f>+I28</f>
        <v>10612</v>
      </c>
    </row>
    <row r="28" spans="1:9" x14ac:dyDescent="0.2">
      <c r="A28" s="346" t="s">
        <v>24</v>
      </c>
      <c r="B28" s="347" t="s">
        <v>25</v>
      </c>
      <c r="C28" s="340" t="s">
        <v>19</v>
      </c>
      <c r="D28" s="348">
        <v>288</v>
      </c>
      <c r="E28" s="1536">
        <v>27000</v>
      </c>
      <c r="F28" s="1539">
        <v>4400</v>
      </c>
      <c r="G28" s="1285">
        <f>IFERROR(VLOOKUP(A28,'valores unit indexados'!$A$14:$O$197,15,FALSE),0)</f>
        <v>10612</v>
      </c>
      <c r="I28" s="423">
        <f>ROUND(IF(G28&gt;0,G28:G28,AVERAGE(F28,E28)),0)</f>
        <v>10612</v>
      </c>
    </row>
    <row r="29" spans="1:9" x14ac:dyDescent="0.2">
      <c r="A29" s="386" t="s">
        <v>510</v>
      </c>
      <c r="B29" s="347" t="s">
        <v>25</v>
      </c>
      <c r="C29" s="356" t="s">
        <v>19</v>
      </c>
      <c r="D29" s="385">
        <v>97</v>
      </c>
      <c r="E29" s="353">
        <v>27000</v>
      </c>
      <c r="F29" s="349">
        <v>5200</v>
      </c>
      <c r="G29" s="1285">
        <f>+G28</f>
        <v>10612</v>
      </c>
      <c r="I29" s="423">
        <f>+I28</f>
        <v>10612</v>
      </c>
    </row>
    <row r="30" spans="1:9" x14ac:dyDescent="0.2">
      <c r="A30" s="348" t="s">
        <v>148</v>
      </c>
      <c r="B30" s="364" t="s">
        <v>482</v>
      </c>
      <c r="C30" s="367" t="s">
        <v>150</v>
      </c>
      <c r="D30" s="369">
        <v>3</v>
      </c>
      <c r="E30" s="370">
        <v>180000</v>
      </c>
      <c r="F30" s="1537">
        <v>274603.33333333337</v>
      </c>
      <c r="G30" s="1285">
        <f>IFERROR(VLOOKUP(A30,'valores unit indexados'!$A$14:$O$197,15,FALSE),0)</f>
        <v>0</v>
      </c>
      <c r="I30" s="423">
        <f>+E30</f>
        <v>180000</v>
      </c>
    </row>
    <row r="31" spans="1:9" x14ac:dyDescent="0.2">
      <c r="A31" s="354" t="s">
        <v>481</v>
      </c>
      <c r="B31" s="364" t="s">
        <v>482</v>
      </c>
      <c r="C31" s="367" t="s">
        <v>150</v>
      </c>
      <c r="D31" s="385">
        <v>2</v>
      </c>
      <c r="E31" s="353">
        <v>120000</v>
      </c>
      <c r="F31" s="1537">
        <v>274603.32899999997</v>
      </c>
      <c r="G31" s="1285">
        <f>IFERROR(VLOOKUP(A31,'valores unit indexados'!$A$14:$O$197,15,FALSE),0)</f>
        <v>0</v>
      </c>
      <c r="I31" s="423">
        <f>+I30</f>
        <v>180000</v>
      </c>
    </row>
    <row r="32" spans="1:9" x14ac:dyDescent="0.2">
      <c r="A32" s="386" t="s">
        <v>502</v>
      </c>
      <c r="B32" s="347" t="s">
        <v>503</v>
      </c>
      <c r="C32" s="356" t="s">
        <v>19</v>
      </c>
      <c r="D32" s="385">
        <v>110</v>
      </c>
      <c r="E32" s="353">
        <v>30000</v>
      </c>
      <c r="F32" s="349">
        <v>15067</v>
      </c>
      <c r="G32" s="1285">
        <f>IFERROR(VLOOKUP(A32,'valores unit indexados'!$A$14:$O$197,15,FALSE),0)</f>
        <v>0</v>
      </c>
      <c r="I32" s="423">
        <f>ROUND(AVERAGE(E32:F32),0)</f>
        <v>22534</v>
      </c>
    </row>
    <row r="33" spans="1:9" ht="25.5" x14ac:dyDescent="0.2">
      <c r="A33" s="386" t="s">
        <v>708</v>
      </c>
      <c r="B33" s="368" t="s">
        <v>709</v>
      </c>
      <c r="C33" s="367" t="s">
        <v>19</v>
      </c>
      <c r="D33" s="385">
        <v>3</v>
      </c>
      <c r="E33" s="353">
        <v>20000</v>
      </c>
      <c r="F33" s="349">
        <v>18700</v>
      </c>
      <c r="G33" s="1285">
        <f>IFERROR(VLOOKUP(A33,'valores unit indexados'!$A$14:$O$197,15,FALSE),0)</f>
        <v>17183</v>
      </c>
      <c r="I33" s="423">
        <f>ROUND(AVERAGE(E33:G33),0)</f>
        <v>18628</v>
      </c>
    </row>
    <row r="34" spans="1:9" x14ac:dyDescent="0.2">
      <c r="A34" s="386" t="s">
        <v>606</v>
      </c>
      <c r="B34" s="388" t="s">
        <v>607</v>
      </c>
      <c r="C34" s="389" t="s">
        <v>19</v>
      </c>
      <c r="D34" s="346">
        <v>30</v>
      </c>
      <c r="E34" s="353">
        <v>9000</v>
      </c>
      <c r="F34" s="349">
        <v>7000</v>
      </c>
      <c r="G34" s="1285">
        <f>IFERROR(VLOOKUP(A34,'valores unit indexados'!$A$14:$O$197,15,FALSE),0)</f>
        <v>9646</v>
      </c>
      <c r="I34" s="423">
        <f>ROUND(AVERAGE(E34:G34),0)</f>
        <v>8549</v>
      </c>
    </row>
    <row r="35" spans="1:9" x14ac:dyDescent="0.2">
      <c r="A35" s="354" t="s">
        <v>723</v>
      </c>
      <c r="B35" s="388" t="s">
        <v>1522</v>
      </c>
      <c r="C35" s="389"/>
      <c r="D35" s="385">
        <v>2</v>
      </c>
      <c r="E35" s="353">
        <v>30000</v>
      </c>
      <c r="F35" s="349">
        <v>41800</v>
      </c>
      <c r="G35" s="1285">
        <f>IFERROR(VLOOKUP(A35,'valores unit indexados'!$A$14:$O$197,15,FALSE),0)</f>
        <v>0</v>
      </c>
      <c r="I35" s="423">
        <f>ROUND(AVERAGE(E35:F35),0)</f>
        <v>35900</v>
      </c>
    </row>
    <row r="36" spans="1:9" x14ac:dyDescent="0.2">
      <c r="A36" s="348" t="s">
        <v>180</v>
      </c>
      <c r="B36" s="358" t="s">
        <v>181</v>
      </c>
      <c r="C36" s="356" t="s">
        <v>14</v>
      </c>
      <c r="D36" s="369">
        <v>97</v>
      </c>
      <c r="E36" s="1538">
        <v>20000</v>
      </c>
      <c r="F36" s="349">
        <v>5500</v>
      </c>
      <c r="G36" s="1285">
        <f>IFERROR(VLOOKUP(A36,'valores unit indexados'!$A$14:$O$197,15,FALSE),0)</f>
        <v>0</v>
      </c>
      <c r="I36" s="423">
        <f>+F36</f>
        <v>5500</v>
      </c>
    </row>
    <row r="37" spans="1:9" x14ac:dyDescent="0.2">
      <c r="A37" s="374" t="s">
        <v>178</v>
      </c>
      <c r="B37" s="358" t="s">
        <v>179</v>
      </c>
      <c r="C37" s="356" t="s">
        <v>14</v>
      </c>
      <c r="D37" s="369">
        <v>170</v>
      </c>
      <c r="E37" s="1538">
        <v>45000</v>
      </c>
      <c r="F37" s="349">
        <v>5512</v>
      </c>
      <c r="G37" s="1285">
        <f>IFERROR(VLOOKUP(A37,'valores unit indexados'!$A$14:$O$197,15,FALSE),0)</f>
        <v>0</v>
      </c>
      <c r="I37" s="423">
        <f>+F37</f>
        <v>5512</v>
      </c>
    </row>
    <row r="38" spans="1:9" x14ac:dyDescent="0.2">
      <c r="A38" s="386" t="s">
        <v>504</v>
      </c>
      <c r="B38" s="347" t="s">
        <v>505</v>
      </c>
      <c r="C38" s="356" t="s">
        <v>6</v>
      </c>
      <c r="D38" s="385">
        <v>36</v>
      </c>
      <c r="E38" s="353">
        <v>8000</v>
      </c>
      <c r="F38" s="349">
        <v>13967.2</v>
      </c>
      <c r="G38" s="1285">
        <f>IFERROR(VLOOKUP(A38,'valores unit indexados'!$A$14:$O$197,15,FALSE),0)</f>
        <v>0</v>
      </c>
      <c r="I38" s="423">
        <f>ROUND(AVERAGE(E38:F38),0)</f>
        <v>10984</v>
      </c>
    </row>
    <row r="39" spans="1:9" x14ac:dyDescent="0.2">
      <c r="A39" s="346" t="s">
        <v>323</v>
      </c>
      <c r="B39" s="358" t="s">
        <v>324</v>
      </c>
      <c r="C39" s="356" t="s">
        <v>19</v>
      </c>
      <c r="D39" s="356">
        <v>7</v>
      </c>
      <c r="E39" s="1536">
        <v>20000</v>
      </c>
      <c r="F39" s="350">
        <v>6656</v>
      </c>
      <c r="G39" s="1285">
        <f>IFERROR(VLOOKUP(A39,'valores unit indexados'!$A$14:$O$197,15,FALSE),0)</f>
        <v>0</v>
      </c>
      <c r="I39" s="423">
        <f>+I40</f>
        <v>8250</v>
      </c>
    </row>
    <row r="40" spans="1:9" x14ac:dyDescent="0.2">
      <c r="A40" s="381" t="s">
        <v>325</v>
      </c>
      <c r="B40" s="358" t="s">
        <v>324</v>
      </c>
      <c r="C40" s="356" t="s">
        <v>14</v>
      </c>
      <c r="D40" s="356">
        <v>91</v>
      </c>
      <c r="E40" s="353">
        <v>12000</v>
      </c>
      <c r="F40" s="350">
        <v>4500</v>
      </c>
      <c r="G40" s="1285">
        <f>IFERROR(VLOOKUP(A40,'valores unit indexados'!$A$14:$O$197,15,FALSE),0)</f>
        <v>0</v>
      </c>
      <c r="I40" s="423">
        <f>ROUND(AVERAGE(E40:F40),0)</f>
        <v>8250</v>
      </c>
    </row>
    <row r="41" spans="1:9" x14ac:dyDescent="0.2">
      <c r="A41" s="354" t="s">
        <v>666</v>
      </c>
      <c r="B41" s="392" t="s">
        <v>1520</v>
      </c>
      <c r="C41" s="340" t="s">
        <v>6</v>
      </c>
      <c r="D41" s="385">
        <v>1</v>
      </c>
      <c r="E41" s="353">
        <v>80000</v>
      </c>
      <c r="F41" s="349">
        <v>47398</v>
      </c>
      <c r="G41" s="1285">
        <f>IFERROR(VLOOKUP(A41,'valores unit indexados'!$A$14:$O$197,15,FALSE),0)</f>
        <v>0</v>
      </c>
      <c r="I41" s="423">
        <f>+I42</f>
        <v>62500</v>
      </c>
    </row>
    <row r="42" spans="1:9" x14ac:dyDescent="0.2">
      <c r="A42" s="354" t="s">
        <v>440</v>
      </c>
      <c r="B42" s="358" t="s">
        <v>441</v>
      </c>
      <c r="C42" s="356" t="s">
        <v>6</v>
      </c>
      <c r="D42" s="385">
        <v>5</v>
      </c>
      <c r="E42" s="353">
        <v>60000</v>
      </c>
      <c r="F42" s="349">
        <v>65000</v>
      </c>
      <c r="G42" s="1285">
        <f>IFERROR(VLOOKUP(A42,'valores unit indexados'!$A$14:$O$197,15,FALSE),0)</f>
        <v>0</v>
      </c>
      <c r="I42" s="423">
        <f>ROUND(AVERAGE(E42:F42),0)</f>
        <v>62500</v>
      </c>
    </row>
    <row r="43" spans="1:9" x14ac:dyDescent="0.2">
      <c r="A43" s="386" t="s">
        <v>541</v>
      </c>
      <c r="B43" s="358" t="s">
        <v>1507</v>
      </c>
      <c r="C43" s="356" t="s">
        <v>6</v>
      </c>
      <c r="D43" s="346">
        <v>6</v>
      </c>
      <c r="E43" s="353">
        <v>50000</v>
      </c>
      <c r="F43" s="349">
        <v>65000</v>
      </c>
      <c r="G43" s="1285">
        <f>IFERROR(VLOOKUP(A43,'valores unit indexados'!$A$14:$O$197,15,FALSE),0)</f>
        <v>0</v>
      </c>
      <c r="I43" s="423">
        <f>+I42</f>
        <v>62500</v>
      </c>
    </row>
    <row r="44" spans="1:9" ht="25.5" x14ac:dyDescent="0.2">
      <c r="A44" s="386" t="s">
        <v>686</v>
      </c>
      <c r="B44" s="347" t="s">
        <v>687</v>
      </c>
      <c r="C44" s="340" t="s">
        <v>6</v>
      </c>
      <c r="D44" s="385">
        <v>1</v>
      </c>
      <c r="E44" s="353">
        <v>60000</v>
      </c>
      <c r="F44" s="349">
        <v>65000</v>
      </c>
      <c r="G44" s="1285">
        <f>IFERROR(VLOOKUP(A44,'valores unit indexados'!$A$14:$O$197,15,FALSE),0)</f>
        <v>0</v>
      </c>
      <c r="I44" s="423">
        <f>+I43</f>
        <v>62500</v>
      </c>
    </row>
    <row r="45" spans="1:9" x14ac:dyDescent="0.2">
      <c r="A45" s="346" t="s">
        <v>308</v>
      </c>
      <c r="B45" s="358" t="s">
        <v>309</v>
      </c>
      <c r="C45" s="356" t="s">
        <v>19</v>
      </c>
      <c r="D45" s="348">
        <v>175</v>
      </c>
      <c r="E45" s="353">
        <v>12000</v>
      </c>
      <c r="F45" s="349">
        <v>7046</v>
      </c>
      <c r="G45" s="1285">
        <f>IFERROR(VLOOKUP(A45,'valores unit indexados'!$A$14:$O$197,15,FALSE),0)</f>
        <v>0</v>
      </c>
      <c r="I45" s="423">
        <f>ROUND(AVERAGE(E45:F45),0)</f>
        <v>9523</v>
      </c>
    </row>
    <row r="46" spans="1:9" x14ac:dyDescent="0.2">
      <c r="A46" s="354" t="s">
        <v>719</v>
      </c>
      <c r="B46" s="388" t="s">
        <v>720</v>
      </c>
      <c r="C46" s="389" t="s">
        <v>6</v>
      </c>
      <c r="D46" s="385">
        <v>6</v>
      </c>
      <c r="E46" s="353">
        <v>20000</v>
      </c>
      <c r="F46" s="349">
        <v>24362</v>
      </c>
      <c r="G46" s="1285">
        <f>IFERROR(VLOOKUP(A46,'valores unit indexados'!$A$14:$O$197,15,FALSE),0)</f>
        <v>0</v>
      </c>
      <c r="I46" s="423">
        <f>ROUND(AVERAGE(E46:F46),0)</f>
        <v>22181</v>
      </c>
    </row>
    <row r="47" spans="1:9" x14ac:dyDescent="0.2">
      <c r="A47" s="346" t="s">
        <v>299</v>
      </c>
      <c r="B47" s="358" t="s">
        <v>1483</v>
      </c>
      <c r="C47" s="356" t="s">
        <v>6</v>
      </c>
      <c r="D47" s="348">
        <v>6</v>
      </c>
      <c r="E47" s="353">
        <v>50000</v>
      </c>
      <c r="F47" s="349">
        <v>41800</v>
      </c>
      <c r="G47" s="1285">
        <f>IFERROR(VLOOKUP(A47,'valores unit indexados'!$A$14:$O$197,15,FALSE),0)</f>
        <v>0</v>
      </c>
      <c r="I47" s="423">
        <f>ROUND(AVERAGE(E47:F47),0)</f>
        <v>45900</v>
      </c>
    </row>
    <row r="48" spans="1:9" x14ac:dyDescent="0.2">
      <c r="A48" s="346" t="s">
        <v>252</v>
      </c>
      <c r="B48" s="368" t="s">
        <v>1480</v>
      </c>
      <c r="C48" s="356" t="s">
        <v>6</v>
      </c>
      <c r="D48" s="348">
        <v>1</v>
      </c>
      <c r="E48" s="1536">
        <v>550000</v>
      </c>
      <c r="F48" s="349">
        <v>400000</v>
      </c>
      <c r="G48" s="1285">
        <f>IFERROR(VLOOKUP(A48,'valores unit indexados'!$A$14:$O$197,15,FALSE),0)</f>
        <v>0</v>
      </c>
      <c r="I48" s="423">
        <f>+F48</f>
        <v>400000</v>
      </c>
    </row>
    <row r="49" spans="1:9" x14ac:dyDescent="0.2">
      <c r="A49" s="386" t="s">
        <v>655</v>
      </c>
      <c r="B49" s="392" t="s">
        <v>1517</v>
      </c>
      <c r="C49" s="340" t="s">
        <v>19</v>
      </c>
      <c r="D49" s="385">
        <v>17</v>
      </c>
      <c r="E49" s="353">
        <v>30000</v>
      </c>
      <c r="F49" s="349">
        <v>25935</v>
      </c>
      <c r="G49" s="1285">
        <f>IFERROR(VLOOKUP(A49,'valores unit indexados'!$A$14:$O$197,15,FALSE),0)</f>
        <v>0</v>
      </c>
      <c r="I49" s="423">
        <f>ROUND(AVERAGE(E49:F49),0)</f>
        <v>27968</v>
      </c>
    </row>
    <row r="50" spans="1:9" s="1544" customFormat="1" ht="25.5" x14ac:dyDescent="0.2">
      <c r="A50" s="346" t="s">
        <v>15</v>
      </c>
      <c r="B50" s="347" t="s">
        <v>16</v>
      </c>
      <c r="C50" s="340" t="s">
        <v>6</v>
      </c>
      <c r="D50" s="348">
        <v>4</v>
      </c>
      <c r="E50" s="349">
        <v>120000</v>
      </c>
      <c r="F50" s="350">
        <v>165000</v>
      </c>
      <c r="G50" s="1285">
        <f>IFERROR(VLOOKUP(A50,'valores unit indexados'!$A$14:$O$197,15,FALSE),0)</f>
        <v>0</v>
      </c>
      <c r="I50" s="423">
        <f>ROUND(AVERAGE(E50:F50),0)</f>
        <v>142500</v>
      </c>
    </row>
    <row r="51" spans="1:9" s="1544" customFormat="1" x14ac:dyDescent="0.2">
      <c r="A51" s="346" t="s">
        <v>370</v>
      </c>
      <c r="B51" s="368" t="s">
        <v>371</v>
      </c>
      <c r="C51" s="367" t="s">
        <v>19</v>
      </c>
      <c r="D51" s="346">
        <v>18</v>
      </c>
      <c r="E51" s="353">
        <v>15000</v>
      </c>
      <c r="F51" s="350">
        <v>17000</v>
      </c>
      <c r="G51" s="1285">
        <f>IFERROR(VLOOKUP(A51,'valores unit indexados'!$A$14:$O$197,15,FALSE),0)</f>
        <v>0</v>
      </c>
      <c r="I51" s="423">
        <f>ROUND(AVERAGE(E51:F51),0)</f>
        <v>16000</v>
      </c>
    </row>
    <row r="52" spans="1:9" s="1544" customFormat="1" x14ac:dyDescent="0.2">
      <c r="A52" s="354" t="s">
        <v>462</v>
      </c>
      <c r="B52" s="368" t="s">
        <v>1497</v>
      </c>
      <c r="C52" s="340" t="s">
        <v>150</v>
      </c>
      <c r="D52" s="385">
        <v>25</v>
      </c>
      <c r="E52" s="353">
        <v>25000</v>
      </c>
      <c r="F52" s="349">
        <v>23478</v>
      </c>
      <c r="G52" s="1285">
        <f>IFERROR(VLOOKUP(A52,'valores unit indexados'!$A$14:$O$197,15,FALSE),0)</f>
        <v>0</v>
      </c>
      <c r="I52" s="423">
        <f>ROUND(AVERAGE(E52:F52),0)</f>
        <v>24239</v>
      </c>
    </row>
    <row r="53" spans="1:9" s="1544" customFormat="1" x14ac:dyDescent="0.2">
      <c r="A53" s="386" t="s">
        <v>645</v>
      </c>
      <c r="B53" s="390" t="s">
        <v>646</v>
      </c>
      <c r="C53" s="363" t="s">
        <v>150</v>
      </c>
      <c r="D53" s="405">
        <v>9</v>
      </c>
      <c r="E53" s="353">
        <v>65000</v>
      </c>
      <c r="F53" s="349">
        <v>17797</v>
      </c>
      <c r="G53" s="1285">
        <f>IFERROR(VLOOKUP(A53,'valores unit indexados'!$A$14:$O$197,15,FALSE),0)</f>
        <v>0</v>
      </c>
      <c r="I53" s="423">
        <f>+I54</f>
        <v>41757</v>
      </c>
    </row>
    <row r="54" spans="1:9" s="1544" customFormat="1" x14ac:dyDescent="0.2">
      <c r="A54" s="348" t="s">
        <v>159</v>
      </c>
      <c r="B54" s="358" t="s">
        <v>160</v>
      </c>
      <c r="C54" s="356" t="s">
        <v>150</v>
      </c>
      <c r="D54" s="369">
        <v>1</v>
      </c>
      <c r="E54" s="1538">
        <v>120000</v>
      </c>
      <c r="F54" s="349">
        <v>50000</v>
      </c>
      <c r="G54" s="1285">
        <f>+'valores unit indexados'!O200</f>
        <v>33513</v>
      </c>
      <c r="I54" s="423">
        <f>ROUND(AVERAGE(F54:G54),0)</f>
        <v>41757</v>
      </c>
    </row>
    <row r="55" spans="1:9" s="1544" customFormat="1" ht="51" x14ac:dyDescent="0.2">
      <c r="A55" s="346" t="s">
        <v>32</v>
      </c>
      <c r="B55" s="357" t="s">
        <v>1464</v>
      </c>
      <c r="C55" s="340" t="s">
        <v>14</v>
      </c>
      <c r="D55" s="348">
        <v>410</v>
      </c>
      <c r="E55" s="353">
        <v>50000</v>
      </c>
      <c r="F55" s="350">
        <v>52117</v>
      </c>
      <c r="G55" s="1285">
        <f>IFERROR(VLOOKUP(A55,'valores unit indexados'!$A$14:$O$197,15,FALSE),0)</f>
        <v>0</v>
      </c>
      <c r="I55" s="423">
        <f>ROUND(AVERAGE(E55:F55),0)</f>
        <v>51059</v>
      </c>
    </row>
    <row r="56" spans="1:9" s="1544" customFormat="1" ht="51" x14ac:dyDescent="0.2">
      <c r="A56" s="386" t="s">
        <v>514</v>
      </c>
      <c r="B56" s="357" t="s">
        <v>1464</v>
      </c>
      <c r="C56" s="356" t="s">
        <v>14</v>
      </c>
      <c r="D56" s="385">
        <v>131</v>
      </c>
      <c r="E56" s="353">
        <v>50000</v>
      </c>
      <c r="F56" s="349">
        <v>52117</v>
      </c>
      <c r="G56" s="1285">
        <f>IFERROR(VLOOKUP(A56,'valores unit indexados'!$A$14:$O$197,15,FALSE),0)</f>
        <v>0</v>
      </c>
      <c r="I56" s="423">
        <f>ROUND(AVERAGE(E56:F56),0)</f>
        <v>51059</v>
      </c>
    </row>
    <row r="57" spans="1:9" s="1544" customFormat="1" ht="25.5" x14ac:dyDescent="0.2">
      <c r="A57" s="386" t="s">
        <v>591</v>
      </c>
      <c r="B57" s="402" t="s">
        <v>1513</v>
      </c>
      <c r="C57" s="389" t="s">
        <v>14</v>
      </c>
      <c r="D57" s="346">
        <v>20</v>
      </c>
      <c r="E57" s="353">
        <v>85000</v>
      </c>
      <c r="F57" s="349">
        <v>62000</v>
      </c>
      <c r="G57" s="1285">
        <f>IFERROR(VLOOKUP(A57,'valores unit indexados'!$A$14:$O$197,15,FALSE),0)</f>
        <v>0</v>
      </c>
      <c r="I57" s="423">
        <f>ROUND(AVERAGE(E57:F57),0)</f>
        <v>73500</v>
      </c>
    </row>
    <row r="58" spans="1:9" s="1544" customFormat="1" ht="25.5" x14ac:dyDescent="0.2">
      <c r="A58" s="354" t="s">
        <v>660</v>
      </c>
      <c r="B58" s="402" t="s">
        <v>1518</v>
      </c>
      <c r="C58" s="389" t="s">
        <v>14</v>
      </c>
      <c r="D58" s="385">
        <v>15</v>
      </c>
      <c r="E58" s="353">
        <v>85000</v>
      </c>
      <c r="F58" s="349">
        <v>62000</v>
      </c>
      <c r="G58" s="1285">
        <f>IFERROR(VLOOKUP(A58,'valores unit indexados'!$A$14:$O$197,15,FALSE),0)</f>
        <v>0</v>
      </c>
      <c r="I58" s="423">
        <f>ROUND(AVERAGE(E58:F58),0)</f>
        <v>73500</v>
      </c>
    </row>
    <row r="59" spans="1:9" s="1544" customFormat="1" ht="25.5" x14ac:dyDescent="0.2">
      <c r="A59" s="348" t="s">
        <v>151</v>
      </c>
      <c r="B59" s="347" t="s">
        <v>1473</v>
      </c>
      <c r="C59" s="340" t="s">
        <v>19</v>
      </c>
      <c r="D59" s="369">
        <v>17</v>
      </c>
      <c r="E59" s="370">
        <v>320000</v>
      </c>
      <c r="F59" s="1537">
        <v>82368</v>
      </c>
      <c r="G59" s="1285">
        <f>IFERROR(VLOOKUP(A59,'valores unit indexados'!$A$14:$O$197,15,FALSE),0)</f>
        <v>0</v>
      </c>
      <c r="I59" s="423">
        <f>+E59</f>
        <v>320000</v>
      </c>
    </row>
    <row r="60" spans="1:9" s="1544" customFormat="1" ht="25.5" x14ac:dyDescent="0.2">
      <c r="A60" s="386" t="s">
        <v>499</v>
      </c>
      <c r="B60" s="347" t="s">
        <v>500</v>
      </c>
      <c r="C60" s="356" t="s">
        <v>501</v>
      </c>
      <c r="D60" s="385">
        <v>1</v>
      </c>
      <c r="E60" s="353">
        <v>3000000</v>
      </c>
      <c r="F60" s="387">
        <v>0</v>
      </c>
      <c r="G60" s="1285">
        <f>IFERROR(VLOOKUP(A60,'valores unit indexados'!$A$14:$O$197,15,FALSE),0)</f>
        <v>0</v>
      </c>
      <c r="I60" s="423">
        <f>+E60</f>
        <v>3000000</v>
      </c>
    </row>
    <row r="61" spans="1:9" s="1544" customFormat="1" ht="25.5" x14ac:dyDescent="0.2">
      <c r="A61" s="386" t="s">
        <v>565</v>
      </c>
      <c r="B61" s="388" t="s">
        <v>566</v>
      </c>
      <c r="C61" s="389" t="s">
        <v>19</v>
      </c>
      <c r="D61" s="346">
        <v>490</v>
      </c>
      <c r="E61" s="379">
        <v>33000</v>
      </c>
      <c r="F61" s="387">
        <v>0</v>
      </c>
      <c r="G61" s="1285">
        <f>IFERROR(VLOOKUP(A61,'valores unit indexados'!$A$14:$O$197,15,FALSE),0)</f>
        <v>0</v>
      </c>
      <c r="I61" s="423">
        <f>+E61</f>
        <v>33000</v>
      </c>
    </row>
    <row r="62" spans="1:9" s="1544" customFormat="1" ht="25.5" x14ac:dyDescent="0.2">
      <c r="A62" s="386" t="s">
        <v>530</v>
      </c>
      <c r="B62" s="358" t="s">
        <v>531</v>
      </c>
      <c r="C62" s="356" t="s">
        <v>19</v>
      </c>
      <c r="D62" s="355">
        <v>395</v>
      </c>
      <c r="E62" s="353">
        <v>14000</v>
      </c>
      <c r="F62" s="349">
        <v>4000</v>
      </c>
      <c r="G62" s="1285">
        <f>IFERROR(VLOOKUP(A62,'valores unit indexados'!$A$14:$O$197,15,FALSE),0)</f>
        <v>0</v>
      </c>
      <c r="I62" s="423">
        <f>ROUND(AVERAGE(E62:F62),0)</f>
        <v>9000</v>
      </c>
    </row>
    <row r="63" spans="1:9" s="1544" customFormat="1" ht="25.5" x14ac:dyDescent="0.2">
      <c r="A63" s="354" t="s">
        <v>580</v>
      </c>
      <c r="B63" s="358" t="s">
        <v>531</v>
      </c>
      <c r="C63" s="356" t="s">
        <v>19</v>
      </c>
      <c r="D63" s="346">
        <v>33</v>
      </c>
      <c r="E63" s="353">
        <v>14000</v>
      </c>
      <c r="F63" s="349">
        <v>3731</v>
      </c>
      <c r="G63" s="1285">
        <f>IFERROR(VLOOKUP(A63,'valores unit indexados'!$A$14:$O$197,15,FALSE),0)</f>
        <v>0</v>
      </c>
      <c r="I63" s="423">
        <f>+I62</f>
        <v>9000</v>
      </c>
    </row>
    <row r="64" spans="1:9" s="1544" customFormat="1" ht="25.5" x14ac:dyDescent="0.2">
      <c r="A64" s="346" t="s">
        <v>620</v>
      </c>
      <c r="B64" s="358" t="s">
        <v>621</v>
      </c>
      <c r="C64" s="356" t="s">
        <v>19</v>
      </c>
      <c r="D64" s="346">
        <v>17</v>
      </c>
      <c r="E64" s="353">
        <v>14000</v>
      </c>
      <c r="F64" s="387">
        <v>0</v>
      </c>
      <c r="G64" s="1285">
        <f>IFERROR(VLOOKUP(A64,'valores unit indexados'!$A$14:$O$197,15,FALSE),0)</f>
        <v>0</v>
      </c>
      <c r="I64" s="423">
        <f>+I63</f>
        <v>9000</v>
      </c>
    </row>
    <row r="65" spans="1:9" s="1544" customFormat="1" ht="25.5" x14ac:dyDescent="0.2">
      <c r="A65" s="346" t="s">
        <v>289</v>
      </c>
      <c r="B65" s="347" t="s">
        <v>290</v>
      </c>
      <c r="C65" s="356" t="s">
        <v>19</v>
      </c>
      <c r="D65" s="348">
        <v>225</v>
      </c>
      <c r="E65" s="1536">
        <v>45000</v>
      </c>
      <c r="F65" s="349">
        <v>4000</v>
      </c>
      <c r="G65" s="1285">
        <f>IFERROR(VLOOKUP(A65,'valores unit indexados'!$A$14:$O$197,15,FALSE),0)</f>
        <v>0</v>
      </c>
      <c r="I65" s="423">
        <f>ROUND(IF(G65&gt;0,G65:G65,AVERAGE(F65,E65)),0)</f>
        <v>24500</v>
      </c>
    </row>
    <row r="66" spans="1:9" ht="25.5" x14ac:dyDescent="0.2">
      <c r="A66" s="346" t="s">
        <v>417</v>
      </c>
      <c r="B66" s="347" t="s">
        <v>418</v>
      </c>
      <c r="C66" s="356" t="s">
        <v>19</v>
      </c>
      <c r="D66" s="346">
        <v>197</v>
      </c>
      <c r="E66" s="353">
        <v>45000</v>
      </c>
      <c r="F66" s="387">
        <v>0</v>
      </c>
      <c r="G66" s="1285">
        <f>IFERROR(VLOOKUP(A66,'valores unit indexados'!$A$14:$O$197,15,FALSE),0)</f>
        <v>0</v>
      </c>
      <c r="I66" s="423">
        <f>+I65</f>
        <v>24500</v>
      </c>
    </row>
    <row r="67" spans="1:9" x14ac:dyDescent="0.2">
      <c r="A67" s="354" t="s">
        <v>735</v>
      </c>
      <c r="B67" s="358" t="s">
        <v>1525</v>
      </c>
      <c r="C67" s="356" t="s">
        <v>19</v>
      </c>
      <c r="D67" s="385">
        <v>80</v>
      </c>
      <c r="E67" s="353">
        <v>17000</v>
      </c>
      <c r="F67" s="349">
        <v>10000</v>
      </c>
      <c r="G67" s="1285">
        <f>IFERROR(VLOOKUP(A67,'valores unit indexados'!$A$14:$O$197,15,FALSE),0)</f>
        <v>0</v>
      </c>
      <c r="I67" s="423">
        <f>ROUND(AVERAGE(E67:F67),0)</f>
        <v>13500</v>
      </c>
    </row>
    <row r="68" spans="1:9" ht="25.5" x14ac:dyDescent="0.2">
      <c r="A68" s="346" t="s">
        <v>22</v>
      </c>
      <c r="B68" s="347" t="s">
        <v>23</v>
      </c>
      <c r="C68" s="340" t="s">
        <v>19</v>
      </c>
      <c r="D68" s="348">
        <v>288</v>
      </c>
      <c r="E68" s="353">
        <v>35000</v>
      </c>
      <c r="F68" s="1539">
        <v>3731</v>
      </c>
      <c r="G68" s="1285">
        <f>IFERROR(VLOOKUP(A68,'valores unit indexados'!$A$14:$O$197,15,FALSE),0)</f>
        <v>29150</v>
      </c>
      <c r="I68" s="423">
        <f>ROUND(AVERAGE(E68,G68),0)</f>
        <v>32075</v>
      </c>
    </row>
    <row r="69" spans="1:9" ht="25.5" x14ac:dyDescent="0.2">
      <c r="A69" s="346" t="s">
        <v>259</v>
      </c>
      <c r="B69" s="358" t="s">
        <v>23</v>
      </c>
      <c r="C69" s="356" t="s">
        <v>19</v>
      </c>
      <c r="D69" s="348">
        <v>86</v>
      </c>
      <c r="E69" s="353">
        <v>35000</v>
      </c>
      <c r="F69" s="1537">
        <v>3731</v>
      </c>
      <c r="G69" s="1285">
        <f>IFERROR(VLOOKUP(A69,'valores unit indexados'!$A$14:$O$197,15,FALSE),0)</f>
        <v>29150</v>
      </c>
      <c r="I69" s="423">
        <f>ROUND(AVERAGE(E69,G69),0)</f>
        <v>32075</v>
      </c>
    </row>
    <row r="70" spans="1:9" ht="25.5" x14ac:dyDescent="0.2">
      <c r="A70" s="386" t="s">
        <v>509</v>
      </c>
      <c r="B70" s="347" t="s">
        <v>23</v>
      </c>
      <c r="C70" s="340" t="s">
        <v>19</v>
      </c>
      <c r="D70" s="385">
        <v>97</v>
      </c>
      <c r="E70" s="353">
        <v>35000</v>
      </c>
      <c r="F70" s="349">
        <v>3731</v>
      </c>
      <c r="G70" s="1285">
        <f>IFERROR(VLOOKUP(A70,'valores unit indexados'!$A$14:$O$197,15,FALSE),0)</f>
        <v>29150</v>
      </c>
      <c r="I70" s="423">
        <f>ROUND(AVERAGE(E70,G70),0)</f>
        <v>32075</v>
      </c>
    </row>
    <row r="71" spans="1:9" ht="25.5" x14ac:dyDescent="0.2">
      <c r="A71" s="348" t="s">
        <v>190</v>
      </c>
      <c r="B71" s="358" t="s">
        <v>191</v>
      </c>
      <c r="C71" s="356" t="s">
        <v>19</v>
      </c>
      <c r="D71" s="369">
        <v>41</v>
      </c>
      <c r="E71" s="370">
        <v>35000</v>
      </c>
      <c r="F71" s="1537">
        <v>3731</v>
      </c>
      <c r="G71" s="1285">
        <f>IFERROR(VLOOKUP(A71,'valores unit indexados'!$A$14:$O$197,15,FALSE),0)</f>
        <v>29150</v>
      </c>
      <c r="I71" s="423">
        <f>ROUND(AVERAGE(E71,G71),0)</f>
        <v>32075</v>
      </c>
    </row>
    <row r="72" spans="1:9" x14ac:dyDescent="0.2">
      <c r="A72" s="354" t="s">
        <v>205</v>
      </c>
      <c r="B72" s="347" t="s">
        <v>206</v>
      </c>
      <c r="C72" s="340" t="s">
        <v>19</v>
      </c>
      <c r="D72" s="348">
        <v>6</v>
      </c>
      <c r="E72" s="1536">
        <v>90000</v>
      </c>
      <c r="F72" s="1537">
        <v>3731</v>
      </c>
      <c r="G72" s="1285">
        <f>IFERROR(VLOOKUP(A72,'valores unit indexados'!$A$14:$O$197,15,FALSE),0)</f>
        <v>29150</v>
      </c>
      <c r="I72" s="423">
        <f>+I71</f>
        <v>32075</v>
      </c>
    </row>
    <row r="73" spans="1:9" x14ac:dyDescent="0.2">
      <c r="A73" s="367" t="s">
        <v>346</v>
      </c>
      <c r="B73" s="347" t="s">
        <v>206</v>
      </c>
      <c r="C73" s="340" t="s">
        <v>19</v>
      </c>
      <c r="D73" s="356">
        <v>14</v>
      </c>
      <c r="E73" s="353">
        <v>35000</v>
      </c>
      <c r="F73" s="1539">
        <v>3731</v>
      </c>
      <c r="G73" s="1285">
        <f>IFERROR(VLOOKUP(A73,'valores unit indexados'!$A$14:$O$197,15,FALSE),0)</f>
        <v>29150</v>
      </c>
      <c r="I73" s="423">
        <f>+I72</f>
        <v>32075</v>
      </c>
    </row>
    <row r="74" spans="1:9" ht="25.5" x14ac:dyDescent="0.2">
      <c r="A74" s="362" t="s">
        <v>73</v>
      </c>
      <c r="B74" s="364" t="s">
        <v>74</v>
      </c>
      <c r="C74" s="363" t="s">
        <v>19</v>
      </c>
      <c r="D74" s="348">
        <v>191</v>
      </c>
      <c r="E74" s="379">
        <v>35000</v>
      </c>
      <c r="F74" s="1537">
        <v>3731</v>
      </c>
      <c r="G74" s="1285">
        <f>IFERROR(VLOOKUP(A74,'valores unit indexados'!$A$14:$O$197,15,FALSE),0)</f>
        <v>29150</v>
      </c>
      <c r="I74" s="423">
        <f>+I73</f>
        <v>32075</v>
      </c>
    </row>
    <row r="75" spans="1:9" x14ac:dyDescent="0.2">
      <c r="A75" s="354" t="s">
        <v>227</v>
      </c>
      <c r="B75" s="347" t="s">
        <v>228</v>
      </c>
      <c r="C75" s="340" t="s">
        <v>19</v>
      </c>
      <c r="D75" s="348">
        <v>1234</v>
      </c>
      <c r="E75" s="353">
        <v>14000</v>
      </c>
      <c r="F75" s="349">
        <v>3913</v>
      </c>
      <c r="G75" s="1285">
        <f>IFERROR(VLOOKUP(A75,'valores unit indexados'!$A$14:$O$197,15,FALSE),0)</f>
        <v>0</v>
      </c>
      <c r="I75" s="423">
        <f>ROUND(AVERAGE(E75:F75),0)</f>
        <v>8957</v>
      </c>
    </row>
    <row r="76" spans="1:9" x14ac:dyDescent="0.2">
      <c r="A76" s="346" t="s">
        <v>225</v>
      </c>
      <c r="B76" s="347" t="s">
        <v>226</v>
      </c>
      <c r="C76" s="340" t="s">
        <v>19</v>
      </c>
      <c r="D76" s="348">
        <v>1037</v>
      </c>
      <c r="E76" s="353">
        <v>17000</v>
      </c>
      <c r="F76" s="349">
        <v>2392</v>
      </c>
      <c r="G76" s="1285">
        <f>IFERROR(VLOOKUP(A76,'valores unit indexados'!$A$14:$O$197,15,FALSE),0)</f>
        <v>0</v>
      </c>
      <c r="I76" s="423">
        <f>ROUND(AVERAGE(E76:F76),0)</f>
        <v>9696</v>
      </c>
    </row>
    <row r="77" spans="1:9" ht="25.5" x14ac:dyDescent="0.2">
      <c r="A77" s="381" t="s">
        <v>223</v>
      </c>
      <c r="B77" s="347" t="s">
        <v>224</v>
      </c>
      <c r="C77" s="340" t="s">
        <v>19</v>
      </c>
      <c r="D77" s="348">
        <v>47</v>
      </c>
      <c r="E77" s="353">
        <v>12500</v>
      </c>
      <c r="F77" s="1537">
        <v>5000</v>
      </c>
      <c r="G77" s="1285">
        <f>IFERROR(VLOOKUP(A77,'valores unit indexados'!$A$14:$O$197,15,FALSE),0)</f>
        <v>16681</v>
      </c>
      <c r="I77" s="423">
        <f>ROUND(IF(G77&gt;0,G77:G77,AVERAGE(F77,E77)),0)</f>
        <v>16681</v>
      </c>
    </row>
    <row r="78" spans="1:9" ht="25.5" x14ac:dyDescent="0.2">
      <c r="A78" s="381" t="s">
        <v>322</v>
      </c>
      <c r="B78" s="347" t="s">
        <v>224</v>
      </c>
      <c r="C78" s="340" t="s">
        <v>19</v>
      </c>
      <c r="D78" s="348">
        <v>73</v>
      </c>
      <c r="E78" s="353">
        <v>12500</v>
      </c>
      <c r="F78" s="349">
        <v>5000</v>
      </c>
      <c r="G78" s="1285">
        <f>IFERROR(VLOOKUP(A78,'valores unit indexados'!$A$14:$O$197,15,FALSE),0)</f>
        <v>16681</v>
      </c>
      <c r="I78" s="423">
        <f>ROUND(IF(G78&gt;0,G78:G78,AVERAGE(F78,E78)),0)</f>
        <v>16681</v>
      </c>
    </row>
    <row r="79" spans="1:9" ht="25.5" x14ac:dyDescent="0.2">
      <c r="A79" s="381" t="s">
        <v>331</v>
      </c>
      <c r="B79" s="358" t="s">
        <v>1485</v>
      </c>
      <c r="C79" s="356" t="s">
        <v>14</v>
      </c>
      <c r="D79" s="356">
        <v>28</v>
      </c>
      <c r="E79" s="379">
        <v>20000</v>
      </c>
      <c r="F79" s="350">
        <v>3055</v>
      </c>
      <c r="G79" s="1285">
        <f>IFERROR(VLOOKUP(A79,'valores unit indexados'!$A$14:$O$197,15,FALSE),0)</f>
        <v>0</v>
      </c>
      <c r="I79" s="423">
        <f>ROUND(AVERAGE(E79:F79),0)</f>
        <v>11528</v>
      </c>
    </row>
    <row r="80" spans="1:9" ht="25.5" x14ac:dyDescent="0.2">
      <c r="A80" s="386" t="s">
        <v>458</v>
      </c>
      <c r="B80" s="368" t="s">
        <v>459</v>
      </c>
      <c r="C80" s="340" t="s">
        <v>6</v>
      </c>
      <c r="D80" s="385">
        <v>4</v>
      </c>
      <c r="E80" s="379">
        <v>180000</v>
      </c>
      <c r="F80" s="1537">
        <v>12415</v>
      </c>
      <c r="G80" s="1285">
        <f>IFERROR(VLOOKUP(A80,'valores unit indexados'!$A$14:$O$197,15,FALSE),0)</f>
        <v>0</v>
      </c>
      <c r="I80" s="423">
        <f>ROUND(AVERAGE(E80:F80),0)</f>
        <v>96208</v>
      </c>
    </row>
    <row r="81" spans="1:9" ht="51" x14ac:dyDescent="0.2">
      <c r="A81" s="367" t="s">
        <v>426</v>
      </c>
      <c r="B81" s="384" t="s">
        <v>1495</v>
      </c>
      <c r="C81" s="340" t="s">
        <v>6</v>
      </c>
      <c r="D81" s="346">
        <v>1</v>
      </c>
      <c r="E81" s="353">
        <v>800000</v>
      </c>
      <c r="F81" s="387">
        <v>0</v>
      </c>
      <c r="G81" s="1285">
        <f>IFERROR(VLOOKUP(A81,'valores unit indexados'!$A$14:$O$197,15,FALSE),0)</f>
        <v>0</v>
      </c>
      <c r="I81" s="423">
        <f>+E81</f>
        <v>800000</v>
      </c>
    </row>
    <row r="82" spans="1:9" ht="51" x14ac:dyDescent="0.2">
      <c r="A82" s="367" t="s">
        <v>422</v>
      </c>
      <c r="B82" s="384" t="s">
        <v>1494</v>
      </c>
      <c r="C82" s="340" t="s">
        <v>6</v>
      </c>
      <c r="D82" s="346">
        <v>5</v>
      </c>
      <c r="E82" s="353">
        <v>280000</v>
      </c>
      <c r="F82" s="387">
        <v>0</v>
      </c>
      <c r="G82" s="1285">
        <f>IFERROR(VLOOKUP(A82,'valores unit indexados'!$A$14:$O$197,15,FALSE),0)</f>
        <v>0</v>
      </c>
      <c r="I82" s="423">
        <f>+E82</f>
        <v>280000</v>
      </c>
    </row>
    <row r="83" spans="1:9" ht="38.25" x14ac:dyDescent="0.2">
      <c r="A83" s="354" t="s">
        <v>434</v>
      </c>
      <c r="B83" s="384" t="s">
        <v>435</v>
      </c>
      <c r="C83" s="340" t="s">
        <v>6</v>
      </c>
      <c r="D83" s="385">
        <v>1</v>
      </c>
      <c r="E83" s="353">
        <v>650000</v>
      </c>
      <c r="F83" s="349">
        <v>490000</v>
      </c>
      <c r="G83" s="1285">
        <f>IFERROR(VLOOKUP(A83,'valores unit indexados'!$A$14:$O$197,15,FALSE),0)</f>
        <v>0</v>
      </c>
      <c r="I83" s="423">
        <f>ROUND(AVERAGE(E83:F83),0)</f>
        <v>570000</v>
      </c>
    </row>
    <row r="84" spans="1:9" ht="38.25" x14ac:dyDescent="0.2">
      <c r="A84" s="367" t="s">
        <v>432</v>
      </c>
      <c r="B84" s="384" t="s">
        <v>1496</v>
      </c>
      <c r="C84" s="340" t="s">
        <v>6</v>
      </c>
      <c r="D84" s="385">
        <v>2</v>
      </c>
      <c r="E84" s="353">
        <v>550000</v>
      </c>
      <c r="F84" s="349">
        <v>450000</v>
      </c>
      <c r="G84" s="1285">
        <f>IFERROR(VLOOKUP(A84,'valores unit indexados'!$A$14:$O$197,15,FALSE),0)</f>
        <v>0</v>
      </c>
      <c r="I84" s="423">
        <f>ROUND(AVERAGE(E84:F84),0)</f>
        <v>500000</v>
      </c>
    </row>
    <row r="85" spans="1:9" ht="38.25" x14ac:dyDescent="0.2">
      <c r="A85" s="354" t="s">
        <v>543</v>
      </c>
      <c r="B85" s="358" t="s">
        <v>544</v>
      </c>
      <c r="C85" s="340" t="s">
        <v>6</v>
      </c>
      <c r="D85" s="346">
        <v>22</v>
      </c>
      <c r="E85" s="353">
        <v>550000</v>
      </c>
      <c r="F85" s="349">
        <v>300000</v>
      </c>
      <c r="G85" s="1285">
        <f>IFERROR(VLOOKUP(A85,'valores unit indexados'!$A$14:$O$197,15,FALSE),0)</f>
        <v>0</v>
      </c>
      <c r="I85" s="423">
        <f>ROUND(AVERAGE(E85:F85),0)</f>
        <v>425000</v>
      </c>
    </row>
    <row r="86" spans="1:9" ht="38.25" x14ac:dyDescent="0.2">
      <c r="A86" s="367" t="s">
        <v>436</v>
      </c>
      <c r="B86" s="384" t="s">
        <v>437</v>
      </c>
      <c r="C86" s="340" t="s">
        <v>6</v>
      </c>
      <c r="D86" s="385">
        <v>15</v>
      </c>
      <c r="E86" s="353">
        <v>700000</v>
      </c>
      <c r="F86" s="1537">
        <v>2700000</v>
      </c>
      <c r="G86" s="1285">
        <f>IFERROR(VLOOKUP(A86,'valores unit indexados'!$A$14:$O$197,15,FALSE),0)</f>
        <v>0</v>
      </c>
      <c r="I86" s="423">
        <f>+I84</f>
        <v>500000</v>
      </c>
    </row>
    <row r="87" spans="1:9" ht="38.25" x14ac:dyDescent="0.2">
      <c r="A87" s="354" t="s">
        <v>430</v>
      </c>
      <c r="B87" s="384" t="s">
        <v>431</v>
      </c>
      <c r="C87" s="340" t="s">
        <v>6</v>
      </c>
      <c r="D87" s="346">
        <v>37</v>
      </c>
      <c r="E87" s="353">
        <v>550000</v>
      </c>
      <c r="F87" s="349">
        <v>300000</v>
      </c>
      <c r="G87" s="1285">
        <f>IFERROR(VLOOKUP(A87,'valores unit indexados'!$A$14:$O$197,15,FALSE),0)</f>
        <v>0</v>
      </c>
      <c r="I87" s="423">
        <f>ROUND(AVERAGE(E87:F87),0)</f>
        <v>425000</v>
      </c>
    </row>
    <row r="88" spans="1:9" ht="76.5" x14ac:dyDescent="0.2">
      <c r="A88" s="354" t="s">
        <v>676</v>
      </c>
      <c r="B88" s="347" t="s">
        <v>677</v>
      </c>
      <c r="C88" s="340" t="s">
        <v>6</v>
      </c>
      <c r="D88" s="385">
        <v>34</v>
      </c>
      <c r="E88" s="353">
        <v>800000</v>
      </c>
      <c r="F88" s="349">
        <v>481000</v>
      </c>
      <c r="G88" s="1285">
        <f>IFERROR(VLOOKUP(A88,'valores unit indexados'!$A$14:$O$197,15,FALSE),0)</f>
        <v>0</v>
      </c>
      <c r="I88" s="423">
        <f>ROUND(AVERAGE(E88:F88),0)</f>
        <v>640500</v>
      </c>
    </row>
    <row r="89" spans="1:9" ht="76.5" x14ac:dyDescent="0.2">
      <c r="A89" s="386" t="s">
        <v>674</v>
      </c>
      <c r="B89" s="347" t="s">
        <v>675</v>
      </c>
      <c r="C89" s="340" t="s">
        <v>6</v>
      </c>
      <c r="D89" s="346">
        <v>2</v>
      </c>
      <c r="E89" s="353">
        <v>850000</v>
      </c>
      <c r="F89" s="349">
        <v>600000</v>
      </c>
      <c r="G89" s="1285">
        <f>IFERROR(VLOOKUP(A89,'valores unit indexados'!$A$14:$O$197,15,FALSE),0)</f>
        <v>0</v>
      </c>
      <c r="I89" s="423">
        <f>ROUND(AVERAGE(E89:F89),0)</f>
        <v>725000</v>
      </c>
    </row>
    <row r="90" spans="1:9" ht="76.5" x14ac:dyDescent="0.2">
      <c r="A90" s="386" t="s">
        <v>678</v>
      </c>
      <c r="B90" s="347" t="s">
        <v>679</v>
      </c>
      <c r="C90" s="340" t="s">
        <v>6</v>
      </c>
      <c r="D90" s="385">
        <v>17</v>
      </c>
      <c r="E90" s="353">
        <v>800000</v>
      </c>
      <c r="F90" s="349">
        <v>550000</v>
      </c>
      <c r="G90" s="1285">
        <f>IFERROR(VLOOKUP(A90,'valores unit indexados'!$A$14:$O$197,15,FALSE),0)</f>
        <v>0</v>
      </c>
      <c r="I90" s="423">
        <f>+I88</f>
        <v>640500</v>
      </c>
    </row>
    <row r="91" spans="1:9" ht="76.5" x14ac:dyDescent="0.2">
      <c r="A91" s="354" t="s">
        <v>680</v>
      </c>
      <c r="B91" s="347" t="s">
        <v>681</v>
      </c>
      <c r="C91" s="340" t="s">
        <v>6</v>
      </c>
      <c r="D91" s="385">
        <v>13</v>
      </c>
      <c r="E91" s="353">
        <v>700000</v>
      </c>
      <c r="F91" s="349">
        <v>550000</v>
      </c>
      <c r="G91" s="1285">
        <f>IFERROR(VLOOKUP(A91,'valores unit indexados'!$A$14:$O$197,15,FALSE),0)</f>
        <v>0</v>
      </c>
      <c r="I91" s="423">
        <f>ROUND(AVERAGE(E91:F91),0)</f>
        <v>625000</v>
      </c>
    </row>
    <row r="92" spans="1:9" ht="25.5" x14ac:dyDescent="0.2">
      <c r="A92" s="386" t="s">
        <v>643</v>
      </c>
      <c r="B92" s="360" t="s">
        <v>644</v>
      </c>
      <c r="C92" s="404" t="s">
        <v>19</v>
      </c>
      <c r="D92" s="385">
        <v>10</v>
      </c>
      <c r="E92" s="353">
        <v>50000</v>
      </c>
      <c r="F92" s="387">
        <v>0</v>
      </c>
      <c r="G92" s="1285">
        <f>IFERROR(VLOOKUP(A92,'valores unit indexados'!$A$14:$O$197,15,FALSE),0)</f>
        <v>0</v>
      </c>
      <c r="I92" s="423">
        <f>+E92</f>
        <v>50000</v>
      </c>
    </row>
    <row r="93" spans="1:9" ht="76.5" x14ac:dyDescent="0.2">
      <c r="A93" s="346" t="s">
        <v>420</v>
      </c>
      <c r="B93" s="358" t="s">
        <v>1492</v>
      </c>
      <c r="C93" s="340" t="s">
        <v>6</v>
      </c>
      <c r="D93" s="346">
        <v>16</v>
      </c>
      <c r="E93" s="412">
        <v>250000</v>
      </c>
      <c r="F93" s="412">
        <v>364000</v>
      </c>
      <c r="G93" s="1285">
        <f>IFERROR(VLOOKUP(A93,'valores unit indexados'!$A$14:$O$197,15,FALSE),0)</f>
        <v>0</v>
      </c>
      <c r="I93" s="423">
        <f>+I95</f>
        <v>286990</v>
      </c>
    </row>
    <row r="94" spans="1:9" s="1544" customFormat="1" ht="76.5" x14ac:dyDescent="0.2">
      <c r="A94" s="367" t="s">
        <v>421</v>
      </c>
      <c r="B94" s="358" t="s">
        <v>1493</v>
      </c>
      <c r="C94" s="340" t="s">
        <v>6</v>
      </c>
      <c r="D94" s="346">
        <v>6</v>
      </c>
      <c r="E94" s="412">
        <v>290000</v>
      </c>
      <c r="F94" s="412">
        <v>600000</v>
      </c>
      <c r="G94" s="1285">
        <f>IFERROR(VLOOKUP(A94,'valores unit indexados'!$A$14:$O$197,15,FALSE),0)</f>
        <v>0</v>
      </c>
      <c r="I94" s="423">
        <f>ROUND(AVERAGE(E94:F94),0)</f>
        <v>445000</v>
      </c>
    </row>
    <row r="95" spans="1:9" s="1544" customFormat="1" ht="76.5" x14ac:dyDescent="0.2">
      <c r="A95" s="367" t="s">
        <v>419</v>
      </c>
      <c r="B95" s="358" t="s">
        <v>1491</v>
      </c>
      <c r="C95" s="340" t="s">
        <v>6</v>
      </c>
      <c r="D95" s="346">
        <v>113</v>
      </c>
      <c r="E95" s="412">
        <v>230000</v>
      </c>
      <c r="F95" s="412">
        <v>343980</v>
      </c>
      <c r="G95" s="1285">
        <f>IFERROR(VLOOKUP(A95,'valores unit indexados'!$A$14:$O$197,15,FALSE),0)</f>
        <v>0</v>
      </c>
      <c r="I95" s="423">
        <f>ROUND(AVERAGE(E95:F95),0)</f>
        <v>286990</v>
      </c>
    </row>
    <row r="96" spans="1:9" s="1544" customFormat="1" ht="38.25" x14ac:dyDescent="0.2">
      <c r="A96" s="354" t="s">
        <v>438</v>
      </c>
      <c r="B96" s="384" t="s">
        <v>439</v>
      </c>
      <c r="C96" s="340" t="s">
        <v>6</v>
      </c>
      <c r="D96" s="385">
        <v>7</v>
      </c>
      <c r="E96" s="1536">
        <v>700000</v>
      </c>
      <c r="F96" s="349">
        <v>230000</v>
      </c>
      <c r="G96" s="1285">
        <f>IFERROR(VLOOKUP(A96,'valores unit indexados'!$A$14:$O$197,15,FALSE),0)</f>
        <v>0</v>
      </c>
      <c r="I96" s="423">
        <f>+F96</f>
        <v>230000</v>
      </c>
    </row>
    <row r="97" spans="1:9" s="1544" customFormat="1" ht="38.25" x14ac:dyDescent="0.2">
      <c r="A97" s="386" t="s">
        <v>745</v>
      </c>
      <c r="B97" s="358" t="s">
        <v>746</v>
      </c>
      <c r="C97" s="389" t="s">
        <v>19</v>
      </c>
      <c r="D97" s="385">
        <v>156</v>
      </c>
      <c r="E97" s="353">
        <v>145000</v>
      </c>
      <c r="F97" s="349">
        <v>64150</v>
      </c>
      <c r="G97" s="1285">
        <f>IFERROR(VLOOKUP(A97,'valores unit indexados'!$A$14:$O$197,15,FALSE),0)</f>
        <v>0</v>
      </c>
      <c r="I97" s="423">
        <f>ROUND(AVERAGE(E97:F97),0)</f>
        <v>104575</v>
      </c>
    </row>
    <row r="98" spans="1:9" s="1544" customFormat="1" ht="38.25" x14ac:dyDescent="0.2">
      <c r="A98" s="386" t="s">
        <v>704</v>
      </c>
      <c r="B98" s="358" t="s">
        <v>1521</v>
      </c>
      <c r="C98" s="389" t="s">
        <v>19</v>
      </c>
      <c r="D98" s="385">
        <v>40</v>
      </c>
      <c r="E98" s="353">
        <v>145000</v>
      </c>
      <c r="F98" s="349">
        <v>64150</v>
      </c>
      <c r="G98" s="1285">
        <f>IFERROR(VLOOKUP(A98,'valores unit indexados'!$A$14:$O$197,15,FALSE),0)</f>
        <v>0</v>
      </c>
      <c r="I98" s="423">
        <f>ROUND(AVERAGE(E98:F98),0)</f>
        <v>104575</v>
      </c>
    </row>
    <row r="99" spans="1:9" s="1544" customFormat="1" ht="38.25" x14ac:dyDescent="0.2">
      <c r="A99" s="346" t="s">
        <v>221</v>
      </c>
      <c r="B99" s="347" t="s">
        <v>222</v>
      </c>
      <c r="C99" s="340" t="s">
        <v>14</v>
      </c>
      <c r="D99" s="348">
        <v>47</v>
      </c>
      <c r="E99" s="353">
        <v>135500</v>
      </c>
      <c r="F99" s="387">
        <v>0</v>
      </c>
      <c r="G99" s="1285">
        <f>IFERROR(VLOOKUP(A99,'valores unit indexados'!$A$14:$O$197,15,FALSE),0)</f>
        <v>226947</v>
      </c>
      <c r="I99" s="423">
        <f>ROUND(IF(G99&gt;0,G99:G99,AVERAGE(F99,E99)),0)</f>
        <v>226947</v>
      </c>
    </row>
    <row r="100" spans="1:9" s="1544" customFormat="1" ht="38.25" x14ac:dyDescent="0.2">
      <c r="A100" s="346" t="s">
        <v>321</v>
      </c>
      <c r="B100" s="347" t="s">
        <v>222</v>
      </c>
      <c r="C100" s="340" t="s">
        <v>14</v>
      </c>
      <c r="D100" s="348">
        <v>29</v>
      </c>
      <c r="E100" s="353">
        <v>135000</v>
      </c>
      <c r="F100" s="399">
        <v>0</v>
      </c>
      <c r="G100" s="1285">
        <f>IFERROR(VLOOKUP(A100,'valores unit indexados'!$A$14:$O$197,15,FALSE),0)</f>
        <v>226947</v>
      </c>
      <c r="I100" s="423">
        <f>ROUND(IF(G100&gt;0,G100:G100,AVERAGE(F100,E100)),0)</f>
        <v>226947</v>
      </c>
    </row>
    <row r="101" spans="1:9" s="1544" customFormat="1" x14ac:dyDescent="0.2">
      <c r="A101" s="386" t="s">
        <v>706</v>
      </c>
      <c r="B101" s="388" t="s">
        <v>707</v>
      </c>
      <c r="C101" s="389" t="s">
        <v>14</v>
      </c>
      <c r="D101" s="385">
        <v>60</v>
      </c>
      <c r="E101" s="353">
        <v>35000</v>
      </c>
      <c r="F101" s="349">
        <v>36340</v>
      </c>
      <c r="G101" s="1285">
        <f>IFERROR(VLOOKUP(A101,'valores unit indexados'!$A$14:$O$197,15,FALSE),0)</f>
        <v>0</v>
      </c>
      <c r="I101" s="423">
        <f>ROUND(AVERAGE(E101:F101),0)</f>
        <v>35670</v>
      </c>
    </row>
    <row r="102" spans="1:9" x14ac:dyDescent="0.2">
      <c r="A102" s="354" t="s">
        <v>349</v>
      </c>
      <c r="B102" s="347" t="s">
        <v>350</v>
      </c>
      <c r="C102" s="356" t="s">
        <v>6</v>
      </c>
      <c r="D102" s="356">
        <v>4</v>
      </c>
      <c r="E102" s="353">
        <v>60000</v>
      </c>
      <c r="F102" s="350">
        <v>88000</v>
      </c>
      <c r="G102" s="1285">
        <f>IFERROR(VLOOKUP(A102,'valores unit indexados'!$A$14:$O$197,15,FALSE),0)</f>
        <v>0</v>
      </c>
      <c r="I102" s="423">
        <f>ROUND(AVERAGE(E102:F102),0)</f>
        <v>74000</v>
      </c>
    </row>
    <row r="103" spans="1:9" x14ac:dyDescent="0.2">
      <c r="A103" s="354" t="s">
        <v>468</v>
      </c>
      <c r="B103" s="358" t="s">
        <v>469</v>
      </c>
      <c r="C103" s="356" t="s">
        <v>6</v>
      </c>
      <c r="D103" s="385">
        <v>4</v>
      </c>
      <c r="E103" s="1536">
        <v>180000</v>
      </c>
      <c r="F103" s="349">
        <v>88000</v>
      </c>
      <c r="G103" s="1285">
        <f>IFERROR(VLOOKUP(A103,'valores unit indexados'!$A$14:$O$197,15,FALSE),0)</f>
        <v>0</v>
      </c>
      <c r="I103" s="423">
        <f>+F103</f>
        <v>88000</v>
      </c>
    </row>
    <row r="104" spans="1:9" x14ac:dyDescent="0.2">
      <c r="A104" s="346" t="s">
        <v>210</v>
      </c>
      <c r="B104" s="347" t="s">
        <v>211</v>
      </c>
      <c r="C104" s="367" t="s">
        <v>19</v>
      </c>
      <c r="D104" s="348">
        <v>20</v>
      </c>
      <c r="E104" s="1536">
        <v>15000</v>
      </c>
      <c r="F104" s="1537">
        <v>4000</v>
      </c>
      <c r="G104" s="1285">
        <f>IFERROR(VLOOKUP(A104,'valores unit indexados'!$A$14:$O$197,15,FALSE),0)</f>
        <v>8445</v>
      </c>
      <c r="I104" s="423">
        <f>+I105</f>
        <v>6630</v>
      </c>
    </row>
    <row r="105" spans="1:9" x14ac:dyDescent="0.2">
      <c r="A105" s="354" t="s">
        <v>532</v>
      </c>
      <c r="B105" s="358" t="s">
        <v>533</v>
      </c>
      <c r="C105" s="356" t="s">
        <v>19</v>
      </c>
      <c r="D105" s="355">
        <v>245</v>
      </c>
      <c r="E105" s="353">
        <v>9000</v>
      </c>
      <c r="F105" s="349">
        <v>4000</v>
      </c>
      <c r="G105" s="1285">
        <f>IFERROR(VLOOKUP(A105,'valores unit indexados'!$A$14:$O$197,15,FALSE),0)</f>
        <v>6890</v>
      </c>
      <c r="I105" s="423">
        <f>ROUND(AVERAGE(E105:G105),0)</f>
        <v>6630</v>
      </c>
    </row>
    <row r="106" spans="1:9" x14ac:dyDescent="0.2">
      <c r="A106" s="354" t="s">
        <v>583</v>
      </c>
      <c r="B106" s="358" t="s">
        <v>533</v>
      </c>
      <c r="C106" s="356" t="s">
        <v>19</v>
      </c>
      <c r="D106" s="346">
        <v>20</v>
      </c>
      <c r="E106" s="353">
        <v>9000</v>
      </c>
      <c r="F106" s="349">
        <v>4000</v>
      </c>
      <c r="G106" s="1285">
        <f>IFERROR(VLOOKUP(A106,'valores unit indexados'!$A$14:$O$197,15,FALSE),0)</f>
        <v>6890</v>
      </c>
      <c r="I106" s="423">
        <f>+I105</f>
        <v>6630</v>
      </c>
    </row>
    <row r="107" spans="1:9" x14ac:dyDescent="0.2">
      <c r="A107" s="346" t="s">
        <v>623</v>
      </c>
      <c r="B107" s="358" t="s">
        <v>533</v>
      </c>
      <c r="C107" s="356" t="s">
        <v>19</v>
      </c>
      <c r="D107" s="346">
        <v>10</v>
      </c>
      <c r="E107" s="353">
        <v>9000</v>
      </c>
      <c r="F107" s="349">
        <v>4000</v>
      </c>
      <c r="G107" s="1285">
        <f>IFERROR(VLOOKUP(A107,'valores unit indexados'!$A$14:$O$197,15,FALSE),0)</f>
        <v>6890</v>
      </c>
      <c r="I107" s="423">
        <f>+I106</f>
        <v>6630</v>
      </c>
    </row>
    <row r="108" spans="1:9" x14ac:dyDescent="0.2">
      <c r="A108" s="354" t="s">
        <v>83</v>
      </c>
      <c r="B108" s="364" t="s">
        <v>84</v>
      </c>
      <c r="C108" s="367" t="s">
        <v>19</v>
      </c>
      <c r="D108" s="348">
        <v>247</v>
      </c>
      <c r="E108" s="379">
        <v>9000</v>
      </c>
      <c r="F108" s="412">
        <v>5200</v>
      </c>
      <c r="G108" s="1285">
        <f>IFERROR(VLOOKUP(A108,'valores unit indexados'!$A$14:$O$197,15,FALSE),0)</f>
        <v>6890</v>
      </c>
      <c r="I108" s="423">
        <f>+I107</f>
        <v>6630</v>
      </c>
    </row>
    <row r="109" spans="1:9" x14ac:dyDescent="0.2">
      <c r="A109" s="354" t="s">
        <v>95</v>
      </c>
      <c r="B109" s="364" t="s">
        <v>84</v>
      </c>
      <c r="C109" s="367" t="s">
        <v>14</v>
      </c>
      <c r="D109" s="348">
        <v>73</v>
      </c>
      <c r="E109" s="379">
        <v>7500</v>
      </c>
      <c r="F109" s="412">
        <v>5200</v>
      </c>
      <c r="G109" s="1285">
        <f>IFERROR(VLOOKUP(A109,'valores unit indexados'!$A$14:$O$197,15,FALSE),0)</f>
        <v>0</v>
      </c>
      <c r="I109" s="423">
        <f>+I113</f>
        <v>4700</v>
      </c>
    </row>
    <row r="110" spans="1:9" x14ac:dyDescent="0.2">
      <c r="A110" s="381" t="s">
        <v>235</v>
      </c>
      <c r="B110" s="364" t="s">
        <v>84</v>
      </c>
      <c r="C110" s="367" t="s">
        <v>19</v>
      </c>
      <c r="D110" s="381">
        <v>179</v>
      </c>
      <c r="E110" s="353">
        <v>9000</v>
      </c>
      <c r="F110" s="349">
        <v>5200</v>
      </c>
      <c r="G110" s="1285">
        <f>IFERROR(VLOOKUP(A110,'valores unit indexados'!$A$14:$O$197,15,FALSE),0)</f>
        <v>6890</v>
      </c>
      <c r="I110" s="423">
        <f>+I108</f>
        <v>6630</v>
      </c>
    </row>
    <row r="111" spans="1:9" x14ac:dyDescent="0.2">
      <c r="A111" s="367" t="s">
        <v>241</v>
      </c>
      <c r="B111" s="364" t="s">
        <v>84</v>
      </c>
      <c r="C111" s="367" t="s">
        <v>14</v>
      </c>
      <c r="D111" s="348">
        <v>149</v>
      </c>
      <c r="E111" s="353">
        <v>5400</v>
      </c>
      <c r="F111" s="349">
        <v>5200</v>
      </c>
      <c r="G111" s="1285">
        <f>IFERROR(VLOOKUP(A111,'valores unit indexados'!$A$14:$O$197,15,FALSE),0)</f>
        <v>0</v>
      </c>
      <c r="I111" s="423">
        <f>+I113</f>
        <v>4700</v>
      </c>
    </row>
    <row r="112" spans="1:9" x14ac:dyDescent="0.2">
      <c r="A112" s="367" t="s">
        <v>359</v>
      </c>
      <c r="B112" s="364" t="s">
        <v>84</v>
      </c>
      <c r="C112" s="367" t="s">
        <v>19</v>
      </c>
      <c r="D112" s="356">
        <v>7</v>
      </c>
      <c r="E112" s="353">
        <v>9000</v>
      </c>
      <c r="F112" s="350">
        <v>5200</v>
      </c>
      <c r="G112" s="1285">
        <f>IFERROR(VLOOKUP(A112,'valores unit indexados'!$A$14:$O$197,15,FALSE),0)</f>
        <v>6890</v>
      </c>
      <c r="I112" s="423">
        <f>+I110</f>
        <v>6630</v>
      </c>
    </row>
    <row r="113" spans="1:9" x14ac:dyDescent="0.2">
      <c r="A113" s="367" t="s">
        <v>365</v>
      </c>
      <c r="B113" s="364" t="s">
        <v>84</v>
      </c>
      <c r="C113" s="367" t="s">
        <v>14</v>
      </c>
      <c r="D113" s="356">
        <v>4</v>
      </c>
      <c r="E113" s="353">
        <v>5400</v>
      </c>
      <c r="F113" s="350">
        <v>4000</v>
      </c>
      <c r="G113" s="1285">
        <f>IFERROR(VLOOKUP(A113,'valores unit indexados'!$A$14:$O$197,15,FALSE),0)</f>
        <v>0</v>
      </c>
      <c r="I113" s="423">
        <f>ROUND(IF(G113&gt;0,G113:G113,AVERAGE(F113,E113)),0)</f>
        <v>4700</v>
      </c>
    </row>
    <row r="114" spans="1:9" x14ac:dyDescent="0.2">
      <c r="A114" s="381" t="s">
        <v>445</v>
      </c>
      <c r="B114" s="364" t="s">
        <v>84</v>
      </c>
      <c r="C114" s="367" t="s">
        <v>19</v>
      </c>
      <c r="D114" s="385">
        <v>426</v>
      </c>
      <c r="E114" s="353">
        <v>9000</v>
      </c>
      <c r="F114" s="349">
        <v>5200</v>
      </c>
      <c r="G114" s="1285">
        <f>IFERROR(VLOOKUP(A114,'valores unit indexados'!$A$14:$O$197,15,FALSE),0)</f>
        <v>6890</v>
      </c>
      <c r="I114" s="423">
        <f t="shared" ref="I114:I123" si="1">+I112</f>
        <v>6630</v>
      </c>
    </row>
    <row r="115" spans="1:9" x14ac:dyDescent="0.2">
      <c r="A115" s="367" t="s">
        <v>451</v>
      </c>
      <c r="B115" s="364" t="s">
        <v>84</v>
      </c>
      <c r="C115" s="367" t="s">
        <v>14</v>
      </c>
      <c r="D115" s="385">
        <v>281</v>
      </c>
      <c r="E115" s="353">
        <v>5400</v>
      </c>
      <c r="F115" s="349">
        <v>5200</v>
      </c>
      <c r="G115" s="1285">
        <f>IFERROR(VLOOKUP(A115,'valores unit indexados'!$A$14:$O$197,15,FALSE),0)</f>
        <v>0</v>
      </c>
      <c r="I115" s="423">
        <f t="shared" si="1"/>
        <v>4700</v>
      </c>
    </row>
    <row r="116" spans="1:9" x14ac:dyDescent="0.2">
      <c r="A116" s="354" t="s">
        <v>552</v>
      </c>
      <c r="B116" s="364" t="s">
        <v>84</v>
      </c>
      <c r="C116" s="367" t="s">
        <v>19</v>
      </c>
      <c r="D116" s="346">
        <v>191</v>
      </c>
      <c r="E116" s="353">
        <v>9000</v>
      </c>
      <c r="F116" s="349">
        <v>5200</v>
      </c>
      <c r="G116" s="1285">
        <f>IFERROR(VLOOKUP(A116,'valores unit indexados'!$A$14:$O$197,15,FALSE),0)</f>
        <v>6890</v>
      </c>
      <c r="I116" s="423">
        <f t="shared" si="1"/>
        <v>6630</v>
      </c>
    </row>
    <row r="117" spans="1:9" x14ac:dyDescent="0.2">
      <c r="A117" s="354" t="s">
        <v>558</v>
      </c>
      <c r="B117" s="364" t="s">
        <v>84</v>
      </c>
      <c r="C117" s="367" t="s">
        <v>14</v>
      </c>
      <c r="D117" s="346">
        <v>10</v>
      </c>
      <c r="E117" s="353">
        <v>5400</v>
      </c>
      <c r="F117" s="349">
        <v>5200</v>
      </c>
      <c r="G117" s="1285">
        <f>IFERROR(VLOOKUP(A117,'valores unit indexados'!$A$14:$O$197,15,FALSE),0)</f>
        <v>0</v>
      </c>
      <c r="I117" s="423">
        <f t="shared" si="1"/>
        <v>4700</v>
      </c>
    </row>
    <row r="118" spans="1:9" x14ac:dyDescent="0.2">
      <c r="A118" s="386" t="s">
        <v>593</v>
      </c>
      <c r="B118" s="364" t="s">
        <v>84</v>
      </c>
      <c r="C118" s="367" t="s">
        <v>19</v>
      </c>
      <c r="D118" s="346">
        <v>50</v>
      </c>
      <c r="E118" s="353">
        <v>9000</v>
      </c>
      <c r="F118" s="349">
        <v>5200</v>
      </c>
      <c r="G118" s="1285">
        <f>IFERROR(VLOOKUP(A118,'valores unit indexados'!$A$14:$O$197,15,FALSE),0)</f>
        <v>6890</v>
      </c>
      <c r="I118" s="423">
        <f t="shared" si="1"/>
        <v>6630</v>
      </c>
    </row>
    <row r="119" spans="1:9" x14ac:dyDescent="0.2">
      <c r="A119" s="386" t="s">
        <v>599</v>
      </c>
      <c r="B119" s="358" t="s">
        <v>84</v>
      </c>
      <c r="C119" s="356" t="s">
        <v>14</v>
      </c>
      <c r="D119" s="346">
        <v>3</v>
      </c>
      <c r="E119" s="353">
        <v>5400</v>
      </c>
      <c r="F119" s="349">
        <v>5200</v>
      </c>
      <c r="G119" s="1285">
        <f>IFERROR(VLOOKUP(A119,'valores unit indexados'!$A$14:$O$197,15,FALSE),0)</f>
        <v>0</v>
      </c>
      <c r="I119" s="423">
        <f t="shared" si="1"/>
        <v>4700</v>
      </c>
    </row>
    <row r="120" spans="1:9" x14ac:dyDescent="0.2">
      <c r="A120" s="386" t="s">
        <v>628</v>
      </c>
      <c r="B120" s="364" t="s">
        <v>84</v>
      </c>
      <c r="C120" s="367" t="s">
        <v>19</v>
      </c>
      <c r="D120" s="385">
        <v>192</v>
      </c>
      <c r="E120" s="353">
        <v>9000</v>
      </c>
      <c r="F120" s="349">
        <v>5200</v>
      </c>
      <c r="G120" s="1285">
        <f>IFERROR(VLOOKUP(A120,'valores unit indexados'!$A$14:$O$197,15,FALSE),0)</f>
        <v>6890</v>
      </c>
      <c r="I120" s="423">
        <f t="shared" si="1"/>
        <v>6630</v>
      </c>
    </row>
    <row r="121" spans="1:9" x14ac:dyDescent="0.2">
      <c r="A121" s="386" t="s">
        <v>634</v>
      </c>
      <c r="B121" s="364" t="s">
        <v>84</v>
      </c>
      <c r="C121" s="367" t="s">
        <v>14</v>
      </c>
      <c r="D121" s="385">
        <v>46</v>
      </c>
      <c r="E121" s="353">
        <v>5400</v>
      </c>
      <c r="F121" s="349">
        <v>5200</v>
      </c>
      <c r="G121" s="1285">
        <f>IFERROR(VLOOKUP(A121,'valores unit indexados'!$A$14:$O$197,15,FALSE),0)</f>
        <v>0</v>
      </c>
      <c r="I121" s="423">
        <f t="shared" si="1"/>
        <v>4700</v>
      </c>
    </row>
    <row r="122" spans="1:9" x14ac:dyDescent="0.2">
      <c r="A122" s="386" t="s">
        <v>691</v>
      </c>
      <c r="B122" s="364" t="s">
        <v>84</v>
      </c>
      <c r="C122" s="367" t="s">
        <v>19</v>
      </c>
      <c r="D122" s="385">
        <v>320</v>
      </c>
      <c r="E122" s="353">
        <v>9000</v>
      </c>
      <c r="F122" s="349">
        <v>5200</v>
      </c>
      <c r="G122" s="1285">
        <f>IFERROR(VLOOKUP(A122,'valores unit indexados'!$A$14:$O$197,15,FALSE),0)</f>
        <v>6890</v>
      </c>
      <c r="I122" s="423">
        <f t="shared" si="1"/>
        <v>6630</v>
      </c>
    </row>
    <row r="123" spans="1:9" x14ac:dyDescent="0.2">
      <c r="A123" s="386" t="s">
        <v>697</v>
      </c>
      <c r="B123" s="364" t="s">
        <v>84</v>
      </c>
      <c r="C123" s="367" t="s">
        <v>14</v>
      </c>
      <c r="D123" s="385">
        <v>5</v>
      </c>
      <c r="E123" s="353">
        <v>5400</v>
      </c>
      <c r="F123" s="349">
        <v>5200</v>
      </c>
      <c r="G123" s="1285">
        <f>IFERROR(VLOOKUP(A123,'valores unit indexados'!$A$14:$O$197,15,FALSE),0)</f>
        <v>0</v>
      </c>
      <c r="I123" s="423">
        <f t="shared" si="1"/>
        <v>4700</v>
      </c>
    </row>
    <row r="124" spans="1:9" x14ac:dyDescent="0.2">
      <c r="A124" s="354" t="s">
        <v>716</v>
      </c>
      <c r="B124" s="368" t="s">
        <v>717</v>
      </c>
      <c r="C124" s="367" t="s">
        <v>19</v>
      </c>
      <c r="D124" s="385">
        <v>3</v>
      </c>
      <c r="E124" s="353">
        <v>50000</v>
      </c>
      <c r="F124" s="349">
        <v>18700</v>
      </c>
      <c r="G124" s="1285">
        <f>IFERROR(VLOOKUP(A124,'valores unit indexados'!$A$14:$O$197,15,FALSE),0)</f>
        <v>0</v>
      </c>
      <c r="I124" s="423">
        <f>ROUND(AVERAGE(E124:F124),0)</f>
        <v>34350</v>
      </c>
    </row>
    <row r="125" spans="1:9" x14ac:dyDescent="0.2">
      <c r="A125" s="346" t="s">
        <v>20</v>
      </c>
      <c r="B125" s="347" t="s">
        <v>21</v>
      </c>
      <c r="C125" s="340" t="s">
        <v>19</v>
      </c>
      <c r="D125" s="348">
        <v>288</v>
      </c>
      <c r="E125" s="349">
        <v>20000</v>
      </c>
      <c r="F125" s="350">
        <v>19500</v>
      </c>
      <c r="G125" s="1285">
        <f>IFERROR(VLOOKUP(A125,'valores unit indexados'!$A$14:$O$197,15,FALSE),0)</f>
        <v>14660</v>
      </c>
      <c r="I125" s="423">
        <f>ROUND(AVERAGE(E125:G125),0)</f>
        <v>18053</v>
      </c>
    </row>
    <row r="126" spans="1:9" x14ac:dyDescent="0.2">
      <c r="A126" s="354" t="s">
        <v>204</v>
      </c>
      <c r="B126" s="347" t="s">
        <v>21</v>
      </c>
      <c r="C126" s="340" t="s">
        <v>19</v>
      </c>
      <c r="D126" s="348">
        <v>6</v>
      </c>
      <c r="E126" s="1536">
        <v>60000</v>
      </c>
      <c r="F126" s="349">
        <v>19500</v>
      </c>
      <c r="G126" s="1285">
        <f>IFERROR(VLOOKUP(A126,'valores unit indexados'!$A$14:$O$197,15,FALSE),0)</f>
        <v>14660</v>
      </c>
      <c r="I126" s="423">
        <f>ROUND(AVERAGE(F126:G126),0)</f>
        <v>17080</v>
      </c>
    </row>
    <row r="127" spans="1:9" x14ac:dyDescent="0.2">
      <c r="A127" s="346" t="s">
        <v>258</v>
      </c>
      <c r="B127" s="347" t="s">
        <v>21</v>
      </c>
      <c r="C127" s="340" t="s">
        <v>19</v>
      </c>
      <c r="D127" s="348">
        <v>86</v>
      </c>
      <c r="E127" s="353">
        <v>20000</v>
      </c>
      <c r="F127" s="349">
        <v>19500</v>
      </c>
      <c r="G127" s="1285">
        <f>IFERROR(VLOOKUP(A127,'valores unit indexados'!$A$14:$O$197,15,FALSE),0)</f>
        <v>14660</v>
      </c>
      <c r="I127" s="423">
        <f>ROUND(AVERAGE(E127:G127),0)</f>
        <v>18053</v>
      </c>
    </row>
    <row r="128" spans="1:9" x14ac:dyDescent="0.2">
      <c r="A128" s="381" t="s">
        <v>343</v>
      </c>
      <c r="B128" s="347" t="s">
        <v>21</v>
      </c>
      <c r="C128" s="367" t="s">
        <v>19</v>
      </c>
      <c r="D128" s="356">
        <v>14</v>
      </c>
      <c r="E128" s="353">
        <v>20000</v>
      </c>
      <c r="F128" s="350">
        <v>19500</v>
      </c>
      <c r="G128" s="1285">
        <f>IFERROR(VLOOKUP(A128,'valores unit indexados'!$A$14:$O$197,15,FALSE),0)</f>
        <v>14660</v>
      </c>
      <c r="I128" s="423">
        <f>ROUND(AVERAGE(E128:G128),0)</f>
        <v>18053</v>
      </c>
    </row>
    <row r="129" spans="1:9" ht="25.5" x14ac:dyDescent="0.2">
      <c r="A129" s="340" t="s">
        <v>71</v>
      </c>
      <c r="B129" s="360" t="s">
        <v>72</v>
      </c>
      <c r="C129" s="363" t="s">
        <v>19</v>
      </c>
      <c r="D129" s="348">
        <v>191</v>
      </c>
      <c r="E129" s="379">
        <v>20000</v>
      </c>
      <c r="F129" s="412">
        <v>19500</v>
      </c>
      <c r="G129" s="1285">
        <f>IFERROR(VLOOKUP(A129,'valores unit indexados'!$A$14:$O$197,15,FALSE),0)</f>
        <v>14660</v>
      </c>
      <c r="I129" s="423">
        <f>ROUND(AVERAGE(E129:G129),0)</f>
        <v>18053</v>
      </c>
    </row>
    <row r="130" spans="1:9" ht="25.5" x14ac:dyDescent="0.2">
      <c r="A130" s="354" t="s">
        <v>188</v>
      </c>
      <c r="B130" s="364" t="s">
        <v>189</v>
      </c>
      <c r="C130" s="363" t="s">
        <v>19</v>
      </c>
      <c r="D130" s="369">
        <v>41</v>
      </c>
      <c r="E130" s="370">
        <v>25000</v>
      </c>
      <c r="F130" s="372">
        <v>0</v>
      </c>
      <c r="G130" s="1285">
        <f>IFERROR(VLOOKUP(A130,'valores unit indexados'!$A$14:$O$197,15,FALSE),0)</f>
        <v>0</v>
      </c>
      <c r="I130" s="423">
        <f>+E130</f>
        <v>25000</v>
      </c>
    </row>
    <row r="131" spans="1:9" x14ac:dyDescent="0.2">
      <c r="A131" s="386" t="s">
        <v>572</v>
      </c>
      <c r="B131" s="358" t="s">
        <v>1509</v>
      </c>
      <c r="C131" s="356" t="s">
        <v>6</v>
      </c>
      <c r="D131" s="346">
        <v>6</v>
      </c>
      <c r="E131" s="416">
        <v>45000</v>
      </c>
      <c r="F131" s="349">
        <v>9000</v>
      </c>
      <c r="G131" s="1285">
        <f>IFERROR(VLOOKUP(A131,'valores unit indexados'!$A$14:$O$197,15,FALSE),0)</f>
        <v>0</v>
      </c>
      <c r="I131" s="423">
        <f>+F131</f>
        <v>9000</v>
      </c>
    </row>
    <row r="132" spans="1:9" x14ac:dyDescent="0.2">
      <c r="A132" s="354" t="s">
        <v>472</v>
      </c>
      <c r="B132" s="347" t="s">
        <v>1499</v>
      </c>
      <c r="C132" s="340" t="s">
        <v>474</v>
      </c>
      <c r="D132" s="385">
        <v>25</v>
      </c>
      <c r="E132" s="353">
        <v>12000</v>
      </c>
      <c r="F132" s="349">
        <v>3510</v>
      </c>
      <c r="G132" s="1285">
        <f>IFERROR(VLOOKUP(A132,'valores unit indexados'!$A$14:$O$197,15,FALSE),0)</f>
        <v>0</v>
      </c>
      <c r="I132" s="423">
        <f>ROUND(AVERAGE(E132:F132),0)</f>
        <v>7755</v>
      </c>
    </row>
    <row r="133" spans="1:9" x14ac:dyDescent="0.2">
      <c r="A133" s="354" t="s">
        <v>470</v>
      </c>
      <c r="B133" s="347" t="s">
        <v>1498</v>
      </c>
      <c r="C133" s="340" t="s">
        <v>14</v>
      </c>
      <c r="D133" s="385">
        <v>50</v>
      </c>
      <c r="E133" s="353">
        <v>10000</v>
      </c>
      <c r="F133" s="349">
        <v>12376</v>
      </c>
      <c r="G133" s="1285">
        <f>IFERROR(VLOOKUP(A133,'valores unit indexados'!$A$14:$O$197,15,FALSE),0)</f>
        <v>0</v>
      </c>
      <c r="I133" s="423">
        <f>ROUND(AVERAGE(E133:F133),0)</f>
        <v>11188</v>
      </c>
    </row>
    <row r="134" spans="1:9" x14ac:dyDescent="0.2">
      <c r="A134" s="348" t="s">
        <v>165</v>
      </c>
      <c r="B134" s="358" t="s">
        <v>166</v>
      </c>
      <c r="C134" s="356" t="s">
        <v>150</v>
      </c>
      <c r="D134" s="369">
        <v>2</v>
      </c>
      <c r="E134" s="1538">
        <v>100000</v>
      </c>
      <c r="F134" s="349">
        <v>81356</v>
      </c>
      <c r="G134" s="1285">
        <f>IFERROR(VLOOKUP(A134,'valores unit indexados'!$A$14:$O$197,15,FALSE),0)</f>
        <v>77455</v>
      </c>
      <c r="I134" s="423">
        <f>ROUND(AVERAGE(F134:G134),0)</f>
        <v>79406</v>
      </c>
    </row>
    <row r="135" spans="1:9" ht="38.25" x14ac:dyDescent="0.2">
      <c r="A135" s="354" t="s">
        <v>483</v>
      </c>
      <c r="B135" s="347" t="s">
        <v>484</v>
      </c>
      <c r="C135" s="340" t="s">
        <v>14</v>
      </c>
      <c r="D135" s="385">
        <v>15</v>
      </c>
      <c r="E135" s="353">
        <v>35000</v>
      </c>
      <c r="F135" s="349">
        <v>60500.000000000007</v>
      </c>
      <c r="G135" s="1285">
        <f>IFERROR(VLOOKUP(A135,'valores unit indexados'!$A$14:$O$197,15,FALSE),0)</f>
        <v>0</v>
      </c>
      <c r="I135" s="423">
        <f>ROUND(AVERAGE(E135:F135),0)</f>
        <v>47750</v>
      </c>
    </row>
    <row r="136" spans="1:9" ht="51" x14ac:dyDescent="0.2">
      <c r="A136" s="354" t="s">
        <v>116</v>
      </c>
      <c r="B136" s="347" t="s">
        <v>117</v>
      </c>
      <c r="C136" s="363" t="s">
        <v>14</v>
      </c>
      <c r="D136" s="369">
        <v>139</v>
      </c>
      <c r="E136" s="1291">
        <v>75000</v>
      </c>
      <c r="F136" s="1537">
        <v>31265</v>
      </c>
      <c r="G136" s="1285">
        <f>IFERROR(VLOOKUP(A136,'valores unit indexados'!$A$14:$O$197,15,FALSE),0)</f>
        <v>70329</v>
      </c>
      <c r="I136" s="423">
        <f>ROUND(AVERAGE(E136,G136),0)</f>
        <v>72665</v>
      </c>
    </row>
    <row r="137" spans="1:9" ht="51" x14ac:dyDescent="0.2">
      <c r="A137" s="346" t="s">
        <v>271</v>
      </c>
      <c r="B137" s="347" t="s">
        <v>117</v>
      </c>
      <c r="C137" s="363" t="s">
        <v>14</v>
      </c>
      <c r="D137" s="369">
        <v>54</v>
      </c>
      <c r="E137" s="353">
        <v>75000</v>
      </c>
      <c r="F137" s="1537">
        <v>31265</v>
      </c>
      <c r="G137" s="1285">
        <f>IFERROR(VLOOKUP(A137,'valores unit indexados'!$A$14:$O$197,15,FALSE),0)</f>
        <v>70329</v>
      </c>
      <c r="I137" s="423">
        <f>ROUND(AVERAGE(E137,G137),0)</f>
        <v>72665</v>
      </c>
    </row>
    <row r="138" spans="1:9" ht="51" x14ac:dyDescent="0.2">
      <c r="A138" s="367" t="s">
        <v>392</v>
      </c>
      <c r="B138" s="347" t="s">
        <v>117</v>
      </c>
      <c r="C138" s="363" t="s">
        <v>14</v>
      </c>
      <c r="D138" s="346">
        <v>12</v>
      </c>
      <c r="E138" s="353">
        <v>75000</v>
      </c>
      <c r="F138" s="349">
        <v>31265</v>
      </c>
      <c r="G138" s="1285">
        <f>IFERROR(VLOOKUP(A138,'valores unit indexados'!$A$14:$O$197,15,FALSE),0)</f>
        <v>70329</v>
      </c>
      <c r="I138" s="423">
        <f>ROUND(AVERAGE(E138,G138),0)</f>
        <v>72665</v>
      </c>
    </row>
    <row r="139" spans="1:9" x14ac:dyDescent="0.2">
      <c r="A139" s="346" t="s">
        <v>373</v>
      </c>
      <c r="B139" s="368" t="s">
        <v>374</v>
      </c>
      <c r="C139" s="367" t="s">
        <v>19</v>
      </c>
      <c r="D139" s="346">
        <v>18</v>
      </c>
      <c r="E139" s="1536">
        <v>70000</v>
      </c>
      <c r="F139" s="350">
        <v>48243</v>
      </c>
      <c r="G139" s="1285">
        <f>IFERROR(VLOOKUP(A139,'valores unit indexados'!$A$14:$O$197,15,FALSE),0)</f>
        <v>0</v>
      </c>
      <c r="I139" s="423">
        <f>+F139</f>
        <v>48243</v>
      </c>
    </row>
    <row r="140" spans="1:9" ht="25.5" x14ac:dyDescent="0.2">
      <c r="A140" s="346" t="s">
        <v>333</v>
      </c>
      <c r="B140" s="358" t="s">
        <v>1486</v>
      </c>
      <c r="C140" s="356" t="s">
        <v>14</v>
      </c>
      <c r="D140" s="356">
        <v>16</v>
      </c>
      <c r="E140" s="379">
        <v>65000</v>
      </c>
      <c r="F140" s="350">
        <v>52897</v>
      </c>
      <c r="G140" s="1285">
        <f>IFERROR(VLOOKUP(A140,'valores unit indexados'!$A$14:$O$197,15,FALSE),0)</f>
        <v>0</v>
      </c>
      <c r="I140" s="423">
        <f>ROUND(AVERAGE(E140:F140),0)</f>
        <v>58949</v>
      </c>
    </row>
    <row r="141" spans="1:9" x14ac:dyDescent="0.2">
      <c r="A141" s="346" t="s">
        <v>104</v>
      </c>
      <c r="B141" s="347" t="s">
        <v>105</v>
      </c>
      <c r="C141" s="356" t="s">
        <v>14</v>
      </c>
      <c r="D141" s="348">
        <v>40</v>
      </c>
      <c r="E141" s="379">
        <v>50000</v>
      </c>
      <c r="F141" s="1537">
        <v>111069.57400000001</v>
      </c>
      <c r="G141" s="1285">
        <f>IFERROR(VLOOKUP(A141,'valores unit indexados'!$A$14:$O$197,15,FALSE),0)</f>
        <v>41152</v>
      </c>
      <c r="I141" s="423">
        <f>ROUND(AVERAGE(E141,G141),0)</f>
        <v>45576</v>
      </c>
    </row>
    <row r="142" spans="1:9" x14ac:dyDescent="0.2">
      <c r="A142" s="346" t="s">
        <v>267</v>
      </c>
      <c r="B142" s="347" t="s">
        <v>105</v>
      </c>
      <c r="C142" s="356" t="s">
        <v>14</v>
      </c>
      <c r="D142" s="348">
        <v>15</v>
      </c>
      <c r="E142" s="353">
        <v>50000</v>
      </c>
      <c r="F142" s="1537">
        <v>111069.57400000001</v>
      </c>
      <c r="G142" s="1285">
        <f>IFERROR(VLOOKUP(A142,'valores unit indexados'!$A$14:$O$197,15,FALSE),0)</f>
        <v>41152</v>
      </c>
      <c r="I142" s="423">
        <f>ROUND(AVERAGE(E142,G142),0)</f>
        <v>45576</v>
      </c>
    </row>
    <row r="143" spans="1:9" x14ac:dyDescent="0.2">
      <c r="A143" s="346" t="s">
        <v>388</v>
      </c>
      <c r="B143" s="347" t="s">
        <v>105</v>
      </c>
      <c r="C143" s="356" t="s">
        <v>14</v>
      </c>
      <c r="D143" s="346">
        <v>5</v>
      </c>
      <c r="E143" s="353">
        <v>50000</v>
      </c>
      <c r="F143" s="349">
        <v>111069.57400000001</v>
      </c>
      <c r="G143" s="1285">
        <f>IFERROR(VLOOKUP(A143,'valores unit indexados'!$A$14:$O$197,15,FALSE),0)</f>
        <v>41152</v>
      </c>
      <c r="I143" s="423">
        <f>ROUND(AVERAGE(E143,G143),0)</f>
        <v>45576</v>
      </c>
    </row>
    <row r="144" spans="1:9" x14ac:dyDescent="0.2">
      <c r="A144" s="346" t="s">
        <v>520</v>
      </c>
      <c r="B144" s="347" t="s">
        <v>105</v>
      </c>
      <c r="C144" s="356" t="s">
        <v>14</v>
      </c>
      <c r="D144" s="346">
        <v>5</v>
      </c>
      <c r="E144" s="353">
        <v>50000</v>
      </c>
      <c r="F144" s="349">
        <v>111069.57400000001</v>
      </c>
      <c r="G144" s="1285">
        <f>IFERROR(VLOOKUP(A144,'valores unit indexados'!$A$14:$O$197,15,FALSE),0)</f>
        <v>41152</v>
      </c>
      <c r="I144" s="423">
        <f>ROUND(AVERAGE(E144,G144),0)</f>
        <v>45576</v>
      </c>
    </row>
    <row r="145" spans="1:52" ht="25.5" x14ac:dyDescent="0.2">
      <c r="A145" s="354" t="s">
        <v>231</v>
      </c>
      <c r="B145" s="347" t="s">
        <v>232</v>
      </c>
      <c r="C145" s="356" t="s">
        <v>14</v>
      </c>
      <c r="D145" s="348">
        <v>117</v>
      </c>
      <c r="E145" s="353">
        <v>38000</v>
      </c>
      <c r="F145" s="349">
        <v>10257</v>
      </c>
      <c r="G145" s="1285">
        <f>IFERROR(VLOOKUP(A145,'valores unit indexados'!$A$14:$O$197,15,FALSE),0)</f>
        <v>0</v>
      </c>
      <c r="I145" s="423">
        <f>ROUND(AVERAGE(E145,F145),0)</f>
        <v>24129</v>
      </c>
    </row>
    <row r="146" spans="1:52" ht="25.5" x14ac:dyDescent="0.2">
      <c r="A146" s="346" t="s">
        <v>42</v>
      </c>
      <c r="B146" s="360" t="s">
        <v>43</v>
      </c>
      <c r="C146" s="361" t="s">
        <v>6</v>
      </c>
      <c r="D146" s="348">
        <v>52</v>
      </c>
      <c r="E146" s="353">
        <v>66000</v>
      </c>
      <c r="F146" s="1539">
        <v>32500</v>
      </c>
      <c r="G146" s="1285">
        <f>IFERROR(VLOOKUP(A146,'valores unit indexados'!$A$14:$O$197,15,FALSE),0)</f>
        <v>64568</v>
      </c>
      <c r="I146" s="423">
        <f>ROUND(AVERAGE(E146,G146),0)</f>
        <v>65284</v>
      </c>
    </row>
    <row r="147" spans="1:52" ht="25.5" x14ac:dyDescent="0.2">
      <c r="A147" s="346" t="s">
        <v>310</v>
      </c>
      <c r="B147" s="347" t="s">
        <v>43</v>
      </c>
      <c r="C147" s="340" t="s">
        <v>6</v>
      </c>
      <c r="D147" s="348">
        <v>16</v>
      </c>
      <c r="E147" s="353">
        <v>66000</v>
      </c>
      <c r="F147" s="1539">
        <v>32500</v>
      </c>
      <c r="G147" s="1285">
        <f>IFERROR(VLOOKUP(A147,'valores unit indexados'!$A$14:$O$197,15,FALSE),0)</f>
        <v>64568</v>
      </c>
      <c r="I147" s="423">
        <f>ROUND(AVERAGE(E147,G147),0)</f>
        <v>65284</v>
      </c>
    </row>
    <row r="148" spans="1:52" ht="25.5" x14ac:dyDescent="0.2">
      <c r="A148" s="362" t="s">
        <v>54</v>
      </c>
      <c r="B148" s="358" t="s">
        <v>55</v>
      </c>
      <c r="C148" s="356" t="s">
        <v>14</v>
      </c>
      <c r="D148" s="348">
        <v>28</v>
      </c>
      <c r="E148" s="353">
        <v>92000</v>
      </c>
      <c r="F148" s="350">
        <v>72813</v>
      </c>
      <c r="G148" s="1285">
        <f>IFERROR(VLOOKUP(A148,'valores unit indexados'!$A$14:$O$197,15,FALSE),0)</f>
        <v>89336</v>
      </c>
      <c r="I148" s="423">
        <f>ROUND(AVERAGE(E148,F148,G148),0)</f>
        <v>84716</v>
      </c>
    </row>
    <row r="149" spans="1:52" ht="25.5" x14ac:dyDescent="0.2">
      <c r="A149" s="348" t="s">
        <v>134</v>
      </c>
      <c r="B149" s="358" t="s">
        <v>135</v>
      </c>
      <c r="C149" s="356" t="s">
        <v>14</v>
      </c>
      <c r="D149" s="369">
        <v>20</v>
      </c>
      <c r="E149" s="370">
        <v>17000</v>
      </c>
      <c r="F149" s="1537">
        <v>8736</v>
      </c>
      <c r="G149" s="1285">
        <f>IFERROR(VLOOKUP(A149,'valores unit indexados'!$A$14:$O$197,15,FALSE),0)</f>
        <v>16536</v>
      </c>
      <c r="I149" s="423">
        <f>ROUND(AVERAGE(E149,G149),0)</f>
        <v>16768</v>
      </c>
    </row>
    <row r="150" spans="1:52" ht="25.5" x14ac:dyDescent="0.2">
      <c r="A150" s="346" t="s">
        <v>281</v>
      </c>
      <c r="B150" s="347" t="s">
        <v>135</v>
      </c>
      <c r="C150" s="363" t="s">
        <v>14</v>
      </c>
      <c r="D150" s="369">
        <v>20</v>
      </c>
      <c r="E150" s="353">
        <v>17000</v>
      </c>
      <c r="F150" s="1537">
        <v>8736</v>
      </c>
      <c r="G150" s="1285">
        <f>IFERROR(VLOOKUP(A150,'valores unit indexados'!$A$14:$O$197,15,FALSE),0)</f>
        <v>16536</v>
      </c>
      <c r="I150" s="423">
        <f>ROUND(AVERAGE(E150,G150),0)</f>
        <v>16768</v>
      </c>
    </row>
    <row r="151" spans="1:52" ht="25.5" x14ac:dyDescent="0.2">
      <c r="A151" s="367" t="s">
        <v>401</v>
      </c>
      <c r="B151" s="347" t="s">
        <v>135</v>
      </c>
      <c r="C151" s="363" t="s">
        <v>14</v>
      </c>
      <c r="D151" s="346">
        <v>5</v>
      </c>
      <c r="E151" s="353">
        <v>17000</v>
      </c>
      <c r="F151" s="1537">
        <v>8736</v>
      </c>
      <c r="G151" s="1285">
        <f>+'valores unit indexados'!O199</f>
        <v>15299</v>
      </c>
      <c r="I151" s="423">
        <f>+I150</f>
        <v>16768</v>
      </c>
    </row>
    <row r="152" spans="1:52" x14ac:dyDescent="0.2">
      <c r="A152" s="354" t="s">
        <v>120</v>
      </c>
      <c r="B152" s="358" t="s">
        <v>121</v>
      </c>
      <c r="C152" s="356" t="s">
        <v>14</v>
      </c>
      <c r="D152" s="369">
        <v>990</v>
      </c>
      <c r="E152" s="1291">
        <v>10550</v>
      </c>
      <c r="F152" s="1537">
        <v>4732</v>
      </c>
      <c r="G152" s="1285">
        <f>IFERROR(VLOOKUP(A152,'valores unit indexados'!$A$14:$O$197,15,FALSE),0)</f>
        <v>10285</v>
      </c>
      <c r="I152" s="423">
        <f>ROUND(AVERAGE(E152,G152),0)</f>
        <v>10418</v>
      </c>
    </row>
    <row r="153" spans="1:52" x14ac:dyDescent="0.2">
      <c r="A153" s="346" t="s">
        <v>273</v>
      </c>
      <c r="B153" s="347" t="s">
        <v>121</v>
      </c>
      <c r="C153" s="363" t="s">
        <v>14</v>
      </c>
      <c r="D153" s="369">
        <v>375</v>
      </c>
      <c r="E153" s="353">
        <v>10550</v>
      </c>
      <c r="F153" s="1537">
        <v>4732</v>
      </c>
      <c r="G153" s="1285">
        <f>IFERROR(VLOOKUP(A153,'valores unit indexados'!$A$14:$O$197,15,FALSE),0)</f>
        <v>10285</v>
      </c>
      <c r="I153" s="423">
        <f>ROUND(AVERAGE(E153,G153),0)</f>
        <v>10418</v>
      </c>
    </row>
    <row r="154" spans="1:52" x14ac:dyDescent="0.2">
      <c r="A154" s="367" t="s">
        <v>394</v>
      </c>
      <c r="B154" s="347" t="s">
        <v>121</v>
      </c>
      <c r="C154" s="363" t="s">
        <v>14</v>
      </c>
      <c r="D154" s="346">
        <v>110</v>
      </c>
      <c r="E154" s="353">
        <v>10550</v>
      </c>
      <c r="F154" s="1537">
        <v>4732</v>
      </c>
      <c r="G154" s="1285">
        <f>IFERROR(VLOOKUP(A154,'valores unit indexados'!$A$14:$O$197,15,FALSE),0)</f>
        <v>10285</v>
      </c>
      <c r="I154" s="423">
        <f>ROUND(AVERAGE(E154,G154),0)</f>
        <v>10418</v>
      </c>
    </row>
    <row r="155" spans="1:52" ht="25.5" x14ac:dyDescent="0.2">
      <c r="A155" s="367" t="s">
        <v>351</v>
      </c>
      <c r="B155" s="365" t="s">
        <v>352</v>
      </c>
      <c r="C155" s="356" t="s">
        <v>14</v>
      </c>
      <c r="D155" s="356">
        <v>27</v>
      </c>
      <c r="E155" s="353">
        <v>145000</v>
      </c>
      <c r="F155" s="350">
        <v>112697</v>
      </c>
      <c r="G155" s="1285">
        <f>IFERROR(VLOOKUP(A155,'valores unit indexados'!$A$14:$O$197,15,FALSE),0)</f>
        <v>0</v>
      </c>
      <c r="I155" s="423">
        <f>ROUND(AVERAGE(E155,F155),0)</f>
        <v>128849</v>
      </c>
    </row>
    <row r="156" spans="1:52" ht="25.5" x14ac:dyDescent="0.2">
      <c r="A156" s="354" t="s">
        <v>56</v>
      </c>
      <c r="B156" s="358" t="s">
        <v>57</v>
      </c>
      <c r="C156" s="356" t="s">
        <v>14</v>
      </c>
      <c r="D156" s="348">
        <v>40</v>
      </c>
      <c r="E156" s="353">
        <v>94000</v>
      </c>
      <c r="F156" s="1539">
        <v>113048</v>
      </c>
      <c r="G156" s="1285">
        <f>IFERROR(VLOOKUP(A156,'valores unit indexados'!$A$14:$O$197,15,FALSE),0)</f>
        <v>91145</v>
      </c>
      <c r="I156" s="423">
        <f>ROUND(AVERAGE(E156,G156),0)</f>
        <v>92573</v>
      </c>
    </row>
    <row r="157" spans="1:52" ht="25.5" x14ac:dyDescent="0.2">
      <c r="A157" s="346" t="s">
        <v>385</v>
      </c>
      <c r="B157" s="360" t="s">
        <v>57</v>
      </c>
      <c r="C157" s="361" t="s">
        <v>14</v>
      </c>
      <c r="D157" s="346">
        <v>4</v>
      </c>
      <c r="E157" s="353">
        <v>94000</v>
      </c>
      <c r="F157" s="1537">
        <v>113048</v>
      </c>
      <c r="G157" s="1285">
        <f>+G156</f>
        <v>91145</v>
      </c>
      <c r="I157" s="423">
        <f>+I156</f>
        <v>92573</v>
      </c>
    </row>
    <row r="158" spans="1:52" s="1533" customFormat="1" ht="38.25" x14ac:dyDescent="0.2">
      <c r="A158" s="346" t="s">
        <v>106</v>
      </c>
      <c r="B158" s="358" t="s">
        <v>1468</v>
      </c>
      <c r="C158" s="356" t="s">
        <v>14</v>
      </c>
      <c r="D158" s="348">
        <v>40</v>
      </c>
      <c r="E158" s="1536">
        <v>78000</v>
      </c>
      <c r="F158" s="1537">
        <v>76011.936000000002</v>
      </c>
      <c r="G158" s="1285">
        <f>IFERROR(VLOOKUP(A158,'valores unit indexados'!$A$14:$O$197,15,FALSE),0)</f>
        <v>46346</v>
      </c>
      <c r="H158" s="1544"/>
      <c r="I158" s="423">
        <f>ROUND(IF(G158&gt;0,G158:G158,AVERAGE(F158,E158)),0)</f>
        <v>46346</v>
      </c>
      <c r="J158" s="1544"/>
      <c r="K158" s="1544"/>
      <c r="L158" s="1544"/>
      <c r="M158" s="1544"/>
      <c r="N158" s="1544"/>
      <c r="O158" s="1544"/>
      <c r="P158" s="1544"/>
      <c r="Q158" s="1544"/>
      <c r="R158" s="1544"/>
      <c r="S158" s="1544"/>
      <c r="T158" s="1544"/>
      <c r="U158" s="1544"/>
      <c r="V158" s="1544"/>
      <c r="W158" s="1544"/>
      <c r="X158" s="1544"/>
      <c r="Y158" s="1544"/>
      <c r="Z158" s="1544"/>
      <c r="AA158" s="1544"/>
      <c r="AB158" s="1544"/>
      <c r="AC158" s="1544"/>
      <c r="AD158" s="1544"/>
      <c r="AE158" s="1544"/>
      <c r="AF158" s="1544"/>
      <c r="AG158" s="1544"/>
      <c r="AH158" s="1544"/>
      <c r="AI158" s="1544"/>
      <c r="AJ158" s="1544"/>
      <c r="AK158" s="1544"/>
      <c r="AL158" s="1544"/>
      <c r="AM158" s="1544"/>
      <c r="AN158" s="1544"/>
      <c r="AO158" s="1544"/>
      <c r="AP158" s="1544"/>
      <c r="AQ158" s="1544"/>
      <c r="AR158" s="1544"/>
      <c r="AS158" s="1544"/>
      <c r="AT158" s="1544"/>
      <c r="AU158" s="1544"/>
      <c r="AV158" s="1544"/>
      <c r="AW158" s="1544"/>
      <c r="AX158" s="1544"/>
      <c r="AY158" s="1544"/>
      <c r="AZ158" s="1544"/>
    </row>
    <row r="159" spans="1:52" ht="38.25" x14ac:dyDescent="0.2">
      <c r="A159" s="346" t="s">
        <v>268</v>
      </c>
      <c r="B159" s="358" t="s">
        <v>1468</v>
      </c>
      <c r="C159" s="356" t="s">
        <v>14</v>
      </c>
      <c r="D159" s="348">
        <v>15</v>
      </c>
      <c r="E159" s="353">
        <v>78000</v>
      </c>
      <c r="F159" s="349">
        <v>76011.936000000002</v>
      </c>
      <c r="G159" s="1285">
        <f>IFERROR(VLOOKUP(A159,'valores unit indexados'!$A$14:$O$197,15,FALSE),0)</f>
        <v>46346</v>
      </c>
      <c r="I159" s="423">
        <f>ROUND(IF(G159&gt;0,G159:G159,AVERAGE(F159,E159)),0)</f>
        <v>46346</v>
      </c>
    </row>
    <row r="160" spans="1:52" ht="38.25" x14ac:dyDescent="0.2">
      <c r="A160" s="346" t="s">
        <v>389</v>
      </c>
      <c r="B160" s="358" t="s">
        <v>1468</v>
      </c>
      <c r="C160" s="356" t="s">
        <v>14</v>
      </c>
      <c r="D160" s="346">
        <v>5</v>
      </c>
      <c r="E160" s="353">
        <v>78000</v>
      </c>
      <c r="F160" s="349">
        <v>76011.936000000002</v>
      </c>
      <c r="G160" s="1285">
        <f>IFERROR(VLOOKUP(A160,'valores unit indexados'!$A$14:$O$197,15,FALSE),0)</f>
        <v>46346</v>
      </c>
      <c r="I160" s="423">
        <f>ROUND(IF(G160&gt;0,G160:G160,AVERAGE(F160,E160)),0)</f>
        <v>46346</v>
      </c>
    </row>
    <row r="161" spans="1:9" ht="38.25" x14ac:dyDescent="0.2">
      <c r="A161" s="346" t="s">
        <v>521</v>
      </c>
      <c r="B161" s="358" t="s">
        <v>1468</v>
      </c>
      <c r="C161" s="356" t="s">
        <v>14</v>
      </c>
      <c r="D161" s="346">
        <v>5</v>
      </c>
      <c r="E161" s="353">
        <v>78000</v>
      </c>
      <c r="F161" s="349">
        <v>76011.936000000002</v>
      </c>
      <c r="G161" s="1285">
        <f>IFERROR(VLOOKUP(A161,'valores unit indexados'!$A$14:$O$197,15,FALSE),0)</f>
        <v>46346</v>
      </c>
      <c r="I161" s="423">
        <f>ROUND(IF(G161&gt;0,G161:G161,AVERAGE(F161,E161)),0)</f>
        <v>46346</v>
      </c>
    </row>
    <row r="162" spans="1:9" ht="25.5" x14ac:dyDescent="0.2">
      <c r="A162" s="386" t="s">
        <v>649</v>
      </c>
      <c r="B162" s="358" t="s">
        <v>650</v>
      </c>
      <c r="C162" s="363" t="s">
        <v>19</v>
      </c>
      <c r="D162" s="385">
        <v>52</v>
      </c>
      <c r="E162" s="353">
        <v>45000</v>
      </c>
      <c r="F162" s="1537">
        <v>180661</v>
      </c>
      <c r="G162" s="1285">
        <f>IFERROR(VLOOKUP(A162,'valores unit indexados'!$A$14:$O$197,15,FALSE),0)</f>
        <v>0</v>
      </c>
      <c r="I162" s="423">
        <f>+E162</f>
        <v>45000</v>
      </c>
    </row>
    <row r="163" spans="1:9" x14ac:dyDescent="0.2">
      <c r="A163" s="346" t="s">
        <v>263</v>
      </c>
      <c r="B163" s="347" t="s">
        <v>1482</v>
      </c>
      <c r="C163" s="340" t="s">
        <v>19</v>
      </c>
      <c r="D163" s="348">
        <v>1516</v>
      </c>
      <c r="E163" s="1536">
        <v>135000</v>
      </c>
      <c r="F163" s="349">
        <v>60000</v>
      </c>
      <c r="G163" s="1285">
        <f>IFERROR(VLOOKUP(A163,'valores unit indexados'!$A$14:$O$197,15,FALSE),0)</f>
        <v>0</v>
      </c>
      <c r="I163" s="423">
        <f>+I164</f>
        <v>77870</v>
      </c>
    </row>
    <row r="164" spans="1:9" x14ac:dyDescent="0.2">
      <c r="A164" s="386" t="s">
        <v>495</v>
      </c>
      <c r="B164" s="347" t="s">
        <v>1482</v>
      </c>
      <c r="C164" s="340" t="s">
        <v>19</v>
      </c>
      <c r="D164" s="385">
        <v>616</v>
      </c>
      <c r="E164" s="1536">
        <v>135000</v>
      </c>
      <c r="F164" s="349">
        <v>77870</v>
      </c>
      <c r="G164" s="1285">
        <f>IFERROR(VLOOKUP(A164,'valores unit indexados'!$A$14:$O$197,15,FALSE),0)</f>
        <v>0</v>
      </c>
      <c r="I164" s="423">
        <f>+F164</f>
        <v>77870</v>
      </c>
    </row>
    <row r="165" spans="1:9" x14ac:dyDescent="0.2">
      <c r="A165" s="386" t="s">
        <v>570</v>
      </c>
      <c r="B165" s="358" t="s">
        <v>1482</v>
      </c>
      <c r="C165" s="356" t="s">
        <v>19</v>
      </c>
      <c r="D165" s="346">
        <v>15</v>
      </c>
      <c r="E165" s="1536">
        <v>135000</v>
      </c>
      <c r="F165" s="349">
        <v>77870</v>
      </c>
      <c r="G165" s="1285">
        <f>IFERROR(VLOOKUP(A165,'valores unit indexados'!$A$14:$O$197,15,FALSE),0)</f>
        <v>0</v>
      </c>
      <c r="I165" s="423">
        <f>+F165</f>
        <v>77870</v>
      </c>
    </row>
    <row r="166" spans="1:9" x14ac:dyDescent="0.2">
      <c r="A166" s="386" t="s">
        <v>549</v>
      </c>
      <c r="B166" s="358" t="s">
        <v>550</v>
      </c>
      <c r="C166" s="356" t="s">
        <v>6</v>
      </c>
      <c r="D166" s="355">
        <v>12</v>
      </c>
      <c r="E166" s="353">
        <v>105000</v>
      </c>
      <c r="F166" s="349">
        <v>65000</v>
      </c>
      <c r="G166" s="1285">
        <f>IFERROR(VLOOKUP(A166,'valores unit indexados'!$A$14:$O$197,15,FALSE),0)</f>
        <v>0</v>
      </c>
      <c r="I166" s="423">
        <f>ROUND(AVERAGE(E166,F166),0)</f>
        <v>85000</v>
      </c>
    </row>
    <row r="167" spans="1:9" ht="25.5" x14ac:dyDescent="0.2">
      <c r="A167" s="386" t="s">
        <v>608</v>
      </c>
      <c r="B167" s="388" t="s">
        <v>609</v>
      </c>
      <c r="C167" s="389" t="s">
        <v>19</v>
      </c>
      <c r="D167" s="346">
        <v>30</v>
      </c>
      <c r="E167" s="353">
        <v>80000</v>
      </c>
      <c r="F167" s="349">
        <v>45000</v>
      </c>
      <c r="G167" s="1285">
        <f>IFERROR(VLOOKUP(A167,'valores unit indexados'!$A$14:$O$197,15,FALSE),0)</f>
        <v>60213</v>
      </c>
      <c r="I167" s="423">
        <f>ROUND(AVERAGE(E167,F167,G167),0)</f>
        <v>61738</v>
      </c>
    </row>
    <row r="168" spans="1:9" ht="25.5" x14ac:dyDescent="0.2">
      <c r="A168" s="346" t="s">
        <v>379</v>
      </c>
      <c r="B168" s="368" t="s">
        <v>380</v>
      </c>
      <c r="C168" s="367" t="s">
        <v>19</v>
      </c>
      <c r="D168" s="346">
        <v>12</v>
      </c>
      <c r="E168" s="353">
        <v>80000</v>
      </c>
      <c r="F168" s="349">
        <v>45000</v>
      </c>
      <c r="G168" s="1285">
        <f>IFERROR(VLOOKUP(A168,'valores unit indexados'!$A$14:$O$197,15,FALSE),0)</f>
        <v>0</v>
      </c>
      <c r="I168" s="423">
        <f>+I167</f>
        <v>61738</v>
      </c>
    </row>
    <row r="169" spans="1:9" ht="25.5" x14ac:dyDescent="0.2">
      <c r="A169" s="354" t="s">
        <v>315</v>
      </c>
      <c r="B169" s="347" t="s">
        <v>316</v>
      </c>
      <c r="C169" s="340" t="s">
        <v>19</v>
      </c>
      <c r="D169" s="348">
        <v>201</v>
      </c>
      <c r="E169" s="353">
        <v>80000</v>
      </c>
      <c r="F169" s="1537">
        <v>65949</v>
      </c>
      <c r="G169" s="1285">
        <f>IFERROR(VLOOKUP(A169,'valores unit indexados'!$A$14:$O$197,15,FALSE),0)</f>
        <v>77917</v>
      </c>
      <c r="I169" s="423">
        <f>ROUND(AVERAGE(E169,G169),0)</f>
        <v>78959</v>
      </c>
    </row>
    <row r="170" spans="1:9" ht="25.5" x14ac:dyDescent="0.2">
      <c r="A170" s="348" t="s">
        <v>174</v>
      </c>
      <c r="B170" s="347" t="s">
        <v>1477</v>
      </c>
      <c r="C170" s="340" t="s">
        <v>14</v>
      </c>
      <c r="D170" s="369">
        <v>100</v>
      </c>
      <c r="E170" s="370">
        <v>9000</v>
      </c>
      <c r="F170" s="349">
        <v>7969</v>
      </c>
      <c r="G170" s="1285">
        <f>IFERROR(VLOOKUP(A170,'valores unit indexados'!$A$14:$O$197,15,FALSE),0)</f>
        <v>0</v>
      </c>
      <c r="I170" s="423">
        <f>ROUND(AVERAGE(E170,F170),0)</f>
        <v>8485</v>
      </c>
    </row>
    <row r="171" spans="1:9" x14ac:dyDescent="0.2">
      <c r="A171" s="362" t="s">
        <v>77</v>
      </c>
      <c r="B171" s="364" t="s">
        <v>78</v>
      </c>
      <c r="C171" s="363" t="s">
        <v>19</v>
      </c>
      <c r="D171" s="348">
        <v>140</v>
      </c>
      <c r="E171" s="1536">
        <v>120000</v>
      </c>
      <c r="F171" s="412">
        <v>45981</v>
      </c>
      <c r="G171" s="1285">
        <f>IFERROR(VLOOKUP(A171,'valores unit indexados'!$A$14:$O$197,15,FALSE),0)</f>
        <v>0</v>
      </c>
      <c r="I171" s="423">
        <f>ROUND(AVERAGE(E171,F171),0)</f>
        <v>82991</v>
      </c>
    </row>
    <row r="172" spans="1:9" ht="25.5" x14ac:dyDescent="0.2">
      <c r="A172" s="354" t="s">
        <v>34</v>
      </c>
      <c r="B172" s="358" t="s">
        <v>35</v>
      </c>
      <c r="C172" s="356" t="s">
        <v>19</v>
      </c>
      <c r="D172" s="348">
        <v>288</v>
      </c>
      <c r="E172" s="353">
        <v>140000</v>
      </c>
      <c r="F172" s="349">
        <v>116903.6</v>
      </c>
      <c r="G172" s="1285">
        <f>IFERROR(VLOOKUP(A172,'valores unit indexados'!$A$14:$O$197,15,FALSE),0)</f>
        <v>0</v>
      </c>
      <c r="I172" s="423">
        <f>ROUND(AVERAGE(E172,F172),0)</f>
        <v>128452</v>
      </c>
    </row>
    <row r="173" spans="1:9" ht="25.5" x14ac:dyDescent="0.2">
      <c r="A173" s="386" t="s">
        <v>515</v>
      </c>
      <c r="B173" s="358" t="s">
        <v>35</v>
      </c>
      <c r="C173" s="356" t="s">
        <v>19</v>
      </c>
      <c r="D173" s="385">
        <v>97</v>
      </c>
      <c r="E173" s="353">
        <v>140000</v>
      </c>
      <c r="F173" s="349">
        <v>116903.6</v>
      </c>
      <c r="G173" s="1285">
        <f>IFERROR(VLOOKUP(A173,'valores unit indexados'!$A$14:$O$197,15,FALSE),0)</f>
        <v>0</v>
      </c>
      <c r="I173" s="423">
        <f>ROUND(AVERAGE(E173,F173),0)</f>
        <v>128452</v>
      </c>
    </row>
    <row r="174" spans="1:9" ht="25.5" x14ac:dyDescent="0.2">
      <c r="A174" s="340" t="s">
        <v>46</v>
      </c>
      <c r="B174" s="358" t="s">
        <v>47</v>
      </c>
      <c r="C174" s="356" t="s">
        <v>14</v>
      </c>
      <c r="D174" s="348">
        <v>97</v>
      </c>
      <c r="E174" s="353">
        <v>118000</v>
      </c>
      <c r="F174" s="1539">
        <v>132301</v>
      </c>
      <c r="G174" s="1285">
        <f>IFERROR(VLOOKUP(A174,'valores unit indexados'!$A$14:$O$197,15,FALSE),0)</f>
        <v>115095</v>
      </c>
      <c r="I174" s="423">
        <f>+I175</f>
        <v>108965</v>
      </c>
    </row>
    <row r="175" spans="1:9" ht="25.5" x14ac:dyDescent="0.2">
      <c r="A175" s="354" t="s">
        <v>48</v>
      </c>
      <c r="B175" s="358" t="s">
        <v>49</v>
      </c>
      <c r="C175" s="356" t="s">
        <v>14</v>
      </c>
      <c r="D175" s="348">
        <v>212</v>
      </c>
      <c r="E175" s="353">
        <v>110000</v>
      </c>
      <c r="F175" s="350">
        <v>110500</v>
      </c>
      <c r="G175" s="1285">
        <f>IFERROR(VLOOKUP(A175,'valores unit indexados'!$A$14:$O$197,15,FALSE),0)</f>
        <v>106395</v>
      </c>
      <c r="I175" s="423">
        <f>ROUND(AVERAGE(E175,G175,F175),0)</f>
        <v>108965</v>
      </c>
    </row>
    <row r="176" spans="1:9" ht="25.5" x14ac:dyDescent="0.2">
      <c r="A176" s="346" t="s">
        <v>312</v>
      </c>
      <c r="B176" s="347" t="s">
        <v>49</v>
      </c>
      <c r="C176" s="340" t="s">
        <v>14</v>
      </c>
      <c r="D176" s="348">
        <v>116</v>
      </c>
      <c r="E176" s="353">
        <v>110000</v>
      </c>
      <c r="F176" s="1537">
        <v>132301</v>
      </c>
      <c r="G176" s="1285">
        <f>IFERROR(VLOOKUP(A176,'valores unit indexados'!$A$14:$O$197,15,FALSE),0)</f>
        <v>106395</v>
      </c>
      <c r="I176" s="423">
        <f>+I175</f>
        <v>108965</v>
      </c>
    </row>
    <row r="177" spans="1:9" ht="25.5" x14ac:dyDescent="0.2">
      <c r="A177" s="346" t="s">
        <v>313</v>
      </c>
      <c r="B177" s="347" t="s">
        <v>314</v>
      </c>
      <c r="C177" s="340" t="s">
        <v>14</v>
      </c>
      <c r="D177" s="348">
        <v>195</v>
      </c>
      <c r="E177" s="353">
        <v>100000</v>
      </c>
      <c r="F177" s="349">
        <v>104000</v>
      </c>
      <c r="G177" s="1285">
        <f>IFERROR(VLOOKUP(A177,'valores unit indexados'!$A$14:$O$197,15,FALSE),0)</f>
        <v>97346</v>
      </c>
      <c r="I177" s="423">
        <f>ROUND(AVERAGE(E177,G177,F177),0)</f>
        <v>100449</v>
      </c>
    </row>
    <row r="178" spans="1:9" ht="38.25" x14ac:dyDescent="0.2">
      <c r="A178" s="362" t="s">
        <v>50</v>
      </c>
      <c r="B178" s="358" t="s">
        <v>51</v>
      </c>
      <c r="C178" s="356" t="s">
        <v>14</v>
      </c>
      <c r="D178" s="348">
        <v>255</v>
      </c>
      <c r="E178" s="353">
        <v>100000</v>
      </c>
      <c r="F178" s="350">
        <v>104000</v>
      </c>
      <c r="G178" s="1285">
        <f>IFERROR(VLOOKUP(A178,'valores unit indexados'!$A$14:$O$197,15,FALSE),0)</f>
        <v>97346</v>
      </c>
      <c r="I178" s="423">
        <f>ROUND(AVERAGE(E178,G178,F178),0)</f>
        <v>100449</v>
      </c>
    </row>
    <row r="179" spans="1:9" ht="25.5" x14ac:dyDescent="0.2">
      <c r="A179" s="348" t="s">
        <v>184</v>
      </c>
      <c r="B179" s="358" t="s">
        <v>1478</v>
      </c>
      <c r="C179" s="356" t="s">
        <v>14</v>
      </c>
      <c r="D179" s="369">
        <v>112</v>
      </c>
      <c r="E179" s="370">
        <v>112000</v>
      </c>
      <c r="F179" s="349">
        <v>50000</v>
      </c>
      <c r="G179" s="1285">
        <f>IFERROR(VLOOKUP(A179,'valores unit indexados'!$A$14:$O$197,15,FALSE),0)</f>
        <v>0</v>
      </c>
      <c r="I179" s="423">
        <f>ROUND(AVERAGE(E179,F179),0)</f>
        <v>81000</v>
      </c>
    </row>
    <row r="180" spans="1:9" x14ac:dyDescent="0.2">
      <c r="A180" s="354" t="s">
        <v>124</v>
      </c>
      <c r="B180" s="358" t="s">
        <v>125</v>
      </c>
      <c r="C180" s="356" t="s">
        <v>6</v>
      </c>
      <c r="D180" s="369">
        <v>35</v>
      </c>
      <c r="E180" s="370">
        <v>20000</v>
      </c>
      <c r="F180" s="1537">
        <v>33267</v>
      </c>
      <c r="G180" s="1285">
        <f>IFERROR(VLOOKUP(A180,'valores unit indexados'!$A$14:$O$197,15,FALSE),0)</f>
        <v>20219</v>
      </c>
      <c r="I180" s="423">
        <f>ROUND(AVERAGE(E180,G180),0)</f>
        <v>20110</v>
      </c>
    </row>
    <row r="181" spans="1:9" x14ac:dyDescent="0.2">
      <c r="A181" s="346" t="s">
        <v>275</v>
      </c>
      <c r="B181" s="347" t="s">
        <v>125</v>
      </c>
      <c r="C181" s="363" t="s">
        <v>6</v>
      </c>
      <c r="D181" s="369">
        <v>18</v>
      </c>
      <c r="E181" s="353">
        <v>20000</v>
      </c>
      <c r="F181" s="349">
        <v>33267</v>
      </c>
      <c r="G181" s="1285">
        <f>IFERROR(VLOOKUP(A181,'valores unit indexados'!$A$14:$O$197,15,FALSE),0)</f>
        <v>20219</v>
      </c>
      <c r="I181" s="423">
        <f>ROUND(AVERAGE(E181,G181),0)</f>
        <v>20110</v>
      </c>
    </row>
    <row r="182" spans="1:9" x14ac:dyDescent="0.2">
      <c r="A182" s="367" t="s">
        <v>396</v>
      </c>
      <c r="B182" s="347" t="s">
        <v>125</v>
      </c>
      <c r="C182" s="363" t="s">
        <v>6</v>
      </c>
      <c r="D182" s="346">
        <v>7</v>
      </c>
      <c r="E182" s="353">
        <v>20000</v>
      </c>
      <c r="F182" s="349">
        <v>33267</v>
      </c>
      <c r="G182" s="1285">
        <f>IFERROR(VLOOKUP(A182,'valores unit indexados'!$A$14:$O$197,15,FALSE),0)</f>
        <v>20219</v>
      </c>
      <c r="I182" s="423">
        <f>ROUND(AVERAGE(E182,G182),0)</f>
        <v>20110</v>
      </c>
    </row>
    <row r="183" spans="1:9" ht="25.5" x14ac:dyDescent="0.2">
      <c r="A183" s="386" t="s">
        <v>721</v>
      </c>
      <c r="B183" s="388" t="s">
        <v>722</v>
      </c>
      <c r="C183" s="389" t="s">
        <v>6</v>
      </c>
      <c r="D183" s="385">
        <v>6</v>
      </c>
      <c r="E183" s="1536">
        <v>350000</v>
      </c>
      <c r="F183" s="1537">
        <v>480870</v>
      </c>
      <c r="G183" s="1285">
        <f>IFERROR(VLOOKUP(A183,'valores unit indexados'!$A$14:$O$197,15,FALSE),0)</f>
        <v>93544</v>
      </c>
      <c r="I183" s="423">
        <f>ROUND(IF(G183&gt;0,G183:G183,AVERAGE(F183,E183)),0)</f>
        <v>93544</v>
      </c>
    </row>
    <row r="184" spans="1:9" x14ac:dyDescent="0.2">
      <c r="A184" s="362" t="s">
        <v>112</v>
      </c>
      <c r="B184" s="347" t="s">
        <v>871</v>
      </c>
      <c r="C184" s="356" t="s">
        <v>14</v>
      </c>
      <c r="D184" s="369">
        <v>1</v>
      </c>
      <c r="E184" s="1538">
        <v>55000</v>
      </c>
      <c r="F184" s="412">
        <v>17979</v>
      </c>
      <c r="G184" s="1285">
        <f>IFERROR(VLOOKUP(A184,'valores unit indexados'!$A$14:$O$197,15,FALSE),0)</f>
        <v>16829</v>
      </c>
      <c r="I184" s="423">
        <f>ROUND(AVERAGE(F184,G184),0)</f>
        <v>17404</v>
      </c>
    </row>
    <row r="185" spans="1:9" x14ac:dyDescent="0.2">
      <c r="A185" s="346" t="s">
        <v>108</v>
      </c>
      <c r="B185" s="347" t="s">
        <v>109</v>
      </c>
      <c r="C185" s="356" t="s">
        <v>14</v>
      </c>
      <c r="D185" s="348">
        <v>60</v>
      </c>
      <c r="E185" s="1537">
        <v>50000</v>
      </c>
      <c r="F185" s="1566">
        <v>17277</v>
      </c>
      <c r="G185" s="1285">
        <f>IFERROR(VLOOKUP(A185,'valores unit indexados'!$A$14:$O$197,15,FALSE),0)</f>
        <v>37101</v>
      </c>
      <c r="I185" s="423">
        <f>ROUND(IF(G185&gt;0,G185:G185,AVERAGE(F185,E185)),0)</f>
        <v>37101</v>
      </c>
    </row>
    <row r="186" spans="1:9" x14ac:dyDescent="0.2">
      <c r="A186" s="346" t="s">
        <v>269</v>
      </c>
      <c r="B186" s="347" t="s">
        <v>109</v>
      </c>
      <c r="C186" s="356" t="s">
        <v>14</v>
      </c>
      <c r="D186" s="348">
        <v>9.39</v>
      </c>
      <c r="E186" s="1537">
        <v>50000</v>
      </c>
      <c r="F186" s="1566">
        <v>17277</v>
      </c>
      <c r="G186" s="1285">
        <f>IFERROR(VLOOKUP(A186,'valores unit indexados'!$A$14:$O$197,15,FALSE),0)</f>
        <v>37101</v>
      </c>
      <c r="I186" s="423">
        <f>ROUND(IF(G186&gt;0,G186:G186,AVERAGE(F186,E186)),0)</f>
        <v>37101</v>
      </c>
    </row>
    <row r="187" spans="1:9" x14ac:dyDescent="0.2">
      <c r="A187" s="346" t="s">
        <v>390</v>
      </c>
      <c r="B187" s="347" t="s">
        <v>109</v>
      </c>
      <c r="C187" s="356" t="s">
        <v>14</v>
      </c>
      <c r="D187" s="346">
        <v>8</v>
      </c>
      <c r="E187" s="1537">
        <v>50000</v>
      </c>
      <c r="F187" s="1566">
        <v>17277</v>
      </c>
      <c r="G187" s="1285">
        <f>IFERROR(VLOOKUP(A187,'valores unit indexados'!$A$14:$O$197,15,FALSE),0)</f>
        <v>37101</v>
      </c>
      <c r="I187" s="423">
        <f>ROUND(IF(G187&gt;0,G187:G187,AVERAGE(F187,E187)),0)</f>
        <v>37101</v>
      </c>
    </row>
    <row r="188" spans="1:9" x14ac:dyDescent="0.2">
      <c r="A188" s="346" t="s">
        <v>522</v>
      </c>
      <c r="B188" s="347" t="s">
        <v>109</v>
      </c>
      <c r="C188" s="356" t="s">
        <v>14</v>
      </c>
      <c r="D188" s="346">
        <v>8</v>
      </c>
      <c r="E188" s="1537">
        <v>50000</v>
      </c>
      <c r="F188" s="1566">
        <v>17277</v>
      </c>
      <c r="G188" s="1285">
        <f>IFERROR(VLOOKUP(A188,'valores unit indexados'!$A$14:$O$197,15,FALSE),0)</f>
        <v>37101</v>
      </c>
      <c r="I188" s="423">
        <f>ROUND(IF(G188&gt;0,G188:G188,AVERAGE(F188,E188)),0)</f>
        <v>37101</v>
      </c>
    </row>
    <row r="189" spans="1:9" ht="25.5" x14ac:dyDescent="0.2">
      <c r="A189" s="346" t="s">
        <v>278</v>
      </c>
      <c r="B189" s="347" t="s">
        <v>279</v>
      </c>
      <c r="C189" s="363" t="s">
        <v>6</v>
      </c>
      <c r="D189" s="369">
        <v>3</v>
      </c>
      <c r="E189" s="353">
        <v>95000</v>
      </c>
      <c r="F189" s="1537">
        <v>22000</v>
      </c>
      <c r="G189" s="1285">
        <f>IFERROR(VLOOKUP(A189,'valores unit indexados'!$A$14:$O$197,15,FALSE),0)</f>
        <v>96760</v>
      </c>
      <c r="I189" s="423">
        <f>ROUND(AVERAGE(E189,G189),0)</f>
        <v>95880</v>
      </c>
    </row>
    <row r="190" spans="1:9" ht="25.5" x14ac:dyDescent="0.2">
      <c r="A190" s="367" t="s">
        <v>399</v>
      </c>
      <c r="B190" s="347" t="s">
        <v>279</v>
      </c>
      <c r="C190" s="363" t="s">
        <v>6</v>
      </c>
      <c r="D190" s="346">
        <v>1</v>
      </c>
      <c r="E190" s="353">
        <v>95000</v>
      </c>
      <c r="F190" s="349">
        <v>22000</v>
      </c>
      <c r="G190" s="1285">
        <f>IFERROR(VLOOKUP(A190,'valores unit indexados'!$A$14:$O$197,15,FALSE),0)</f>
        <v>96760</v>
      </c>
      <c r="I190" s="423">
        <f>ROUND(AVERAGE(E190,G190),0)</f>
        <v>95880</v>
      </c>
    </row>
    <row r="191" spans="1:9" ht="25.5" x14ac:dyDescent="0.2">
      <c r="A191" s="348" t="s">
        <v>130</v>
      </c>
      <c r="B191" s="358" t="s">
        <v>131</v>
      </c>
      <c r="C191" s="356" t="s">
        <v>6</v>
      </c>
      <c r="D191" s="369">
        <v>5</v>
      </c>
      <c r="E191" s="370">
        <v>95000</v>
      </c>
      <c r="F191" s="1537">
        <v>22000</v>
      </c>
      <c r="G191" s="1285">
        <f>IFERROR(VLOOKUP(A191,'valores unit indexados'!$A$14:$O$197,15,FALSE),0)</f>
        <v>96760</v>
      </c>
      <c r="I191" s="423">
        <f>ROUND(AVERAGE(E191,G191),0)</f>
        <v>95880</v>
      </c>
    </row>
    <row r="192" spans="1:9" ht="25.5" x14ac:dyDescent="0.2">
      <c r="A192" s="354" t="s">
        <v>727</v>
      </c>
      <c r="B192" s="388" t="s">
        <v>728</v>
      </c>
      <c r="C192" s="389" t="s">
        <v>6</v>
      </c>
      <c r="D192" s="385">
        <v>1</v>
      </c>
      <c r="E192" s="353">
        <v>850000</v>
      </c>
      <c r="F192" s="349">
        <v>205080</v>
      </c>
      <c r="G192" s="1285">
        <f>IFERROR(VLOOKUP(A192,'valores unit indexados'!$A$14:$O$197,15,FALSE),0)</f>
        <v>0</v>
      </c>
      <c r="I192" s="423">
        <f>ROUND(AVERAGE(E192,F192),0)</f>
        <v>527540</v>
      </c>
    </row>
    <row r="193" spans="1:9" x14ac:dyDescent="0.2">
      <c r="A193" s="354" t="s">
        <v>464</v>
      </c>
      <c r="B193" s="368" t="s">
        <v>465</v>
      </c>
      <c r="C193" s="340" t="s">
        <v>14</v>
      </c>
      <c r="D193" s="385">
        <v>16</v>
      </c>
      <c r="E193" s="353">
        <v>35000</v>
      </c>
      <c r="F193" s="349">
        <v>33254</v>
      </c>
      <c r="G193" s="1285">
        <f>IFERROR(VLOOKUP(A193,'valores unit indexados'!$A$14:$O$197,15,FALSE),0)</f>
        <v>0</v>
      </c>
      <c r="I193" s="423">
        <f>ROUND(AVERAGE(E193,F193),0)</f>
        <v>34127</v>
      </c>
    </row>
    <row r="194" spans="1:9" ht="25.5" x14ac:dyDescent="0.2">
      <c r="A194" s="354" t="s">
        <v>182</v>
      </c>
      <c r="B194" s="358" t="s">
        <v>183</v>
      </c>
      <c r="C194" s="356" t="s">
        <v>19</v>
      </c>
      <c r="D194" s="369">
        <v>50</v>
      </c>
      <c r="E194" s="370">
        <v>280000</v>
      </c>
      <c r="F194" s="349">
        <v>700000</v>
      </c>
      <c r="G194" s="1285">
        <f>IFERROR(VLOOKUP(A194,'valores unit indexados'!$A$14:$O$197,15,FALSE),0)</f>
        <v>0</v>
      </c>
      <c r="I194" s="423">
        <f>ROUND(AVERAGE(E194,F194),0)</f>
        <v>490000</v>
      </c>
    </row>
    <row r="195" spans="1:9" ht="25.5" x14ac:dyDescent="0.2">
      <c r="A195" s="354" t="s">
        <v>132</v>
      </c>
      <c r="B195" s="358" t="s">
        <v>133</v>
      </c>
      <c r="C195" s="356" t="s">
        <v>6</v>
      </c>
      <c r="D195" s="369">
        <v>20</v>
      </c>
      <c r="E195" s="370">
        <v>115000</v>
      </c>
      <c r="F195" s="349">
        <v>80795</v>
      </c>
      <c r="G195" s="1285">
        <f>IFERROR(VLOOKUP(A195,'valores unit indexados'!$A$14:$O$197,15,FALSE),0)</f>
        <v>113729</v>
      </c>
      <c r="I195" s="423">
        <f>ROUND(AVERAGE(E195,F195,G195),0)</f>
        <v>103175</v>
      </c>
    </row>
    <row r="196" spans="1:9" ht="25.5" x14ac:dyDescent="0.2">
      <c r="A196" s="346" t="s">
        <v>280</v>
      </c>
      <c r="B196" s="347" t="s">
        <v>133</v>
      </c>
      <c r="C196" s="363" t="s">
        <v>6</v>
      </c>
      <c r="D196" s="369">
        <v>12</v>
      </c>
      <c r="E196" s="353">
        <v>115000</v>
      </c>
      <c r="F196" s="1537">
        <v>80795</v>
      </c>
      <c r="G196" s="1285">
        <f>IFERROR(VLOOKUP(A196,'valores unit indexados'!$A$14:$O$197,15,FALSE),0)</f>
        <v>142064</v>
      </c>
      <c r="I196" s="423">
        <f>+I195</f>
        <v>103175</v>
      </c>
    </row>
    <row r="197" spans="1:9" ht="25.5" x14ac:dyDescent="0.2">
      <c r="A197" s="346" t="s">
        <v>400</v>
      </c>
      <c r="B197" s="347" t="s">
        <v>133</v>
      </c>
      <c r="C197" s="363" t="s">
        <v>6</v>
      </c>
      <c r="D197" s="346">
        <v>3</v>
      </c>
      <c r="E197" s="353">
        <v>115000</v>
      </c>
      <c r="F197" s="349">
        <v>80795</v>
      </c>
      <c r="G197" s="1285">
        <f>IFERROR(VLOOKUP(A197,'valores unit indexados'!$A$14:$O$197,15,FALSE),0)</f>
        <v>142064</v>
      </c>
      <c r="I197" s="423">
        <f>+I196</f>
        <v>103175</v>
      </c>
    </row>
    <row r="198" spans="1:9" ht="38.25" x14ac:dyDescent="0.2">
      <c r="A198" s="386" t="s">
        <v>506</v>
      </c>
      <c r="B198" s="347" t="s">
        <v>507</v>
      </c>
      <c r="C198" s="356" t="s">
        <v>6</v>
      </c>
      <c r="D198" s="385">
        <v>36</v>
      </c>
      <c r="E198" s="353">
        <v>80000</v>
      </c>
      <c r="F198" s="349">
        <v>54601.3</v>
      </c>
      <c r="G198" s="1285">
        <f>IFERROR(VLOOKUP(A198,'valores unit indexados'!$A$14:$O$197,15,FALSE),0)</f>
        <v>0</v>
      </c>
      <c r="I198" s="423">
        <f>ROUND(AVERAGE(E198,F198),0)</f>
        <v>67301</v>
      </c>
    </row>
    <row r="199" spans="1:9" ht="25.5" x14ac:dyDescent="0.2">
      <c r="A199" s="354" t="s">
        <v>712</v>
      </c>
      <c r="B199" s="368" t="s">
        <v>713</v>
      </c>
      <c r="C199" s="367" t="s">
        <v>19</v>
      </c>
      <c r="D199" s="385">
        <v>3</v>
      </c>
      <c r="E199" s="353">
        <v>40000</v>
      </c>
      <c r="F199" s="349">
        <v>40700</v>
      </c>
      <c r="G199" s="1285">
        <f>IFERROR(VLOOKUP(A199,'valores unit indexados'!$A$14:$O$197,15,FALSE),0)</f>
        <v>36498</v>
      </c>
      <c r="I199" s="423">
        <f>ROUND(AVERAGE(E199,F199,G199),0)</f>
        <v>39066</v>
      </c>
    </row>
    <row r="200" spans="1:9" x14ac:dyDescent="0.2">
      <c r="A200" s="386" t="s">
        <v>567</v>
      </c>
      <c r="B200" s="368" t="s">
        <v>568</v>
      </c>
      <c r="C200" s="363" t="s">
        <v>14</v>
      </c>
      <c r="D200" s="346">
        <v>60</v>
      </c>
      <c r="E200" s="353">
        <v>60000</v>
      </c>
      <c r="F200" s="387">
        <v>0</v>
      </c>
      <c r="G200" s="1285">
        <f>IFERROR(VLOOKUP(A200,'valores unit indexados'!$A$14:$O$197,15,FALSE),0)</f>
        <v>55754</v>
      </c>
      <c r="I200" s="423">
        <f>ROUND(AVERAGE(E200,G200),0)</f>
        <v>57877</v>
      </c>
    </row>
    <row r="201" spans="1:9" ht="25.5" x14ac:dyDescent="0.2">
      <c r="A201" s="354" t="s">
        <v>664</v>
      </c>
      <c r="B201" s="358" t="s">
        <v>1519</v>
      </c>
      <c r="C201" s="356" t="s">
        <v>6</v>
      </c>
      <c r="D201" s="385">
        <v>2</v>
      </c>
      <c r="E201" s="353">
        <v>160000</v>
      </c>
      <c r="F201" s="349">
        <v>245778</v>
      </c>
      <c r="G201" s="1285">
        <f>IFERROR(VLOOKUP(A201,'valores unit indexados'!$A$14:$O$197,15,FALSE),0)</f>
        <v>0</v>
      </c>
      <c r="I201" s="423">
        <f>ROUND(AVERAGE(E201,F201),0)</f>
        <v>202889</v>
      </c>
    </row>
    <row r="202" spans="1:9" ht="25.5" x14ac:dyDescent="0.2">
      <c r="A202" s="354" t="s">
        <v>547</v>
      </c>
      <c r="B202" s="358" t="s">
        <v>1508</v>
      </c>
      <c r="C202" s="356" t="s">
        <v>6</v>
      </c>
      <c r="D202" s="355">
        <v>6</v>
      </c>
      <c r="E202" s="353">
        <v>160000</v>
      </c>
      <c r="F202" s="349">
        <v>250000</v>
      </c>
      <c r="G202" s="1285">
        <f>IFERROR(VLOOKUP(A202,'valores unit indexados'!$A$14:$O$197,15,FALSE),0)</f>
        <v>0</v>
      </c>
      <c r="I202" s="423">
        <f>ROUND(AVERAGE(E202,F202),0)</f>
        <v>205000</v>
      </c>
    </row>
    <row r="203" spans="1:9" ht="38.25" x14ac:dyDescent="0.2">
      <c r="A203" s="354" t="s">
        <v>30</v>
      </c>
      <c r="B203" s="347" t="s">
        <v>31</v>
      </c>
      <c r="C203" s="356" t="s">
        <v>19</v>
      </c>
      <c r="D203" s="348">
        <v>288</v>
      </c>
      <c r="E203" s="1539">
        <v>320000</v>
      </c>
      <c r="F203" s="350">
        <v>128700</v>
      </c>
      <c r="G203" s="1285">
        <f>IFERROR(VLOOKUP(A203,'valores unit indexados'!$A$14:$O$197,15,FALSE),0)</f>
        <v>0</v>
      </c>
      <c r="I203" s="423">
        <f>ROUND(AVERAGE(E203,F203),0)</f>
        <v>224350</v>
      </c>
    </row>
    <row r="204" spans="1:9" ht="38.25" x14ac:dyDescent="0.2">
      <c r="A204" s="386" t="s">
        <v>513</v>
      </c>
      <c r="B204" s="347" t="s">
        <v>31</v>
      </c>
      <c r="C204" s="356" t="s">
        <v>19</v>
      </c>
      <c r="D204" s="385">
        <v>97</v>
      </c>
      <c r="E204" s="353">
        <v>320000</v>
      </c>
      <c r="F204" s="349">
        <v>128700</v>
      </c>
      <c r="G204" s="1285">
        <f>IFERROR(VLOOKUP(A204,'valores unit indexados'!$A$14:$O$197,15,FALSE),0)</f>
        <v>0</v>
      </c>
      <c r="I204" s="423">
        <f>ROUND(AVERAGE(E204,F204),0)</f>
        <v>224350</v>
      </c>
    </row>
    <row r="205" spans="1:9" ht="38.25" x14ac:dyDescent="0.2">
      <c r="A205" s="346" t="s">
        <v>261</v>
      </c>
      <c r="B205" s="358" t="s">
        <v>262</v>
      </c>
      <c r="C205" s="356" t="s">
        <v>19</v>
      </c>
      <c r="D205" s="348">
        <v>86</v>
      </c>
      <c r="E205" s="353">
        <v>280000</v>
      </c>
      <c r="F205" s="349">
        <v>128700</v>
      </c>
      <c r="G205" s="1285">
        <f>IFERROR(VLOOKUP(A205,'valores unit indexados'!$A$14:$O$197,15,FALSE),0)</f>
        <v>0</v>
      </c>
      <c r="I205" s="423">
        <f>+I204</f>
        <v>224350</v>
      </c>
    </row>
    <row r="206" spans="1:9" x14ac:dyDescent="0.2">
      <c r="A206" s="340" t="s">
        <v>75</v>
      </c>
      <c r="B206" s="365" t="s">
        <v>76</v>
      </c>
      <c r="C206" s="366" t="s">
        <v>19</v>
      </c>
      <c r="D206" s="348">
        <v>51</v>
      </c>
      <c r="E206" s="1536">
        <v>280000</v>
      </c>
      <c r="F206" s="412">
        <v>128700</v>
      </c>
      <c r="G206" s="1285">
        <f>IFERROR(VLOOKUP(A206,'valores unit indexados'!$A$14:$O$197,15,FALSE),0)</f>
        <v>227816</v>
      </c>
      <c r="I206" s="423">
        <f>ROUND(AVERAGE(E206,F206,G206),0)</f>
        <v>212172</v>
      </c>
    </row>
    <row r="207" spans="1:9" x14ac:dyDescent="0.2">
      <c r="A207" s="354" t="s">
        <v>209</v>
      </c>
      <c r="B207" s="365" t="s">
        <v>76</v>
      </c>
      <c r="C207" s="366" t="s">
        <v>19</v>
      </c>
      <c r="D207" s="348">
        <v>6</v>
      </c>
      <c r="E207" s="379">
        <v>280000</v>
      </c>
      <c r="F207" s="1537">
        <v>128700</v>
      </c>
      <c r="G207" s="1285">
        <f>IFERROR(VLOOKUP(A207,'valores unit indexados'!$A$14:$O$197,15,FALSE),0)</f>
        <v>227816</v>
      </c>
      <c r="I207" s="423">
        <f>ROUND(AVERAGE(E207,F207,G207),0)</f>
        <v>212172</v>
      </c>
    </row>
    <row r="208" spans="1:9" x14ac:dyDescent="0.2">
      <c r="A208" s="367" t="s">
        <v>348</v>
      </c>
      <c r="B208" s="365" t="s">
        <v>76</v>
      </c>
      <c r="C208" s="366" t="s">
        <v>19</v>
      </c>
      <c r="D208" s="356">
        <v>16</v>
      </c>
      <c r="E208" s="379">
        <v>280000</v>
      </c>
      <c r="F208" s="350">
        <v>128700</v>
      </c>
      <c r="G208" s="1285">
        <f>IFERROR(VLOOKUP(A208,'valores unit indexados'!$A$14:$O$197,15,FALSE),0)</f>
        <v>0</v>
      </c>
      <c r="I208" s="423">
        <f>+I207</f>
        <v>212172</v>
      </c>
    </row>
    <row r="209" spans="1:9" x14ac:dyDescent="0.2">
      <c r="A209" s="346" t="s">
        <v>301</v>
      </c>
      <c r="B209" s="358" t="s">
        <v>1484</v>
      </c>
      <c r="C209" s="356" t="s">
        <v>6</v>
      </c>
      <c r="D209" s="348">
        <v>6</v>
      </c>
      <c r="E209" s="379">
        <v>500000</v>
      </c>
      <c r="F209" s="349">
        <v>325000</v>
      </c>
      <c r="G209" s="1285">
        <f>IFERROR(VLOOKUP(A209,'valores unit indexados'!$A$14:$O$197,15,FALSE),0)</f>
        <v>0</v>
      </c>
      <c r="I209" s="423">
        <f>ROUND(AVERAGE(E209,F209),0)</f>
        <v>412500</v>
      </c>
    </row>
    <row r="210" spans="1:9" ht="25.5" x14ac:dyDescent="0.2">
      <c r="A210" s="362" t="s">
        <v>114</v>
      </c>
      <c r="B210" s="358" t="s">
        <v>115</v>
      </c>
      <c r="C210" s="356" t="s">
        <v>19</v>
      </c>
      <c r="D210" s="369">
        <v>16</v>
      </c>
      <c r="E210" s="1291">
        <v>80000</v>
      </c>
      <c r="F210" s="412">
        <v>47528</v>
      </c>
      <c r="G210" s="1285">
        <f>IFERROR(VLOOKUP(A210,'valores unit indexados'!$A$14:$O$197,15,FALSE),0)</f>
        <v>0</v>
      </c>
      <c r="I210" s="423">
        <f>ROUND(AVERAGE(E210,F210),0)</f>
        <v>63764</v>
      </c>
    </row>
    <row r="211" spans="1:9" x14ac:dyDescent="0.2">
      <c r="A211" s="354" t="s">
        <v>136</v>
      </c>
      <c r="B211" s="358" t="s">
        <v>1469</v>
      </c>
      <c r="C211" s="356" t="s">
        <v>6</v>
      </c>
      <c r="D211" s="369">
        <v>35</v>
      </c>
      <c r="E211" s="370">
        <v>38000</v>
      </c>
      <c r="F211" s="1537">
        <v>12948</v>
      </c>
      <c r="G211" s="1285">
        <f>IFERROR(VLOOKUP(A211,'valores unit indexados'!$A$14:$O$197,15,FALSE),0)</f>
        <v>34244</v>
      </c>
      <c r="I211" s="423">
        <f t="shared" ref="I211:I216" si="2">ROUND(AVERAGE(E211,G211),0)</f>
        <v>36122</v>
      </c>
    </row>
    <row r="212" spans="1:9" x14ac:dyDescent="0.2">
      <c r="A212" s="346" t="s">
        <v>282</v>
      </c>
      <c r="B212" s="397" t="s">
        <v>1469</v>
      </c>
      <c r="C212" s="363" t="s">
        <v>6</v>
      </c>
      <c r="D212" s="369">
        <v>18</v>
      </c>
      <c r="E212" s="353">
        <v>38000</v>
      </c>
      <c r="F212" s="1537">
        <v>12948</v>
      </c>
      <c r="G212" s="1285">
        <f>IFERROR(VLOOKUP(A212,'valores unit indexados'!$A$14:$O$197,15,FALSE),0)</f>
        <v>34244</v>
      </c>
      <c r="I212" s="423">
        <f t="shared" si="2"/>
        <v>36122</v>
      </c>
    </row>
    <row r="213" spans="1:9" x14ac:dyDescent="0.2">
      <c r="A213" s="346" t="s">
        <v>402</v>
      </c>
      <c r="B213" s="397" t="s">
        <v>1469</v>
      </c>
      <c r="C213" s="363" t="s">
        <v>6</v>
      </c>
      <c r="D213" s="346">
        <v>7</v>
      </c>
      <c r="E213" s="353">
        <v>38000</v>
      </c>
      <c r="F213" s="1537">
        <v>12948</v>
      </c>
      <c r="G213" s="1285">
        <f>IFERROR(VLOOKUP(A213,'valores unit indexados'!$A$14:$O$197,15,FALSE),0)</f>
        <v>34244</v>
      </c>
      <c r="I213" s="423">
        <f t="shared" si="2"/>
        <v>36122</v>
      </c>
    </row>
    <row r="214" spans="1:9" x14ac:dyDescent="0.2">
      <c r="A214" s="348" t="s">
        <v>138</v>
      </c>
      <c r="B214" s="358" t="s">
        <v>1470</v>
      </c>
      <c r="C214" s="356" t="s">
        <v>6</v>
      </c>
      <c r="D214" s="369">
        <v>5</v>
      </c>
      <c r="E214" s="370">
        <v>48000</v>
      </c>
      <c r="F214" s="1537">
        <v>16848</v>
      </c>
      <c r="G214" s="1285">
        <f>IFERROR(VLOOKUP(A214,'valores unit indexados'!$A$14:$O$197,15,FALSE),0)</f>
        <v>46067</v>
      </c>
      <c r="I214" s="423">
        <f t="shared" si="2"/>
        <v>47034</v>
      </c>
    </row>
    <row r="215" spans="1:9" x14ac:dyDescent="0.2">
      <c r="A215" s="346" t="s">
        <v>283</v>
      </c>
      <c r="B215" s="397" t="s">
        <v>1470</v>
      </c>
      <c r="C215" s="363" t="s">
        <v>6</v>
      </c>
      <c r="D215" s="369">
        <v>3</v>
      </c>
      <c r="E215" s="353">
        <v>48000</v>
      </c>
      <c r="F215" s="1537">
        <v>16848</v>
      </c>
      <c r="G215" s="1285">
        <f>IFERROR(VLOOKUP(A215,'valores unit indexados'!$A$14:$O$197,15,FALSE),0)</f>
        <v>46067</v>
      </c>
      <c r="I215" s="423">
        <f t="shared" si="2"/>
        <v>47034</v>
      </c>
    </row>
    <row r="216" spans="1:9" x14ac:dyDescent="0.2">
      <c r="A216" s="367" t="s">
        <v>403</v>
      </c>
      <c r="B216" s="397" t="s">
        <v>1470</v>
      </c>
      <c r="C216" s="363" t="s">
        <v>6</v>
      </c>
      <c r="D216" s="346">
        <v>1</v>
      </c>
      <c r="E216" s="353">
        <v>48000</v>
      </c>
      <c r="F216" s="1537">
        <v>16848</v>
      </c>
      <c r="G216" s="1285">
        <f>IFERROR(VLOOKUP(A216,'valores unit indexados'!$A$14:$O$197,15,FALSE),0)</f>
        <v>46067</v>
      </c>
      <c r="I216" s="423">
        <f t="shared" si="2"/>
        <v>47034</v>
      </c>
    </row>
    <row r="217" spans="1:9" ht="25.5" x14ac:dyDescent="0.2">
      <c r="A217" s="348" t="s">
        <v>142</v>
      </c>
      <c r="B217" s="358" t="s">
        <v>143</v>
      </c>
      <c r="C217" s="356" t="s">
        <v>6</v>
      </c>
      <c r="D217" s="369">
        <v>1</v>
      </c>
      <c r="E217" s="370">
        <v>450000</v>
      </c>
      <c r="F217" s="349">
        <v>225498</v>
      </c>
      <c r="G217" s="1285">
        <f>IFERROR(VLOOKUP(A217,'valores unit indexados'!$A$14:$O$197,15,FALSE),0)</f>
        <v>0</v>
      </c>
      <c r="I217" s="423">
        <f>ROUND(AVERAGE(E217,F217),0)</f>
        <v>337749</v>
      </c>
    </row>
    <row r="218" spans="1:9" ht="25.5" x14ac:dyDescent="0.2">
      <c r="A218" s="346" t="s">
        <v>285</v>
      </c>
      <c r="B218" s="398" t="s">
        <v>286</v>
      </c>
      <c r="C218" s="363" t="s">
        <v>6</v>
      </c>
      <c r="D218" s="369">
        <v>1</v>
      </c>
      <c r="E218" s="353">
        <v>450000</v>
      </c>
      <c r="F218" s="349">
        <v>225498</v>
      </c>
      <c r="G218" s="1285">
        <f>IFERROR(VLOOKUP(A218,'valores unit indexados'!$A$14:$O$197,15,FALSE),0)</f>
        <v>0</v>
      </c>
      <c r="I218" s="423">
        <f>ROUND(AVERAGE(E218,F218),0)</f>
        <v>337749</v>
      </c>
    </row>
    <row r="219" spans="1:9" ht="25.5" x14ac:dyDescent="0.2">
      <c r="A219" s="367" t="s">
        <v>405</v>
      </c>
      <c r="B219" s="398" t="s">
        <v>286</v>
      </c>
      <c r="C219" s="363" t="s">
        <v>6</v>
      </c>
      <c r="D219" s="346">
        <v>1</v>
      </c>
      <c r="E219" s="353">
        <v>450000</v>
      </c>
      <c r="F219" s="349">
        <v>225498</v>
      </c>
      <c r="G219" s="1285">
        <f>IFERROR(VLOOKUP(A219,'valores unit indexados'!$A$14:$O$197,15,FALSE),0)</f>
        <v>0</v>
      </c>
      <c r="I219" s="423">
        <f>ROUND(AVERAGE(E219,F219),0)</f>
        <v>337749</v>
      </c>
    </row>
    <row r="220" spans="1:9" x14ac:dyDescent="0.2">
      <c r="A220" s="386" t="s">
        <v>613</v>
      </c>
      <c r="B220" s="358" t="s">
        <v>614</v>
      </c>
      <c r="C220" s="389" t="s">
        <v>19</v>
      </c>
      <c r="D220" s="385">
        <v>30</v>
      </c>
      <c r="E220" s="353">
        <v>110000</v>
      </c>
      <c r="F220" s="349">
        <v>38000</v>
      </c>
      <c r="G220" s="1285">
        <f>IFERROR(VLOOKUP(A220,'valores unit indexados'!$A$14:$O$197,15,FALSE),0)</f>
        <v>56170</v>
      </c>
      <c r="I220" s="423">
        <f>ROUND(IF(G220&gt;0,G220:G220,AVERAGE(F220,E220)),0)</f>
        <v>56170</v>
      </c>
    </row>
    <row r="221" spans="1:9" x14ac:dyDescent="0.2">
      <c r="A221" s="381" t="s">
        <v>337</v>
      </c>
      <c r="B221" s="347" t="s">
        <v>1488</v>
      </c>
      <c r="C221" s="356" t="s">
        <v>14</v>
      </c>
      <c r="D221" s="355">
        <v>29</v>
      </c>
      <c r="E221" s="353">
        <v>12000</v>
      </c>
      <c r="F221" s="350">
        <v>14000</v>
      </c>
      <c r="G221" s="1285">
        <f>IFERROR(VLOOKUP(A221,'valores unit indexados'!$A$14:$O$197,15,FALSE),0)</f>
        <v>0</v>
      </c>
      <c r="I221" s="423">
        <f>ROUND(AVERAGE(E221,F221),0)</f>
        <v>13000</v>
      </c>
    </row>
    <row r="222" spans="1:9" ht="38.25" x14ac:dyDescent="0.2">
      <c r="A222" s="346" t="s">
        <v>377</v>
      </c>
      <c r="B222" s="368" t="s">
        <v>378</v>
      </c>
      <c r="C222" s="367" t="s">
        <v>14</v>
      </c>
      <c r="D222" s="346">
        <v>20</v>
      </c>
      <c r="E222" s="353">
        <v>112000</v>
      </c>
      <c r="F222" s="349">
        <v>12000</v>
      </c>
      <c r="G222" s="1285">
        <f>IFERROR(VLOOKUP(A222,'valores unit indexados'!$A$14:$O$197,15,FALSE),0)</f>
        <v>0</v>
      </c>
      <c r="I222" s="423">
        <f>ROUND(AVERAGE(E222,F222),0)</f>
        <v>62000</v>
      </c>
    </row>
    <row r="223" spans="1:9" x14ac:dyDescent="0.2">
      <c r="A223" s="348" t="s">
        <v>172</v>
      </c>
      <c r="B223" s="347" t="s">
        <v>1476</v>
      </c>
      <c r="C223" s="340" t="s">
        <v>14</v>
      </c>
      <c r="D223" s="369">
        <v>100</v>
      </c>
      <c r="E223" s="370">
        <v>25000</v>
      </c>
      <c r="F223" s="352">
        <v>0</v>
      </c>
      <c r="G223" s="1285">
        <f>IFERROR(VLOOKUP(A223,'valores unit indexados'!$A$14:$O$197,15,FALSE),0)</f>
        <v>26415</v>
      </c>
      <c r="I223" s="423">
        <f>ROUND(AVERAGE(E223,G223),0)</f>
        <v>25708</v>
      </c>
    </row>
    <row r="224" spans="1:9" x14ac:dyDescent="0.2">
      <c r="A224" s="386" t="s">
        <v>508</v>
      </c>
      <c r="B224" s="347" t="s">
        <v>1476</v>
      </c>
      <c r="C224" s="356" t="s">
        <v>14</v>
      </c>
      <c r="D224" s="385">
        <v>172</v>
      </c>
      <c r="E224" s="353">
        <v>25000</v>
      </c>
      <c r="F224" s="349">
        <v>7969</v>
      </c>
      <c r="G224" s="1285">
        <f>IFERROR(VLOOKUP(A224,'valores unit indexados'!$A$14:$O$197,15,FALSE),0)</f>
        <v>26415</v>
      </c>
      <c r="I224" s="423">
        <f>+I223</f>
        <v>25708</v>
      </c>
    </row>
    <row r="225" spans="1:9" ht="25.5" x14ac:dyDescent="0.2">
      <c r="A225" s="354" t="s">
        <v>688</v>
      </c>
      <c r="B225" s="347" t="s">
        <v>689</v>
      </c>
      <c r="C225" s="340" t="s">
        <v>6</v>
      </c>
      <c r="D225" s="385">
        <v>15</v>
      </c>
      <c r="E225" s="353">
        <v>80000</v>
      </c>
      <c r="F225" s="349">
        <v>95000</v>
      </c>
      <c r="G225" s="1285">
        <f>IFERROR(VLOOKUP(A225,'valores unit indexados'!$A$14:$O$197,15,FALSE),0)</f>
        <v>0</v>
      </c>
      <c r="I225" s="423">
        <f>ROUND(AVERAGE(E225,F225),0)</f>
        <v>87500</v>
      </c>
    </row>
    <row r="226" spans="1:9" ht="25.5" x14ac:dyDescent="0.2">
      <c r="A226" s="381" t="s">
        <v>339</v>
      </c>
      <c r="B226" s="358" t="s">
        <v>340</v>
      </c>
      <c r="C226" s="356" t="s">
        <v>19</v>
      </c>
      <c r="D226" s="355">
        <v>9</v>
      </c>
      <c r="E226" s="1536">
        <v>110000</v>
      </c>
      <c r="F226" s="350">
        <v>74300</v>
      </c>
      <c r="G226" s="1285">
        <f>IFERROR(VLOOKUP(A226,'valores unit indexados'!$A$14:$O$197,15,FALSE),0)</f>
        <v>0</v>
      </c>
      <c r="I226" s="423">
        <f>+F226</f>
        <v>74300</v>
      </c>
    </row>
    <row r="227" spans="1:9" ht="25.5" x14ac:dyDescent="0.2">
      <c r="A227" s="381" t="s">
        <v>326</v>
      </c>
      <c r="B227" s="347" t="s">
        <v>327</v>
      </c>
      <c r="C227" s="356" t="s">
        <v>19</v>
      </c>
      <c r="D227" s="356">
        <v>7</v>
      </c>
      <c r="E227" s="1536">
        <v>110000</v>
      </c>
      <c r="F227" s="350">
        <v>68952</v>
      </c>
      <c r="G227" s="1285">
        <f>IFERROR(VLOOKUP(A227,'valores unit indexados'!$A$14:$O$197,15,FALSE),0)</f>
        <v>0</v>
      </c>
      <c r="I227" s="423">
        <f>+I226</f>
        <v>74300</v>
      </c>
    </row>
    <row r="228" spans="1:9" ht="51" x14ac:dyDescent="0.2">
      <c r="A228" s="354" t="s">
        <v>44</v>
      </c>
      <c r="B228" s="358" t="s">
        <v>45</v>
      </c>
      <c r="C228" s="361" t="s">
        <v>6</v>
      </c>
      <c r="D228" s="348">
        <v>52</v>
      </c>
      <c r="E228" s="353">
        <v>66000</v>
      </c>
      <c r="F228" s="1539">
        <v>35581</v>
      </c>
      <c r="G228" s="1285">
        <f>IFERROR(VLOOKUP(A228,'valores unit indexados'!$A$14:$O$197,15,FALSE),0)</f>
        <v>64421</v>
      </c>
      <c r="I228" s="423">
        <f>ROUND(AVERAGE(E228,G228),0)</f>
        <v>65211</v>
      </c>
    </row>
    <row r="229" spans="1:9" ht="51" x14ac:dyDescent="0.2">
      <c r="A229" s="346" t="s">
        <v>311</v>
      </c>
      <c r="B229" s="358" t="s">
        <v>45</v>
      </c>
      <c r="C229" s="361" t="s">
        <v>6</v>
      </c>
      <c r="D229" s="348">
        <v>16</v>
      </c>
      <c r="E229" s="353">
        <v>66000</v>
      </c>
      <c r="F229" s="1539">
        <v>35581</v>
      </c>
      <c r="G229" s="1285">
        <f>IFERROR(VLOOKUP(A229,'valores unit indexados'!$A$14:$O$197,15,FALSE),0)</f>
        <v>64421</v>
      </c>
      <c r="I229" s="423">
        <f>ROUND(AVERAGE(E229,G229),0)</f>
        <v>65211</v>
      </c>
    </row>
    <row r="230" spans="1:9" ht="25.5" x14ac:dyDescent="0.2">
      <c r="A230" s="386" t="s">
        <v>651</v>
      </c>
      <c r="B230" s="358" t="s">
        <v>1515</v>
      </c>
      <c r="C230" s="356" t="s">
        <v>14</v>
      </c>
      <c r="D230" s="355">
        <v>12</v>
      </c>
      <c r="E230" s="353">
        <v>120000</v>
      </c>
      <c r="F230" s="349">
        <v>18317</v>
      </c>
      <c r="G230" s="1285">
        <f>IFERROR(VLOOKUP(A230,'valores unit indexados'!$A$14:$O$197,15,FALSE),0)</f>
        <v>0</v>
      </c>
      <c r="I230" s="423">
        <f>ROUND(AVERAGE(E230,F230),0)</f>
        <v>69159</v>
      </c>
    </row>
    <row r="231" spans="1:9" ht="25.5" x14ac:dyDescent="0.2">
      <c r="A231" s="354" t="s">
        <v>528</v>
      </c>
      <c r="B231" s="358" t="s">
        <v>529</v>
      </c>
      <c r="C231" s="356" t="s">
        <v>19</v>
      </c>
      <c r="D231" s="346">
        <v>22</v>
      </c>
      <c r="E231" s="353">
        <v>12500</v>
      </c>
      <c r="F231" s="387">
        <v>0</v>
      </c>
      <c r="G231" s="1285">
        <v>0</v>
      </c>
      <c r="I231" s="423">
        <f>+E231</f>
        <v>12500</v>
      </c>
    </row>
    <row r="232" spans="1:9" ht="25.5" x14ac:dyDescent="0.2">
      <c r="A232" s="386" t="s">
        <v>579</v>
      </c>
      <c r="B232" s="358" t="s">
        <v>529</v>
      </c>
      <c r="C232" s="356" t="s">
        <v>19</v>
      </c>
      <c r="D232" s="346">
        <v>33</v>
      </c>
      <c r="E232" s="353">
        <v>12500</v>
      </c>
      <c r="F232" s="387">
        <v>0</v>
      </c>
      <c r="G232" s="1285"/>
      <c r="I232" s="423">
        <f>+E232</f>
        <v>12500</v>
      </c>
    </row>
    <row r="233" spans="1:9" ht="51" x14ac:dyDescent="0.2">
      <c r="A233" s="386" t="s">
        <v>545</v>
      </c>
      <c r="B233" s="358" t="s">
        <v>546</v>
      </c>
      <c r="C233" s="356" t="s">
        <v>6</v>
      </c>
      <c r="D233" s="355">
        <v>6</v>
      </c>
      <c r="E233" s="1536">
        <v>2900000</v>
      </c>
      <c r="F233" s="349">
        <v>1100000</v>
      </c>
      <c r="G233" s="1285">
        <f>IFERROR(VLOOKUP(A233,'valores unit indexados'!$A$14:$O$197,15,FALSE),0)</f>
        <v>0</v>
      </c>
      <c r="I233" s="423">
        <f>+F233</f>
        <v>1100000</v>
      </c>
    </row>
    <row r="234" spans="1:9" ht="25.5" x14ac:dyDescent="0.2">
      <c r="A234" s="346" t="s">
        <v>254</v>
      </c>
      <c r="B234" s="391" t="s">
        <v>1481</v>
      </c>
      <c r="C234" s="367" t="s">
        <v>6</v>
      </c>
      <c r="D234" s="367">
        <v>1</v>
      </c>
      <c r="E234" s="379">
        <v>7500000</v>
      </c>
      <c r="F234" s="349">
        <v>4500000</v>
      </c>
      <c r="G234" s="1285">
        <f>IFERROR(VLOOKUP(A234,'valores unit indexados'!$A$14:$O$197,15,FALSE),0)</f>
        <v>0</v>
      </c>
      <c r="I234" s="423">
        <f>ROUND(AVERAGE(E234,F234),0)</f>
        <v>6000000</v>
      </c>
    </row>
    <row r="235" spans="1:9" ht="25.5" x14ac:dyDescent="0.2">
      <c r="A235" s="346" t="s">
        <v>295</v>
      </c>
      <c r="B235" s="358" t="s">
        <v>296</v>
      </c>
      <c r="C235" s="356" t="s">
        <v>6</v>
      </c>
      <c r="D235" s="348">
        <v>1</v>
      </c>
      <c r="E235" s="379">
        <v>850000</v>
      </c>
      <c r="F235" s="349">
        <v>1000000</v>
      </c>
      <c r="G235" s="1285">
        <f>IFERROR(VLOOKUP(A235,'valores unit indexados'!$A$14:$O$197,15,FALSE),0)</f>
        <v>0</v>
      </c>
      <c r="I235" s="423">
        <f>ROUND(AVERAGE(E235,F235),0)</f>
        <v>925000</v>
      </c>
    </row>
    <row r="236" spans="1:9" x14ac:dyDescent="0.2">
      <c r="A236" s="354" t="s">
        <v>668</v>
      </c>
      <c r="B236" s="347" t="s">
        <v>669</v>
      </c>
      <c r="C236" s="340" t="s">
        <v>6</v>
      </c>
      <c r="D236" s="385">
        <v>1</v>
      </c>
      <c r="E236" s="1536">
        <v>800000</v>
      </c>
      <c r="F236" s="349">
        <v>455624</v>
      </c>
      <c r="G236" s="1285">
        <f>IFERROR(VLOOKUP(A236,'valores unit indexados'!$A$14:$O$197,15,FALSE),0)</f>
        <v>0</v>
      </c>
      <c r="I236" s="423">
        <f>+F236</f>
        <v>455624</v>
      </c>
    </row>
    <row r="237" spans="1:9" ht="63.75" x14ac:dyDescent="0.2">
      <c r="A237" s="386" t="s">
        <v>682</v>
      </c>
      <c r="B237" s="347" t="s">
        <v>683</v>
      </c>
      <c r="C237" s="356" t="s">
        <v>6</v>
      </c>
      <c r="D237" s="385">
        <v>1</v>
      </c>
      <c r="E237" s="353">
        <v>2900000</v>
      </c>
      <c r="F237" s="349">
        <v>4000000</v>
      </c>
      <c r="G237" s="1285">
        <f>IFERROR(VLOOKUP(A237,'valores unit indexados'!$A$14:$O$197,15,FALSE),0)</f>
        <v>0</v>
      </c>
      <c r="I237" s="423">
        <f>ROUND(AVERAGE(E237,F237),0)</f>
        <v>3450000</v>
      </c>
    </row>
    <row r="238" spans="1:9" ht="63.75" x14ac:dyDescent="0.2">
      <c r="A238" s="354" t="s">
        <v>684</v>
      </c>
      <c r="B238" s="347" t="s">
        <v>685</v>
      </c>
      <c r="C238" s="356" t="s">
        <v>6</v>
      </c>
      <c r="D238" s="385">
        <v>1</v>
      </c>
      <c r="E238" s="353">
        <v>2700000</v>
      </c>
      <c r="F238" s="349">
        <v>3500000</v>
      </c>
      <c r="G238" s="1285">
        <f>IFERROR(VLOOKUP(A238,'valores unit indexados'!$A$14:$O$197,15,FALSE),0)</f>
        <v>0</v>
      </c>
      <c r="I238" s="423">
        <f>ROUND(AVERAGE(E238,F238),0)</f>
        <v>3100000</v>
      </c>
    </row>
    <row r="239" spans="1:9" ht="25.5" x14ac:dyDescent="0.2">
      <c r="A239" s="386" t="s">
        <v>635</v>
      </c>
      <c r="B239" s="358" t="s">
        <v>636</v>
      </c>
      <c r="C239" s="356" t="s">
        <v>14</v>
      </c>
      <c r="D239" s="385">
        <v>46</v>
      </c>
      <c r="E239" s="353">
        <v>28800</v>
      </c>
      <c r="F239" s="349">
        <v>6500</v>
      </c>
      <c r="G239" s="1285">
        <f>IFERROR(VLOOKUP(A239,'valores unit indexados'!$A$14:$O$197,15,FALSE),0)</f>
        <v>0</v>
      </c>
      <c r="I239" s="423">
        <f>ROUND(AVERAGE(E239,F239),0)</f>
        <v>17650</v>
      </c>
    </row>
    <row r="240" spans="1:9" ht="38.25" x14ac:dyDescent="0.2">
      <c r="A240" s="346" t="s">
        <v>85</v>
      </c>
      <c r="B240" s="368" t="s">
        <v>86</v>
      </c>
      <c r="C240" s="367" t="s">
        <v>19</v>
      </c>
      <c r="D240" s="348">
        <v>247</v>
      </c>
      <c r="E240" s="379">
        <v>48000</v>
      </c>
      <c r="F240" s="412">
        <v>45500</v>
      </c>
      <c r="G240" s="1285">
        <f>IFERROR(VLOOKUP(A240,'valores unit indexados'!$A$14:$O$197,15,FALSE),0)</f>
        <v>41660</v>
      </c>
      <c r="I240" s="423">
        <f>ROUND(AVERAGE(E240,F240,G240),0)</f>
        <v>45053</v>
      </c>
    </row>
    <row r="241" spans="1:9" ht="38.25" x14ac:dyDescent="0.2">
      <c r="A241" s="354" t="s">
        <v>212</v>
      </c>
      <c r="B241" s="368" t="s">
        <v>86</v>
      </c>
      <c r="C241" s="340" t="s">
        <v>19</v>
      </c>
      <c r="D241" s="348">
        <v>3</v>
      </c>
      <c r="E241" s="1536">
        <v>140000</v>
      </c>
      <c r="F241" s="349">
        <v>45500</v>
      </c>
      <c r="G241" s="1285">
        <f>IFERROR(VLOOKUP(A241,'valores unit indexados'!$A$14:$O$197,15,FALSE),0)</f>
        <v>41660</v>
      </c>
      <c r="I241" s="423">
        <f>+I240</f>
        <v>45053</v>
      </c>
    </row>
    <row r="242" spans="1:9" ht="38.25" x14ac:dyDescent="0.2">
      <c r="A242" s="346" t="s">
        <v>236</v>
      </c>
      <c r="B242" s="368" t="s">
        <v>86</v>
      </c>
      <c r="C242" s="367" t="s">
        <v>19</v>
      </c>
      <c r="D242" s="348">
        <v>90</v>
      </c>
      <c r="E242" s="353">
        <v>48000</v>
      </c>
      <c r="F242" s="349">
        <v>45500</v>
      </c>
      <c r="G242" s="1285">
        <f>IFERROR(VLOOKUP(A242,'valores unit indexados'!$A$14:$O$197,15,FALSE),0)</f>
        <v>43614</v>
      </c>
      <c r="I242" s="423">
        <f>+I241</f>
        <v>45053</v>
      </c>
    </row>
    <row r="243" spans="1:9" ht="38.25" x14ac:dyDescent="0.2">
      <c r="A243" s="367" t="s">
        <v>242</v>
      </c>
      <c r="B243" s="368" t="s">
        <v>86</v>
      </c>
      <c r="C243" s="367" t="s">
        <v>14</v>
      </c>
      <c r="D243" s="348">
        <v>74</v>
      </c>
      <c r="E243" s="353">
        <v>28800</v>
      </c>
      <c r="F243" s="349">
        <v>6500</v>
      </c>
      <c r="G243" s="1285">
        <f>IFERROR(VLOOKUP(A243,'valores unit indexados'!$A$14:$O$197,15,FALSE),0)</f>
        <v>0</v>
      </c>
      <c r="I243" s="423">
        <f>+I239</f>
        <v>17650</v>
      </c>
    </row>
    <row r="244" spans="1:9" ht="38.25" x14ac:dyDescent="0.2">
      <c r="A244" s="367" t="s">
        <v>360</v>
      </c>
      <c r="B244" s="368" t="s">
        <v>86</v>
      </c>
      <c r="C244" s="367" t="s">
        <v>19</v>
      </c>
      <c r="D244" s="356">
        <v>7</v>
      </c>
      <c r="E244" s="353">
        <v>48000</v>
      </c>
      <c r="F244" s="350">
        <v>45500</v>
      </c>
      <c r="G244" s="1285">
        <f>IFERROR(VLOOKUP(A244,'valores unit indexados'!$A$14:$O$197,15,FALSE),0)</f>
        <v>43614</v>
      </c>
      <c r="I244" s="423">
        <f>+I242</f>
        <v>45053</v>
      </c>
    </row>
    <row r="245" spans="1:9" ht="38.25" x14ac:dyDescent="0.2">
      <c r="A245" s="346" t="s">
        <v>366</v>
      </c>
      <c r="B245" s="368" t="s">
        <v>86</v>
      </c>
      <c r="C245" s="367" t="s">
        <v>14</v>
      </c>
      <c r="D245" s="356">
        <v>3</v>
      </c>
      <c r="E245" s="353">
        <v>28800</v>
      </c>
      <c r="F245" s="350">
        <v>45500</v>
      </c>
      <c r="G245" s="1285">
        <f>IFERROR(VLOOKUP(A245,'valores unit indexados'!$A$14:$O$197,15,FALSE),0)</f>
        <v>0</v>
      </c>
      <c r="I245" s="423">
        <f>+I243</f>
        <v>17650</v>
      </c>
    </row>
    <row r="246" spans="1:9" ht="38.25" x14ac:dyDescent="0.2">
      <c r="A246" s="386" t="s">
        <v>446</v>
      </c>
      <c r="B246" s="368" t="s">
        <v>86</v>
      </c>
      <c r="C246" s="367" t="s">
        <v>19</v>
      </c>
      <c r="D246" s="385">
        <v>355</v>
      </c>
      <c r="E246" s="353">
        <v>48000</v>
      </c>
      <c r="F246" s="349">
        <v>45500</v>
      </c>
      <c r="G246" s="1285">
        <f>IFERROR(VLOOKUP(A246,'valores unit indexados'!$A$14:$O$197,15,FALSE),0)</f>
        <v>43614</v>
      </c>
      <c r="I246" s="423">
        <f>+I244</f>
        <v>45053</v>
      </c>
    </row>
    <row r="247" spans="1:9" ht="38.25" x14ac:dyDescent="0.2">
      <c r="A247" s="367" t="s">
        <v>452</v>
      </c>
      <c r="B247" s="368" t="s">
        <v>86</v>
      </c>
      <c r="C247" s="367" t="s">
        <v>14</v>
      </c>
      <c r="D247" s="385">
        <v>281</v>
      </c>
      <c r="E247" s="353">
        <v>28800</v>
      </c>
      <c r="F247" s="349">
        <v>6500</v>
      </c>
      <c r="G247" s="1285">
        <f>IFERROR(VLOOKUP(A247,'valores unit indexados'!$A$14:$O$197,15,FALSE),0)</f>
        <v>0</v>
      </c>
      <c r="I247" s="423">
        <f>+I245</f>
        <v>17650</v>
      </c>
    </row>
    <row r="248" spans="1:9" ht="38.25" x14ac:dyDescent="0.2">
      <c r="A248" s="386" t="s">
        <v>534</v>
      </c>
      <c r="B248" s="358" t="s">
        <v>86</v>
      </c>
      <c r="C248" s="356" t="s">
        <v>19</v>
      </c>
      <c r="D248" s="355">
        <v>245</v>
      </c>
      <c r="E248" s="353">
        <v>48000</v>
      </c>
      <c r="F248" s="349">
        <v>45500</v>
      </c>
      <c r="G248" s="1285">
        <f>IFERROR(VLOOKUP(A248,'valores unit indexados'!$A$14:$O$197,15,FALSE),0)</f>
        <v>43614</v>
      </c>
      <c r="I248" s="423">
        <f>+I246</f>
        <v>45053</v>
      </c>
    </row>
    <row r="249" spans="1:9" ht="38.25" x14ac:dyDescent="0.2">
      <c r="A249" s="386" t="s">
        <v>553</v>
      </c>
      <c r="B249" s="368" t="s">
        <v>86</v>
      </c>
      <c r="C249" s="367" t="s">
        <v>19</v>
      </c>
      <c r="D249" s="346">
        <v>191</v>
      </c>
      <c r="E249" s="353">
        <v>48000</v>
      </c>
      <c r="F249" s="349">
        <v>45500</v>
      </c>
      <c r="G249" s="1285">
        <f>IFERROR(VLOOKUP(A249,'valores unit indexados'!$A$14:$O$197,15,FALSE),0)</f>
        <v>43614</v>
      </c>
      <c r="I249" s="423">
        <f>+I248</f>
        <v>45053</v>
      </c>
    </row>
    <row r="250" spans="1:9" ht="38.25" x14ac:dyDescent="0.2">
      <c r="A250" s="386" t="s">
        <v>559</v>
      </c>
      <c r="B250" s="368" t="s">
        <v>86</v>
      </c>
      <c r="C250" s="367" t="s">
        <v>14</v>
      </c>
      <c r="D250" s="346">
        <v>10</v>
      </c>
      <c r="E250" s="353">
        <v>28800</v>
      </c>
      <c r="F250" s="349">
        <v>6500</v>
      </c>
      <c r="G250" s="1285">
        <f>IFERROR(VLOOKUP(A250,'valores unit indexados'!$A$14:$O$197,15,FALSE),0)</f>
        <v>0</v>
      </c>
      <c r="I250" s="423">
        <f>+I247</f>
        <v>17650</v>
      </c>
    </row>
    <row r="251" spans="1:9" ht="38.25" x14ac:dyDescent="0.2">
      <c r="A251" s="354" t="s">
        <v>588</v>
      </c>
      <c r="B251" s="358" t="s">
        <v>86</v>
      </c>
      <c r="C251" s="356" t="s">
        <v>19</v>
      </c>
      <c r="D251" s="346">
        <v>20</v>
      </c>
      <c r="E251" s="353">
        <v>48000</v>
      </c>
      <c r="F251" s="349">
        <v>45500</v>
      </c>
      <c r="G251" s="1285">
        <f>IFERROR(VLOOKUP(A251,'valores unit indexados'!$A$14:$O$197,15,FALSE),0)</f>
        <v>43614</v>
      </c>
      <c r="I251" s="423">
        <f>+I249</f>
        <v>45053</v>
      </c>
    </row>
    <row r="252" spans="1:9" ht="38.25" x14ac:dyDescent="0.2">
      <c r="A252" s="386" t="s">
        <v>594</v>
      </c>
      <c r="B252" s="358" t="s">
        <v>86</v>
      </c>
      <c r="C252" s="356" t="s">
        <v>19</v>
      </c>
      <c r="D252" s="346">
        <v>50</v>
      </c>
      <c r="E252" s="353">
        <v>48000</v>
      </c>
      <c r="F252" s="349">
        <v>45500</v>
      </c>
      <c r="G252" s="1285">
        <f>IFERROR(VLOOKUP(A252,'valores unit indexados'!$A$14:$O$197,15,FALSE),0)</f>
        <v>43614</v>
      </c>
      <c r="I252" s="423">
        <f>+I249</f>
        <v>45053</v>
      </c>
    </row>
    <row r="253" spans="1:9" ht="38.25" x14ac:dyDescent="0.2">
      <c r="A253" s="354" t="s">
        <v>600</v>
      </c>
      <c r="B253" s="358" t="s">
        <v>86</v>
      </c>
      <c r="C253" s="356" t="s">
        <v>14</v>
      </c>
      <c r="D253" s="346">
        <v>3</v>
      </c>
      <c r="E253" s="353">
        <v>28800</v>
      </c>
      <c r="F253" s="349">
        <v>6500</v>
      </c>
      <c r="G253" s="1285">
        <f>IFERROR(VLOOKUP(A253,'valores unit indexados'!$A$14:$O$197,15,FALSE),0)</f>
        <v>0</v>
      </c>
      <c r="I253" s="423">
        <f>+I250</f>
        <v>17650</v>
      </c>
    </row>
    <row r="254" spans="1:9" ht="38.25" x14ac:dyDescent="0.2">
      <c r="A254" s="346" t="s">
        <v>622</v>
      </c>
      <c r="B254" s="360" t="s">
        <v>86</v>
      </c>
      <c r="C254" s="389" t="s">
        <v>19</v>
      </c>
      <c r="D254" s="346">
        <v>10</v>
      </c>
      <c r="E254" s="353">
        <v>48000</v>
      </c>
      <c r="F254" s="349">
        <v>45500</v>
      </c>
      <c r="G254" s="1285">
        <f>IFERROR(VLOOKUP(A254,'valores unit indexados'!$A$14:$O$197,15,FALSE),0)</f>
        <v>43614</v>
      </c>
      <c r="I254" s="423">
        <f>+I252</f>
        <v>45053</v>
      </c>
    </row>
    <row r="255" spans="1:9" ht="38.25" x14ac:dyDescent="0.2">
      <c r="A255" s="386" t="s">
        <v>629</v>
      </c>
      <c r="B255" s="368" t="s">
        <v>86</v>
      </c>
      <c r="C255" s="367" t="s">
        <v>19</v>
      </c>
      <c r="D255" s="385">
        <v>192</v>
      </c>
      <c r="E255" s="353">
        <v>48000</v>
      </c>
      <c r="F255" s="349">
        <v>45500</v>
      </c>
      <c r="G255" s="1285">
        <f>IFERROR(VLOOKUP(A255,'valores unit indexados'!$A$14:$O$197,15,FALSE),0)</f>
        <v>43614</v>
      </c>
      <c r="I255" s="423">
        <f>+I254</f>
        <v>45053</v>
      </c>
    </row>
    <row r="256" spans="1:9" ht="38.25" x14ac:dyDescent="0.2">
      <c r="A256" s="386" t="s">
        <v>692</v>
      </c>
      <c r="B256" s="368" t="s">
        <v>86</v>
      </c>
      <c r="C256" s="367" t="s">
        <v>19</v>
      </c>
      <c r="D256" s="385">
        <v>320</v>
      </c>
      <c r="E256" s="353">
        <v>48000</v>
      </c>
      <c r="F256" s="349">
        <v>45500</v>
      </c>
      <c r="G256" s="1285">
        <f>IFERROR(VLOOKUP(A256,'valores unit indexados'!$A$14:$O$197,15,FALSE),0)</f>
        <v>43614</v>
      </c>
      <c r="I256" s="423">
        <f>+I255</f>
        <v>45053</v>
      </c>
    </row>
    <row r="257" spans="1:9" ht="38.25" x14ac:dyDescent="0.2">
      <c r="A257" s="386" t="s">
        <v>698</v>
      </c>
      <c r="B257" s="368" t="s">
        <v>86</v>
      </c>
      <c r="C257" s="367" t="s">
        <v>14</v>
      </c>
      <c r="D257" s="385">
        <v>5</v>
      </c>
      <c r="E257" s="353">
        <v>28800</v>
      </c>
      <c r="F257" s="349">
        <v>6500</v>
      </c>
      <c r="G257" s="1285">
        <f>IFERROR(VLOOKUP(A257,'valores unit indexados'!$A$14:$O$197,15,FALSE),0)</f>
        <v>0</v>
      </c>
      <c r="I257" s="423">
        <f>+I253</f>
        <v>17650</v>
      </c>
    </row>
    <row r="258" spans="1:9" ht="38.25" x14ac:dyDescent="0.2">
      <c r="A258" s="386" t="s">
        <v>653</v>
      </c>
      <c r="B258" s="391" t="s">
        <v>1516</v>
      </c>
      <c r="C258" s="363" t="s">
        <v>19</v>
      </c>
      <c r="D258" s="385">
        <v>22</v>
      </c>
      <c r="E258" s="353">
        <v>250000</v>
      </c>
      <c r="F258" s="349">
        <v>252694</v>
      </c>
      <c r="G258" s="1285">
        <f>IFERROR(VLOOKUP(A258,'valores unit indexados'!$A$14:$O$197,15,FALSE),0)</f>
        <v>0</v>
      </c>
      <c r="I258" s="423">
        <f>ROUND(AVERAGE(E258,F258),0)</f>
        <v>251347</v>
      </c>
    </row>
    <row r="259" spans="1:9" ht="38.25" x14ac:dyDescent="0.2">
      <c r="A259" s="354" t="s">
        <v>128</v>
      </c>
      <c r="B259" s="358" t="s">
        <v>129</v>
      </c>
      <c r="C259" s="356" t="s">
        <v>6</v>
      </c>
      <c r="D259" s="369">
        <v>35</v>
      </c>
      <c r="E259" s="370">
        <v>115000</v>
      </c>
      <c r="F259" s="371">
        <v>0</v>
      </c>
      <c r="G259" s="1285">
        <f>IFERROR(VLOOKUP(A259,'valores unit indexados'!$A$14:$O$197,15,FALSE),0)</f>
        <v>123946</v>
      </c>
      <c r="I259" s="423">
        <f>ROUND(AVERAGE(E259,G259),0)</f>
        <v>119473</v>
      </c>
    </row>
    <row r="260" spans="1:9" ht="38.25" x14ac:dyDescent="0.2">
      <c r="A260" s="346" t="s">
        <v>277</v>
      </c>
      <c r="B260" s="396" t="s">
        <v>129</v>
      </c>
      <c r="C260" s="363" t="s">
        <v>6</v>
      </c>
      <c r="D260" s="369">
        <v>18</v>
      </c>
      <c r="E260" s="353">
        <v>115000</v>
      </c>
      <c r="F260" s="371">
        <v>0</v>
      </c>
      <c r="G260" s="1285">
        <f>IFERROR(VLOOKUP(A260,'valores unit indexados'!$A$14:$O$197,15,FALSE),0)</f>
        <v>123946</v>
      </c>
      <c r="I260" s="423">
        <f>ROUND(AVERAGE(E260,G260),0)</f>
        <v>119473</v>
      </c>
    </row>
    <row r="261" spans="1:9" ht="38.25" x14ac:dyDescent="0.2">
      <c r="A261" s="367" t="s">
        <v>398</v>
      </c>
      <c r="B261" s="347" t="s">
        <v>129</v>
      </c>
      <c r="C261" s="363" t="s">
        <v>6</v>
      </c>
      <c r="D261" s="346">
        <v>7</v>
      </c>
      <c r="E261" s="353">
        <v>115000</v>
      </c>
      <c r="F261" s="371">
        <v>0</v>
      </c>
      <c r="G261" s="1285">
        <f>IFERROR(VLOOKUP(A261,'valores unit indexados'!$A$14:$O$197,15,FALSE),0)</f>
        <v>123946</v>
      </c>
      <c r="I261" s="423">
        <f>ROUND(AVERAGE(E261,G261),0)</f>
        <v>119473</v>
      </c>
    </row>
    <row r="262" spans="1:9" ht="38.25" x14ac:dyDescent="0.2">
      <c r="A262" s="348" t="s">
        <v>126</v>
      </c>
      <c r="B262" s="358" t="s">
        <v>127</v>
      </c>
      <c r="C262" s="356" t="s">
        <v>6</v>
      </c>
      <c r="D262" s="369">
        <v>35</v>
      </c>
      <c r="E262" s="370">
        <v>120000</v>
      </c>
      <c r="F262" s="371">
        <v>0</v>
      </c>
      <c r="G262" s="1285">
        <f>IFERROR(VLOOKUP(A262,'valores unit indexados'!$A$14:$O$197,15,FALSE),0)</f>
        <v>120233</v>
      </c>
      <c r="H262" s="1546"/>
      <c r="I262" s="423">
        <f>+I261</f>
        <v>119473</v>
      </c>
    </row>
    <row r="263" spans="1:9" ht="38.25" x14ac:dyDescent="0.2">
      <c r="A263" s="346" t="s">
        <v>276</v>
      </c>
      <c r="B263" s="396" t="s">
        <v>127</v>
      </c>
      <c r="C263" s="363" t="s">
        <v>6</v>
      </c>
      <c r="D263" s="369">
        <v>18</v>
      </c>
      <c r="E263" s="353">
        <v>120000</v>
      </c>
      <c r="F263" s="371">
        <v>0</v>
      </c>
      <c r="G263" s="1285">
        <f>IFERROR(VLOOKUP(A263,'valores unit indexados'!$A$14:$O$197,15,FALSE),0)</f>
        <v>120233</v>
      </c>
      <c r="I263" s="423">
        <f>+I262</f>
        <v>119473</v>
      </c>
    </row>
    <row r="264" spans="1:9" ht="38.25" x14ac:dyDescent="0.2">
      <c r="A264" s="367" t="s">
        <v>397</v>
      </c>
      <c r="B264" s="358" t="s">
        <v>127</v>
      </c>
      <c r="C264" s="363" t="s">
        <v>6</v>
      </c>
      <c r="D264" s="346">
        <v>7</v>
      </c>
      <c r="E264" s="353">
        <v>120000</v>
      </c>
      <c r="F264" s="387">
        <v>0</v>
      </c>
      <c r="G264" s="1285">
        <f>IFERROR(VLOOKUP(A264,'valores unit indexados'!$A$14:$O$197,15,FALSE),0)</f>
        <v>120233</v>
      </c>
      <c r="I264" s="423">
        <f>+I263</f>
        <v>119473</v>
      </c>
    </row>
    <row r="265" spans="1:9" x14ac:dyDescent="0.2">
      <c r="A265" s="346" t="s">
        <v>297</v>
      </c>
      <c r="B265" s="358" t="s">
        <v>298</v>
      </c>
      <c r="C265" s="356" t="s">
        <v>14</v>
      </c>
      <c r="D265" s="348">
        <v>486.00000000000006</v>
      </c>
      <c r="E265" s="353">
        <v>25000</v>
      </c>
      <c r="F265" s="349">
        <v>31213</v>
      </c>
      <c r="G265" s="1285">
        <f>IFERROR(VLOOKUP(A265,'valores unit indexados'!$A$14:$O$197,15,FALSE),0)</f>
        <v>0</v>
      </c>
      <c r="I265" s="423">
        <f t="shared" ref="I265:I272" si="3">ROUND(AVERAGE(E265,F265),0)</f>
        <v>28107</v>
      </c>
    </row>
    <row r="266" spans="1:9" x14ac:dyDescent="0.2">
      <c r="A266" s="386" t="s">
        <v>574</v>
      </c>
      <c r="B266" s="358" t="s">
        <v>1510</v>
      </c>
      <c r="C266" s="356" t="s">
        <v>6</v>
      </c>
      <c r="D266" s="346">
        <v>6</v>
      </c>
      <c r="E266" s="353">
        <v>98000</v>
      </c>
      <c r="F266" s="349">
        <v>15000</v>
      </c>
      <c r="G266" s="1285">
        <f>IFERROR(VLOOKUP(A266,'valores unit indexados'!$A$14:$O$197,15,FALSE),0)</f>
        <v>0</v>
      </c>
      <c r="I266" s="423">
        <f t="shared" si="3"/>
        <v>56500</v>
      </c>
    </row>
    <row r="267" spans="1:9" ht="25.5" x14ac:dyDescent="0.2">
      <c r="A267" s="354" t="s">
        <v>60</v>
      </c>
      <c r="B267" s="358" t="s">
        <v>61</v>
      </c>
      <c r="C267" s="356" t="s">
        <v>14</v>
      </c>
      <c r="D267" s="348">
        <v>70</v>
      </c>
      <c r="E267" s="353">
        <v>46000</v>
      </c>
      <c r="F267" s="350">
        <v>57837</v>
      </c>
      <c r="G267" s="1285">
        <f>IFERROR(VLOOKUP(A267,'valores unit indexados'!$A$14:$O$197,15,FALSE),0)</f>
        <v>0</v>
      </c>
      <c r="I267" s="423">
        <f t="shared" si="3"/>
        <v>51919</v>
      </c>
    </row>
    <row r="268" spans="1:9" ht="25.5" x14ac:dyDescent="0.2">
      <c r="A268" s="346" t="s">
        <v>381</v>
      </c>
      <c r="B268" s="360" t="s">
        <v>61</v>
      </c>
      <c r="C268" s="361" t="s">
        <v>14</v>
      </c>
      <c r="D268" s="346">
        <v>16</v>
      </c>
      <c r="E268" s="353">
        <v>46000</v>
      </c>
      <c r="F268" s="349">
        <v>57837</v>
      </c>
      <c r="G268" s="1285">
        <f>IFERROR(VLOOKUP(A268,'valores unit indexados'!$A$14:$O$197,15,FALSE),0)</f>
        <v>0</v>
      </c>
      <c r="I268" s="423">
        <f t="shared" si="3"/>
        <v>51919</v>
      </c>
    </row>
    <row r="269" spans="1:9" ht="25.5" x14ac:dyDescent="0.2">
      <c r="A269" s="386" t="s">
        <v>569</v>
      </c>
      <c r="B269" s="360" t="s">
        <v>61</v>
      </c>
      <c r="C269" s="361" t="s">
        <v>14</v>
      </c>
      <c r="D269" s="346">
        <v>40</v>
      </c>
      <c r="E269" s="353">
        <v>46000</v>
      </c>
      <c r="F269" s="349">
        <v>57837</v>
      </c>
      <c r="G269" s="1285">
        <f>IFERROR(VLOOKUP(A269,'valores unit indexados'!$A$14:$O$197,15,FALSE),0)</f>
        <v>0</v>
      </c>
      <c r="I269" s="423">
        <f t="shared" si="3"/>
        <v>51919</v>
      </c>
    </row>
    <row r="270" spans="1:9" ht="25.5" x14ac:dyDescent="0.2">
      <c r="A270" s="386" t="s">
        <v>611</v>
      </c>
      <c r="B270" s="358" t="s">
        <v>61</v>
      </c>
      <c r="C270" s="356" t="s">
        <v>14</v>
      </c>
      <c r="D270" s="385">
        <v>23</v>
      </c>
      <c r="E270" s="353">
        <v>46000</v>
      </c>
      <c r="F270" s="349">
        <v>57837</v>
      </c>
      <c r="G270" s="1285">
        <f>IFERROR(VLOOKUP(A270,'valores unit indexados'!$A$14:$O$197,15,FALSE),0)</f>
        <v>0</v>
      </c>
      <c r="I270" s="423">
        <f t="shared" si="3"/>
        <v>51919</v>
      </c>
    </row>
    <row r="271" spans="1:9" ht="25.5" x14ac:dyDescent="0.2">
      <c r="A271" s="386" t="s">
        <v>729</v>
      </c>
      <c r="B271" s="358" t="s">
        <v>61</v>
      </c>
      <c r="C271" s="356" t="s">
        <v>14</v>
      </c>
      <c r="D271" s="385">
        <v>5</v>
      </c>
      <c r="E271" s="353">
        <v>46000</v>
      </c>
      <c r="F271" s="349">
        <v>57837</v>
      </c>
      <c r="G271" s="1285">
        <f>IFERROR(VLOOKUP(A271,'valores unit indexados'!$A$14:$O$197,15,FALSE),0)</f>
        <v>0</v>
      </c>
      <c r="I271" s="423">
        <f t="shared" si="3"/>
        <v>51919</v>
      </c>
    </row>
    <row r="272" spans="1:9" ht="25.5" x14ac:dyDescent="0.2">
      <c r="A272" s="386" t="s">
        <v>749</v>
      </c>
      <c r="B272" s="358" t="s">
        <v>61</v>
      </c>
      <c r="C272" s="356" t="s">
        <v>14</v>
      </c>
      <c r="D272" s="385">
        <v>24</v>
      </c>
      <c r="E272" s="353">
        <v>46000</v>
      </c>
      <c r="F272" s="349">
        <v>57837</v>
      </c>
      <c r="G272" s="1285">
        <f>IFERROR(VLOOKUP(A272,'valores unit indexados'!$A$14:$O$197,15,FALSE),0)</f>
        <v>0</v>
      </c>
      <c r="I272" s="423">
        <f t="shared" si="3"/>
        <v>51919</v>
      </c>
    </row>
    <row r="273" spans="1:9" x14ac:dyDescent="0.2">
      <c r="A273" s="362" t="s">
        <v>62</v>
      </c>
      <c r="B273" s="358" t="s">
        <v>63</v>
      </c>
      <c r="C273" s="356" t="s">
        <v>6</v>
      </c>
      <c r="D273" s="348">
        <v>10</v>
      </c>
      <c r="E273" s="353">
        <v>27000</v>
      </c>
      <c r="F273" s="1539">
        <v>6667.1</v>
      </c>
      <c r="G273" s="1285">
        <f>IFERROR(VLOOKUP(A273,'valores unit indexados'!$A$14:$O$197,15,FALSE),0)</f>
        <v>26036</v>
      </c>
      <c r="I273" s="423">
        <f>ROUND(AVERAGE(E273,G273),0)</f>
        <v>26518</v>
      </c>
    </row>
    <row r="274" spans="1:9" x14ac:dyDescent="0.2">
      <c r="A274" s="367" t="s">
        <v>355</v>
      </c>
      <c r="B274" s="383" t="s">
        <v>63</v>
      </c>
      <c r="C274" s="361" t="s">
        <v>6</v>
      </c>
      <c r="D274" s="355">
        <v>4</v>
      </c>
      <c r="E274" s="353">
        <v>27000</v>
      </c>
      <c r="F274" s="350">
        <v>28015</v>
      </c>
      <c r="G274" s="1285">
        <f>IFERROR(VLOOKUP(A274,'valores unit indexados'!$A$14:$O$197,15,FALSE),0)</f>
        <v>26036</v>
      </c>
      <c r="I274" s="423">
        <f>+I273</f>
        <v>26518</v>
      </c>
    </row>
    <row r="275" spans="1:9" x14ac:dyDescent="0.2">
      <c r="A275" s="346" t="s">
        <v>383</v>
      </c>
      <c r="B275" s="383" t="s">
        <v>63</v>
      </c>
      <c r="C275" s="361" t="s">
        <v>6</v>
      </c>
      <c r="D275" s="346">
        <v>2</v>
      </c>
      <c r="E275" s="353">
        <v>27000</v>
      </c>
      <c r="F275" s="387">
        <v>0</v>
      </c>
      <c r="G275" s="1285">
        <f>IFERROR(VLOOKUP(A275,'valores unit indexados'!$A$14:$O$197,15,FALSE),0)</f>
        <v>26036</v>
      </c>
      <c r="I275" s="423">
        <f>+I274</f>
        <v>26518</v>
      </c>
    </row>
    <row r="276" spans="1:9" x14ac:dyDescent="0.2">
      <c r="A276" s="386" t="s">
        <v>747</v>
      </c>
      <c r="B276" s="358" t="s">
        <v>748</v>
      </c>
      <c r="C276" s="356" t="s">
        <v>19</v>
      </c>
      <c r="D276" s="385">
        <v>24</v>
      </c>
      <c r="E276" s="353">
        <v>45000</v>
      </c>
      <c r="F276" s="349">
        <v>36340</v>
      </c>
      <c r="G276" s="1285">
        <f>IFERROR(VLOOKUP(A276,'valores unit indexados'!$A$14:$O$197,15,FALSE),0)</f>
        <v>0</v>
      </c>
      <c r="I276" s="423">
        <f>ROUND(AVERAGE(E276,F276),0)</f>
        <v>40670</v>
      </c>
    </row>
    <row r="277" spans="1:9" ht="25.5" x14ac:dyDescent="0.2">
      <c r="A277" s="354" t="s">
        <v>52</v>
      </c>
      <c r="B277" s="360" t="s">
        <v>53</v>
      </c>
      <c r="C277" s="361" t="s">
        <v>19</v>
      </c>
      <c r="D277" s="348">
        <v>330</v>
      </c>
      <c r="E277" s="353">
        <v>80000</v>
      </c>
      <c r="F277" s="350">
        <v>65949</v>
      </c>
      <c r="G277" s="1285">
        <f>IFERROR(VLOOKUP(A277,'valores unit indexados'!$A$14:$O$197,15,FALSE),0)</f>
        <v>77917</v>
      </c>
      <c r="I277" s="423">
        <f>ROUND(AVERAGE(E277,F277,G277),0)</f>
        <v>74622</v>
      </c>
    </row>
    <row r="278" spans="1:9" ht="38.25" x14ac:dyDescent="0.2">
      <c r="A278" s="348" t="s">
        <v>122</v>
      </c>
      <c r="B278" s="358" t="s">
        <v>123</v>
      </c>
      <c r="C278" s="356" t="s">
        <v>6</v>
      </c>
      <c r="D278" s="369">
        <v>35</v>
      </c>
      <c r="E278" s="370">
        <v>72000</v>
      </c>
      <c r="F278" s="1537">
        <v>112086</v>
      </c>
      <c r="G278" s="1285">
        <f>IFERROR(VLOOKUP(A278,'valores unit indexados'!$A$14:$O$197,15,FALSE),0)</f>
        <v>70740</v>
      </c>
      <c r="I278" s="423">
        <f>ROUND(AVERAGE(E278,G278),0)</f>
        <v>71370</v>
      </c>
    </row>
    <row r="279" spans="1:9" ht="38.25" x14ac:dyDescent="0.2">
      <c r="A279" s="346" t="s">
        <v>274</v>
      </c>
      <c r="B279" s="396" t="s">
        <v>123</v>
      </c>
      <c r="C279" s="363" t="s">
        <v>6</v>
      </c>
      <c r="D279" s="369">
        <v>18</v>
      </c>
      <c r="E279" s="353">
        <v>72000</v>
      </c>
      <c r="F279" s="1537">
        <v>112086</v>
      </c>
      <c r="G279" s="1285">
        <f>IFERROR(VLOOKUP(A279,'valores unit indexados'!$A$14:$O$197,15,FALSE),0)</f>
        <v>70740</v>
      </c>
      <c r="I279" s="423">
        <f>ROUND(AVERAGE(E279,G279),0)</f>
        <v>71370</v>
      </c>
    </row>
    <row r="280" spans="1:9" ht="38.25" x14ac:dyDescent="0.2">
      <c r="A280" s="367" t="s">
        <v>395</v>
      </c>
      <c r="B280" s="358" t="s">
        <v>123</v>
      </c>
      <c r="C280" s="363" t="s">
        <v>6</v>
      </c>
      <c r="D280" s="346">
        <v>7</v>
      </c>
      <c r="E280" s="353">
        <v>72000</v>
      </c>
      <c r="F280" s="1537">
        <v>112086</v>
      </c>
      <c r="G280" s="1285">
        <f>IFERROR(VLOOKUP(A280,'valores unit indexados'!$A$14:$O$197,15,FALSE),0)</f>
        <v>70740</v>
      </c>
      <c r="I280" s="423">
        <f>ROUND(AVERAGE(E280,G280),0)</f>
        <v>71370</v>
      </c>
    </row>
    <row r="281" spans="1:9" x14ac:dyDescent="0.2">
      <c r="A281" s="386" t="s">
        <v>497</v>
      </c>
      <c r="B281" s="347" t="s">
        <v>1505</v>
      </c>
      <c r="C281" s="356" t="s">
        <v>14</v>
      </c>
      <c r="D281" s="385">
        <v>167</v>
      </c>
      <c r="E281" s="353">
        <v>35000</v>
      </c>
      <c r="F281" s="349">
        <v>13146</v>
      </c>
      <c r="G281" s="1285">
        <f>IFERROR(VLOOKUP(A281,'valores unit indexados'!$A$14:$O$197,15,FALSE),0)</f>
        <v>0</v>
      </c>
      <c r="I281" s="423">
        <f>ROUND(AVERAGE(E281,F281),0)</f>
        <v>24073</v>
      </c>
    </row>
    <row r="282" spans="1:9" x14ac:dyDescent="0.2">
      <c r="A282" s="354" t="s">
        <v>491</v>
      </c>
      <c r="B282" s="347" t="s">
        <v>1504</v>
      </c>
      <c r="C282" s="340" t="s">
        <v>14</v>
      </c>
      <c r="D282" s="385">
        <v>25</v>
      </c>
      <c r="E282" s="353">
        <v>98000</v>
      </c>
      <c r="F282" s="349">
        <v>58617</v>
      </c>
      <c r="G282" s="1285">
        <f>IFERROR(VLOOKUP(A282,'valores unit indexados'!$A$14:$O$197,15,FALSE),0)</f>
        <v>0</v>
      </c>
      <c r="I282" s="423">
        <f>ROUND(AVERAGE(E282,F282),0)</f>
        <v>78309</v>
      </c>
    </row>
    <row r="283" spans="1:9" ht="25.5" x14ac:dyDescent="0.2">
      <c r="A283" s="346" t="s">
        <v>303</v>
      </c>
      <c r="B283" s="347" t="s">
        <v>304</v>
      </c>
      <c r="C283" s="340" t="s">
        <v>14</v>
      </c>
      <c r="D283" s="348">
        <v>3</v>
      </c>
      <c r="E283" s="353">
        <v>40000</v>
      </c>
      <c r="F283" s="349">
        <v>36283</v>
      </c>
      <c r="G283" s="1285">
        <f>+'valores unit indexados'!N198</f>
        <v>38658.06</v>
      </c>
      <c r="I283" s="423">
        <f>ROUND(AVERAGE(E283,F283,G283),0)</f>
        <v>38314</v>
      </c>
    </row>
    <row r="284" spans="1:9" x14ac:dyDescent="0.2">
      <c r="A284" s="354" t="s">
        <v>758</v>
      </c>
      <c r="B284" s="368" t="s">
        <v>1472</v>
      </c>
      <c r="C284" s="356" t="s">
        <v>14</v>
      </c>
      <c r="D284" s="369">
        <v>15</v>
      </c>
      <c r="E284" s="373">
        <v>37500</v>
      </c>
      <c r="F284" s="349">
        <v>37362</v>
      </c>
      <c r="G284" s="1285">
        <f>IFERROR(VLOOKUP(A284,'valores unit indexados'!$A$14:$O$197,15,FALSE),0)</f>
        <v>0</v>
      </c>
      <c r="I284" s="423">
        <f>ROUND(AVERAGE(E284,F284),0)</f>
        <v>37431</v>
      </c>
    </row>
    <row r="285" spans="1:9" x14ac:dyDescent="0.2">
      <c r="A285" s="354" t="s">
        <v>757</v>
      </c>
      <c r="B285" s="368" t="s">
        <v>1471</v>
      </c>
      <c r="C285" s="356" t="s">
        <v>14</v>
      </c>
      <c r="D285" s="369">
        <v>15</v>
      </c>
      <c r="E285" s="373">
        <v>15700</v>
      </c>
      <c r="F285" s="349">
        <v>25285</v>
      </c>
      <c r="G285" s="1285">
        <f>IFERROR(VLOOKUP(A285,'valores unit indexados'!$A$14:$O$197,15,FALSE),0)</f>
        <v>0</v>
      </c>
      <c r="I285" s="423">
        <f>ROUND(AVERAGE(E285,F285),0)</f>
        <v>20493</v>
      </c>
    </row>
    <row r="286" spans="1:9" ht="25.5" x14ac:dyDescent="0.2">
      <c r="A286" s="354" t="s">
        <v>353</v>
      </c>
      <c r="B286" s="365" t="s">
        <v>1489</v>
      </c>
      <c r="C286" s="356" t="s">
        <v>14</v>
      </c>
      <c r="D286" s="356">
        <v>34</v>
      </c>
      <c r="E286" s="353">
        <v>112000</v>
      </c>
      <c r="F286" s="350">
        <v>35425</v>
      </c>
      <c r="G286" s="1285">
        <f>IFERROR(VLOOKUP(A286,'valores unit indexados'!$A$14:$O$197,15,FALSE),0)</f>
        <v>0</v>
      </c>
      <c r="I286" s="423">
        <f>ROUND(AVERAGE(E286,F286),0)</f>
        <v>73713</v>
      </c>
    </row>
    <row r="287" spans="1:9" x14ac:dyDescent="0.2">
      <c r="A287" s="386" t="s">
        <v>710</v>
      </c>
      <c r="B287" s="368" t="s">
        <v>711</v>
      </c>
      <c r="C287" s="367" t="s">
        <v>14</v>
      </c>
      <c r="D287" s="385">
        <v>5</v>
      </c>
      <c r="E287" s="353">
        <v>25000</v>
      </c>
      <c r="F287" s="349">
        <v>29810.000000000004</v>
      </c>
      <c r="G287" s="1285">
        <f>IFERROR(VLOOKUP(A287,'valores unit indexados'!$A$14:$O$197,15,FALSE),0)</f>
        <v>28983</v>
      </c>
      <c r="I287" s="423">
        <f>ROUND(AVERAGE(E287,F287,G287),0)</f>
        <v>27931</v>
      </c>
    </row>
    <row r="288" spans="1:9" x14ac:dyDescent="0.2">
      <c r="A288" s="386" t="s">
        <v>657</v>
      </c>
      <c r="B288" s="392" t="s">
        <v>658</v>
      </c>
      <c r="C288" s="340" t="s">
        <v>19</v>
      </c>
      <c r="D288" s="385">
        <v>17</v>
      </c>
      <c r="E288" s="1290"/>
      <c r="F288" s="349">
        <v>349323</v>
      </c>
      <c r="G288" s="1285">
        <f>IFERROR(VLOOKUP(A288,'valores unit indexados'!$A$14:$O$197,15,FALSE),0)</f>
        <v>0</v>
      </c>
      <c r="I288" s="423">
        <f>+F288</f>
        <v>349323</v>
      </c>
    </row>
    <row r="289" spans="1:9" ht="25.5" x14ac:dyDescent="0.2">
      <c r="A289" s="354" t="s">
        <v>406</v>
      </c>
      <c r="B289" s="358" t="s">
        <v>407</v>
      </c>
      <c r="C289" s="356" t="s">
        <v>6</v>
      </c>
      <c r="D289" s="346">
        <v>1</v>
      </c>
      <c r="E289" s="353">
        <v>1350000</v>
      </c>
      <c r="F289" s="1537">
        <v>216309.6</v>
      </c>
      <c r="G289" s="1285">
        <f>IFERROR(VLOOKUP(A289,'valores unit indexados'!$A$14:$O$197,15,FALSE),0)</f>
        <v>1748444</v>
      </c>
      <c r="I289" s="423">
        <f>ROUND(AVERAGE(E289,G289),0)</f>
        <v>1549222</v>
      </c>
    </row>
    <row r="290" spans="1:9" ht="25.5" x14ac:dyDescent="0.2">
      <c r="A290" s="354" t="s">
        <v>760</v>
      </c>
      <c r="B290" s="358" t="s">
        <v>759</v>
      </c>
      <c r="C290" s="356" t="s">
        <v>6</v>
      </c>
      <c r="D290" s="369">
        <v>4</v>
      </c>
      <c r="E290" s="1539">
        <v>1900000</v>
      </c>
      <c r="F290" s="349">
        <v>138660</v>
      </c>
      <c r="G290" s="1285">
        <f>IFERROR(VLOOKUP(A290,'valores unit indexados'!$A$14:$O$197,15,FALSE),0)</f>
        <v>0</v>
      </c>
      <c r="I290" s="423">
        <f>+F290</f>
        <v>138660</v>
      </c>
    </row>
    <row r="291" spans="1:9" x14ac:dyDescent="0.2">
      <c r="A291" s="354" t="s">
        <v>493</v>
      </c>
      <c r="B291" s="368" t="s">
        <v>494</v>
      </c>
      <c r="C291" s="340" t="s">
        <v>6</v>
      </c>
      <c r="D291" s="385">
        <v>1</v>
      </c>
      <c r="E291" s="353">
        <v>45000</v>
      </c>
      <c r="F291" s="349">
        <v>22100</v>
      </c>
      <c r="G291" s="1285">
        <f>IFERROR(VLOOKUP(A291,'valores unit indexados'!$A$14:$O$197,15,FALSE),0)</f>
        <v>0</v>
      </c>
      <c r="I291" s="423">
        <f>ROUND(IF(G291&gt;0,G291:G291,AVERAGE(F291,E291)),0)</f>
        <v>33550</v>
      </c>
    </row>
    <row r="292" spans="1:9" ht="25.5" x14ac:dyDescent="0.2">
      <c r="A292" s="354" t="s">
        <v>761</v>
      </c>
      <c r="B292" s="358" t="s">
        <v>409</v>
      </c>
      <c r="C292" s="356" t="s">
        <v>14</v>
      </c>
      <c r="D292" s="369">
        <v>10</v>
      </c>
      <c r="E292" s="1540">
        <v>290000</v>
      </c>
      <c r="F292" s="1537">
        <v>700000</v>
      </c>
      <c r="G292" s="1285">
        <f>+'valores unit indexados'!O201</f>
        <v>226541</v>
      </c>
      <c r="I292" s="423">
        <f>+I293</f>
        <v>243271</v>
      </c>
    </row>
    <row r="293" spans="1:9" ht="25.5" x14ac:dyDescent="0.2">
      <c r="A293" s="367" t="s">
        <v>408</v>
      </c>
      <c r="B293" s="358" t="s">
        <v>409</v>
      </c>
      <c r="C293" s="356" t="s">
        <v>14</v>
      </c>
      <c r="D293" s="346">
        <v>1</v>
      </c>
      <c r="E293" s="353">
        <v>260000</v>
      </c>
      <c r="F293" s="349">
        <v>700000</v>
      </c>
      <c r="G293" s="1285">
        <f>IFERROR(VLOOKUP(A293,'valores unit indexados'!$A$14:$O$197,15,FALSE),0)</f>
        <v>226541</v>
      </c>
      <c r="I293" s="423">
        <f>ROUND(AVERAGE(E293,G293),0)</f>
        <v>243271</v>
      </c>
    </row>
    <row r="294" spans="1:9" ht="25.5" x14ac:dyDescent="0.2">
      <c r="A294" s="346" t="s">
        <v>102</v>
      </c>
      <c r="B294" s="358" t="s">
        <v>103</v>
      </c>
      <c r="C294" s="356" t="s">
        <v>19</v>
      </c>
      <c r="D294" s="348">
        <v>158</v>
      </c>
      <c r="E294" s="353">
        <v>130000</v>
      </c>
      <c r="F294" s="349">
        <v>122971.77200000001</v>
      </c>
      <c r="G294" s="1285">
        <f>IFERROR(VLOOKUP(A294,'valores unit indexados'!$A$14:$O$197,15,FALSE),0)</f>
        <v>113422</v>
      </c>
      <c r="I294" s="423">
        <f>ROUND(AVERAGE(E294,F294,G294),0)</f>
        <v>122131</v>
      </c>
    </row>
    <row r="295" spans="1:9" ht="25.5" x14ac:dyDescent="0.2">
      <c r="A295" s="346" t="s">
        <v>266</v>
      </c>
      <c r="B295" s="358" t="s">
        <v>103</v>
      </c>
      <c r="C295" s="356" t="s">
        <v>19</v>
      </c>
      <c r="D295" s="348">
        <v>24</v>
      </c>
      <c r="E295" s="353">
        <v>130000</v>
      </c>
      <c r="F295" s="349">
        <v>122971.77200000001</v>
      </c>
      <c r="G295" s="1285">
        <f>IFERROR(VLOOKUP(A295,'valores unit indexados'!$A$14:$O$197,15,FALSE),0)</f>
        <v>113422</v>
      </c>
      <c r="I295" s="423">
        <f>ROUND(AVERAGE(E295,F295,G295),0)</f>
        <v>122131</v>
      </c>
    </row>
    <row r="296" spans="1:9" ht="25.5" x14ac:dyDescent="0.2">
      <c r="A296" s="346" t="s">
        <v>387</v>
      </c>
      <c r="B296" s="358" t="s">
        <v>103</v>
      </c>
      <c r="C296" s="356" t="s">
        <v>19</v>
      </c>
      <c r="D296" s="346">
        <v>10</v>
      </c>
      <c r="E296" s="353">
        <v>130000</v>
      </c>
      <c r="F296" s="349">
        <v>122971.77200000001</v>
      </c>
      <c r="G296" s="1285">
        <f>IFERROR(VLOOKUP(A296,'valores unit indexados'!$A$14:$O$197,15,FALSE),0)</f>
        <v>113422</v>
      </c>
      <c r="I296" s="423">
        <f>ROUND(AVERAGE(E296,F296,G296),0)</f>
        <v>122131</v>
      </c>
    </row>
    <row r="297" spans="1:9" ht="25.5" x14ac:dyDescent="0.2">
      <c r="A297" s="346" t="s">
        <v>519</v>
      </c>
      <c r="B297" s="358" t="s">
        <v>103</v>
      </c>
      <c r="C297" s="356" t="s">
        <v>19</v>
      </c>
      <c r="D297" s="346">
        <v>10</v>
      </c>
      <c r="E297" s="353">
        <v>130000</v>
      </c>
      <c r="F297" s="349">
        <v>122971.77200000001</v>
      </c>
      <c r="G297" s="1285">
        <f>IFERROR(VLOOKUP(A297,'valores unit indexados'!$A$14:$O$197,15,FALSE),0)</f>
        <v>113422</v>
      </c>
      <c r="I297" s="423">
        <f>ROUND(AVERAGE(E297,F297,G297),0)</f>
        <v>122131</v>
      </c>
    </row>
    <row r="298" spans="1:9" ht="25.5" x14ac:dyDescent="0.2">
      <c r="A298" s="348" t="s">
        <v>163</v>
      </c>
      <c r="B298" s="358" t="s">
        <v>164</v>
      </c>
      <c r="C298" s="356" t="s">
        <v>19</v>
      </c>
      <c r="D298" s="369">
        <v>20</v>
      </c>
      <c r="E298" s="370">
        <v>130000</v>
      </c>
      <c r="F298" s="1537">
        <v>180000</v>
      </c>
      <c r="G298" s="1285">
        <f>IFERROR(VLOOKUP(A298,'valores unit indexados'!$A$14:$O$197,15,FALSE),0)</f>
        <v>0</v>
      </c>
      <c r="I298" s="423">
        <f>ROUND(AVERAGE(E298,F298),0)</f>
        <v>155000</v>
      </c>
    </row>
    <row r="299" spans="1:9" ht="38.25" x14ac:dyDescent="0.2">
      <c r="A299" s="354" t="s">
        <v>68</v>
      </c>
      <c r="B299" s="358" t="s">
        <v>1465</v>
      </c>
      <c r="C299" s="356" t="s">
        <v>6</v>
      </c>
      <c r="D299" s="348">
        <v>1</v>
      </c>
      <c r="E299" s="350">
        <v>1200000</v>
      </c>
      <c r="F299" s="350">
        <v>550000</v>
      </c>
      <c r="G299" s="1285">
        <f>IFERROR(VLOOKUP(A299,'valores unit indexados'!$A$14:$O$197,15,FALSE),0)</f>
        <v>0</v>
      </c>
      <c r="I299" s="423">
        <f>ROUND(AVERAGE(E299,F299),0)</f>
        <v>875000</v>
      </c>
    </row>
    <row r="300" spans="1:9" ht="38.25" x14ac:dyDescent="0.2">
      <c r="A300" s="362" t="s">
        <v>110</v>
      </c>
      <c r="B300" s="358" t="s">
        <v>111</v>
      </c>
      <c r="C300" s="363" t="s">
        <v>6</v>
      </c>
      <c r="D300" s="369">
        <v>8</v>
      </c>
      <c r="E300" s="1291">
        <v>650000</v>
      </c>
      <c r="F300" s="1537">
        <v>802118.24000000011</v>
      </c>
      <c r="G300" s="1285">
        <f>IFERROR(VLOOKUP(A300,'valores unit indexados'!$A$14:$O$197,15,FALSE),0)</f>
        <v>579485</v>
      </c>
      <c r="I300" s="423">
        <f>ROUND(AVERAGE(E300,G300),0)</f>
        <v>614743</v>
      </c>
    </row>
    <row r="301" spans="1:9" ht="38.25" x14ac:dyDescent="0.2">
      <c r="A301" s="346" t="s">
        <v>270</v>
      </c>
      <c r="B301" s="396" t="s">
        <v>111</v>
      </c>
      <c r="C301" s="363" t="s">
        <v>6</v>
      </c>
      <c r="D301" s="369">
        <v>3</v>
      </c>
      <c r="E301" s="353">
        <v>650000</v>
      </c>
      <c r="F301" s="1537">
        <v>802118.24000000011</v>
      </c>
      <c r="G301" s="1285">
        <f>IFERROR(VLOOKUP(A301,'valores unit indexados'!$A$14:$O$197,15,FALSE),0)</f>
        <v>579485</v>
      </c>
      <c r="I301" s="423">
        <f>ROUND(AVERAGE(E301,G301),0)</f>
        <v>614743</v>
      </c>
    </row>
    <row r="302" spans="1:9" ht="38.25" x14ac:dyDescent="0.2">
      <c r="A302" s="346" t="s">
        <v>391</v>
      </c>
      <c r="B302" s="358" t="s">
        <v>111</v>
      </c>
      <c r="C302" s="363" t="s">
        <v>6</v>
      </c>
      <c r="D302" s="346">
        <v>1</v>
      </c>
      <c r="E302" s="353">
        <v>650000</v>
      </c>
      <c r="F302" s="349">
        <v>802118.24000000011</v>
      </c>
      <c r="G302" s="1285">
        <f>IFERROR(VLOOKUP(A302,'valores unit indexados'!$A$14:$O$197,15,FALSE),0)</f>
        <v>579485</v>
      </c>
      <c r="I302" s="423">
        <f>ROUND(AVERAGE(E302,G302),0)</f>
        <v>614743</v>
      </c>
    </row>
    <row r="303" spans="1:9" ht="38.25" x14ac:dyDescent="0.2">
      <c r="A303" s="346" t="s">
        <v>523</v>
      </c>
      <c r="B303" s="358" t="s">
        <v>111</v>
      </c>
      <c r="C303" s="363" t="s">
        <v>6</v>
      </c>
      <c r="D303" s="346">
        <v>1</v>
      </c>
      <c r="E303" s="353">
        <v>650000</v>
      </c>
      <c r="F303" s="349">
        <v>802118.24000000011</v>
      </c>
      <c r="G303" s="1285">
        <f>IFERROR(VLOOKUP(A303,'valores unit indexados'!$A$14:$O$197,15,FALSE),0)</f>
        <v>579485</v>
      </c>
      <c r="I303" s="423">
        <f>ROUND(AVERAGE(E303,G303),0)</f>
        <v>614743</v>
      </c>
    </row>
    <row r="304" spans="1:9" ht="38.25" x14ac:dyDescent="0.2">
      <c r="A304" s="354" t="s">
        <v>442</v>
      </c>
      <c r="B304" s="400" t="s">
        <v>443</v>
      </c>
      <c r="C304" s="340" t="s">
        <v>6</v>
      </c>
      <c r="D304" s="385">
        <v>5</v>
      </c>
      <c r="E304" s="1536">
        <v>2900000</v>
      </c>
      <c r="F304" s="349">
        <v>1100000</v>
      </c>
      <c r="G304" s="1285">
        <f>IFERROR(VLOOKUP(A304,'valores unit indexados'!$A$14:$O$197,15,FALSE),0)</f>
        <v>0</v>
      </c>
      <c r="I304" s="423">
        <f>+F304</f>
        <v>1100000</v>
      </c>
    </row>
    <row r="305" spans="1:9" x14ac:dyDescent="0.2">
      <c r="A305" s="386" t="s">
        <v>725</v>
      </c>
      <c r="B305" s="388" t="s">
        <v>1523</v>
      </c>
      <c r="C305" s="389" t="s">
        <v>6</v>
      </c>
      <c r="D305" s="385">
        <v>2</v>
      </c>
      <c r="E305" s="353">
        <v>65000</v>
      </c>
      <c r="F305" s="349">
        <v>133679</v>
      </c>
      <c r="G305" s="1285">
        <f>IFERROR(VLOOKUP(A305,'valores unit indexados'!$A$14:$O$197,15,FALSE),0)</f>
        <v>0</v>
      </c>
      <c r="I305" s="423">
        <f>ROUND(IF(G305&gt;0,G305:G305,AVERAGE(F305,E305)),0)</f>
        <v>99340</v>
      </c>
    </row>
    <row r="306" spans="1:9" ht="25.5" x14ac:dyDescent="0.2">
      <c r="A306" s="354" t="s">
        <v>479</v>
      </c>
      <c r="B306" s="347" t="s">
        <v>1502</v>
      </c>
      <c r="C306" s="340" t="s">
        <v>6</v>
      </c>
      <c r="D306" s="385">
        <v>5</v>
      </c>
      <c r="E306" s="353">
        <v>600000</v>
      </c>
      <c r="F306" s="349">
        <v>312000</v>
      </c>
      <c r="G306" s="1285">
        <f>IFERROR(VLOOKUP(A306,'valores unit indexados'!$A$14:$O$197,15,FALSE),0)</f>
        <v>177946</v>
      </c>
      <c r="I306" s="423">
        <f>ROUND(IF(G306&gt;0,G306:G306,AVERAGE(F306,E306)),0)</f>
        <v>177946</v>
      </c>
    </row>
    <row r="307" spans="1:9" ht="25.5" x14ac:dyDescent="0.2">
      <c r="A307" s="348" t="s">
        <v>118</v>
      </c>
      <c r="B307" s="358" t="s">
        <v>119</v>
      </c>
      <c r="C307" s="356" t="s">
        <v>6</v>
      </c>
      <c r="D307" s="369">
        <v>105</v>
      </c>
      <c r="E307" s="1291">
        <v>38000</v>
      </c>
      <c r="F307" s="1537">
        <v>16263</v>
      </c>
      <c r="G307" s="1285">
        <f>IFERROR(VLOOKUP(A307,'valores unit indexados'!$A$14:$O$197,15,FALSE),0)</f>
        <v>31702</v>
      </c>
      <c r="I307" s="423">
        <f>ROUND(AVERAGE(E307,G307),0)</f>
        <v>34851</v>
      </c>
    </row>
    <row r="308" spans="1:9" ht="25.5" x14ac:dyDescent="0.2">
      <c r="A308" s="346" t="s">
        <v>272</v>
      </c>
      <c r="B308" s="358" t="s">
        <v>119</v>
      </c>
      <c r="C308" s="363" t="s">
        <v>6</v>
      </c>
      <c r="D308" s="369">
        <v>48</v>
      </c>
      <c r="E308" s="353">
        <v>38000</v>
      </c>
      <c r="F308" s="1537">
        <v>16263</v>
      </c>
      <c r="G308" s="1285">
        <f>IFERROR(VLOOKUP(A308,'valores unit indexados'!$A$14:$O$197,15,FALSE),0)</f>
        <v>31702</v>
      </c>
      <c r="I308" s="423">
        <f>ROUND(AVERAGE(E308,G308),0)</f>
        <v>34851</v>
      </c>
    </row>
    <row r="309" spans="1:9" ht="25.5" x14ac:dyDescent="0.2">
      <c r="A309" s="367" t="s">
        <v>393</v>
      </c>
      <c r="B309" s="358" t="s">
        <v>119</v>
      </c>
      <c r="C309" s="363" t="s">
        <v>6</v>
      </c>
      <c r="D309" s="346">
        <v>7</v>
      </c>
      <c r="E309" s="353">
        <v>38000</v>
      </c>
      <c r="F309" s="1537">
        <v>16263</v>
      </c>
      <c r="G309" s="1285">
        <f>IFERROR(VLOOKUP(A309,'valores unit indexados'!$A$14:$O$197,15,FALSE),0)</f>
        <v>31702</v>
      </c>
      <c r="I309" s="423">
        <f>ROUND(AVERAGE(E309,G309),0)</f>
        <v>34851</v>
      </c>
    </row>
    <row r="310" spans="1:9" ht="25.5" x14ac:dyDescent="0.2">
      <c r="A310" s="354" t="s">
        <v>475</v>
      </c>
      <c r="B310" s="347" t="s">
        <v>1500</v>
      </c>
      <c r="C310" s="340" t="s">
        <v>14</v>
      </c>
      <c r="D310" s="385">
        <v>30</v>
      </c>
      <c r="E310" s="353">
        <v>48000</v>
      </c>
      <c r="F310" s="1537">
        <v>36276.5</v>
      </c>
      <c r="G310" s="1285">
        <f>IFERROR(VLOOKUP(A310,'valores unit indexados'!$A$14:$O$197,15,FALSE),0)</f>
        <v>75401</v>
      </c>
      <c r="I310" s="423">
        <f>ROUND(AVERAGE(E310,G310),0)</f>
        <v>61701</v>
      </c>
    </row>
    <row r="311" spans="1:9" ht="25.5" x14ac:dyDescent="0.2">
      <c r="A311" s="354" t="s">
        <v>485</v>
      </c>
      <c r="B311" s="347" t="s">
        <v>1503</v>
      </c>
      <c r="C311" s="340" t="s">
        <v>14</v>
      </c>
      <c r="D311" s="385">
        <v>15</v>
      </c>
      <c r="E311" s="353">
        <v>15000</v>
      </c>
      <c r="F311" s="349">
        <v>20000</v>
      </c>
      <c r="G311" s="1285">
        <f>IFERROR(VLOOKUP(A311,'valores unit indexados'!$A$14:$O$197,15,FALSE),0)</f>
        <v>0</v>
      </c>
      <c r="I311" s="423">
        <f>ROUND(AVERAGE(E311,F311),0)</f>
        <v>17500</v>
      </c>
    </row>
    <row r="312" spans="1:9" ht="25.5" x14ac:dyDescent="0.2">
      <c r="A312" s="354" t="s">
        <v>477</v>
      </c>
      <c r="B312" s="347" t="s">
        <v>1501</v>
      </c>
      <c r="C312" s="340" t="s">
        <v>14</v>
      </c>
      <c r="D312" s="385">
        <v>25</v>
      </c>
      <c r="E312" s="353">
        <v>35000</v>
      </c>
      <c r="F312" s="349">
        <v>15392</v>
      </c>
      <c r="G312" s="1285">
        <f>IFERROR(VLOOKUP(A312,'valores unit indexados'!$A$14:$O$197,15,FALSE),0)</f>
        <v>0</v>
      </c>
      <c r="I312" s="423">
        <f>ROUND(AVERAGE(E312,F312),0)</f>
        <v>25196</v>
      </c>
    </row>
    <row r="313" spans="1:9" x14ac:dyDescent="0.2">
      <c r="A313" s="354" t="s">
        <v>64</v>
      </c>
      <c r="B313" s="358" t="s">
        <v>65</v>
      </c>
      <c r="C313" s="356" t="s">
        <v>14</v>
      </c>
      <c r="D313" s="348">
        <v>80</v>
      </c>
      <c r="E313" s="353">
        <v>48000</v>
      </c>
      <c r="F313" s="350">
        <v>36283</v>
      </c>
      <c r="G313" s="1566">
        <f>IFERROR(VLOOKUP(A313,'valores unit indexados'!$A$14:$O$197,15,FALSE),0)</f>
        <v>75401</v>
      </c>
      <c r="I313" s="423">
        <f>ROUND(AVERAGE(E313,F313),0)</f>
        <v>42142</v>
      </c>
    </row>
    <row r="314" spans="1:9" x14ac:dyDescent="0.2">
      <c r="A314" s="346" t="s">
        <v>384</v>
      </c>
      <c r="B314" s="383" t="s">
        <v>65</v>
      </c>
      <c r="C314" s="361" t="s">
        <v>14</v>
      </c>
      <c r="D314" s="346">
        <v>6</v>
      </c>
      <c r="E314" s="353">
        <v>48000</v>
      </c>
      <c r="F314" s="349">
        <v>36283</v>
      </c>
      <c r="G314" s="1566">
        <f>IFERROR(VLOOKUP(A314,'valores unit indexados'!$A$14:$O$197,15,FALSE),0)</f>
        <v>75401</v>
      </c>
      <c r="I314" s="423">
        <f>ROUND(AVERAGE(E314,F314),0)</f>
        <v>42142</v>
      </c>
    </row>
    <row r="315" spans="1:9" ht="25.5" x14ac:dyDescent="0.2">
      <c r="A315" s="354" t="s">
        <v>356</v>
      </c>
      <c r="B315" s="360" t="s">
        <v>1490</v>
      </c>
      <c r="C315" s="356" t="s">
        <v>14</v>
      </c>
      <c r="D315" s="355">
        <v>24</v>
      </c>
      <c r="E315" s="353">
        <v>52000</v>
      </c>
      <c r="F315" s="350">
        <v>45383</v>
      </c>
      <c r="G315" s="1285">
        <f>IFERROR(VLOOKUP(A315,'valores unit indexados'!$A$14:$O$197,15,FALSE),0)</f>
        <v>0</v>
      </c>
      <c r="I315" s="423">
        <f>ROUND(AVERAGE(E315,F315),0)</f>
        <v>48692</v>
      </c>
    </row>
    <row r="316" spans="1:9" ht="25.5" x14ac:dyDescent="0.2">
      <c r="A316" s="348" t="s">
        <v>161</v>
      </c>
      <c r="B316" s="358" t="s">
        <v>1474</v>
      </c>
      <c r="C316" s="356" t="s">
        <v>14</v>
      </c>
      <c r="D316" s="369">
        <v>3</v>
      </c>
      <c r="E316" s="1291">
        <v>45000</v>
      </c>
      <c r="F316" s="349">
        <v>75897.668000000005</v>
      </c>
      <c r="G316" s="1285">
        <f>IFERROR(VLOOKUP(A316,'valores unit indexados'!$A$14:$O$197,15,FALSE),0)</f>
        <v>75401</v>
      </c>
      <c r="I316" s="423">
        <f>+I315</f>
        <v>48692</v>
      </c>
    </row>
    <row r="317" spans="1:9" x14ac:dyDescent="0.2">
      <c r="A317" s="354" t="s">
        <v>66</v>
      </c>
      <c r="B317" s="358" t="s">
        <v>67</v>
      </c>
      <c r="C317" s="356" t="s">
        <v>14</v>
      </c>
      <c r="D317" s="348">
        <v>7</v>
      </c>
      <c r="E317" s="353">
        <v>145000</v>
      </c>
      <c r="F317" s="350">
        <v>106490.8</v>
      </c>
      <c r="G317" s="1285">
        <f>IFERROR(VLOOKUP(A317,'valores unit indexados'!$A$14:$O$197,15,FALSE),0)</f>
        <v>0</v>
      </c>
      <c r="I317" s="423">
        <f>ROUND(AVERAGE(E317,F317),0)</f>
        <v>125745</v>
      </c>
    </row>
    <row r="318" spans="1:9" ht="25.5" x14ac:dyDescent="0.2">
      <c r="A318" s="348" t="s">
        <v>170</v>
      </c>
      <c r="B318" s="364" t="s">
        <v>1475</v>
      </c>
      <c r="C318" s="340" t="s">
        <v>14</v>
      </c>
      <c r="D318" s="369">
        <v>120</v>
      </c>
      <c r="E318" s="370">
        <v>40000</v>
      </c>
      <c r="F318" s="349">
        <v>31213</v>
      </c>
      <c r="G318" s="1285">
        <f>IFERROR(VLOOKUP(A318,'valores unit indexados'!$A$14:$O$197,15,FALSE),0)</f>
        <v>39615</v>
      </c>
      <c r="I318" s="423">
        <f>ROUND(AVERAGE(E318,F318,G318),0)</f>
        <v>36943</v>
      </c>
    </row>
    <row r="319" spans="1:9" ht="25.5" x14ac:dyDescent="0.2">
      <c r="A319" s="381" t="s">
        <v>335</v>
      </c>
      <c r="B319" s="358" t="s">
        <v>1487</v>
      </c>
      <c r="C319" s="356" t="s">
        <v>14</v>
      </c>
      <c r="D319" s="356">
        <v>90</v>
      </c>
      <c r="E319" s="353">
        <v>25000</v>
      </c>
      <c r="F319" s="349">
        <v>31213</v>
      </c>
      <c r="G319" s="1285">
        <f>IFERROR(VLOOKUP(A319,'valores unit indexados'!$A$14:$O$197,15,FALSE),0)</f>
        <v>0</v>
      </c>
      <c r="I319" s="423">
        <f>+I318</f>
        <v>36943</v>
      </c>
    </row>
    <row r="320" spans="1:9" x14ac:dyDescent="0.2">
      <c r="A320" s="386" t="s">
        <v>714</v>
      </c>
      <c r="B320" s="368" t="s">
        <v>715</v>
      </c>
      <c r="C320" s="367" t="s">
        <v>19</v>
      </c>
      <c r="D320" s="385">
        <v>3</v>
      </c>
      <c r="E320" s="353">
        <v>35000</v>
      </c>
      <c r="F320" s="349">
        <v>46200.000000000007</v>
      </c>
      <c r="G320" s="1285">
        <f>IFERROR(VLOOKUP(A320,'valores unit indexados'!$A$14:$O$197,15,FALSE),0)</f>
        <v>41917</v>
      </c>
      <c r="I320" s="423">
        <f>ROUND(AVERAGE(E320,F320,G320),0)</f>
        <v>41039</v>
      </c>
    </row>
    <row r="321" spans="1:9" ht="25.5" x14ac:dyDescent="0.2">
      <c r="A321" s="386" t="s">
        <v>584</v>
      </c>
      <c r="B321" s="358" t="s">
        <v>1511</v>
      </c>
      <c r="C321" s="356" t="s">
        <v>19</v>
      </c>
      <c r="D321" s="346">
        <v>33</v>
      </c>
      <c r="E321" s="353">
        <v>22500</v>
      </c>
      <c r="F321" s="387">
        <v>0</v>
      </c>
      <c r="G321" s="1285">
        <f>IFERROR(VLOOKUP(A321,'valores unit indexados'!$A$14:$O$197,15,FALSE),0)</f>
        <v>0</v>
      </c>
      <c r="I321" s="423">
        <f>+E321</f>
        <v>22500</v>
      </c>
    </row>
    <row r="322" spans="1:9" x14ac:dyDescent="0.2">
      <c r="A322" s="354" t="s">
        <v>87</v>
      </c>
      <c r="B322" s="368" t="s">
        <v>88</v>
      </c>
      <c r="C322" s="367" t="s">
        <v>19</v>
      </c>
      <c r="D322" s="348">
        <v>247</v>
      </c>
      <c r="E322" s="379">
        <v>28000</v>
      </c>
      <c r="F322" s="412">
        <v>11700</v>
      </c>
      <c r="G322" s="1285">
        <f>IFERROR(VLOOKUP(A322,'valores unit indexados'!$A$14:$O$197,15,FALSE),0)</f>
        <v>24610</v>
      </c>
      <c r="I322" s="423">
        <f>ROUND(AVERAGE(E322,G322),0)</f>
        <v>26305</v>
      </c>
    </row>
    <row r="323" spans="1:9" x14ac:dyDescent="0.2">
      <c r="A323" s="346" t="s">
        <v>96</v>
      </c>
      <c r="B323" s="368" t="s">
        <v>88</v>
      </c>
      <c r="C323" s="367" t="s">
        <v>14</v>
      </c>
      <c r="D323" s="348">
        <v>121</v>
      </c>
      <c r="E323" s="379">
        <v>16800</v>
      </c>
      <c r="F323" s="412">
        <v>11700</v>
      </c>
      <c r="G323" s="1285">
        <f>IFERROR(VLOOKUP(A323,'valores unit indexados'!$A$14:$O$197,15,FALSE),0)</f>
        <v>24610</v>
      </c>
      <c r="I323" s="423">
        <f>ROUND(AVERAGE(E323,G323),0)</f>
        <v>20705</v>
      </c>
    </row>
    <row r="324" spans="1:9" x14ac:dyDescent="0.2">
      <c r="A324" s="346" t="s">
        <v>213</v>
      </c>
      <c r="B324" s="347" t="s">
        <v>88</v>
      </c>
      <c r="C324" s="367" t="s">
        <v>19</v>
      </c>
      <c r="D324" s="348">
        <v>20</v>
      </c>
      <c r="E324" s="353">
        <v>35000</v>
      </c>
      <c r="F324" s="349">
        <v>11700</v>
      </c>
      <c r="G324" s="1285">
        <f>IFERROR(VLOOKUP(A324,'valores unit indexados'!$A$14:$O$197,15,FALSE),0)</f>
        <v>24610</v>
      </c>
      <c r="I324" s="423">
        <f>+I322</f>
        <v>26305</v>
      </c>
    </row>
    <row r="325" spans="1:9" x14ac:dyDescent="0.2">
      <c r="A325" s="367" t="s">
        <v>237</v>
      </c>
      <c r="B325" s="368" t="s">
        <v>88</v>
      </c>
      <c r="C325" s="367" t="s">
        <v>19</v>
      </c>
      <c r="D325" s="348">
        <v>149</v>
      </c>
      <c r="E325" s="353">
        <v>28000</v>
      </c>
      <c r="F325" s="1537">
        <v>11700</v>
      </c>
      <c r="G325" s="1285">
        <f>IFERROR(VLOOKUP(A325,'valores unit indexados'!$A$14:$O$197,15,FALSE),0)</f>
        <v>24610</v>
      </c>
      <c r="I325" s="423">
        <f>+I324</f>
        <v>26305</v>
      </c>
    </row>
    <row r="326" spans="1:9" x14ac:dyDescent="0.2">
      <c r="A326" s="367" t="s">
        <v>243</v>
      </c>
      <c r="B326" s="368" t="s">
        <v>88</v>
      </c>
      <c r="C326" s="367" t="s">
        <v>14</v>
      </c>
      <c r="D326" s="348">
        <v>124</v>
      </c>
      <c r="E326" s="353">
        <v>16800</v>
      </c>
      <c r="F326" s="349">
        <v>11700</v>
      </c>
      <c r="G326" s="1285">
        <f>IFERROR(VLOOKUP(A326,'valores unit indexados'!$A$14:$O$197,15,FALSE),0)</f>
        <v>24610</v>
      </c>
      <c r="I326" s="423">
        <f>+I323</f>
        <v>20705</v>
      </c>
    </row>
    <row r="327" spans="1:9" x14ac:dyDescent="0.2">
      <c r="A327" s="381" t="s">
        <v>328</v>
      </c>
      <c r="B327" s="368" t="s">
        <v>88</v>
      </c>
      <c r="C327" s="367" t="s">
        <v>19</v>
      </c>
      <c r="D327" s="356">
        <v>189</v>
      </c>
      <c r="E327" s="353">
        <v>28000</v>
      </c>
      <c r="F327" s="350">
        <v>11700</v>
      </c>
      <c r="G327" s="1285">
        <f>IFERROR(VLOOKUP(A327,'valores unit indexados'!$A$14:$O$197,15,FALSE),0)</f>
        <v>24610</v>
      </c>
      <c r="I327" s="423">
        <f>+I325</f>
        <v>26305</v>
      </c>
    </row>
    <row r="328" spans="1:9" x14ac:dyDescent="0.2">
      <c r="A328" s="367" t="s">
        <v>361</v>
      </c>
      <c r="B328" s="368" t="s">
        <v>88</v>
      </c>
      <c r="C328" s="367" t="s">
        <v>19</v>
      </c>
      <c r="D328" s="356">
        <v>8</v>
      </c>
      <c r="E328" s="353">
        <v>28000</v>
      </c>
      <c r="F328" s="350">
        <v>11700</v>
      </c>
      <c r="G328" s="1285">
        <f>IFERROR(VLOOKUP(A328,'valores unit indexados'!$A$14:$O$197,15,FALSE),0)</f>
        <v>24610</v>
      </c>
      <c r="I328" s="423">
        <f>+I327</f>
        <v>26305</v>
      </c>
    </row>
    <row r="329" spans="1:9" x14ac:dyDescent="0.2">
      <c r="A329" s="367" t="s">
        <v>367</v>
      </c>
      <c r="B329" s="368" t="s">
        <v>88</v>
      </c>
      <c r="C329" s="367" t="s">
        <v>14</v>
      </c>
      <c r="D329" s="356">
        <v>4</v>
      </c>
      <c r="E329" s="353">
        <v>16800</v>
      </c>
      <c r="F329" s="350">
        <v>11700</v>
      </c>
      <c r="G329" s="1285">
        <f>IFERROR(VLOOKUP(A329,'valores unit indexados'!$A$14:$O$197,15,FALSE),0)</f>
        <v>24610</v>
      </c>
      <c r="I329" s="423">
        <f>+I326</f>
        <v>20705</v>
      </c>
    </row>
    <row r="330" spans="1:9" x14ac:dyDescent="0.2">
      <c r="A330" s="386" t="s">
        <v>447</v>
      </c>
      <c r="B330" s="368" t="s">
        <v>88</v>
      </c>
      <c r="C330" s="367" t="s">
        <v>19</v>
      </c>
      <c r="D330" s="385">
        <v>568</v>
      </c>
      <c r="E330" s="353">
        <v>28000</v>
      </c>
      <c r="F330" s="349">
        <v>11700</v>
      </c>
      <c r="G330" s="1285">
        <f>IFERROR(VLOOKUP(A330,'valores unit indexados'!$A$14:$O$197,15,FALSE),0)</f>
        <v>24610</v>
      </c>
      <c r="I330" s="423">
        <f t="shared" ref="I330:I339" si="4">+I328</f>
        <v>26305</v>
      </c>
    </row>
    <row r="331" spans="1:9" x14ac:dyDescent="0.2">
      <c r="A331" s="367" t="s">
        <v>453</v>
      </c>
      <c r="B331" s="368" t="s">
        <v>88</v>
      </c>
      <c r="C331" s="367" t="s">
        <v>14</v>
      </c>
      <c r="D331" s="385">
        <v>351</v>
      </c>
      <c r="E331" s="353">
        <v>16800</v>
      </c>
      <c r="F331" s="349">
        <v>11700</v>
      </c>
      <c r="G331" s="1285">
        <f>IFERROR(VLOOKUP(A331,'valores unit indexados'!$A$14:$O$197,15,FALSE),0)</f>
        <v>24610</v>
      </c>
      <c r="I331" s="423">
        <f t="shared" si="4"/>
        <v>20705</v>
      </c>
    </row>
    <row r="332" spans="1:9" x14ac:dyDescent="0.2">
      <c r="A332" s="354" t="s">
        <v>554</v>
      </c>
      <c r="B332" s="368" t="s">
        <v>88</v>
      </c>
      <c r="C332" s="367" t="s">
        <v>19</v>
      </c>
      <c r="D332" s="346">
        <v>239</v>
      </c>
      <c r="E332" s="353">
        <v>28000</v>
      </c>
      <c r="F332" s="349">
        <v>11700</v>
      </c>
      <c r="G332" s="1285">
        <f>IFERROR(VLOOKUP(A332,'valores unit indexados'!$A$14:$O$197,15,FALSE),0)</f>
        <v>24610</v>
      </c>
      <c r="I332" s="423">
        <f t="shared" si="4"/>
        <v>26305</v>
      </c>
    </row>
    <row r="333" spans="1:9" x14ac:dyDescent="0.2">
      <c r="A333" s="354" t="s">
        <v>560</v>
      </c>
      <c r="B333" s="368" t="s">
        <v>88</v>
      </c>
      <c r="C333" s="367" t="s">
        <v>14</v>
      </c>
      <c r="D333" s="346">
        <v>10</v>
      </c>
      <c r="E333" s="353">
        <v>16800</v>
      </c>
      <c r="F333" s="349">
        <v>11700</v>
      </c>
      <c r="G333" s="1285">
        <f>IFERROR(VLOOKUP(A333,'valores unit indexados'!$A$14:$O$197,15,FALSE),0)</f>
        <v>24610</v>
      </c>
      <c r="I333" s="423">
        <f t="shared" si="4"/>
        <v>20705</v>
      </c>
    </row>
    <row r="334" spans="1:9" x14ac:dyDescent="0.2">
      <c r="A334" s="386" t="s">
        <v>595</v>
      </c>
      <c r="B334" s="358" t="s">
        <v>88</v>
      </c>
      <c r="C334" s="356" t="s">
        <v>19</v>
      </c>
      <c r="D334" s="346">
        <v>80</v>
      </c>
      <c r="E334" s="353">
        <v>28000</v>
      </c>
      <c r="F334" s="349">
        <v>11700</v>
      </c>
      <c r="G334" s="1285">
        <f>IFERROR(VLOOKUP(A334,'valores unit indexados'!$A$14:$O$197,15,FALSE),0)</f>
        <v>24610</v>
      </c>
      <c r="I334" s="423">
        <f t="shared" si="4"/>
        <v>26305</v>
      </c>
    </row>
    <row r="335" spans="1:9" x14ac:dyDescent="0.2">
      <c r="A335" s="386" t="s">
        <v>601</v>
      </c>
      <c r="B335" s="358" t="s">
        <v>88</v>
      </c>
      <c r="C335" s="356" t="s">
        <v>14</v>
      </c>
      <c r="D335" s="346">
        <v>3</v>
      </c>
      <c r="E335" s="353">
        <v>16800</v>
      </c>
      <c r="F335" s="349">
        <v>11700</v>
      </c>
      <c r="G335" s="1285">
        <f>IFERROR(VLOOKUP(A335,'valores unit indexados'!$A$14:$O$197,15,FALSE),0)</f>
        <v>24610</v>
      </c>
      <c r="I335" s="423">
        <f t="shared" si="4"/>
        <v>20705</v>
      </c>
    </row>
    <row r="336" spans="1:9" x14ac:dyDescent="0.2">
      <c r="A336" s="386" t="s">
        <v>630</v>
      </c>
      <c r="B336" s="368" t="s">
        <v>88</v>
      </c>
      <c r="C336" s="367" t="s">
        <v>19</v>
      </c>
      <c r="D336" s="385">
        <v>274</v>
      </c>
      <c r="E336" s="353">
        <v>28000</v>
      </c>
      <c r="F336" s="349">
        <v>11700</v>
      </c>
      <c r="G336" s="1285">
        <f>IFERROR(VLOOKUP(A336,'valores unit indexados'!$A$14:$O$197,15,FALSE),0)</f>
        <v>24610</v>
      </c>
      <c r="I336" s="423">
        <f t="shared" si="4"/>
        <v>26305</v>
      </c>
    </row>
    <row r="337" spans="1:9" x14ac:dyDescent="0.2">
      <c r="A337" s="386" t="s">
        <v>637</v>
      </c>
      <c r="B337" s="358" t="s">
        <v>88</v>
      </c>
      <c r="C337" s="356" t="s">
        <v>14</v>
      </c>
      <c r="D337" s="385">
        <v>46</v>
      </c>
      <c r="E337" s="353">
        <v>16800</v>
      </c>
      <c r="F337" s="349">
        <v>11700</v>
      </c>
      <c r="G337" s="1285">
        <f>IFERROR(VLOOKUP(A337,'valores unit indexados'!$A$14:$O$197,15,FALSE),0)</f>
        <v>0</v>
      </c>
      <c r="I337" s="423">
        <f t="shared" si="4"/>
        <v>20705</v>
      </c>
    </row>
    <row r="338" spans="1:9" x14ac:dyDescent="0.2">
      <c r="A338" s="386" t="s">
        <v>693</v>
      </c>
      <c r="B338" s="368" t="s">
        <v>88</v>
      </c>
      <c r="C338" s="367" t="s">
        <v>19</v>
      </c>
      <c r="D338" s="385">
        <v>448</v>
      </c>
      <c r="E338" s="353">
        <v>28000</v>
      </c>
      <c r="F338" s="349">
        <v>11700</v>
      </c>
      <c r="G338" s="1285">
        <f>IFERROR(VLOOKUP(A338,'valores unit indexados'!$A$14:$O$197,15,FALSE),0)</f>
        <v>24610</v>
      </c>
      <c r="I338" s="423">
        <f t="shared" si="4"/>
        <v>26305</v>
      </c>
    </row>
    <row r="339" spans="1:9" x14ac:dyDescent="0.2">
      <c r="A339" s="386" t="s">
        <v>699</v>
      </c>
      <c r="B339" s="368" t="s">
        <v>88</v>
      </c>
      <c r="C339" s="367" t="s">
        <v>14</v>
      </c>
      <c r="D339" s="385">
        <v>5</v>
      </c>
      <c r="E339" s="353">
        <v>16800</v>
      </c>
      <c r="F339" s="349">
        <v>11700</v>
      </c>
      <c r="G339" s="1285">
        <f>IFERROR(VLOOKUP(A339,'valores unit indexados'!$A$14:$O$197,15,FALSE),0)</f>
        <v>0</v>
      </c>
      <c r="I339" s="423">
        <f t="shared" si="4"/>
        <v>20705</v>
      </c>
    </row>
    <row r="340" spans="1:9" x14ac:dyDescent="0.2">
      <c r="A340" s="386" t="s">
        <v>737</v>
      </c>
      <c r="B340" s="358" t="s">
        <v>738</v>
      </c>
      <c r="C340" s="356" t="s">
        <v>19</v>
      </c>
      <c r="D340" s="385">
        <v>80</v>
      </c>
      <c r="E340" s="353">
        <v>5000</v>
      </c>
      <c r="F340" s="387">
        <v>0</v>
      </c>
      <c r="G340" s="1285">
        <f>IFERROR(VLOOKUP(A340,'valores unit indexados'!$A$14:$O$197,15,FALSE),0)</f>
        <v>0</v>
      </c>
      <c r="I340" s="423">
        <f>+E340</f>
        <v>5000</v>
      </c>
    </row>
    <row r="341" spans="1:9" ht="25.5" x14ac:dyDescent="0.2">
      <c r="A341" s="354" t="s">
        <v>739</v>
      </c>
      <c r="B341" s="358" t="s">
        <v>1279</v>
      </c>
      <c r="C341" s="356" t="s">
        <v>19</v>
      </c>
      <c r="D341" s="385">
        <v>80</v>
      </c>
      <c r="E341" s="353">
        <v>20000</v>
      </c>
      <c r="F341" s="387">
        <v>0</v>
      </c>
      <c r="G341" s="1285">
        <f>IFERROR(VLOOKUP(A341,'valores unit indexados'!$A$14:$O$197,15,FALSE),0)</f>
        <v>17652</v>
      </c>
      <c r="I341" s="423">
        <f>ROUND(AVERAGE(E341,G341),0)</f>
        <v>18826</v>
      </c>
    </row>
    <row r="342" spans="1:9" ht="25.5" x14ac:dyDescent="0.2">
      <c r="A342" s="354" t="s">
        <v>229</v>
      </c>
      <c r="B342" s="347" t="s">
        <v>230</v>
      </c>
      <c r="C342" s="340" t="s">
        <v>19</v>
      </c>
      <c r="D342" s="348">
        <v>1037</v>
      </c>
      <c r="E342" s="353">
        <v>45000</v>
      </c>
      <c r="F342" s="387">
        <v>0</v>
      </c>
      <c r="G342" s="1285">
        <f>IFERROR(VLOOKUP(A342,'valores unit indexados'!$A$14:$O$197,15,FALSE),0)</f>
        <v>0</v>
      </c>
      <c r="I342" s="423">
        <f>+E342</f>
        <v>45000</v>
      </c>
    </row>
    <row r="343" spans="1:9" x14ac:dyDescent="0.2">
      <c r="A343" s="346" t="s">
        <v>411</v>
      </c>
      <c r="B343" s="358" t="s">
        <v>412</v>
      </c>
      <c r="C343" s="356" t="s">
        <v>6</v>
      </c>
      <c r="D343" s="346">
        <v>6</v>
      </c>
      <c r="E343" s="353">
        <v>50000</v>
      </c>
      <c r="F343" s="387">
        <v>0</v>
      </c>
      <c r="G343" s="1285">
        <f>IFERROR(VLOOKUP(A343,'valores unit indexados'!$A$14:$O$197,15,FALSE),0)</f>
        <v>0</v>
      </c>
      <c r="I343" s="423">
        <f>+E343</f>
        <v>50000</v>
      </c>
    </row>
    <row r="344" spans="1:9" ht="25.5" x14ac:dyDescent="0.2">
      <c r="A344" s="354" t="s">
        <v>730</v>
      </c>
      <c r="B344" s="358" t="s">
        <v>731</v>
      </c>
      <c r="C344" s="356" t="s">
        <v>19</v>
      </c>
      <c r="D344" s="385">
        <v>12</v>
      </c>
      <c r="E344" s="353">
        <v>38000</v>
      </c>
      <c r="F344" s="349">
        <v>44980</v>
      </c>
      <c r="G344" s="1285">
        <f>IFERROR(VLOOKUP(A344,'valores unit indexados'!$A$14:$O$197,15,FALSE),0)</f>
        <v>0</v>
      </c>
      <c r="I344" s="423">
        <f>+I345</f>
        <v>35250</v>
      </c>
    </row>
    <row r="345" spans="1:9" ht="25.5" x14ac:dyDescent="0.2">
      <c r="A345" s="346" t="s">
        <v>207</v>
      </c>
      <c r="B345" s="347" t="s">
        <v>208</v>
      </c>
      <c r="C345" s="340" t="s">
        <v>19</v>
      </c>
      <c r="D345" s="348">
        <v>6</v>
      </c>
      <c r="E345" s="353">
        <v>75000</v>
      </c>
      <c r="F345" s="349">
        <v>32500</v>
      </c>
      <c r="G345" s="1285">
        <f>IFERROR(VLOOKUP(A345,'valores unit indexados'!$A$14:$O$197,15,FALSE),0)</f>
        <v>0</v>
      </c>
      <c r="I345" s="423">
        <f>+I346</f>
        <v>35250</v>
      </c>
    </row>
    <row r="346" spans="1:9" ht="25.5" x14ac:dyDescent="0.2">
      <c r="A346" s="354" t="s">
        <v>347</v>
      </c>
      <c r="B346" s="358" t="s">
        <v>208</v>
      </c>
      <c r="C346" s="356" t="s">
        <v>19</v>
      </c>
      <c r="D346" s="356">
        <v>15</v>
      </c>
      <c r="E346" s="353">
        <v>38000</v>
      </c>
      <c r="F346" s="350">
        <v>32500</v>
      </c>
      <c r="G346" s="1285">
        <f>IFERROR(VLOOKUP(A346,'valores unit indexados'!$A$14:$O$197,15,FALSE),0)</f>
        <v>0</v>
      </c>
      <c r="I346" s="423">
        <f>+I347</f>
        <v>35250</v>
      </c>
    </row>
    <row r="347" spans="1:9" ht="38.25" x14ac:dyDescent="0.2">
      <c r="A347" s="346" t="s">
        <v>28</v>
      </c>
      <c r="B347" s="347" t="s">
        <v>29</v>
      </c>
      <c r="C347" s="340" t="s">
        <v>19</v>
      </c>
      <c r="D347" s="355">
        <v>288</v>
      </c>
      <c r="E347" s="353">
        <v>38000</v>
      </c>
      <c r="F347" s="350">
        <v>32500</v>
      </c>
      <c r="G347" s="1285">
        <f>IFERROR(VLOOKUP(A347,'valores unit indexados'!$A$14:$O$197,15,FALSE),0)</f>
        <v>0</v>
      </c>
      <c r="I347" s="423">
        <f>ROUND(AVERAGE(E347,F347),0)</f>
        <v>35250</v>
      </c>
    </row>
    <row r="348" spans="1:9" ht="38.25" x14ac:dyDescent="0.2">
      <c r="A348" s="346" t="s">
        <v>260</v>
      </c>
      <c r="B348" s="358" t="s">
        <v>29</v>
      </c>
      <c r="C348" s="356" t="s">
        <v>19</v>
      </c>
      <c r="D348" s="348">
        <v>86</v>
      </c>
      <c r="E348" s="353">
        <v>38000</v>
      </c>
      <c r="F348" s="349">
        <v>32500</v>
      </c>
      <c r="G348" s="1285">
        <f>IFERROR(VLOOKUP(A348,'valores unit indexados'!$A$14:$O$197,15,FALSE),0)</f>
        <v>0</v>
      </c>
      <c r="I348" s="423">
        <f>ROUND(AVERAGE(E348,F348),0)</f>
        <v>35250</v>
      </c>
    </row>
    <row r="349" spans="1:9" ht="38.25" x14ac:dyDescent="0.2">
      <c r="A349" s="386" t="s">
        <v>512</v>
      </c>
      <c r="B349" s="347" t="s">
        <v>29</v>
      </c>
      <c r="C349" s="356" t="s">
        <v>19</v>
      </c>
      <c r="D349" s="385">
        <v>97</v>
      </c>
      <c r="E349" s="353">
        <v>38000</v>
      </c>
      <c r="F349" s="349">
        <v>5200</v>
      </c>
      <c r="G349" s="1285">
        <f>IFERROR(VLOOKUP(A349,'valores unit indexados'!$A$14:$O$197,15,FALSE),0)</f>
        <v>0</v>
      </c>
      <c r="I349" s="423">
        <f>+I348</f>
        <v>35250</v>
      </c>
    </row>
    <row r="350" spans="1:9" ht="25.5" x14ac:dyDescent="0.2">
      <c r="A350" s="362" t="s">
        <v>79</v>
      </c>
      <c r="B350" s="347" t="s">
        <v>1466</v>
      </c>
      <c r="C350" s="340" t="s">
        <v>19</v>
      </c>
      <c r="D350" s="348">
        <v>140</v>
      </c>
      <c r="E350" s="379">
        <v>45000</v>
      </c>
      <c r="F350" s="412">
        <v>32500</v>
      </c>
      <c r="G350" s="1285">
        <f>IFERROR(VLOOKUP(A350,'valores unit indexados'!$A$14:$O$197,15,FALSE),0)</f>
        <v>0</v>
      </c>
      <c r="I350" s="423">
        <f>ROUND(AVERAGE(E350,F350),0)</f>
        <v>38750</v>
      </c>
    </row>
    <row r="351" spans="1:9" x14ac:dyDescent="0.2">
      <c r="A351" s="354" t="s">
        <v>155</v>
      </c>
      <c r="B351" s="358" t="s">
        <v>156</v>
      </c>
      <c r="C351" s="356" t="s">
        <v>19</v>
      </c>
      <c r="D351" s="369">
        <v>24</v>
      </c>
      <c r="E351" s="370">
        <v>42000</v>
      </c>
      <c r="F351" s="349">
        <v>32500</v>
      </c>
      <c r="G351" s="1285">
        <f>IFERROR(VLOOKUP(A351,'valores unit indexados'!$A$14:$O$197,15,FALSE),0)</f>
        <v>0</v>
      </c>
      <c r="I351" s="423">
        <f>ROUND(AVERAGE(E351,F351),0)</f>
        <v>37250</v>
      </c>
    </row>
    <row r="352" spans="1:9" x14ac:dyDescent="0.2">
      <c r="A352" s="354" t="s">
        <v>586</v>
      </c>
      <c r="B352" s="358" t="s">
        <v>1512</v>
      </c>
      <c r="C352" s="356" t="s">
        <v>19</v>
      </c>
      <c r="D352" s="346">
        <v>33</v>
      </c>
      <c r="E352" s="353">
        <v>24000</v>
      </c>
      <c r="F352" s="1537">
        <v>8710</v>
      </c>
      <c r="G352" s="1285">
        <f>IFERROR(VLOOKUP(A352,'valores unit indexados'!$A$14:$O$197,15,FALSE),0)</f>
        <v>0</v>
      </c>
      <c r="I352" s="423">
        <f>+I353</f>
        <v>21500</v>
      </c>
    </row>
    <row r="353" spans="1:9" ht="25.5" x14ac:dyDescent="0.2">
      <c r="A353" s="354" t="s">
        <v>537</v>
      </c>
      <c r="B353" s="358" t="s">
        <v>1506</v>
      </c>
      <c r="C353" s="356" t="s">
        <v>19</v>
      </c>
      <c r="D353" s="355">
        <v>350</v>
      </c>
      <c r="E353" s="353">
        <v>35000</v>
      </c>
      <c r="F353" s="349">
        <v>12000</v>
      </c>
      <c r="G353" s="1285">
        <f>IFERROR(VLOOKUP(A353,'valores unit indexados'!$A$14:$O$197,15,FALSE),0)</f>
        <v>0</v>
      </c>
      <c r="I353" s="423">
        <f>+I354</f>
        <v>21500</v>
      </c>
    </row>
    <row r="354" spans="1:9" ht="25.5" x14ac:dyDescent="0.2">
      <c r="A354" s="346" t="s">
        <v>625</v>
      </c>
      <c r="B354" s="358" t="s">
        <v>1506</v>
      </c>
      <c r="C354" s="356" t="s">
        <v>19</v>
      </c>
      <c r="D354" s="346">
        <v>17</v>
      </c>
      <c r="E354" s="353">
        <v>28000</v>
      </c>
      <c r="F354" s="349">
        <v>15000</v>
      </c>
      <c r="G354" s="1285">
        <f>IFERROR(VLOOKUP(A354,'valores unit indexados'!$A$14:$O$197,15,FALSE),0)</f>
        <v>0</v>
      </c>
      <c r="I354" s="423">
        <f>ROUND(AVERAGE(E354,F354),0)</f>
        <v>21500</v>
      </c>
    </row>
    <row r="355" spans="1:9" ht="25.5" x14ac:dyDescent="0.2">
      <c r="A355" s="346" t="s">
        <v>291</v>
      </c>
      <c r="B355" s="347" t="s">
        <v>292</v>
      </c>
      <c r="C355" s="356" t="s">
        <v>19</v>
      </c>
      <c r="D355" s="348">
        <v>225</v>
      </c>
      <c r="E355" s="353">
        <v>35000</v>
      </c>
      <c r="F355" s="349">
        <v>8710</v>
      </c>
      <c r="G355" s="1285">
        <f>IFERROR(VLOOKUP(A355,'valores unit indexados'!$A$14:$O$197,15,FALSE),0)</f>
        <v>0</v>
      </c>
      <c r="I355" s="423">
        <f>ROUND(AVERAGE(E355,F355),0)</f>
        <v>21855</v>
      </c>
    </row>
    <row r="356" spans="1:9" ht="25.5" x14ac:dyDescent="0.2">
      <c r="A356" s="367" t="s">
        <v>424</v>
      </c>
      <c r="B356" s="358" t="s">
        <v>425</v>
      </c>
      <c r="C356" s="340" t="s">
        <v>19</v>
      </c>
      <c r="D356" s="346">
        <v>4</v>
      </c>
      <c r="E356" s="353">
        <v>45000</v>
      </c>
      <c r="F356" s="387">
        <v>0</v>
      </c>
      <c r="G356" s="1285">
        <f>IFERROR(VLOOKUP(A356,'valores unit indexados'!$A$14:$O$197,15,FALSE),0)</f>
        <v>0</v>
      </c>
      <c r="I356" s="423">
        <f t="shared" ref="I356:I363" si="5">+E356</f>
        <v>45000</v>
      </c>
    </row>
    <row r="357" spans="1:9" x14ac:dyDescent="0.2">
      <c r="A357" s="346" t="s">
        <v>93</v>
      </c>
      <c r="B357" s="364" t="s">
        <v>94</v>
      </c>
      <c r="C357" s="367" t="s">
        <v>19</v>
      </c>
      <c r="D357" s="348">
        <v>66</v>
      </c>
      <c r="E357" s="379">
        <v>17000</v>
      </c>
      <c r="F357" s="1537">
        <v>8710</v>
      </c>
      <c r="G357" s="1285">
        <f>IFERROR(VLOOKUP(A357,'valores unit indexados'!$A$14:$O$197,15,FALSE),0)</f>
        <v>0</v>
      </c>
      <c r="I357" s="423">
        <f t="shared" si="5"/>
        <v>17000</v>
      </c>
    </row>
    <row r="358" spans="1:9" x14ac:dyDescent="0.2">
      <c r="A358" s="367" t="s">
        <v>240</v>
      </c>
      <c r="B358" s="364" t="s">
        <v>94</v>
      </c>
      <c r="C358" s="367" t="s">
        <v>19</v>
      </c>
      <c r="D358" s="348">
        <v>56</v>
      </c>
      <c r="E358" s="353">
        <v>17000</v>
      </c>
      <c r="F358" s="1537">
        <v>8710</v>
      </c>
      <c r="G358" s="1285">
        <f>IFERROR(VLOOKUP(A358,'valores unit indexados'!$A$14:$O$197,15,FALSE),0)</f>
        <v>0</v>
      </c>
      <c r="I358" s="423">
        <f t="shared" si="5"/>
        <v>17000</v>
      </c>
    </row>
    <row r="359" spans="1:9" x14ac:dyDescent="0.2">
      <c r="A359" s="346" t="s">
        <v>364</v>
      </c>
      <c r="B359" s="364" t="s">
        <v>94</v>
      </c>
      <c r="C359" s="367" t="s">
        <v>19</v>
      </c>
      <c r="D359" s="356">
        <v>11</v>
      </c>
      <c r="E359" s="353">
        <v>17000</v>
      </c>
      <c r="F359" s="1539">
        <v>8710</v>
      </c>
      <c r="G359" s="1285">
        <f>IFERROR(VLOOKUP(A359,'valores unit indexados'!$A$14:$O$197,15,FALSE),0)</f>
        <v>0</v>
      </c>
      <c r="I359" s="423">
        <f t="shared" si="5"/>
        <v>17000</v>
      </c>
    </row>
    <row r="360" spans="1:9" x14ac:dyDescent="0.2">
      <c r="A360" s="386" t="s">
        <v>450</v>
      </c>
      <c r="B360" s="364" t="s">
        <v>94</v>
      </c>
      <c r="C360" s="367" t="s">
        <v>19</v>
      </c>
      <c r="D360" s="385">
        <v>474</v>
      </c>
      <c r="E360" s="353">
        <v>17000</v>
      </c>
      <c r="F360" s="1537">
        <v>8710</v>
      </c>
      <c r="G360" s="1285">
        <f>IFERROR(VLOOKUP(A360,'valores unit indexados'!$A$14:$O$197,15,FALSE),0)</f>
        <v>0</v>
      </c>
      <c r="I360" s="423">
        <f t="shared" si="5"/>
        <v>17000</v>
      </c>
    </row>
    <row r="361" spans="1:9" x14ac:dyDescent="0.2">
      <c r="A361" s="386" t="s">
        <v>557</v>
      </c>
      <c r="B361" s="401" t="s">
        <v>94</v>
      </c>
      <c r="C361" s="367" t="s">
        <v>19</v>
      </c>
      <c r="D361" s="346">
        <v>3</v>
      </c>
      <c r="E361" s="353">
        <v>17000</v>
      </c>
      <c r="F361" s="1537">
        <v>8710</v>
      </c>
      <c r="G361" s="1285">
        <f>IFERROR(VLOOKUP(A361,'valores unit indexados'!$A$14:$O$197,15,FALSE),0)</f>
        <v>0</v>
      </c>
      <c r="I361" s="423">
        <f t="shared" si="5"/>
        <v>17000</v>
      </c>
    </row>
    <row r="362" spans="1:9" x14ac:dyDescent="0.2">
      <c r="A362" s="354" t="s">
        <v>598</v>
      </c>
      <c r="B362" s="358" t="s">
        <v>94</v>
      </c>
      <c r="C362" s="356" t="s">
        <v>19</v>
      </c>
      <c r="D362" s="346">
        <v>6</v>
      </c>
      <c r="E362" s="353">
        <v>17000</v>
      </c>
      <c r="F362" s="1537">
        <v>8710</v>
      </c>
      <c r="G362" s="1285">
        <f>IFERROR(VLOOKUP(A362,'valores unit indexados'!$A$14:$O$197,15,FALSE),0)</f>
        <v>0</v>
      </c>
      <c r="I362" s="423">
        <f t="shared" si="5"/>
        <v>17000</v>
      </c>
    </row>
    <row r="363" spans="1:9" x14ac:dyDescent="0.2">
      <c r="A363" s="386" t="s">
        <v>696</v>
      </c>
      <c r="B363" s="401" t="s">
        <v>94</v>
      </c>
      <c r="C363" s="367" t="s">
        <v>19</v>
      </c>
      <c r="D363" s="385">
        <v>3</v>
      </c>
      <c r="E363" s="353">
        <v>17000</v>
      </c>
      <c r="F363" s="1537">
        <v>8710</v>
      </c>
      <c r="G363" s="1285">
        <f>IFERROR(VLOOKUP(A363,'valores unit indexados'!$A$14:$O$197,15,FALSE),0)</f>
        <v>0</v>
      </c>
      <c r="I363" s="423">
        <f t="shared" si="5"/>
        <v>17000</v>
      </c>
    </row>
    <row r="364" spans="1:9" x14ac:dyDescent="0.2">
      <c r="A364" s="354" t="s">
        <v>91</v>
      </c>
      <c r="B364" s="358" t="s">
        <v>92</v>
      </c>
      <c r="C364" s="356" t="s">
        <v>19</v>
      </c>
      <c r="D364" s="346">
        <v>67.16200000000002</v>
      </c>
      <c r="E364" s="353">
        <v>18000</v>
      </c>
      <c r="F364" s="1537">
        <v>8710</v>
      </c>
      <c r="G364" s="1285">
        <f>IFERROR(VLOOKUP(A364,'valores unit indexados'!$A$14:$O$197,15,FALSE),0)</f>
        <v>17005</v>
      </c>
      <c r="I364" s="423">
        <f>ROUND((AVERAGE(G364,E364)),0)</f>
        <v>17503</v>
      </c>
    </row>
    <row r="365" spans="1:9" x14ac:dyDescent="0.2">
      <c r="A365" s="354" t="s">
        <v>99</v>
      </c>
      <c r="B365" s="358" t="s">
        <v>92</v>
      </c>
      <c r="C365" s="356" t="s">
        <v>14</v>
      </c>
      <c r="D365" s="346">
        <v>73</v>
      </c>
      <c r="E365" s="353">
        <v>10800</v>
      </c>
      <c r="F365" s="1537">
        <v>5200</v>
      </c>
      <c r="G365" s="1285">
        <f>IFERROR(VLOOKUP(A365,'valores unit indexados'!$A$14:$O$197,15,FALSE),0)</f>
        <v>0</v>
      </c>
      <c r="I365" s="423">
        <f>ROUND((AVERAGE(F365,E365)),0)</f>
        <v>8000</v>
      </c>
    </row>
    <row r="366" spans="1:9" x14ac:dyDescent="0.2">
      <c r="A366" s="354" t="s">
        <v>215</v>
      </c>
      <c r="B366" s="358" t="s">
        <v>92</v>
      </c>
      <c r="C366" s="356" t="s">
        <v>19</v>
      </c>
      <c r="D366" s="346">
        <v>4</v>
      </c>
      <c r="E366" s="353">
        <v>25000</v>
      </c>
      <c r="F366" s="1537">
        <v>8710</v>
      </c>
      <c r="G366" s="1285">
        <f>IFERROR(VLOOKUP(A366,'valores unit indexados'!$A$14:$O$197,15,FALSE),0)</f>
        <v>17005</v>
      </c>
      <c r="I366" s="423">
        <f>+I364</f>
        <v>17503</v>
      </c>
    </row>
    <row r="367" spans="1:9" x14ac:dyDescent="0.2">
      <c r="A367" s="354" t="s">
        <v>239</v>
      </c>
      <c r="B367" s="358" t="s">
        <v>92</v>
      </c>
      <c r="C367" s="356" t="s">
        <v>19</v>
      </c>
      <c r="D367" s="346">
        <v>60</v>
      </c>
      <c r="E367" s="353">
        <v>18000</v>
      </c>
      <c r="F367" s="1537">
        <v>8710</v>
      </c>
      <c r="G367" s="1285">
        <f>IFERROR(VLOOKUP(A367,'valores unit indexados'!$A$14:$O$197,15,FALSE),0)</f>
        <v>17005</v>
      </c>
      <c r="I367" s="423">
        <f>+I366</f>
        <v>17503</v>
      </c>
    </row>
    <row r="368" spans="1:9" x14ac:dyDescent="0.2">
      <c r="A368" s="354" t="s">
        <v>245</v>
      </c>
      <c r="B368" s="358" t="s">
        <v>92</v>
      </c>
      <c r="C368" s="356" t="s">
        <v>14</v>
      </c>
      <c r="D368" s="346">
        <v>50</v>
      </c>
      <c r="E368" s="353">
        <v>10800</v>
      </c>
      <c r="F368" s="1537">
        <v>5200</v>
      </c>
      <c r="G368" s="1285">
        <f>IFERROR(VLOOKUP(A368,'valores unit indexados'!$A$14:$O$197,15,FALSE),0)</f>
        <v>0</v>
      </c>
      <c r="I368" s="423">
        <f>ROUND((AVERAGE(F368,E368)),0)</f>
        <v>8000</v>
      </c>
    </row>
    <row r="369" spans="1:9" x14ac:dyDescent="0.2">
      <c r="A369" s="354" t="s">
        <v>363</v>
      </c>
      <c r="B369" s="358" t="s">
        <v>92</v>
      </c>
      <c r="C369" s="356" t="s">
        <v>19</v>
      </c>
      <c r="D369" s="346">
        <v>2</v>
      </c>
      <c r="E369" s="353">
        <v>18000</v>
      </c>
      <c r="F369" s="1537">
        <v>8710</v>
      </c>
      <c r="G369" s="1285">
        <f>IFERROR(VLOOKUP(A369,'valores unit indexados'!$A$14:$O$197,15,FALSE),0)</f>
        <v>17005</v>
      </c>
      <c r="I369" s="423">
        <f>+I367</f>
        <v>17503</v>
      </c>
    </row>
    <row r="370" spans="1:9" x14ac:dyDescent="0.2">
      <c r="A370" s="354" t="s">
        <v>369</v>
      </c>
      <c r="B370" s="358" t="s">
        <v>92</v>
      </c>
      <c r="C370" s="356" t="s">
        <v>14</v>
      </c>
      <c r="D370" s="346">
        <v>1</v>
      </c>
      <c r="E370" s="353">
        <v>10800</v>
      </c>
      <c r="F370" s="1537">
        <v>5200</v>
      </c>
      <c r="G370" s="1285">
        <f>IFERROR(VLOOKUP(A370,'valores unit indexados'!$A$14:$O$197,15,FALSE),0)</f>
        <v>0</v>
      </c>
      <c r="I370" s="423">
        <f>ROUND((AVERAGE(F370,E370)),0)</f>
        <v>8000</v>
      </c>
    </row>
    <row r="371" spans="1:9" x14ac:dyDescent="0.2">
      <c r="A371" s="354" t="s">
        <v>449</v>
      </c>
      <c r="B371" s="358" t="s">
        <v>92</v>
      </c>
      <c r="C371" s="356" t="s">
        <v>19</v>
      </c>
      <c r="D371" s="346">
        <v>497</v>
      </c>
      <c r="E371" s="353">
        <v>18000</v>
      </c>
      <c r="F371" s="1537">
        <v>8710</v>
      </c>
      <c r="G371" s="1285">
        <f>IFERROR(VLOOKUP(A371,'valores unit indexados'!$A$14:$O$197,15,FALSE),0)</f>
        <v>17005</v>
      </c>
      <c r="I371" s="423">
        <f>+I369</f>
        <v>17503</v>
      </c>
    </row>
    <row r="372" spans="1:9" x14ac:dyDescent="0.2">
      <c r="A372" s="354" t="s">
        <v>455</v>
      </c>
      <c r="B372" s="358" t="s">
        <v>92</v>
      </c>
      <c r="C372" s="356" t="s">
        <v>14</v>
      </c>
      <c r="D372" s="346">
        <v>351</v>
      </c>
      <c r="E372" s="353">
        <v>10800</v>
      </c>
      <c r="F372" s="1537">
        <v>8710</v>
      </c>
      <c r="G372" s="1285">
        <f>IFERROR(VLOOKUP(A372,'valores unit indexados'!$A$14:$O$197,15,FALSE),0)</f>
        <v>0</v>
      </c>
      <c r="I372" s="423">
        <f>+I374</f>
        <v>8000</v>
      </c>
    </row>
    <row r="373" spans="1:9" x14ac:dyDescent="0.2">
      <c r="A373" s="354" t="s">
        <v>556</v>
      </c>
      <c r="B373" s="358" t="s">
        <v>92</v>
      </c>
      <c r="C373" s="356" t="s">
        <v>19</v>
      </c>
      <c r="D373" s="346">
        <v>167</v>
      </c>
      <c r="E373" s="353">
        <v>18000</v>
      </c>
      <c r="F373" s="1537">
        <v>8710</v>
      </c>
      <c r="G373" s="1285">
        <f>IFERROR(VLOOKUP(A373,'valores unit indexados'!$A$14:$O$197,15,FALSE),0)</f>
        <v>17005</v>
      </c>
      <c r="I373" s="423">
        <f>+I371</f>
        <v>17503</v>
      </c>
    </row>
    <row r="374" spans="1:9" x14ac:dyDescent="0.2">
      <c r="A374" s="354" t="s">
        <v>562</v>
      </c>
      <c r="B374" s="358" t="s">
        <v>92</v>
      </c>
      <c r="C374" s="356" t="s">
        <v>14</v>
      </c>
      <c r="D374" s="346">
        <v>10</v>
      </c>
      <c r="E374" s="353">
        <v>10800</v>
      </c>
      <c r="F374" s="1537">
        <v>5200</v>
      </c>
      <c r="G374" s="1285">
        <f>IFERROR(VLOOKUP(A374,'valores unit indexados'!$A$14:$O$197,15,FALSE),0)</f>
        <v>0</v>
      </c>
      <c r="I374" s="423">
        <f>ROUND((AVERAGE(F374,E374)),0)</f>
        <v>8000</v>
      </c>
    </row>
    <row r="375" spans="1:9" x14ac:dyDescent="0.2">
      <c r="A375" s="354" t="s">
        <v>597</v>
      </c>
      <c r="B375" s="358" t="s">
        <v>92</v>
      </c>
      <c r="C375" s="356" t="s">
        <v>19</v>
      </c>
      <c r="D375" s="346">
        <v>23</v>
      </c>
      <c r="E375" s="353">
        <v>18000</v>
      </c>
      <c r="F375" s="1537">
        <v>8710</v>
      </c>
      <c r="G375" s="1285">
        <f>IFERROR(VLOOKUP(A375,'valores unit indexados'!$A$14:$O$197,15,FALSE),0)</f>
        <v>17005</v>
      </c>
      <c r="I375" s="423">
        <f>+I373</f>
        <v>17503</v>
      </c>
    </row>
    <row r="376" spans="1:9" x14ac:dyDescent="0.2">
      <c r="A376" s="354" t="s">
        <v>603</v>
      </c>
      <c r="B376" s="358" t="s">
        <v>92</v>
      </c>
      <c r="C376" s="356" t="s">
        <v>14</v>
      </c>
      <c r="D376" s="346">
        <v>3</v>
      </c>
      <c r="E376" s="353">
        <v>10800</v>
      </c>
      <c r="F376" s="1537">
        <v>5200</v>
      </c>
      <c r="G376" s="1285">
        <f>IFERROR(VLOOKUP(A376,'valores unit indexados'!$A$14:$O$197,15,FALSE),0)</f>
        <v>0</v>
      </c>
      <c r="I376" s="423">
        <f>ROUND((AVERAGE(F376,E376)),0)</f>
        <v>8000</v>
      </c>
    </row>
    <row r="377" spans="1:9" x14ac:dyDescent="0.2">
      <c r="A377" s="354" t="s">
        <v>633</v>
      </c>
      <c r="B377" s="358" t="s">
        <v>92</v>
      </c>
      <c r="C377" s="356" t="s">
        <v>19</v>
      </c>
      <c r="D377" s="346">
        <v>137</v>
      </c>
      <c r="E377" s="353">
        <v>18000</v>
      </c>
      <c r="F377" s="1537">
        <v>8710</v>
      </c>
      <c r="G377" s="1285">
        <f>IFERROR(VLOOKUP(A377,'valores unit indexados'!$A$14:$O$197,15,FALSE),0)</f>
        <v>0</v>
      </c>
      <c r="I377" s="423">
        <f>+I375</f>
        <v>17503</v>
      </c>
    </row>
    <row r="378" spans="1:9" x14ac:dyDescent="0.2">
      <c r="A378" s="354" t="s">
        <v>640</v>
      </c>
      <c r="B378" s="358" t="s">
        <v>92</v>
      </c>
      <c r="C378" s="356" t="s">
        <v>14</v>
      </c>
      <c r="D378" s="346">
        <v>20</v>
      </c>
      <c r="E378" s="353">
        <v>10800</v>
      </c>
      <c r="F378" s="1537">
        <v>5200</v>
      </c>
      <c r="G378" s="1285">
        <f>IFERROR(VLOOKUP(A378,'valores unit indexados'!$A$14:$O$197,15,FALSE),0)</f>
        <v>0</v>
      </c>
      <c r="I378" s="423">
        <f>ROUND((AVERAGE(F378,E378)),0)</f>
        <v>8000</v>
      </c>
    </row>
    <row r="379" spans="1:9" x14ac:dyDescent="0.2">
      <c r="A379" s="354" t="s">
        <v>695</v>
      </c>
      <c r="B379" s="358" t="s">
        <v>92</v>
      </c>
      <c r="C379" s="356" t="s">
        <v>19</v>
      </c>
      <c r="D379" s="346">
        <v>128</v>
      </c>
      <c r="E379" s="353">
        <v>18000</v>
      </c>
      <c r="F379" s="1537">
        <v>8710</v>
      </c>
      <c r="G379" s="1285">
        <f>IFERROR(VLOOKUP(A379,'valores unit indexados'!$A$14:$O$197,15,FALSE),0)</f>
        <v>17005</v>
      </c>
      <c r="I379" s="423">
        <f>+I377</f>
        <v>17503</v>
      </c>
    </row>
    <row r="380" spans="1:9" x14ac:dyDescent="0.2">
      <c r="A380" s="354" t="s">
        <v>701</v>
      </c>
      <c r="B380" s="358" t="s">
        <v>92</v>
      </c>
      <c r="C380" s="356" t="s">
        <v>14</v>
      </c>
      <c r="D380" s="346">
        <v>5</v>
      </c>
      <c r="E380" s="353">
        <v>10800</v>
      </c>
      <c r="F380" s="1537">
        <v>5200</v>
      </c>
      <c r="G380" s="1285">
        <f>IFERROR(VLOOKUP(A380,'valores unit indexados'!$A$14:$O$197,15,FALSE),0)</f>
        <v>0</v>
      </c>
      <c r="I380" s="423">
        <f>ROUND((AVERAGE(F380,E380)),0)</f>
        <v>8000</v>
      </c>
    </row>
    <row r="381" spans="1:9" ht="25.5" x14ac:dyDescent="0.2">
      <c r="A381" s="354" t="s">
        <v>192</v>
      </c>
      <c r="B381" s="364" t="s">
        <v>193</v>
      </c>
      <c r="C381" s="363" t="s">
        <v>19</v>
      </c>
      <c r="D381" s="369">
        <v>41</v>
      </c>
      <c r="E381" s="370">
        <v>65000</v>
      </c>
      <c r="F381" s="412">
        <v>20000</v>
      </c>
      <c r="G381" s="1285">
        <f>IFERROR(VLOOKUP(A381,'valores unit indexados'!$A$14:$O$197,15,FALSE),0)</f>
        <v>0</v>
      </c>
      <c r="I381" s="423">
        <f>ROUND((AVERAGE(F381,E381)),0)</f>
        <v>42500</v>
      </c>
    </row>
    <row r="382" spans="1:9" ht="25.5" x14ac:dyDescent="0.2">
      <c r="A382" s="367" t="s">
        <v>248</v>
      </c>
      <c r="B382" s="358" t="s">
        <v>249</v>
      </c>
      <c r="C382" s="356" t="s">
        <v>19</v>
      </c>
      <c r="D382" s="348">
        <v>230</v>
      </c>
      <c r="E382" s="353">
        <v>24000</v>
      </c>
      <c r="F382" s="349">
        <v>13000</v>
      </c>
      <c r="G382" s="1285">
        <f>IFERROR(VLOOKUP(A382,'valores unit indexados'!$A$14:$O$197,15,FALSE),0)</f>
        <v>0</v>
      </c>
      <c r="I382" s="423">
        <f>ROUND((AVERAGE(F382,E382)),0)</f>
        <v>18500</v>
      </c>
    </row>
    <row r="383" spans="1:9" ht="25.5" x14ac:dyDescent="0.2">
      <c r="A383" s="367" t="s">
        <v>246</v>
      </c>
      <c r="B383" s="358" t="s">
        <v>247</v>
      </c>
      <c r="C383" s="356" t="s">
        <v>14</v>
      </c>
      <c r="D383" s="348">
        <v>384</v>
      </c>
      <c r="E383" s="353">
        <v>14400</v>
      </c>
      <c r="F383" s="349">
        <v>13000</v>
      </c>
      <c r="G383" s="1285">
        <f>IFERROR(VLOOKUP(A383,'valores unit indexados'!$A$14:$O$197,15,FALSE),0)</f>
        <v>0</v>
      </c>
      <c r="I383" s="423">
        <f>ROUND((AVERAGE(F383,E383)),0)</f>
        <v>13700</v>
      </c>
    </row>
    <row r="384" spans="1:9" ht="25.5" x14ac:dyDescent="0.2">
      <c r="A384" s="346" t="s">
        <v>329</v>
      </c>
      <c r="B384" s="358" t="s">
        <v>330</v>
      </c>
      <c r="C384" s="356" t="s">
        <v>19</v>
      </c>
      <c r="D384" s="356">
        <v>377</v>
      </c>
      <c r="E384" s="353">
        <v>21000</v>
      </c>
      <c r="F384" s="1539">
        <v>7982</v>
      </c>
      <c r="G384" s="1285">
        <f>IFERROR(VLOOKUP(A384,'valores unit indexados'!$A$14:$O$197,15,FALSE),0)</f>
        <v>0</v>
      </c>
      <c r="I384" s="423">
        <f>+E384</f>
        <v>21000</v>
      </c>
    </row>
    <row r="385" spans="1:10" x14ac:dyDescent="0.2">
      <c r="A385" s="354" t="s">
        <v>26</v>
      </c>
      <c r="B385" s="347" t="s">
        <v>27</v>
      </c>
      <c r="C385" s="340" t="s">
        <v>19</v>
      </c>
      <c r="D385" s="348">
        <v>288</v>
      </c>
      <c r="E385" s="353">
        <v>75000</v>
      </c>
      <c r="F385" s="350">
        <v>9230</v>
      </c>
      <c r="G385" s="1285">
        <f>IFERROR(VLOOKUP(A385,'valores unit indexados'!$A$14:$O$197,15,FALSE),0)</f>
        <v>0</v>
      </c>
      <c r="I385" s="423">
        <f>ROUND((AVERAGE(F385,E385)),0)</f>
        <v>42115</v>
      </c>
    </row>
    <row r="386" spans="1:10" x14ac:dyDescent="0.2">
      <c r="A386" s="386" t="s">
        <v>511</v>
      </c>
      <c r="B386" s="347" t="s">
        <v>27</v>
      </c>
      <c r="C386" s="340" t="s">
        <v>19</v>
      </c>
      <c r="D386" s="385">
        <v>97</v>
      </c>
      <c r="E386" s="353">
        <v>75000</v>
      </c>
      <c r="F386" s="387">
        <v>0</v>
      </c>
      <c r="G386" s="1285">
        <f>IFERROR(VLOOKUP(A386,'valores unit indexados'!$A$14:$O$197,15,FALSE),0)</f>
        <v>0</v>
      </c>
      <c r="I386" s="423">
        <f>+I385</f>
        <v>42115</v>
      </c>
    </row>
    <row r="387" spans="1:10" x14ac:dyDescent="0.2">
      <c r="A387" s="386" t="s">
        <v>535</v>
      </c>
      <c r="B387" s="358" t="s">
        <v>536</v>
      </c>
      <c r="C387" s="356" t="s">
        <v>19</v>
      </c>
      <c r="D387" s="355">
        <v>350</v>
      </c>
      <c r="E387" s="353">
        <v>14000</v>
      </c>
      <c r="F387" s="349">
        <v>15288</v>
      </c>
      <c r="G387" s="1285">
        <f>IFERROR(VLOOKUP(A387,'valores unit indexados'!$A$14:$O$197,15,FALSE),0)</f>
        <v>0</v>
      </c>
      <c r="I387" s="423">
        <f>ROUND((AVERAGE(F387,E387)),0)</f>
        <v>14644</v>
      </c>
    </row>
    <row r="388" spans="1:10" x14ac:dyDescent="0.2">
      <c r="A388" s="346" t="s">
        <v>624</v>
      </c>
      <c r="B388" s="358" t="s">
        <v>536</v>
      </c>
      <c r="C388" s="356" t="s">
        <v>19</v>
      </c>
      <c r="D388" s="346">
        <v>17</v>
      </c>
      <c r="E388" s="353">
        <v>14000</v>
      </c>
      <c r="F388" s="387">
        <v>0</v>
      </c>
      <c r="G388" s="1285">
        <f>IFERROR(VLOOKUP(A388,'valores unit indexados'!$A$14:$O$197,15,FALSE),0)</f>
        <v>0</v>
      </c>
      <c r="I388" s="423">
        <f>+I387</f>
        <v>14644</v>
      </c>
    </row>
    <row r="389" spans="1:10" x14ac:dyDescent="0.2">
      <c r="A389" s="386" t="s">
        <v>631</v>
      </c>
      <c r="B389" s="364" t="s">
        <v>632</v>
      </c>
      <c r="C389" s="367" t="s">
        <v>19</v>
      </c>
      <c r="D389" s="385">
        <v>274</v>
      </c>
      <c r="E389" s="353">
        <v>19000</v>
      </c>
      <c r="F389" s="1537">
        <v>8710</v>
      </c>
      <c r="G389" s="1285">
        <f>IFERROR(VLOOKUP(A389,'valores unit indexados'!$A$14:$O$197,15,FALSE),0)</f>
        <v>0</v>
      </c>
      <c r="I389" s="423">
        <f t="shared" ref="I389:I397" si="6">+E389</f>
        <v>19000</v>
      </c>
    </row>
    <row r="390" spans="1:10" x14ac:dyDescent="0.2">
      <c r="A390" s="346" t="s">
        <v>89</v>
      </c>
      <c r="B390" s="364" t="s">
        <v>90</v>
      </c>
      <c r="C390" s="367" t="s">
        <v>19</v>
      </c>
      <c r="D390" s="348">
        <v>353</v>
      </c>
      <c r="E390" s="379">
        <v>19000</v>
      </c>
      <c r="F390" s="1537">
        <v>8710</v>
      </c>
      <c r="G390" s="1285">
        <f>IFERROR(VLOOKUP(A390,'valores unit indexados'!$A$14:$O$197,15,FALSE),0)</f>
        <v>0</v>
      </c>
      <c r="I390" s="423">
        <f t="shared" si="6"/>
        <v>19000</v>
      </c>
    </row>
    <row r="391" spans="1:10" x14ac:dyDescent="0.2">
      <c r="A391" s="346" t="s">
        <v>238</v>
      </c>
      <c r="B391" s="364" t="s">
        <v>90</v>
      </c>
      <c r="C391" s="367" t="s">
        <v>19</v>
      </c>
      <c r="D391" s="348">
        <v>298</v>
      </c>
      <c r="E391" s="353">
        <v>19000</v>
      </c>
      <c r="F391" s="1537">
        <v>8710</v>
      </c>
      <c r="G391" s="1285">
        <f>IFERROR(VLOOKUP(A391,'valores unit indexados'!$A$14:$O$197,15,FALSE),0)</f>
        <v>0</v>
      </c>
      <c r="I391" s="423">
        <f t="shared" si="6"/>
        <v>19000</v>
      </c>
    </row>
    <row r="392" spans="1:10" x14ac:dyDescent="0.2">
      <c r="A392" s="367" t="s">
        <v>362</v>
      </c>
      <c r="B392" s="364" t="s">
        <v>90</v>
      </c>
      <c r="C392" s="367" t="s">
        <v>19</v>
      </c>
      <c r="D392" s="356">
        <v>9</v>
      </c>
      <c r="E392" s="353">
        <v>19000</v>
      </c>
      <c r="F392" s="1539">
        <v>8710</v>
      </c>
      <c r="G392" s="1285">
        <f>IFERROR(VLOOKUP(A392,'valores unit indexados'!$A$14:$O$197,15,FALSE),0)</f>
        <v>0</v>
      </c>
      <c r="I392" s="423">
        <f t="shared" si="6"/>
        <v>19000</v>
      </c>
    </row>
    <row r="393" spans="1:10" x14ac:dyDescent="0.2">
      <c r="A393" s="386" t="s">
        <v>448</v>
      </c>
      <c r="B393" s="364" t="s">
        <v>90</v>
      </c>
      <c r="C393" s="367" t="s">
        <v>19</v>
      </c>
      <c r="D393" s="385">
        <v>710</v>
      </c>
      <c r="E393" s="353">
        <v>19000</v>
      </c>
      <c r="F393" s="1537">
        <v>8710</v>
      </c>
      <c r="G393" s="1285">
        <f>IFERROR(VLOOKUP(A393,'valores unit indexados'!$A$14:$O$197,15,FALSE),0)</f>
        <v>0</v>
      </c>
      <c r="I393" s="423">
        <f t="shared" si="6"/>
        <v>19000</v>
      </c>
    </row>
    <row r="394" spans="1:10" x14ac:dyDescent="0.2">
      <c r="A394" s="367" t="s">
        <v>454</v>
      </c>
      <c r="B394" s="368" t="s">
        <v>90</v>
      </c>
      <c r="C394" s="367" t="s">
        <v>14</v>
      </c>
      <c r="D394" s="385">
        <v>351</v>
      </c>
      <c r="E394" s="353">
        <v>11400</v>
      </c>
      <c r="F394" s="349">
        <v>8710</v>
      </c>
      <c r="G394" s="1285">
        <f>IFERROR(VLOOKUP(A394,'valores unit indexados'!$A$14:$O$197,15,FALSE),0)</f>
        <v>0</v>
      </c>
      <c r="I394" s="423">
        <f t="shared" si="6"/>
        <v>11400</v>
      </c>
      <c r="J394" s="1567"/>
    </row>
    <row r="395" spans="1:10" x14ac:dyDescent="0.2">
      <c r="A395" s="386" t="s">
        <v>555</v>
      </c>
      <c r="B395" s="364" t="s">
        <v>90</v>
      </c>
      <c r="C395" s="367" t="s">
        <v>19</v>
      </c>
      <c r="D395" s="346">
        <v>239</v>
      </c>
      <c r="E395" s="353">
        <v>19000</v>
      </c>
      <c r="F395" s="1537">
        <v>8710</v>
      </c>
      <c r="G395" s="1285">
        <f>IFERROR(VLOOKUP(A395,'valores unit indexados'!$A$14:$O$197,15,FALSE),0)</f>
        <v>0</v>
      </c>
      <c r="I395" s="423">
        <f t="shared" si="6"/>
        <v>19000</v>
      </c>
      <c r="J395" s="1567"/>
    </row>
    <row r="396" spans="1:10" x14ac:dyDescent="0.2">
      <c r="A396" s="354" t="s">
        <v>596</v>
      </c>
      <c r="B396" s="358" t="s">
        <v>90</v>
      </c>
      <c r="C396" s="356" t="s">
        <v>19</v>
      </c>
      <c r="D396" s="346">
        <v>114</v>
      </c>
      <c r="E396" s="353">
        <v>19000</v>
      </c>
      <c r="F396" s="1537">
        <v>8710</v>
      </c>
      <c r="G396" s="1285">
        <f>IFERROR(VLOOKUP(A396,'valores unit indexados'!$A$14:$O$197,15,FALSE),0)</f>
        <v>0</v>
      </c>
      <c r="I396" s="423">
        <f t="shared" si="6"/>
        <v>19000</v>
      </c>
    </row>
    <row r="397" spans="1:10" x14ac:dyDescent="0.2">
      <c r="A397" s="386" t="s">
        <v>694</v>
      </c>
      <c r="B397" s="364" t="s">
        <v>90</v>
      </c>
      <c r="C397" s="367" t="s">
        <v>19</v>
      </c>
      <c r="D397" s="385">
        <v>641</v>
      </c>
      <c r="E397" s="353">
        <v>19000</v>
      </c>
      <c r="F397" s="1537">
        <v>8710</v>
      </c>
      <c r="G397" s="1285">
        <f>IFERROR(VLOOKUP(A397,'valores unit indexados'!$A$14:$O$197,15,FALSE),0)</f>
        <v>0</v>
      </c>
      <c r="I397" s="423">
        <f t="shared" si="6"/>
        <v>19000</v>
      </c>
    </row>
    <row r="398" spans="1:10" x14ac:dyDescent="0.2">
      <c r="A398" s="386" t="s">
        <v>638</v>
      </c>
      <c r="B398" s="358" t="s">
        <v>639</v>
      </c>
      <c r="C398" s="356" t="s">
        <v>14</v>
      </c>
      <c r="D398" s="385">
        <v>65</v>
      </c>
      <c r="E398" s="353">
        <v>11400</v>
      </c>
      <c r="F398" s="349">
        <v>5200</v>
      </c>
      <c r="G398" s="1285">
        <f>IFERROR(VLOOKUP(A398,'valores unit indexados'!$A$14:$O$197,15,FALSE),0)</f>
        <v>0</v>
      </c>
      <c r="I398" s="423">
        <f>+I399</f>
        <v>6120</v>
      </c>
    </row>
    <row r="399" spans="1:10" x14ac:dyDescent="0.2">
      <c r="A399" s="354" t="s">
        <v>97</v>
      </c>
      <c r="B399" s="358" t="s">
        <v>98</v>
      </c>
      <c r="C399" s="356" t="s">
        <v>14</v>
      </c>
      <c r="D399" s="348">
        <v>121</v>
      </c>
      <c r="E399" s="379">
        <v>10200</v>
      </c>
      <c r="F399" s="1537">
        <v>5200</v>
      </c>
      <c r="G399" s="1285">
        <f>IFERROR(VLOOKUP(A399,'valores unit indexados'!$A$14:$O$197,15,FALSE),0)</f>
        <v>0</v>
      </c>
      <c r="I399" s="423">
        <f>+I401</f>
        <v>6120</v>
      </c>
    </row>
    <row r="400" spans="1:10" x14ac:dyDescent="0.2">
      <c r="A400" s="354" t="s">
        <v>214</v>
      </c>
      <c r="B400" s="347" t="s">
        <v>98</v>
      </c>
      <c r="C400" s="367" t="s">
        <v>19</v>
      </c>
      <c r="D400" s="348">
        <v>20</v>
      </c>
      <c r="E400" s="353">
        <v>25000</v>
      </c>
      <c r="F400" s="1537">
        <v>8710</v>
      </c>
      <c r="G400" s="1285">
        <f>IFERROR(VLOOKUP(A400,'valores unit indexados'!$A$14:$O$197,15,FALSE),0)</f>
        <v>0</v>
      </c>
      <c r="I400" s="423">
        <f>+I397</f>
        <v>19000</v>
      </c>
    </row>
    <row r="401" spans="1:10" x14ac:dyDescent="0.2">
      <c r="A401" s="367" t="s">
        <v>244</v>
      </c>
      <c r="B401" s="368" t="s">
        <v>98</v>
      </c>
      <c r="C401" s="367" t="s">
        <v>14</v>
      </c>
      <c r="D401" s="348">
        <v>248</v>
      </c>
      <c r="E401" s="353">
        <v>6120</v>
      </c>
      <c r="F401" s="349">
        <v>5200</v>
      </c>
      <c r="G401" s="1285">
        <f>IFERROR(VLOOKUP(A401,'valores unit indexados'!$A$14:$O$197,15,FALSE),0)</f>
        <v>0</v>
      </c>
      <c r="I401" s="423">
        <f>+E401</f>
        <v>6120</v>
      </c>
    </row>
    <row r="402" spans="1:10" x14ac:dyDescent="0.2">
      <c r="A402" s="346" t="s">
        <v>368</v>
      </c>
      <c r="B402" s="368" t="s">
        <v>98</v>
      </c>
      <c r="C402" s="367" t="s">
        <v>14</v>
      </c>
      <c r="D402" s="356">
        <v>6</v>
      </c>
      <c r="E402" s="353">
        <v>6120</v>
      </c>
      <c r="F402" s="350">
        <v>8710</v>
      </c>
      <c r="G402" s="1285">
        <f>IFERROR(VLOOKUP(A402,'valores unit indexados'!$A$14:$O$197,15,FALSE),0)</f>
        <v>0</v>
      </c>
      <c r="I402" s="423">
        <f>+I401</f>
        <v>6120</v>
      </c>
      <c r="J402" s="1567"/>
    </row>
    <row r="403" spans="1:10" x14ac:dyDescent="0.2">
      <c r="A403" s="386" t="s">
        <v>561</v>
      </c>
      <c r="B403" s="368" t="s">
        <v>98</v>
      </c>
      <c r="C403" s="367" t="s">
        <v>14</v>
      </c>
      <c r="D403" s="346">
        <v>10</v>
      </c>
      <c r="E403" s="353">
        <v>10200</v>
      </c>
      <c r="F403" s="349">
        <v>5200</v>
      </c>
      <c r="G403" s="1285">
        <f>IFERROR(VLOOKUP(A403,'valores unit indexados'!$A$14:$O$197,15,FALSE),0)</f>
        <v>0</v>
      </c>
      <c r="I403" s="423">
        <f>+I402</f>
        <v>6120</v>
      </c>
    </row>
    <row r="404" spans="1:10" x14ac:dyDescent="0.2">
      <c r="A404" s="354" t="s">
        <v>602</v>
      </c>
      <c r="B404" s="358" t="s">
        <v>98</v>
      </c>
      <c r="C404" s="356" t="s">
        <v>14</v>
      </c>
      <c r="D404" s="346">
        <v>3</v>
      </c>
      <c r="E404" s="353">
        <v>10200</v>
      </c>
      <c r="F404" s="349">
        <v>5200</v>
      </c>
      <c r="G404" s="1285">
        <f>IFERROR(VLOOKUP(A404,'valores unit indexados'!$A$14:$O$197,15,FALSE),0)</f>
        <v>0</v>
      </c>
      <c r="I404" s="423">
        <f>+I403</f>
        <v>6120</v>
      </c>
    </row>
    <row r="405" spans="1:10" x14ac:dyDescent="0.2">
      <c r="A405" s="386" t="s">
        <v>700</v>
      </c>
      <c r="B405" s="368" t="s">
        <v>98</v>
      </c>
      <c r="C405" s="367" t="s">
        <v>14</v>
      </c>
      <c r="D405" s="385">
        <v>5</v>
      </c>
      <c r="E405" s="353">
        <v>10200</v>
      </c>
      <c r="F405" s="349">
        <v>5200</v>
      </c>
      <c r="G405" s="1285">
        <f>IFERROR(VLOOKUP(A405,'valores unit indexados'!$A$14:$O$197,15,FALSE),0)</f>
        <v>0</v>
      </c>
      <c r="I405" s="423">
        <f>+I404</f>
        <v>6120</v>
      </c>
    </row>
    <row r="406" spans="1:10" ht="25.5" x14ac:dyDescent="0.2">
      <c r="A406" s="386" t="s">
        <v>460</v>
      </c>
      <c r="B406" s="347" t="s">
        <v>461</v>
      </c>
      <c r="C406" s="340" t="s">
        <v>6</v>
      </c>
      <c r="D406" s="385">
        <v>1</v>
      </c>
      <c r="E406" s="1536">
        <v>850000</v>
      </c>
      <c r="F406" s="349">
        <v>581464</v>
      </c>
      <c r="G406" s="1285">
        <f>IFERROR(VLOOKUP(A406,'valores unit indexados'!$A$14:$O$197,15,FALSE),0)</f>
        <v>0</v>
      </c>
      <c r="I406" s="423">
        <f>+F406</f>
        <v>581464</v>
      </c>
    </row>
    <row r="407" spans="1:10" x14ac:dyDescent="0.2">
      <c r="A407" s="354" t="s">
        <v>38</v>
      </c>
      <c r="B407" s="358" t="s">
        <v>1455</v>
      </c>
      <c r="C407" s="356" t="s">
        <v>14</v>
      </c>
      <c r="D407" s="348">
        <v>60</v>
      </c>
      <c r="E407" s="379">
        <v>40000</v>
      </c>
      <c r="F407" s="349">
        <v>17173</v>
      </c>
      <c r="G407" s="1285">
        <f>IFERROR(VLOOKUP(A407,'valores unit indexados'!$A$14:$O$197,15,FALSE),0)</f>
        <v>0</v>
      </c>
      <c r="I407" s="423">
        <f>ROUND(IF(G407&gt;0,G407:G407,AVERAGE(F407,E407)),0)</f>
        <v>28587</v>
      </c>
    </row>
    <row r="408" spans="1:10" x14ac:dyDescent="0.2">
      <c r="A408" s="386" t="s">
        <v>517</v>
      </c>
      <c r="B408" s="358" t="s">
        <v>39</v>
      </c>
      <c r="C408" s="356" t="s">
        <v>14</v>
      </c>
      <c r="D408" s="385">
        <v>55</v>
      </c>
      <c r="E408" s="353">
        <v>40000</v>
      </c>
      <c r="F408" s="349">
        <v>17173</v>
      </c>
      <c r="G408" s="1285">
        <f>IFERROR(VLOOKUP(A408,'valores unit indexados'!$A$14:$O$197,15,FALSE),0)</f>
        <v>0</v>
      </c>
      <c r="I408" s="423">
        <f>ROUND(IF(G408&gt;0,G408:G408,AVERAGE(F408,E408)),0)</f>
        <v>28587</v>
      </c>
    </row>
    <row r="409" spans="1:10" ht="38.25" x14ac:dyDescent="0.2">
      <c r="A409" s="354" t="s">
        <v>662</v>
      </c>
      <c r="B409" s="391" t="s">
        <v>663</v>
      </c>
      <c r="C409" s="363" t="s">
        <v>19</v>
      </c>
      <c r="D409" s="385">
        <v>45</v>
      </c>
      <c r="E409" s="353">
        <v>75000</v>
      </c>
      <c r="F409" s="387">
        <v>0</v>
      </c>
      <c r="G409" s="1285">
        <f>IFERROR(VLOOKUP(A409,'valores unit indexados'!$A$14:$O$197,15,FALSE),0)</f>
        <v>0</v>
      </c>
      <c r="I409" s="423">
        <f>+E409</f>
        <v>75000</v>
      </c>
    </row>
    <row r="410" spans="1:10" ht="25.5" x14ac:dyDescent="0.2">
      <c r="A410" s="354" t="s">
        <v>487</v>
      </c>
      <c r="B410" s="347" t="s">
        <v>488</v>
      </c>
      <c r="C410" s="340" t="s">
        <v>6</v>
      </c>
      <c r="D410" s="385">
        <v>2</v>
      </c>
      <c r="E410" s="353">
        <v>200000</v>
      </c>
      <c r="F410" s="1537">
        <v>570401</v>
      </c>
      <c r="G410" s="1285">
        <f>IFERROR(VLOOKUP(A410,'valores unit indexados'!$A$14:$O$197,15,FALSE),0)</f>
        <v>0</v>
      </c>
      <c r="I410" s="423">
        <f>+E410</f>
        <v>200000</v>
      </c>
    </row>
    <row r="411" spans="1:10" ht="25.5" x14ac:dyDescent="0.2">
      <c r="A411" s="386" t="s">
        <v>647</v>
      </c>
      <c r="B411" s="391" t="s">
        <v>648</v>
      </c>
      <c r="C411" s="340" t="s">
        <v>150</v>
      </c>
      <c r="D411" s="385">
        <v>1</v>
      </c>
      <c r="E411" s="353">
        <v>920000</v>
      </c>
      <c r="F411" s="349">
        <v>830024</v>
      </c>
      <c r="G411" s="1285">
        <f>IFERROR(VLOOKUP(A411,'valores unit indexados'!$A$14:$O$197,15,FALSE),0)</f>
        <v>0</v>
      </c>
      <c r="I411" s="423">
        <f>ROUND(IF(G411&gt;0,G411:G411,AVERAGE(F411,E411)),0)</f>
        <v>875012</v>
      </c>
    </row>
    <row r="412" spans="1:10" x14ac:dyDescent="0.2">
      <c r="A412" s="348" t="s">
        <v>153</v>
      </c>
      <c r="B412" s="358" t="s">
        <v>154</v>
      </c>
      <c r="C412" s="356" t="s">
        <v>14</v>
      </c>
      <c r="D412" s="369">
        <v>33</v>
      </c>
      <c r="E412" s="370">
        <v>45000</v>
      </c>
      <c r="F412" s="349">
        <v>29133</v>
      </c>
      <c r="G412" s="1285">
        <f>IFERROR(VLOOKUP(A412,'valores unit indexados'!$A$14:$O$197,15,FALSE),0)</f>
        <v>0</v>
      </c>
      <c r="I412" s="423">
        <f>ROUND(IF(G412&gt;0,G412:G412,AVERAGE(F412,E412)),0)</f>
        <v>37067</v>
      </c>
    </row>
    <row r="413" spans="1:10" x14ac:dyDescent="0.2">
      <c r="A413" s="346" t="s">
        <v>36</v>
      </c>
      <c r="B413" s="358" t="s">
        <v>37</v>
      </c>
      <c r="C413" s="356" t="s">
        <v>14</v>
      </c>
      <c r="D413" s="348">
        <v>91</v>
      </c>
      <c r="E413" s="1536">
        <v>35000</v>
      </c>
      <c r="F413" s="349">
        <v>18746</v>
      </c>
      <c r="G413" s="1285">
        <f>IFERROR(VLOOKUP(A413,'valores unit indexados'!$A$14:$O$197,15,FALSE),0)</f>
        <v>21193</v>
      </c>
      <c r="I413" s="423">
        <f>ROUND(IF(G413&gt;0,G413:G413,AVERAGE(F413,E413)),0)</f>
        <v>21193</v>
      </c>
    </row>
    <row r="414" spans="1:10" x14ac:dyDescent="0.2">
      <c r="A414" s="386" t="s">
        <v>516</v>
      </c>
      <c r="B414" s="347" t="s">
        <v>37</v>
      </c>
      <c r="C414" s="356" t="s">
        <v>14</v>
      </c>
      <c r="D414" s="385">
        <v>26</v>
      </c>
      <c r="E414" s="353">
        <v>35000</v>
      </c>
      <c r="F414" s="349">
        <v>18746</v>
      </c>
      <c r="G414" s="1285">
        <f>IFERROR(VLOOKUP(A414,'valores unit indexados'!$A$14:$O$197,15,FALSE),0)</f>
        <v>21193</v>
      </c>
      <c r="I414" s="423">
        <f>ROUND(IF(G414&gt;0,G414:G414,AVERAGE(F414,E414)),0)</f>
        <v>21193</v>
      </c>
    </row>
    <row r="415" spans="1:10" ht="25.5" x14ac:dyDescent="0.2">
      <c r="A415" s="354" t="s">
        <v>140</v>
      </c>
      <c r="B415" s="358" t="s">
        <v>141</v>
      </c>
      <c r="C415" s="356" t="s">
        <v>6</v>
      </c>
      <c r="D415" s="369">
        <v>1</v>
      </c>
      <c r="E415" s="370">
        <v>3500000</v>
      </c>
      <c r="F415" s="1537">
        <v>2570000</v>
      </c>
      <c r="G415" s="1285">
        <f>IFERROR(VLOOKUP(A415,'valores unit indexados'!$A$14:$O$197,15,FALSE),0)</f>
        <v>3045320</v>
      </c>
      <c r="I415" s="423">
        <f>ROUND((AVERAGE(F415,E415)),0)</f>
        <v>3035000</v>
      </c>
    </row>
    <row r="416" spans="1:10" ht="25.5" x14ac:dyDescent="0.2">
      <c r="A416" s="346" t="s">
        <v>284</v>
      </c>
      <c r="B416" s="364" t="s">
        <v>141</v>
      </c>
      <c r="C416" s="363" t="s">
        <v>6</v>
      </c>
      <c r="D416" s="369">
        <v>1</v>
      </c>
      <c r="E416" s="353">
        <v>3500000</v>
      </c>
      <c r="F416" s="1537">
        <v>2570460</v>
      </c>
      <c r="G416" s="1285">
        <f>IFERROR(VLOOKUP(A416,'valores unit indexados'!$A$14:$O$197,15,FALSE),0)</f>
        <v>3045320</v>
      </c>
      <c r="I416" s="423">
        <f>ROUND((AVERAGE(F416,E416)),0)</f>
        <v>3035230</v>
      </c>
    </row>
    <row r="417" spans="1:12" ht="25.5" x14ac:dyDescent="0.2">
      <c r="A417" s="346" t="s">
        <v>404</v>
      </c>
      <c r="B417" s="364" t="s">
        <v>141</v>
      </c>
      <c r="C417" s="363" t="s">
        <v>6</v>
      </c>
      <c r="D417" s="346">
        <v>1</v>
      </c>
      <c r="E417" s="353">
        <v>3500000</v>
      </c>
      <c r="F417" s="1537">
        <v>2570460</v>
      </c>
      <c r="G417" s="1285">
        <f>IFERROR(VLOOKUP(A417,'valores unit indexados'!$A$14:$O$197,15,FALSE),0)</f>
        <v>3045320</v>
      </c>
      <c r="I417" s="423">
        <f>ROUND((AVERAGE(F417,E417)),0)</f>
        <v>3035230</v>
      </c>
    </row>
    <row r="418" spans="1:12" s="1544" customFormat="1" ht="25.5" x14ac:dyDescent="0.2">
      <c r="A418" s="386" t="s">
        <v>581</v>
      </c>
      <c r="B418" s="358" t="s">
        <v>582</v>
      </c>
      <c r="C418" s="356" t="s">
        <v>14</v>
      </c>
      <c r="D418" s="346">
        <v>5</v>
      </c>
      <c r="E418" s="353">
        <v>85000</v>
      </c>
      <c r="F418" s="387">
        <v>0</v>
      </c>
      <c r="G418" s="1285">
        <f>IFERROR(VLOOKUP(A418,'valores unit indexados'!$A$14:$O$197,15,FALSE),0)</f>
        <v>0</v>
      </c>
      <c r="I418" s="423">
        <f>+E418</f>
        <v>85000</v>
      </c>
    </row>
    <row r="419" spans="1:12" s="1544" customFormat="1" ht="15" x14ac:dyDescent="0.25">
      <c r="A419" s="336"/>
      <c r="B419" s="336"/>
      <c r="C419" s="336"/>
      <c r="D419" s="336"/>
      <c r="E419" s="336"/>
      <c r="F419" s="336"/>
      <c r="G419" s="336"/>
      <c r="I419"/>
      <c r="J419" s="1548"/>
      <c r="K419" s="1548"/>
      <c r="L419" s="1548"/>
    </row>
    <row r="420" spans="1:12" s="1544" customFormat="1" ht="15" x14ac:dyDescent="0.25">
      <c r="A420" s="336"/>
      <c r="B420" s="336"/>
      <c r="C420" s="336"/>
      <c r="D420" s="336"/>
      <c r="E420" s="336"/>
      <c r="F420" s="336"/>
      <c r="G420" s="336"/>
      <c r="I420"/>
      <c r="J420" s="1548"/>
      <c r="K420" s="1548"/>
      <c r="L420" s="1548"/>
    </row>
    <row r="424" spans="1:12" x14ac:dyDescent="0.2">
      <c r="A424" s="425" t="s">
        <v>1356</v>
      </c>
    </row>
    <row r="425" spans="1:12" s="1544" customFormat="1" x14ac:dyDescent="0.2">
      <c r="A425" s="336"/>
      <c r="B425" s="336"/>
      <c r="C425" s="336"/>
      <c r="D425" s="336"/>
      <c r="E425" s="336"/>
      <c r="F425" s="336"/>
      <c r="G425" s="336"/>
      <c r="I425" s="336"/>
    </row>
    <row r="426" spans="1:12" s="1544" customFormat="1" x14ac:dyDescent="0.2">
      <c r="A426" s="336"/>
      <c r="B426" s="336"/>
      <c r="C426" s="336"/>
      <c r="D426" s="336"/>
      <c r="E426" s="336" t="s">
        <v>1535</v>
      </c>
      <c r="F426" s="336"/>
      <c r="G426" s="336"/>
      <c r="I426" s="336"/>
    </row>
    <row r="427" spans="1:12" s="1544" customFormat="1" x14ac:dyDescent="0.2">
      <c r="A427" s="413"/>
      <c r="B427" s="336" t="s">
        <v>1527</v>
      </c>
      <c r="C427" s="336"/>
      <c r="D427" s="336"/>
      <c r="E427" s="336"/>
      <c r="F427" s="336"/>
      <c r="G427" s="336"/>
      <c r="I427" s="336"/>
    </row>
    <row r="428" spans="1:12" s="1544" customFormat="1" x14ac:dyDescent="0.2">
      <c r="A428" s="1568"/>
      <c r="B428" s="336" t="s">
        <v>1462</v>
      </c>
      <c r="C428" s="336"/>
      <c r="D428" s="336"/>
      <c r="E428" s="336"/>
      <c r="F428" s="336"/>
      <c r="G428" s="336"/>
      <c r="I428" s="336"/>
    </row>
    <row r="429" spans="1:12" s="1544" customFormat="1" x14ac:dyDescent="0.2">
      <c r="A429" s="336"/>
      <c r="B429" s="336"/>
      <c r="C429" s="336"/>
      <c r="D429" s="336"/>
      <c r="E429" s="336"/>
      <c r="F429" s="336"/>
      <c r="G429" s="336"/>
      <c r="I429" s="336"/>
    </row>
    <row r="430" spans="1:12" s="1544" customFormat="1" x14ac:dyDescent="0.2">
      <c r="A430" s="336"/>
      <c r="B430" s="425" t="s">
        <v>809</v>
      </c>
      <c r="C430" s="336"/>
      <c r="D430" s="336"/>
      <c r="E430" s="336"/>
      <c r="F430" s="336"/>
      <c r="G430" s="336"/>
      <c r="I430" s="336"/>
    </row>
    <row r="431" spans="1:12" s="1544" customFormat="1" ht="15.75" x14ac:dyDescent="0.2">
      <c r="A431" s="336"/>
      <c r="B431" s="1865" t="s">
        <v>1544</v>
      </c>
      <c r="C431" s="1865"/>
      <c r="D431" s="1865"/>
      <c r="E431" s="1865"/>
      <c r="F431" s="336"/>
      <c r="G431" s="336"/>
      <c r="I431" s="336"/>
    </row>
    <row r="432" spans="1:12" s="1544" customFormat="1" ht="15.75" x14ac:dyDescent="0.2">
      <c r="A432" s="336"/>
      <c r="B432" s="1865" t="s">
        <v>1545</v>
      </c>
      <c r="C432" s="1865"/>
      <c r="D432" s="1865"/>
      <c r="E432" s="1865"/>
      <c r="F432" s="336"/>
      <c r="G432" s="336"/>
      <c r="I432" s="336"/>
    </row>
    <row r="433" spans="1:9" s="1544" customFormat="1" ht="15.75" x14ac:dyDescent="0.2">
      <c r="A433" s="336"/>
      <c r="B433" s="1865" t="s">
        <v>1546</v>
      </c>
      <c r="C433" s="1865"/>
      <c r="D433" s="1865"/>
      <c r="E433" s="1865"/>
      <c r="F433" s="336"/>
      <c r="G433" s="336"/>
      <c r="I433" s="336"/>
    </row>
    <row r="434" spans="1:9" s="1544" customFormat="1" ht="15.75" x14ac:dyDescent="0.2">
      <c r="A434" s="336"/>
      <c r="B434" s="1865" t="s">
        <v>1547</v>
      </c>
      <c r="C434" s="1865"/>
      <c r="D434" s="1865"/>
      <c r="E434" s="1865"/>
      <c r="F434" s="336"/>
      <c r="G434" s="336"/>
      <c r="I434" s="336"/>
    </row>
    <row r="435" spans="1:9" ht="15.75" x14ac:dyDescent="0.25">
      <c r="B435" s="1588" t="s">
        <v>1548</v>
      </c>
    </row>
  </sheetData>
  <autoFilter ref="A4:I4" xr:uid="{00000000-0009-0000-0000-000005000000}">
    <sortState ref="A3:I415">
      <sortCondition ref="B1"/>
    </sortState>
  </autoFilter>
  <mergeCells count="4">
    <mergeCell ref="B431:E431"/>
    <mergeCell ref="B432:E432"/>
    <mergeCell ref="B433:E433"/>
    <mergeCell ref="B434:E434"/>
  </mergeCells>
  <pageMargins left="0.7" right="0.7" top="0.75" bottom="0.75" header="0.3" footer="0.3"/>
  <pageSetup paperSize="7" scale="31" orientation="landscape"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AZ432"/>
  <sheetViews>
    <sheetView showGridLines="0" zoomScale="85" zoomScaleNormal="85" workbookViewId="0">
      <selection activeCell="H24" sqref="H24"/>
    </sheetView>
  </sheetViews>
  <sheetFormatPr baseColWidth="10" defaultRowHeight="12.75" x14ac:dyDescent="0.2"/>
  <cols>
    <col min="1" max="1" width="8.28515625" style="336" bestFit="1" customWidth="1"/>
    <col min="2" max="2" width="66.140625" style="336" customWidth="1"/>
    <col min="3" max="3" width="10.42578125" style="336" customWidth="1"/>
    <col min="4" max="4" width="11.5703125" style="336" customWidth="1"/>
    <col min="5" max="6" width="20.28515625" style="336" customWidth="1"/>
    <col min="7" max="7" width="19.140625" style="336" customWidth="1"/>
    <col min="8" max="8" width="3.85546875" style="1544" customWidth="1"/>
    <col min="9" max="9" width="22.42578125" style="336" bestFit="1" customWidth="1"/>
    <col min="10" max="10" width="19.140625" style="1544" bestFit="1" customWidth="1"/>
    <col min="11" max="11" width="11.42578125" style="1544"/>
    <col min="12" max="12" width="24.7109375" style="1544" bestFit="1" customWidth="1"/>
    <col min="13" max="13" width="11.42578125" style="1544"/>
    <col min="14" max="14" width="58.140625" style="1544" bestFit="1" customWidth="1"/>
    <col min="15" max="16" width="11.42578125" style="1544"/>
    <col min="17" max="18" width="18.140625" style="1544" bestFit="1" customWidth="1"/>
    <col min="19" max="52" width="11.42578125" style="1544"/>
    <col min="53" max="16384" width="11.42578125" style="336"/>
  </cols>
  <sheetData>
    <row r="1" spans="1:52" ht="45.75" customHeight="1" x14ac:dyDescent="0.2">
      <c r="E1" s="1569" t="s">
        <v>764</v>
      </c>
      <c r="F1" s="1570" t="s">
        <v>808</v>
      </c>
      <c r="G1" s="1571" t="s">
        <v>796</v>
      </c>
      <c r="I1" s="1578" t="s">
        <v>1452</v>
      </c>
    </row>
    <row r="2" spans="1:52" s="1293" customFormat="1" ht="25.5" x14ac:dyDescent="0.2">
      <c r="A2" s="339" t="s">
        <v>4</v>
      </c>
      <c r="B2" s="344" t="s">
        <v>5</v>
      </c>
      <c r="C2" s="339" t="s">
        <v>6</v>
      </c>
      <c r="D2" s="1526" t="s">
        <v>7</v>
      </c>
      <c r="E2" s="1572" t="s">
        <v>8</v>
      </c>
      <c r="F2" s="1572" t="s">
        <v>772</v>
      </c>
      <c r="G2" s="1572" t="s">
        <v>1461</v>
      </c>
      <c r="H2" s="1545"/>
      <c r="I2" s="1578"/>
      <c r="J2" s="1545"/>
      <c r="K2" s="1545"/>
      <c r="L2" s="1545"/>
      <c r="M2" s="1545"/>
      <c r="N2" s="1545"/>
      <c r="O2" s="1545"/>
      <c r="P2" s="1545"/>
      <c r="Q2" s="1545"/>
      <c r="R2" s="1545"/>
      <c r="S2" s="1545"/>
      <c r="T2" s="1545"/>
      <c r="U2" s="1545"/>
      <c r="V2" s="1545"/>
      <c r="W2" s="1545"/>
      <c r="X2" s="1545"/>
      <c r="Y2" s="1545"/>
      <c r="Z2" s="1545"/>
      <c r="AA2" s="1545"/>
      <c r="AB2" s="1545"/>
      <c r="AC2" s="1545"/>
      <c r="AD2" s="1545"/>
      <c r="AE2" s="1545"/>
      <c r="AF2" s="1545"/>
      <c r="AG2" s="1545"/>
      <c r="AH2" s="1545"/>
      <c r="AI2" s="1545"/>
      <c r="AJ2" s="1545"/>
      <c r="AK2" s="1545"/>
      <c r="AL2" s="1545"/>
      <c r="AM2" s="1545"/>
      <c r="AN2" s="1545"/>
      <c r="AO2" s="1545"/>
      <c r="AP2" s="1545"/>
      <c r="AQ2" s="1545"/>
      <c r="AR2" s="1545"/>
      <c r="AS2" s="1545"/>
      <c r="AT2" s="1545"/>
      <c r="AU2" s="1545"/>
      <c r="AV2" s="1545"/>
      <c r="AW2" s="1545"/>
      <c r="AX2" s="1545"/>
      <c r="AY2" s="1545"/>
      <c r="AZ2" s="1545"/>
    </row>
    <row r="3" spans="1:52" ht="25.5" x14ac:dyDescent="0.2">
      <c r="A3" s="1579" t="s">
        <v>12</v>
      </c>
      <c r="B3" s="347" t="s">
        <v>13</v>
      </c>
      <c r="C3" s="340" t="s">
        <v>14</v>
      </c>
      <c r="D3" s="348">
        <v>36</v>
      </c>
      <c r="E3" s="1537">
        <v>40000</v>
      </c>
      <c r="F3" s="350">
        <v>27131</v>
      </c>
      <c r="G3" s="1285">
        <v>0</v>
      </c>
      <c r="I3" s="423">
        <f>VLOOKUP(A3,'selección precios unitario'!$A$5:$I$418,9,FALSE)</f>
        <v>27131</v>
      </c>
    </row>
    <row r="4" spans="1:52" ht="51" x14ac:dyDescent="0.2">
      <c r="A4" s="1579" t="s">
        <v>32</v>
      </c>
      <c r="B4" s="357" t="s">
        <v>1464</v>
      </c>
      <c r="C4" s="340" t="s">
        <v>14</v>
      </c>
      <c r="D4" s="348">
        <v>410</v>
      </c>
      <c r="E4" s="353">
        <v>50000</v>
      </c>
      <c r="F4" s="350">
        <v>52117</v>
      </c>
      <c r="G4" s="1285">
        <v>0</v>
      </c>
      <c r="I4" s="423">
        <f>VLOOKUP(A4,'selección precios unitario'!$A$5:$I$418,9,FALSE)</f>
        <v>51059</v>
      </c>
    </row>
    <row r="5" spans="1:52" ht="25.5" x14ac:dyDescent="0.2">
      <c r="A5" s="1580" t="s">
        <v>34</v>
      </c>
      <c r="B5" s="358" t="s">
        <v>35</v>
      </c>
      <c r="C5" s="356" t="s">
        <v>19</v>
      </c>
      <c r="D5" s="348">
        <v>288</v>
      </c>
      <c r="E5" s="353">
        <v>140000</v>
      </c>
      <c r="F5" s="349">
        <v>116903.6</v>
      </c>
      <c r="G5" s="1285">
        <v>0</v>
      </c>
      <c r="I5" s="423">
        <f>VLOOKUP(A5,'selección precios unitario'!$A$5:$I$418,9,FALSE)</f>
        <v>128452</v>
      </c>
    </row>
    <row r="6" spans="1:52" x14ac:dyDescent="0.2">
      <c r="A6" s="1579" t="s">
        <v>36</v>
      </c>
      <c r="B6" s="358" t="s">
        <v>37</v>
      </c>
      <c r="C6" s="356" t="s">
        <v>14</v>
      </c>
      <c r="D6" s="348">
        <v>91</v>
      </c>
      <c r="E6" s="1536">
        <v>35000</v>
      </c>
      <c r="F6" s="349">
        <v>18746</v>
      </c>
      <c r="G6" s="1285">
        <v>21193</v>
      </c>
      <c r="I6" s="423">
        <f>VLOOKUP(A6,'selección precios unitario'!$A$5:$I$418,9,FALSE)</f>
        <v>21193</v>
      </c>
    </row>
    <row r="7" spans="1:52" x14ac:dyDescent="0.2">
      <c r="A7" s="1580" t="s">
        <v>38</v>
      </c>
      <c r="B7" s="358" t="s">
        <v>1455</v>
      </c>
      <c r="C7" s="356" t="s">
        <v>14</v>
      </c>
      <c r="D7" s="348">
        <v>60</v>
      </c>
      <c r="E7" s="379">
        <v>40000</v>
      </c>
      <c r="F7" s="349">
        <v>17173</v>
      </c>
      <c r="G7" s="1285">
        <v>0</v>
      </c>
      <c r="I7" s="423">
        <f>VLOOKUP(A7,'selección precios unitario'!$A$5:$I$418,9,FALSE)</f>
        <v>28587</v>
      </c>
    </row>
    <row r="8" spans="1:52" ht="25.5" x14ac:dyDescent="0.2">
      <c r="A8" s="1579" t="s">
        <v>15</v>
      </c>
      <c r="B8" s="347" t="s">
        <v>16</v>
      </c>
      <c r="C8" s="340" t="s">
        <v>6</v>
      </c>
      <c r="D8" s="348">
        <v>4</v>
      </c>
      <c r="E8" s="349">
        <v>120000</v>
      </c>
      <c r="F8" s="350">
        <v>165000</v>
      </c>
      <c r="G8" s="1285">
        <v>0</v>
      </c>
      <c r="I8" s="423">
        <f>VLOOKUP(A8,'selección precios unitario'!$A$5:$I$418,9,FALSE)</f>
        <v>142500</v>
      </c>
    </row>
    <row r="9" spans="1:52" ht="25.5" x14ac:dyDescent="0.2">
      <c r="A9" s="1579" t="s">
        <v>17</v>
      </c>
      <c r="B9" s="347" t="s">
        <v>18</v>
      </c>
      <c r="C9" s="340" t="s">
        <v>19</v>
      </c>
      <c r="D9" s="348">
        <v>288</v>
      </c>
      <c r="E9" s="353">
        <v>30000</v>
      </c>
      <c r="F9" s="353">
        <v>8450</v>
      </c>
      <c r="G9" s="1285">
        <v>0</v>
      </c>
      <c r="I9" s="423">
        <f>VLOOKUP(A9,'selección precios unitario'!$A$5:$I$418,9,FALSE)</f>
        <v>19225</v>
      </c>
    </row>
    <row r="10" spans="1:52" x14ac:dyDescent="0.2">
      <c r="A10" s="1579" t="s">
        <v>20</v>
      </c>
      <c r="B10" s="347" t="s">
        <v>21</v>
      </c>
      <c r="C10" s="340" t="s">
        <v>19</v>
      </c>
      <c r="D10" s="348">
        <v>288</v>
      </c>
      <c r="E10" s="349">
        <v>20000</v>
      </c>
      <c r="F10" s="350">
        <v>19500</v>
      </c>
      <c r="G10" s="1285">
        <v>14660</v>
      </c>
      <c r="I10" s="423">
        <f>VLOOKUP(A10,'selección precios unitario'!$A$5:$I$418,9,FALSE)</f>
        <v>18053</v>
      </c>
    </row>
    <row r="11" spans="1:52" ht="25.5" x14ac:dyDescent="0.2">
      <c r="A11" s="1579" t="s">
        <v>22</v>
      </c>
      <c r="B11" s="347" t="s">
        <v>23</v>
      </c>
      <c r="C11" s="340" t="s">
        <v>19</v>
      </c>
      <c r="D11" s="348">
        <v>288</v>
      </c>
      <c r="E11" s="353">
        <v>35000</v>
      </c>
      <c r="F11" s="1539">
        <v>3731</v>
      </c>
      <c r="G11" s="1285">
        <v>29150</v>
      </c>
      <c r="I11" s="423">
        <f>VLOOKUP(A11,'selección precios unitario'!$A$5:$I$418,9,FALSE)</f>
        <v>32075</v>
      </c>
    </row>
    <row r="12" spans="1:52" x14ac:dyDescent="0.2">
      <c r="A12" s="1579" t="s">
        <v>24</v>
      </c>
      <c r="B12" s="347" t="s">
        <v>25</v>
      </c>
      <c r="C12" s="340" t="s">
        <v>19</v>
      </c>
      <c r="D12" s="348">
        <v>288</v>
      </c>
      <c r="E12" s="1536">
        <v>27000</v>
      </c>
      <c r="F12" s="1539">
        <v>4400</v>
      </c>
      <c r="G12" s="1285">
        <v>10612</v>
      </c>
      <c r="I12" s="423">
        <f>VLOOKUP(A12,'selección precios unitario'!$A$5:$I$418,9,FALSE)</f>
        <v>10612</v>
      </c>
    </row>
    <row r="13" spans="1:52" x14ac:dyDescent="0.2">
      <c r="A13" s="1580" t="s">
        <v>26</v>
      </c>
      <c r="B13" s="347" t="s">
        <v>27</v>
      </c>
      <c r="C13" s="340" t="s">
        <v>19</v>
      </c>
      <c r="D13" s="348">
        <v>288</v>
      </c>
      <c r="E13" s="353">
        <v>75000</v>
      </c>
      <c r="F13" s="350">
        <v>9230</v>
      </c>
      <c r="G13" s="1285">
        <v>0</v>
      </c>
      <c r="I13" s="423">
        <f>VLOOKUP(A13,'selección precios unitario'!$A$5:$I$418,9,FALSE)</f>
        <v>42115</v>
      </c>
    </row>
    <row r="14" spans="1:52" ht="38.25" x14ac:dyDescent="0.2">
      <c r="A14" s="1579" t="s">
        <v>28</v>
      </c>
      <c r="B14" s="347" t="s">
        <v>29</v>
      </c>
      <c r="C14" s="340" t="s">
        <v>19</v>
      </c>
      <c r="D14" s="355">
        <v>288</v>
      </c>
      <c r="E14" s="353">
        <v>38000</v>
      </c>
      <c r="F14" s="350">
        <v>32500</v>
      </c>
      <c r="G14" s="1285">
        <v>0</v>
      </c>
      <c r="I14" s="423">
        <f>VLOOKUP(A14,'selección precios unitario'!$A$5:$I$418,9,FALSE)</f>
        <v>35250</v>
      </c>
    </row>
    <row r="15" spans="1:52" ht="38.25" x14ac:dyDescent="0.2">
      <c r="A15" s="1580" t="s">
        <v>30</v>
      </c>
      <c r="B15" s="347" t="s">
        <v>31</v>
      </c>
      <c r="C15" s="356" t="s">
        <v>19</v>
      </c>
      <c r="D15" s="348">
        <v>288</v>
      </c>
      <c r="E15" s="1539">
        <v>320000</v>
      </c>
      <c r="F15" s="350">
        <v>128700</v>
      </c>
      <c r="G15" s="1285">
        <v>0</v>
      </c>
      <c r="I15" s="423">
        <f>VLOOKUP(A15,'selección precios unitario'!$A$5:$I$418,9,FALSE)</f>
        <v>224350</v>
      </c>
    </row>
    <row r="16" spans="1:52" ht="25.5" x14ac:dyDescent="0.2">
      <c r="A16" s="1579" t="s">
        <v>42</v>
      </c>
      <c r="B16" s="360" t="s">
        <v>43</v>
      </c>
      <c r="C16" s="361" t="s">
        <v>6</v>
      </c>
      <c r="D16" s="348">
        <v>52</v>
      </c>
      <c r="E16" s="353">
        <v>66000</v>
      </c>
      <c r="F16" s="1539">
        <v>32500</v>
      </c>
      <c r="G16" s="1285">
        <v>64568</v>
      </c>
      <c r="I16" s="423">
        <f>VLOOKUP(A16,'selección precios unitario'!$A$5:$I$418,9,FALSE)</f>
        <v>65284</v>
      </c>
    </row>
    <row r="17" spans="1:9" ht="25.5" x14ac:dyDescent="0.2">
      <c r="A17" s="1580" t="s">
        <v>60</v>
      </c>
      <c r="B17" s="358" t="s">
        <v>61</v>
      </c>
      <c r="C17" s="356" t="s">
        <v>14</v>
      </c>
      <c r="D17" s="348">
        <v>70</v>
      </c>
      <c r="E17" s="353">
        <v>46000</v>
      </c>
      <c r="F17" s="350">
        <v>57837</v>
      </c>
      <c r="G17" s="1285">
        <v>0</v>
      </c>
      <c r="I17" s="423">
        <f>VLOOKUP(A17,'selección precios unitario'!$A$5:$I$418,9,FALSE)</f>
        <v>51919</v>
      </c>
    </row>
    <row r="18" spans="1:9" x14ac:dyDescent="0.2">
      <c r="A18" s="1581" t="s">
        <v>62</v>
      </c>
      <c r="B18" s="358" t="s">
        <v>63</v>
      </c>
      <c r="C18" s="356" t="s">
        <v>6</v>
      </c>
      <c r="D18" s="348">
        <v>10</v>
      </c>
      <c r="E18" s="353">
        <v>27000</v>
      </c>
      <c r="F18" s="1539">
        <v>6667.1</v>
      </c>
      <c r="G18" s="1285">
        <v>26036</v>
      </c>
      <c r="I18" s="423">
        <f>VLOOKUP(A18,'selección precios unitario'!$A$5:$I$418,9,FALSE)</f>
        <v>26518</v>
      </c>
    </row>
    <row r="19" spans="1:9" x14ac:dyDescent="0.2">
      <c r="A19" s="1580" t="s">
        <v>64</v>
      </c>
      <c r="B19" s="358" t="s">
        <v>65</v>
      </c>
      <c r="C19" s="356" t="s">
        <v>14</v>
      </c>
      <c r="D19" s="348">
        <v>80</v>
      </c>
      <c r="E19" s="353">
        <v>48000</v>
      </c>
      <c r="F19" s="350">
        <v>36283</v>
      </c>
      <c r="G19" s="1566">
        <v>75401</v>
      </c>
      <c r="I19" s="423">
        <f>VLOOKUP(A19,'selección precios unitario'!$A$5:$I$418,9,FALSE)</f>
        <v>42142</v>
      </c>
    </row>
    <row r="20" spans="1:9" x14ac:dyDescent="0.2">
      <c r="A20" s="1580" t="s">
        <v>66</v>
      </c>
      <c r="B20" s="358" t="s">
        <v>67</v>
      </c>
      <c r="C20" s="356" t="s">
        <v>14</v>
      </c>
      <c r="D20" s="348">
        <v>7</v>
      </c>
      <c r="E20" s="353">
        <v>145000</v>
      </c>
      <c r="F20" s="350">
        <v>106490.8</v>
      </c>
      <c r="G20" s="1285">
        <v>0</v>
      </c>
      <c r="I20" s="423">
        <f>VLOOKUP(A20,'selección precios unitario'!$A$5:$I$418,9,FALSE)</f>
        <v>125745</v>
      </c>
    </row>
    <row r="21" spans="1:9" ht="38.25" x14ac:dyDescent="0.2">
      <c r="A21" s="1580" t="s">
        <v>68</v>
      </c>
      <c r="B21" s="358" t="s">
        <v>1465</v>
      </c>
      <c r="C21" s="356" t="s">
        <v>6</v>
      </c>
      <c r="D21" s="348">
        <v>1</v>
      </c>
      <c r="E21" s="350">
        <v>1200000</v>
      </c>
      <c r="F21" s="350">
        <v>550000</v>
      </c>
      <c r="G21" s="1285">
        <v>0</v>
      </c>
      <c r="I21" s="423">
        <f>VLOOKUP(A21,'selección precios unitario'!$A$5:$I$418,9,FALSE)</f>
        <v>875000</v>
      </c>
    </row>
    <row r="22" spans="1:9" ht="51" x14ac:dyDescent="0.2">
      <c r="A22" s="1580" t="s">
        <v>44</v>
      </c>
      <c r="B22" s="358" t="s">
        <v>45</v>
      </c>
      <c r="C22" s="361" t="s">
        <v>6</v>
      </c>
      <c r="D22" s="348">
        <v>52</v>
      </c>
      <c r="E22" s="353">
        <v>66000</v>
      </c>
      <c r="F22" s="1539">
        <v>35581</v>
      </c>
      <c r="G22" s="1285">
        <v>64421</v>
      </c>
      <c r="I22" s="423">
        <f>VLOOKUP(A22,'selección precios unitario'!$A$5:$I$418,9,FALSE)</f>
        <v>65211</v>
      </c>
    </row>
    <row r="23" spans="1:9" ht="25.5" x14ac:dyDescent="0.2">
      <c r="A23" s="1582" t="s">
        <v>46</v>
      </c>
      <c r="B23" s="358" t="s">
        <v>47</v>
      </c>
      <c r="C23" s="356" t="s">
        <v>14</v>
      </c>
      <c r="D23" s="348">
        <v>97</v>
      </c>
      <c r="E23" s="353">
        <v>118000</v>
      </c>
      <c r="F23" s="1539">
        <v>132301</v>
      </c>
      <c r="G23" s="1285">
        <v>115095</v>
      </c>
      <c r="I23" s="423">
        <f>VLOOKUP(A23,'selección precios unitario'!$A$5:$I$418,9,FALSE)</f>
        <v>108965</v>
      </c>
    </row>
    <row r="24" spans="1:9" ht="25.5" x14ac:dyDescent="0.2">
      <c r="A24" s="1580" t="s">
        <v>48</v>
      </c>
      <c r="B24" s="358" t="s">
        <v>49</v>
      </c>
      <c r="C24" s="356" t="s">
        <v>14</v>
      </c>
      <c r="D24" s="348">
        <v>212</v>
      </c>
      <c r="E24" s="353">
        <v>110000</v>
      </c>
      <c r="F24" s="350">
        <v>110500</v>
      </c>
      <c r="G24" s="1285">
        <v>106395</v>
      </c>
      <c r="I24" s="423">
        <f>VLOOKUP(A24,'selección precios unitario'!$A$5:$I$418,9,FALSE)</f>
        <v>108965</v>
      </c>
    </row>
    <row r="25" spans="1:9" ht="38.25" x14ac:dyDescent="0.2">
      <c r="A25" s="1581" t="s">
        <v>50</v>
      </c>
      <c r="B25" s="358" t="s">
        <v>51</v>
      </c>
      <c r="C25" s="356" t="s">
        <v>14</v>
      </c>
      <c r="D25" s="348">
        <v>255</v>
      </c>
      <c r="E25" s="353">
        <v>100000</v>
      </c>
      <c r="F25" s="350">
        <v>104000</v>
      </c>
      <c r="G25" s="1285">
        <v>97346</v>
      </c>
      <c r="I25" s="423">
        <f>VLOOKUP(A25,'selección precios unitario'!$A$5:$I$418,9,FALSE)</f>
        <v>100449</v>
      </c>
    </row>
    <row r="26" spans="1:9" ht="25.5" x14ac:dyDescent="0.2">
      <c r="A26" s="1580" t="s">
        <v>52</v>
      </c>
      <c r="B26" s="360" t="s">
        <v>53</v>
      </c>
      <c r="C26" s="361" t="s">
        <v>19</v>
      </c>
      <c r="D26" s="348">
        <v>330</v>
      </c>
      <c r="E26" s="353">
        <v>80000</v>
      </c>
      <c r="F26" s="350">
        <v>65949</v>
      </c>
      <c r="G26" s="1285">
        <v>77917</v>
      </c>
      <c r="I26" s="423">
        <f>VLOOKUP(A26,'selección precios unitario'!$A$5:$I$418,9,FALSE)</f>
        <v>74622</v>
      </c>
    </row>
    <row r="27" spans="1:9" ht="25.5" x14ac:dyDescent="0.2">
      <c r="A27" s="1581" t="s">
        <v>54</v>
      </c>
      <c r="B27" s="358" t="s">
        <v>55</v>
      </c>
      <c r="C27" s="356" t="s">
        <v>14</v>
      </c>
      <c r="D27" s="348">
        <v>28</v>
      </c>
      <c r="E27" s="353">
        <v>92000</v>
      </c>
      <c r="F27" s="350">
        <v>72813</v>
      </c>
      <c r="G27" s="1285">
        <v>89336</v>
      </c>
      <c r="I27" s="423">
        <f>VLOOKUP(A27,'selección precios unitario'!$A$5:$I$418,9,FALSE)</f>
        <v>84716</v>
      </c>
    </row>
    <row r="28" spans="1:9" ht="25.5" x14ac:dyDescent="0.2">
      <c r="A28" s="1580" t="s">
        <v>56</v>
      </c>
      <c r="B28" s="358" t="s">
        <v>57</v>
      </c>
      <c r="C28" s="356" t="s">
        <v>14</v>
      </c>
      <c r="D28" s="348">
        <v>40</v>
      </c>
      <c r="E28" s="353">
        <v>94000</v>
      </c>
      <c r="F28" s="1539">
        <v>113048</v>
      </c>
      <c r="G28" s="1285">
        <v>91145</v>
      </c>
      <c r="I28" s="423">
        <f>VLOOKUP(A28,'selección precios unitario'!$A$5:$I$418,9,FALSE)</f>
        <v>92573</v>
      </c>
    </row>
    <row r="29" spans="1:9" x14ac:dyDescent="0.2">
      <c r="A29" s="1581" t="s">
        <v>58</v>
      </c>
      <c r="B29" s="358" t="s">
        <v>59</v>
      </c>
      <c r="C29" s="356" t="s">
        <v>14</v>
      </c>
      <c r="D29" s="348">
        <v>40</v>
      </c>
      <c r="E29" s="353">
        <v>16000</v>
      </c>
      <c r="F29" s="350">
        <v>16848</v>
      </c>
      <c r="G29" s="1285">
        <v>13382</v>
      </c>
      <c r="I29" s="423">
        <f>VLOOKUP(A29,'selección precios unitario'!$A$5:$I$418,9,FALSE)</f>
        <v>15410</v>
      </c>
    </row>
    <row r="30" spans="1:9" ht="25.5" x14ac:dyDescent="0.2">
      <c r="A30" s="1582" t="s">
        <v>71</v>
      </c>
      <c r="B30" s="360" t="s">
        <v>72</v>
      </c>
      <c r="C30" s="363" t="s">
        <v>19</v>
      </c>
      <c r="D30" s="348">
        <v>191</v>
      </c>
      <c r="E30" s="379">
        <v>20000</v>
      </c>
      <c r="F30" s="412">
        <v>19500</v>
      </c>
      <c r="G30" s="1285">
        <v>14660</v>
      </c>
      <c r="I30" s="423">
        <f>VLOOKUP(A30,'selección precios unitario'!$A$5:$I$418,9,FALSE)</f>
        <v>18053</v>
      </c>
    </row>
    <row r="31" spans="1:9" ht="25.5" x14ac:dyDescent="0.2">
      <c r="A31" s="1581" t="s">
        <v>73</v>
      </c>
      <c r="B31" s="364" t="s">
        <v>74</v>
      </c>
      <c r="C31" s="363" t="s">
        <v>19</v>
      </c>
      <c r="D31" s="348">
        <v>191</v>
      </c>
      <c r="E31" s="379">
        <v>35000</v>
      </c>
      <c r="F31" s="1537">
        <v>3731</v>
      </c>
      <c r="G31" s="1285">
        <v>29150</v>
      </c>
      <c r="I31" s="423">
        <f>VLOOKUP(A31,'selección precios unitario'!$A$5:$I$418,9,FALSE)</f>
        <v>32075</v>
      </c>
    </row>
    <row r="32" spans="1:9" x14ac:dyDescent="0.2">
      <c r="A32" s="1582" t="s">
        <v>75</v>
      </c>
      <c r="B32" s="365" t="s">
        <v>76</v>
      </c>
      <c r="C32" s="366" t="s">
        <v>19</v>
      </c>
      <c r="D32" s="348">
        <v>51</v>
      </c>
      <c r="E32" s="1536">
        <v>280000</v>
      </c>
      <c r="F32" s="412">
        <v>128700</v>
      </c>
      <c r="G32" s="1285">
        <v>227816</v>
      </c>
      <c r="I32" s="423">
        <f>VLOOKUP(A32,'selección precios unitario'!$A$5:$I$418,9,FALSE)</f>
        <v>212172</v>
      </c>
    </row>
    <row r="33" spans="1:9" x14ac:dyDescent="0.2">
      <c r="A33" s="1581" t="s">
        <v>77</v>
      </c>
      <c r="B33" s="364" t="s">
        <v>78</v>
      </c>
      <c r="C33" s="363" t="s">
        <v>19</v>
      </c>
      <c r="D33" s="348">
        <v>140</v>
      </c>
      <c r="E33" s="1536">
        <v>120000</v>
      </c>
      <c r="F33" s="412">
        <v>45981</v>
      </c>
      <c r="G33" s="1285">
        <v>0</v>
      </c>
      <c r="I33" s="423">
        <f>VLOOKUP(A33,'selección precios unitario'!$A$5:$I$418,9,FALSE)</f>
        <v>82991</v>
      </c>
    </row>
    <row r="34" spans="1:9" ht="25.5" x14ac:dyDescent="0.2">
      <c r="A34" s="1581" t="s">
        <v>79</v>
      </c>
      <c r="B34" s="347" t="s">
        <v>1466</v>
      </c>
      <c r="C34" s="340" t="s">
        <v>19</v>
      </c>
      <c r="D34" s="348">
        <v>140</v>
      </c>
      <c r="E34" s="379">
        <v>45000</v>
      </c>
      <c r="F34" s="412">
        <v>32500</v>
      </c>
      <c r="G34" s="1285">
        <v>0</v>
      </c>
      <c r="I34" s="423">
        <f>VLOOKUP(A34,'selección precios unitario'!$A$5:$I$418,9,FALSE)</f>
        <v>38750</v>
      </c>
    </row>
    <row r="35" spans="1:9" x14ac:dyDescent="0.2">
      <c r="A35" s="1580" t="s">
        <v>83</v>
      </c>
      <c r="B35" s="364" t="s">
        <v>84</v>
      </c>
      <c r="C35" s="367" t="s">
        <v>19</v>
      </c>
      <c r="D35" s="348">
        <v>247</v>
      </c>
      <c r="E35" s="379">
        <v>9000</v>
      </c>
      <c r="F35" s="412">
        <v>5200</v>
      </c>
      <c r="G35" s="1285">
        <v>6890</v>
      </c>
      <c r="I35" s="423">
        <f>VLOOKUP(A35,'selección precios unitario'!$A$5:$I$418,9,FALSE)</f>
        <v>6630</v>
      </c>
    </row>
    <row r="36" spans="1:9" x14ac:dyDescent="0.2">
      <c r="A36" s="1580" t="s">
        <v>99</v>
      </c>
      <c r="B36" s="358" t="s">
        <v>92</v>
      </c>
      <c r="C36" s="356" t="s">
        <v>14</v>
      </c>
      <c r="D36" s="346">
        <v>73</v>
      </c>
      <c r="E36" s="353">
        <v>10800</v>
      </c>
      <c r="F36" s="1537">
        <v>5200</v>
      </c>
      <c r="G36" s="1285">
        <v>0</v>
      </c>
      <c r="I36" s="423">
        <f>VLOOKUP(A36,'selección precios unitario'!$A$5:$I$418,9,FALSE)</f>
        <v>8000</v>
      </c>
    </row>
    <row r="37" spans="1:9" ht="38.25" x14ac:dyDescent="0.2">
      <c r="A37" s="1579" t="s">
        <v>85</v>
      </c>
      <c r="B37" s="368" t="s">
        <v>86</v>
      </c>
      <c r="C37" s="367" t="s">
        <v>19</v>
      </c>
      <c r="D37" s="348">
        <v>247</v>
      </c>
      <c r="E37" s="379">
        <v>48000</v>
      </c>
      <c r="F37" s="412">
        <v>45500</v>
      </c>
      <c r="G37" s="1285">
        <v>41660</v>
      </c>
      <c r="I37" s="423">
        <f>VLOOKUP(A37,'selección precios unitario'!$A$5:$I$418,9,FALSE)</f>
        <v>45053</v>
      </c>
    </row>
    <row r="38" spans="1:9" x14ac:dyDescent="0.2">
      <c r="A38" s="1580" t="s">
        <v>87</v>
      </c>
      <c r="B38" s="368" t="s">
        <v>88</v>
      </c>
      <c r="C38" s="367" t="s">
        <v>19</v>
      </c>
      <c r="D38" s="348">
        <v>247</v>
      </c>
      <c r="E38" s="379">
        <v>28000</v>
      </c>
      <c r="F38" s="412">
        <v>11700</v>
      </c>
      <c r="G38" s="1285">
        <v>24610</v>
      </c>
      <c r="I38" s="423">
        <f>VLOOKUP(A38,'selección precios unitario'!$A$5:$I$418,9,FALSE)</f>
        <v>26305</v>
      </c>
    </row>
    <row r="39" spans="1:9" x14ac:dyDescent="0.2">
      <c r="A39" s="1579" t="s">
        <v>89</v>
      </c>
      <c r="B39" s="364" t="s">
        <v>90</v>
      </c>
      <c r="C39" s="367" t="s">
        <v>19</v>
      </c>
      <c r="D39" s="348">
        <v>353</v>
      </c>
      <c r="E39" s="379">
        <v>19000</v>
      </c>
      <c r="F39" s="1537">
        <v>8710</v>
      </c>
      <c r="G39" s="1285">
        <v>0</v>
      </c>
      <c r="I39" s="423">
        <f>VLOOKUP(A39,'selección precios unitario'!$A$5:$I$418,9,FALSE)</f>
        <v>19000</v>
      </c>
    </row>
    <row r="40" spans="1:9" x14ac:dyDescent="0.2">
      <c r="A40" s="1580" t="s">
        <v>91</v>
      </c>
      <c r="B40" s="358" t="s">
        <v>92</v>
      </c>
      <c r="C40" s="356" t="s">
        <v>19</v>
      </c>
      <c r="D40" s="346">
        <v>67.16200000000002</v>
      </c>
      <c r="E40" s="353">
        <v>18000</v>
      </c>
      <c r="F40" s="1537">
        <v>8710</v>
      </c>
      <c r="G40" s="1285">
        <v>17005</v>
      </c>
      <c r="I40" s="423">
        <f>VLOOKUP(A40,'selección precios unitario'!$A$5:$I$418,9,FALSE)</f>
        <v>17503</v>
      </c>
    </row>
    <row r="41" spans="1:9" x14ac:dyDescent="0.2">
      <c r="A41" s="1579" t="s">
        <v>93</v>
      </c>
      <c r="B41" s="364" t="s">
        <v>94</v>
      </c>
      <c r="C41" s="367" t="s">
        <v>19</v>
      </c>
      <c r="D41" s="348">
        <v>66</v>
      </c>
      <c r="E41" s="379">
        <v>17000</v>
      </c>
      <c r="F41" s="1537">
        <v>8710</v>
      </c>
      <c r="G41" s="1285">
        <v>0</v>
      </c>
      <c r="I41" s="423">
        <f>VLOOKUP(A41,'selección precios unitario'!$A$5:$I$418,9,FALSE)</f>
        <v>17000</v>
      </c>
    </row>
    <row r="42" spans="1:9" x14ac:dyDescent="0.2">
      <c r="A42" s="1580" t="s">
        <v>95</v>
      </c>
      <c r="B42" s="364" t="s">
        <v>84</v>
      </c>
      <c r="C42" s="367" t="s">
        <v>14</v>
      </c>
      <c r="D42" s="348">
        <v>73</v>
      </c>
      <c r="E42" s="379">
        <v>7500</v>
      </c>
      <c r="F42" s="412">
        <v>5200</v>
      </c>
      <c r="G42" s="1285">
        <v>0</v>
      </c>
      <c r="I42" s="423">
        <f>VLOOKUP(A42,'selección precios unitario'!$A$5:$I$418,9,FALSE)</f>
        <v>4700</v>
      </c>
    </row>
    <row r="43" spans="1:9" x14ac:dyDescent="0.2">
      <c r="A43" s="1579" t="s">
        <v>96</v>
      </c>
      <c r="B43" s="368" t="s">
        <v>88</v>
      </c>
      <c r="C43" s="367" t="s">
        <v>14</v>
      </c>
      <c r="D43" s="348">
        <v>121</v>
      </c>
      <c r="E43" s="379">
        <v>16800</v>
      </c>
      <c r="F43" s="412">
        <v>11700</v>
      </c>
      <c r="G43" s="1285">
        <v>24610</v>
      </c>
      <c r="I43" s="423">
        <f>VLOOKUP(A43,'selección precios unitario'!$A$5:$I$418,9,FALSE)</f>
        <v>20705</v>
      </c>
    </row>
    <row r="44" spans="1:9" x14ac:dyDescent="0.2">
      <c r="A44" s="1580" t="s">
        <v>97</v>
      </c>
      <c r="B44" s="358" t="s">
        <v>98</v>
      </c>
      <c r="C44" s="356" t="s">
        <v>14</v>
      </c>
      <c r="D44" s="348">
        <v>121</v>
      </c>
      <c r="E44" s="379">
        <v>10200</v>
      </c>
      <c r="F44" s="1537">
        <v>5200</v>
      </c>
      <c r="G44" s="1285">
        <v>0</v>
      </c>
      <c r="I44" s="423">
        <f>VLOOKUP(A44,'selección precios unitario'!$A$5:$I$418,9,FALSE)</f>
        <v>6120</v>
      </c>
    </row>
    <row r="45" spans="1:9" ht="25.5" x14ac:dyDescent="0.2">
      <c r="A45" s="1579" t="s">
        <v>102</v>
      </c>
      <c r="B45" s="358" t="s">
        <v>103</v>
      </c>
      <c r="C45" s="356" t="s">
        <v>19</v>
      </c>
      <c r="D45" s="348">
        <v>158</v>
      </c>
      <c r="E45" s="353">
        <v>130000</v>
      </c>
      <c r="F45" s="349">
        <v>122971.77200000001</v>
      </c>
      <c r="G45" s="1285">
        <v>113422</v>
      </c>
      <c r="I45" s="423">
        <f>VLOOKUP(A45,'selección precios unitario'!$A$5:$I$418,9,FALSE)</f>
        <v>122131</v>
      </c>
    </row>
    <row r="46" spans="1:9" x14ac:dyDescent="0.2">
      <c r="A46" s="1580" t="s">
        <v>120</v>
      </c>
      <c r="B46" s="358" t="s">
        <v>121</v>
      </c>
      <c r="C46" s="356" t="s">
        <v>14</v>
      </c>
      <c r="D46" s="369">
        <v>990</v>
      </c>
      <c r="E46" s="1291">
        <v>10550</v>
      </c>
      <c r="F46" s="1537">
        <v>4732</v>
      </c>
      <c r="G46" s="1285">
        <v>10285</v>
      </c>
      <c r="I46" s="423">
        <f>VLOOKUP(A46,'selección precios unitario'!$A$5:$I$418,9,FALSE)</f>
        <v>10418</v>
      </c>
    </row>
    <row r="47" spans="1:9" s="1544" customFormat="1" ht="38.25" x14ac:dyDescent="0.2">
      <c r="A47" s="1583" t="s">
        <v>122</v>
      </c>
      <c r="B47" s="358" t="s">
        <v>123</v>
      </c>
      <c r="C47" s="356" t="s">
        <v>6</v>
      </c>
      <c r="D47" s="369">
        <v>35</v>
      </c>
      <c r="E47" s="370">
        <v>72000</v>
      </c>
      <c r="F47" s="1537">
        <v>112086</v>
      </c>
      <c r="G47" s="1285">
        <v>70740</v>
      </c>
      <c r="I47" s="423">
        <f>VLOOKUP(A47,'selección precios unitario'!$A$5:$I$418,9,FALSE)</f>
        <v>71370</v>
      </c>
    </row>
    <row r="48" spans="1:9" s="1544" customFormat="1" x14ac:dyDescent="0.2">
      <c r="A48" s="1580" t="s">
        <v>124</v>
      </c>
      <c r="B48" s="358" t="s">
        <v>125</v>
      </c>
      <c r="C48" s="356" t="s">
        <v>6</v>
      </c>
      <c r="D48" s="369">
        <v>35</v>
      </c>
      <c r="E48" s="370">
        <v>20000</v>
      </c>
      <c r="F48" s="1537">
        <v>33267</v>
      </c>
      <c r="G48" s="1285">
        <v>20219</v>
      </c>
      <c r="I48" s="423">
        <f>VLOOKUP(A48,'selección precios unitario'!$A$5:$I$418,9,FALSE)</f>
        <v>20110</v>
      </c>
    </row>
    <row r="49" spans="1:9" s="1544" customFormat="1" ht="38.25" x14ac:dyDescent="0.2">
      <c r="A49" s="1583" t="s">
        <v>126</v>
      </c>
      <c r="B49" s="358" t="s">
        <v>127</v>
      </c>
      <c r="C49" s="356" t="s">
        <v>6</v>
      </c>
      <c r="D49" s="369">
        <v>35</v>
      </c>
      <c r="E49" s="370">
        <v>120000</v>
      </c>
      <c r="F49" s="371">
        <v>0</v>
      </c>
      <c r="G49" s="1285">
        <v>120233</v>
      </c>
      <c r="H49" s="1546"/>
      <c r="I49" s="423">
        <f>VLOOKUP(A49,'selección precios unitario'!$A$5:$I$418,9,FALSE)</f>
        <v>119473</v>
      </c>
    </row>
    <row r="50" spans="1:9" s="1544" customFormat="1" ht="38.25" x14ac:dyDescent="0.2">
      <c r="A50" s="1580" t="s">
        <v>128</v>
      </c>
      <c r="B50" s="358" t="s">
        <v>129</v>
      </c>
      <c r="C50" s="356" t="s">
        <v>6</v>
      </c>
      <c r="D50" s="369">
        <v>35</v>
      </c>
      <c r="E50" s="370">
        <v>115000</v>
      </c>
      <c r="F50" s="371">
        <v>0</v>
      </c>
      <c r="G50" s="1285">
        <v>123946</v>
      </c>
      <c r="I50" s="423">
        <f>VLOOKUP(A50,'selección precios unitario'!$A$5:$I$418,9,FALSE)</f>
        <v>119473</v>
      </c>
    </row>
    <row r="51" spans="1:9" s="1544" customFormat="1" ht="25.5" x14ac:dyDescent="0.2">
      <c r="A51" s="1583" t="s">
        <v>130</v>
      </c>
      <c r="B51" s="358" t="s">
        <v>131</v>
      </c>
      <c r="C51" s="356" t="s">
        <v>6</v>
      </c>
      <c r="D51" s="369">
        <v>5</v>
      </c>
      <c r="E51" s="370">
        <v>95000</v>
      </c>
      <c r="F51" s="1537">
        <v>22000</v>
      </c>
      <c r="G51" s="1285">
        <v>96760</v>
      </c>
      <c r="I51" s="423">
        <f>VLOOKUP(A51,'selección precios unitario'!$A$5:$I$418,9,FALSE)</f>
        <v>95880</v>
      </c>
    </row>
    <row r="52" spans="1:9" s="1544" customFormat="1" ht="25.5" x14ac:dyDescent="0.2">
      <c r="A52" s="1580" t="s">
        <v>132</v>
      </c>
      <c r="B52" s="358" t="s">
        <v>133</v>
      </c>
      <c r="C52" s="356" t="s">
        <v>6</v>
      </c>
      <c r="D52" s="369">
        <v>20</v>
      </c>
      <c r="E52" s="370">
        <v>115000</v>
      </c>
      <c r="F52" s="349">
        <v>80795</v>
      </c>
      <c r="G52" s="1285">
        <v>113729</v>
      </c>
      <c r="I52" s="423">
        <f>VLOOKUP(A52,'selección precios unitario'!$A$5:$I$418,9,FALSE)</f>
        <v>103175</v>
      </c>
    </row>
    <row r="53" spans="1:9" s="1544" customFormat="1" ht="25.5" x14ac:dyDescent="0.2">
      <c r="A53" s="1583" t="s">
        <v>134</v>
      </c>
      <c r="B53" s="358" t="s">
        <v>135</v>
      </c>
      <c r="C53" s="356" t="s">
        <v>14</v>
      </c>
      <c r="D53" s="369">
        <v>20</v>
      </c>
      <c r="E53" s="370">
        <v>17000</v>
      </c>
      <c r="F53" s="1537">
        <v>8736</v>
      </c>
      <c r="G53" s="1285">
        <v>16536</v>
      </c>
      <c r="I53" s="423">
        <f>VLOOKUP(A53,'selección precios unitario'!$A$5:$I$418,9,FALSE)</f>
        <v>16768</v>
      </c>
    </row>
    <row r="54" spans="1:9" s="1544" customFormat="1" x14ac:dyDescent="0.2">
      <c r="A54" s="1580" t="s">
        <v>136</v>
      </c>
      <c r="B54" s="358" t="s">
        <v>1469</v>
      </c>
      <c r="C54" s="356" t="s">
        <v>6</v>
      </c>
      <c r="D54" s="369">
        <v>35</v>
      </c>
      <c r="E54" s="370">
        <v>38000</v>
      </c>
      <c r="F54" s="1537">
        <v>12948</v>
      </c>
      <c r="G54" s="1285">
        <v>34244</v>
      </c>
      <c r="I54" s="423">
        <f>VLOOKUP(A54,'selección precios unitario'!$A$5:$I$418,9,FALSE)</f>
        <v>36122</v>
      </c>
    </row>
    <row r="55" spans="1:9" s="1544" customFormat="1" x14ac:dyDescent="0.2">
      <c r="A55" s="1583" t="s">
        <v>138</v>
      </c>
      <c r="B55" s="358" t="s">
        <v>1470</v>
      </c>
      <c r="C55" s="356" t="s">
        <v>6</v>
      </c>
      <c r="D55" s="369">
        <v>5</v>
      </c>
      <c r="E55" s="370">
        <v>48000</v>
      </c>
      <c r="F55" s="1537">
        <v>16848</v>
      </c>
      <c r="G55" s="1285">
        <v>46067</v>
      </c>
      <c r="I55" s="423">
        <f>VLOOKUP(A55,'selección precios unitario'!$A$5:$I$418,9,FALSE)</f>
        <v>47034</v>
      </c>
    </row>
    <row r="56" spans="1:9" s="1544" customFormat="1" x14ac:dyDescent="0.2">
      <c r="A56" s="1579" t="s">
        <v>104</v>
      </c>
      <c r="B56" s="347" t="s">
        <v>105</v>
      </c>
      <c r="C56" s="356" t="s">
        <v>14</v>
      </c>
      <c r="D56" s="348">
        <v>40</v>
      </c>
      <c r="E56" s="379">
        <v>50000</v>
      </c>
      <c r="F56" s="1537">
        <v>111069.57400000001</v>
      </c>
      <c r="G56" s="1285">
        <v>41152</v>
      </c>
      <c r="I56" s="423">
        <f>VLOOKUP(A56,'selección precios unitario'!$A$5:$I$418,9,FALSE)</f>
        <v>45576</v>
      </c>
    </row>
    <row r="57" spans="1:9" s="1544" customFormat="1" ht="25.5" x14ac:dyDescent="0.2">
      <c r="A57" s="1580" t="s">
        <v>140</v>
      </c>
      <c r="B57" s="358" t="s">
        <v>141</v>
      </c>
      <c r="C57" s="356" t="s">
        <v>6</v>
      </c>
      <c r="D57" s="369">
        <v>1</v>
      </c>
      <c r="E57" s="370">
        <v>3500000</v>
      </c>
      <c r="F57" s="1537">
        <v>2570000</v>
      </c>
      <c r="G57" s="1285">
        <v>3045320</v>
      </c>
      <c r="I57" s="423">
        <f>VLOOKUP(A57,'selección precios unitario'!$A$5:$I$418,9,FALSE)</f>
        <v>3035000</v>
      </c>
    </row>
    <row r="58" spans="1:9" s="1544" customFormat="1" ht="25.5" x14ac:dyDescent="0.2">
      <c r="A58" s="1583" t="s">
        <v>142</v>
      </c>
      <c r="B58" s="358" t="s">
        <v>143</v>
      </c>
      <c r="C58" s="356" t="s">
        <v>6</v>
      </c>
      <c r="D58" s="369">
        <v>1</v>
      </c>
      <c r="E58" s="370">
        <v>450000</v>
      </c>
      <c r="F58" s="349">
        <v>225498</v>
      </c>
      <c r="G58" s="1285">
        <v>0</v>
      </c>
      <c r="I58" s="423">
        <f>VLOOKUP(A58,'selección precios unitario'!$A$5:$I$418,9,FALSE)</f>
        <v>337749</v>
      </c>
    </row>
    <row r="59" spans="1:9" s="1544" customFormat="1" x14ac:dyDescent="0.2">
      <c r="A59" s="1580" t="s">
        <v>144</v>
      </c>
      <c r="B59" s="368" t="s">
        <v>145</v>
      </c>
      <c r="C59" s="367" t="s">
        <v>19</v>
      </c>
      <c r="D59" s="369">
        <v>5</v>
      </c>
      <c r="E59" s="1538">
        <v>55000</v>
      </c>
      <c r="F59" s="1537">
        <v>9000</v>
      </c>
      <c r="G59" s="1285">
        <v>18551</v>
      </c>
      <c r="I59" s="423">
        <f>VLOOKUP(A59,'selección precios unitario'!$A$5:$I$418,9,FALSE)</f>
        <v>18551</v>
      </c>
    </row>
    <row r="60" spans="1:9" s="1544" customFormat="1" x14ac:dyDescent="0.2">
      <c r="A60" s="1580" t="s">
        <v>757</v>
      </c>
      <c r="B60" s="368" t="s">
        <v>1471</v>
      </c>
      <c r="C60" s="356" t="s">
        <v>14</v>
      </c>
      <c r="D60" s="369">
        <v>15</v>
      </c>
      <c r="E60" s="373">
        <v>15700</v>
      </c>
      <c r="F60" s="349">
        <v>25285</v>
      </c>
      <c r="G60" s="1285">
        <v>0</v>
      </c>
      <c r="I60" s="423">
        <f>VLOOKUP(A60,'selección precios unitario'!$A$5:$I$418,9,FALSE)</f>
        <v>20493</v>
      </c>
    </row>
    <row r="61" spans="1:9" s="1544" customFormat="1" x14ac:dyDescent="0.2">
      <c r="A61" s="1580" t="s">
        <v>758</v>
      </c>
      <c r="B61" s="368" t="s">
        <v>1472</v>
      </c>
      <c r="C61" s="356" t="s">
        <v>14</v>
      </c>
      <c r="D61" s="369">
        <v>15</v>
      </c>
      <c r="E61" s="373">
        <v>37500</v>
      </c>
      <c r="F61" s="349">
        <v>37362</v>
      </c>
      <c r="G61" s="1285">
        <v>0</v>
      </c>
      <c r="I61" s="423">
        <f>VLOOKUP(A61,'selección precios unitario'!$A$5:$I$418,9,FALSE)</f>
        <v>37431</v>
      </c>
    </row>
    <row r="62" spans="1:9" s="1544" customFormat="1" ht="25.5" x14ac:dyDescent="0.2">
      <c r="A62" s="1580" t="s">
        <v>760</v>
      </c>
      <c r="B62" s="358" t="s">
        <v>759</v>
      </c>
      <c r="C62" s="356" t="s">
        <v>6</v>
      </c>
      <c r="D62" s="369">
        <v>4</v>
      </c>
      <c r="E62" s="1539">
        <v>1900000</v>
      </c>
      <c r="F62" s="349">
        <v>138660</v>
      </c>
      <c r="G62" s="1285">
        <v>0</v>
      </c>
      <c r="I62" s="423">
        <f>VLOOKUP(A62,'selección precios unitario'!$A$5:$I$418,9,FALSE)</f>
        <v>138660</v>
      </c>
    </row>
    <row r="63" spans="1:9" ht="25.5" x14ac:dyDescent="0.2">
      <c r="A63" s="1580" t="s">
        <v>761</v>
      </c>
      <c r="B63" s="358" t="s">
        <v>409</v>
      </c>
      <c r="C63" s="356" t="s">
        <v>14</v>
      </c>
      <c r="D63" s="369">
        <v>10</v>
      </c>
      <c r="E63" s="1540">
        <v>290000</v>
      </c>
      <c r="F63" s="1537">
        <v>700000</v>
      </c>
      <c r="G63" s="1285">
        <v>226541</v>
      </c>
      <c r="I63" s="423">
        <f>VLOOKUP(A63,'selección precios unitario'!$A$5:$I$418,9,FALSE)</f>
        <v>243271</v>
      </c>
    </row>
    <row r="64" spans="1:9" ht="38.25" x14ac:dyDescent="0.2">
      <c r="A64" s="1579" t="s">
        <v>106</v>
      </c>
      <c r="B64" s="358" t="s">
        <v>1468</v>
      </c>
      <c r="C64" s="356" t="s">
        <v>14</v>
      </c>
      <c r="D64" s="348">
        <v>40</v>
      </c>
      <c r="E64" s="1536">
        <v>78000</v>
      </c>
      <c r="F64" s="1537">
        <v>76011.936000000002</v>
      </c>
      <c r="G64" s="1285">
        <v>46346</v>
      </c>
      <c r="I64" s="423">
        <f>VLOOKUP(A64,'selección precios unitario'!$A$5:$I$418,9,FALSE)</f>
        <v>46346</v>
      </c>
    </row>
    <row r="65" spans="1:9" x14ac:dyDescent="0.2">
      <c r="A65" s="1579" t="s">
        <v>108</v>
      </c>
      <c r="B65" s="347" t="s">
        <v>109</v>
      </c>
      <c r="C65" s="356" t="s">
        <v>14</v>
      </c>
      <c r="D65" s="348">
        <v>60</v>
      </c>
      <c r="E65" s="1537">
        <v>50000</v>
      </c>
      <c r="F65" s="1566">
        <v>17277</v>
      </c>
      <c r="G65" s="1285">
        <v>37101</v>
      </c>
      <c r="I65" s="423">
        <f>VLOOKUP(A65,'selección precios unitario'!$A$5:$I$418,9,FALSE)</f>
        <v>37101</v>
      </c>
    </row>
    <row r="66" spans="1:9" ht="38.25" x14ac:dyDescent="0.2">
      <c r="A66" s="1581" t="s">
        <v>110</v>
      </c>
      <c r="B66" s="358" t="s">
        <v>111</v>
      </c>
      <c r="C66" s="363" t="s">
        <v>6</v>
      </c>
      <c r="D66" s="369">
        <v>8</v>
      </c>
      <c r="E66" s="1291">
        <v>650000</v>
      </c>
      <c r="F66" s="1537">
        <v>802118.24000000011</v>
      </c>
      <c r="G66" s="1285">
        <v>579485</v>
      </c>
      <c r="I66" s="423">
        <f>VLOOKUP(A66,'selección precios unitario'!$A$5:$I$418,9,FALSE)</f>
        <v>614743</v>
      </c>
    </row>
    <row r="67" spans="1:9" x14ac:dyDescent="0.2">
      <c r="A67" s="1581" t="s">
        <v>112</v>
      </c>
      <c r="B67" s="347" t="s">
        <v>871</v>
      </c>
      <c r="C67" s="356" t="s">
        <v>14</v>
      </c>
      <c r="D67" s="369">
        <v>1</v>
      </c>
      <c r="E67" s="1538">
        <v>55000</v>
      </c>
      <c r="F67" s="412">
        <v>17979</v>
      </c>
      <c r="G67" s="1285">
        <v>16829</v>
      </c>
      <c r="I67" s="423">
        <f>VLOOKUP(A67,'selección precios unitario'!$A$5:$I$418,9,FALSE)</f>
        <v>17404</v>
      </c>
    </row>
    <row r="68" spans="1:9" ht="25.5" x14ac:dyDescent="0.2">
      <c r="A68" s="1581" t="s">
        <v>114</v>
      </c>
      <c r="B68" s="358" t="s">
        <v>115</v>
      </c>
      <c r="C68" s="356" t="s">
        <v>19</v>
      </c>
      <c r="D68" s="369">
        <v>16</v>
      </c>
      <c r="E68" s="1291">
        <v>80000</v>
      </c>
      <c r="F68" s="412">
        <v>47528</v>
      </c>
      <c r="G68" s="1285">
        <v>0</v>
      </c>
      <c r="I68" s="423">
        <f>VLOOKUP(A68,'selección precios unitario'!$A$5:$I$418,9,FALSE)</f>
        <v>63764</v>
      </c>
    </row>
    <row r="69" spans="1:9" ht="51" x14ac:dyDescent="0.2">
      <c r="A69" s="1580" t="s">
        <v>116</v>
      </c>
      <c r="B69" s="347" t="s">
        <v>117</v>
      </c>
      <c r="C69" s="363" t="s">
        <v>14</v>
      </c>
      <c r="D69" s="369">
        <v>139</v>
      </c>
      <c r="E69" s="1291">
        <v>75000</v>
      </c>
      <c r="F69" s="1537">
        <v>31265</v>
      </c>
      <c r="G69" s="1285">
        <v>70329</v>
      </c>
      <c r="I69" s="423">
        <f>VLOOKUP(A69,'selección precios unitario'!$A$5:$I$418,9,FALSE)</f>
        <v>72665</v>
      </c>
    </row>
    <row r="70" spans="1:9" ht="25.5" x14ac:dyDescent="0.2">
      <c r="A70" s="1583" t="s">
        <v>118</v>
      </c>
      <c r="B70" s="358" t="s">
        <v>119</v>
      </c>
      <c r="C70" s="356" t="s">
        <v>6</v>
      </c>
      <c r="D70" s="369">
        <v>105</v>
      </c>
      <c r="E70" s="1291">
        <v>38000</v>
      </c>
      <c r="F70" s="1537">
        <v>16263</v>
      </c>
      <c r="G70" s="1285">
        <v>31702</v>
      </c>
      <c r="I70" s="423">
        <f>VLOOKUP(A70,'selección precios unitario'!$A$5:$I$418,9,FALSE)</f>
        <v>34851</v>
      </c>
    </row>
    <row r="71" spans="1:9" x14ac:dyDescent="0.2">
      <c r="A71" s="1583" t="s">
        <v>148</v>
      </c>
      <c r="B71" s="364" t="s">
        <v>482</v>
      </c>
      <c r="C71" s="367" t="s">
        <v>150</v>
      </c>
      <c r="D71" s="369">
        <v>3</v>
      </c>
      <c r="E71" s="370">
        <v>180000</v>
      </c>
      <c r="F71" s="1537">
        <v>274603.33333333337</v>
      </c>
      <c r="G71" s="1285">
        <v>0</v>
      </c>
      <c r="I71" s="423">
        <f>VLOOKUP(A71,'selección precios unitario'!$A$5:$I$418,9,FALSE)</f>
        <v>180000</v>
      </c>
    </row>
    <row r="72" spans="1:9" ht="25.5" x14ac:dyDescent="0.2">
      <c r="A72" s="1583" t="s">
        <v>151</v>
      </c>
      <c r="B72" s="347" t="s">
        <v>1473</v>
      </c>
      <c r="C72" s="340" t="s">
        <v>19</v>
      </c>
      <c r="D72" s="369">
        <v>17</v>
      </c>
      <c r="E72" s="370">
        <v>320000</v>
      </c>
      <c r="F72" s="1537">
        <v>82368</v>
      </c>
      <c r="G72" s="1285">
        <v>0</v>
      </c>
      <c r="I72" s="423">
        <f>VLOOKUP(A72,'selección precios unitario'!$A$5:$I$418,9,FALSE)</f>
        <v>320000</v>
      </c>
    </row>
    <row r="73" spans="1:9" x14ac:dyDescent="0.2">
      <c r="A73" s="1583" t="s">
        <v>153</v>
      </c>
      <c r="B73" s="358" t="s">
        <v>154</v>
      </c>
      <c r="C73" s="356" t="s">
        <v>14</v>
      </c>
      <c r="D73" s="369">
        <v>33</v>
      </c>
      <c r="E73" s="370">
        <v>45000</v>
      </c>
      <c r="F73" s="349">
        <v>29133</v>
      </c>
      <c r="G73" s="1285">
        <v>0</v>
      </c>
      <c r="I73" s="423">
        <f>VLOOKUP(A73,'selección precios unitario'!$A$5:$I$418,9,FALSE)</f>
        <v>37067</v>
      </c>
    </row>
    <row r="74" spans="1:9" x14ac:dyDescent="0.2">
      <c r="A74" s="1580" t="s">
        <v>155</v>
      </c>
      <c r="B74" s="358" t="s">
        <v>156</v>
      </c>
      <c r="C74" s="356" t="s">
        <v>19</v>
      </c>
      <c r="D74" s="369">
        <v>24</v>
      </c>
      <c r="E74" s="370">
        <v>42000</v>
      </c>
      <c r="F74" s="349">
        <v>32500</v>
      </c>
      <c r="G74" s="1285">
        <v>0</v>
      </c>
      <c r="I74" s="423">
        <f>VLOOKUP(A74,'selección precios unitario'!$A$5:$I$418,9,FALSE)</f>
        <v>37250</v>
      </c>
    </row>
    <row r="75" spans="1:9" x14ac:dyDescent="0.2">
      <c r="A75" s="1583" t="s">
        <v>157</v>
      </c>
      <c r="B75" s="358" t="s">
        <v>158</v>
      </c>
      <c r="C75" s="340" t="s">
        <v>14</v>
      </c>
      <c r="D75" s="369">
        <v>3</v>
      </c>
      <c r="E75" s="1538">
        <v>30000</v>
      </c>
      <c r="F75" s="349">
        <v>16117.178000000002</v>
      </c>
      <c r="G75" s="1285">
        <v>13382</v>
      </c>
      <c r="I75" s="423">
        <f>VLOOKUP(A75,'selección precios unitario'!$A$5:$I$418,9,FALSE)</f>
        <v>14833</v>
      </c>
    </row>
    <row r="76" spans="1:9" x14ac:dyDescent="0.2">
      <c r="A76" s="1583" t="s">
        <v>159</v>
      </c>
      <c r="B76" s="358" t="s">
        <v>160</v>
      </c>
      <c r="C76" s="356" t="s">
        <v>150</v>
      </c>
      <c r="D76" s="369">
        <v>1</v>
      </c>
      <c r="E76" s="1538">
        <v>120000</v>
      </c>
      <c r="F76" s="349">
        <v>50000</v>
      </c>
      <c r="G76" s="1285">
        <v>33513</v>
      </c>
      <c r="I76" s="423">
        <f>VLOOKUP(A76,'selección precios unitario'!$A$5:$I$418,9,FALSE)</f>
        <v>41757</v>
      </c>
    </row>
    <row r="77" spans="1:9" ht="25.5" x14ac:dyDescent="0.2">
      <c r="A77" s="1583" t="s">
        <v>161</v>
      </c>
      <c r="B77" s="358" t="s">
        <v>1474</v>
      </c>
      <c r="C77" s="356" t="s">
        <v>14</v>
      </c>
      <c r="D77" s="369">
        <v>3</v>
      </c>
      <c r="E77" s="1291">
        <v>45000</v>
      </c>
      <c r="F77" s="349">
        <v>75897.668000000005</v>
      </c>
      <c r="G77" s="1285">
        <v>75401</v>
      </c>
      <c r="I77" s="423">
        <f>VLOOKUP(A77,'selección precios unitario'!$A$5:$I$418,9,FALSE)</f>
        <v>48692</v>
      </c>
    </row>
    <row r="78" spans="1:9" ht="25.5" x14ac:dyDescent="0.2">
      <c r="A78" s="1583" t="s">
        <v>163</v>
      </c>
      <c r="B78" s="358" t="s">
        <v>164</v>
      </c>
      <c r="C78" s="356" t="s">
        <v>19</v>
      </c>
      <c r="D78" s="369">
        <v>20</v>
      </c>
      <c r="E78" s="370">
        <v>130000</v>
      </c>
      <c r="F78" s="1537">
        <v>180000</v>
      </c>
      <c r="G78" s="1285">
        <v>0</v>
      </c>
      <c r="I78" s="423">
        <f>VLOOKUP(A78,'selección precios unitario'!$A$5:$I$418,9,FALSE)</f>
        <v>155000</v>
      </c>
    </row>
    <row r="79" spans="1:9" x14ac:dyDescent="0.2">
      <c r="A79" s="1583" t="s">
        <v>165</v>
      </c>
      <c r="B79" s="358" t="s">
        <v>166</v>
      </c>
      <c r="C79" s="356" t="s">
        <v>150</v>
      </c>
      <c r="D79" s="369">
        <v>2</v>
      </c>
      <c r="E79" s="1538">
        <v>100000</v>
      </c>
      <c r="F79" s="349">
        <v>81356</v>
      </c>
      <c r="G79" s="1285">
        <v>77455</v>
      </c>
      <c r="I79" s="423">
        <f>VLOOKUP(A79,'selección precios unitario'!$A$5:$I$418,9,FALSE)</f>
        <v>79406</v>
      </c>
    </row>
    <row r="80" spans="1:9" x14ac:dyDescent="0.2">
      <c r="A80" s="1584" t="s">
        <v>169</v>
      </c>
      <c r="B80" s="358" t="s">
        <v>158</v>
      </c>
      <c r="C80" s="340" t="s">
        <v>14</v>
      </c>
      <c r="D80" s="369">
        <v>220</v>
      </c>
      <c r="E80" s="370">
        <v>15000</v>
      </c>
      <c r="F80" s="349">
        <v>16117.178000000002</v>
      </c>
      <c r="G80" s="1285">
        <v>13382</v>
      </c>
      <c r="I80" s="423">
        <f>VLOOKUP(A80,'selección precios unitario'!$A$5:$I$418,9,FALSE)</f>
        <v>14833</v>
      </c>
    </row>
    <row r="81" spans="1:9" ht="25.5" x14ac:dyDescent="0.2">
      <c r="A81" s="1583" t="s">
        <v>170</v>
      </c>
      <c r="B81" s="364" t="s">
        <v>1475</v>
      </c>
      <c r="C81" s="340" t="s">
        <v>14</v>
      </c>
      <c r="D81" s="369">
        <v>120</v>
      </c>
      <c r="E81" s="370">
        <v>40000</v>
      </c>
      <c r="F81" s="349">
        <v>31213</v>
      </c>
      <c r="G81" s="1285">
        <v>39615</v>
      </c>
      <c r="I81" s="423">
        <f>VLOOKUP(A81,'selección precios unitario'!$A$5:$I$418,9,FALSE)</f>
        <v>36943</v>
      </c>
    </row>
    <row r="82" spans="1:9" x14ac:dyDescent="0.2">
      <c r="A82" s="1583" t="s">
        <v>172</v>
      </c>
      <c r="B82" s="347" t="s">
        <v>1476</v>
      </c>
      <c r="C82" s="340" t="s">
        <v>14</v>
      </c>
      <c r="D82" s="369">
        <v>100</v>
      </c>
      <c r="E82" s="370">
        <v>25000</v>
      </c>
      <c r="F82" s="352">
        <v>0</v>
      </c>
      <c r="G82" s="1285">
        <v>26415</v>
      </c>
      <c r="I82" s="423">
        <f>VLOOKUP(A82,'selección precios unitario'!$A$5:$I$418,9,FALSE)</f>
        <v>25708</v>
      </c>
    </row>
    <row r="83" spans="1:9" ht="25.5" x14ac:dyDescent="0.2">
      <c r="A83" s="1583" t="s">
        <v>174</v>
      </c>
      <c r="B83" s="347" t="s">
        <v>1477</v>
      </c>
      <c r="C83" s="340" t="s">
        <v>14</v>
      </c>
      <c r="D83" s="369">
        <v>100</v>
      </c>
      <c r="E83" s="370">
        <v>9000</v>
      </c>
      <c r="F83" s="349">
        <v>7969</v>
      </c>
      <c r="G83" s="1285">
        <v>0</v>
      </c>
      <c r="I83" s="423">
        <f>VLOOKUP(A83,'selección precios unitario'!$A$5:$I$418,9,FALSE)</f>
        <v>8485</v>
      </c>
    </row>
    <row r="84" spans="1:9" x14ac:dyDescent="0.2">
      <c r="A84" s="1584" t="s">
        <v>178</v>
      </c>
      <c r="B84" s="358" t="s">
        <v>179</v>
      </c>
      <c r="C84" s="356" t="s">
        <v>14</v>
      </c>
      <c r="D84" s="369">
        <v>170</v>
      </c>
      <c r="E84" s="1538">
        <v>45000</v>
      </c>
      <c r="F84" s="349">
        <v>5512</v>
      </c>
      <c r="G84" s="1285">
        <v>0</v>
      </c>
      <c r="I84" s="423">
        <f>VLOOKUP(A84,'selección precios unitario'!$A$5:$I$418,9,FALSE)</f>
        <v>5512</v>
      </c>
    </row>
    <row r="85" spans="1:9" x14ac:dyDescent="0.2">
      <c r="A85" s="1583" t="s">
        <v>180</v>
      </c>
      <c r="B85" s="358" t="s">
        <v>181</v>
      </c>
      <c r="C85" s="356" t="s">
        <v>14</v>
      </c>
      <c r="D85" s="369">
        <v>97</v>
      </c>
      <c r="E85" s="1538">
        <v>20000</v>
      </c>
      <c r="F85" s="349">
        <v>5500</v>
      </c>
      <c r="G85" s="1285">
        <v>0</v>
      </c>
      <c r="I85" s="423">
        <f>VLOOKUP(A85,'selección precios unitario'!$A$5:$I$418,9,FALSE)</f>
        <v>5500</v>
      </c>
    </row>
    <row r="86" spans="1:9" ht="25.5" x14ac:dyDescent="0.2">
      <c r="A86" s="1580" t="s">
        <v>182</v>
      </c>
      <c r="B86" s="358" t="s">
        <v>183</v>
      </c>
      <c r="C86" s="356" t="s">
        <v>19</v>
      </c>
      <c r="D86" s="369">
        <v>50</v>
      </c>
      <c r="E86" s="370">
        <v>280000</v>
      </c>
      <c r="F86" s="349">
        <v>700000</v>
      </c>
      <c r="G86" s="1285">
        <v>0</v>
      </c>
      <c r="I86" s="423">
        <f>VLOOKUP(A86,'selección precios unitario'!$A$5:$I$418,9,FALSE)</f>
        <v>490000</v>
      </c>
    </row>
    <row r="87" spans="1:9" ht="25.5" x14ac:dyDescent="0.2">
      <c r="A87" s="1583" t="s">
        <v>184</v>
      </c>
      <c r="B87" s="358" t="s">
        <v>1478</v>
      </c>
      <c r="C87" s="356" t="s">
        <v>14</v>
      </c>
      <c r="D87" s="369">
        <v>112</v>
      </c>
      <c r="E87" s="370">
        <v>112000</v>
      </c>
      <c r="F87" s="349">
        <v>50000</v>
      </c>
      <c r="G87" s="1285">
        <v>0</v>
      </c>
      <c r="I87" s="423">
        <f>VLOOKUP(A87,'selección precios unitario'!$A$5:$I$418,9,FALSE)</f>
        <v>81000</v>
      </c>
    </row>
    <row r="88" spans="1:9" ht="25.5" x14ac:dyDescent="0.2">
      <c r="A88" s="1580" t="s">
        <v>188</v>
      </c>
      <c r="B88" s="364" t="s">
        <v>189</v>
      </c>
      <c r="C88" s="363" t="s">
        <v>19</v>
      </c>
      <c r="D88" s="369">
        <v>41</v>
      </c>
      <c r="E88" s="370">
        <v>25000</v>
      </c>
      <c r="F88" s="372">
        <v>0</v>
      </c>
      <c r="G88" s="1285">
        <v>0</v>
      </c>
      <c r="I88" s="423">
        <f>VLOOKUP(A88,'selección precios unitario'!$A$5:$I$418,9,FALSE)</f>
        <v>25000</v>
      </c>
    </row>
    <row r="89" spans="1:9" ht="25.5" x14ac:dyDescent="0.2">
      <c r="A89" s="1583" t="s">
        <v>190</v>
      </c>
      <c r="B89" s="358" t="s">
        <v>191</v>
      </c>
      <c r="C89" s="356" t="s">
        <v>19</v>
      </c>
      <c r="D89" s="369">
        <v>41</v>
      </c>
      <c r="E89" s="370">
        <v>35000</v>
      </c>
      <c r="F89" s="1537">
        <v>3731</v>
      </c>
      <c r="G89" s="1285">
        <v>29150</v>
      </c>
      <c r="I89" s="423">
        <f>VLOOKUP(A89,'selección precios unitario'!$A$5:$I$418,9,FALSE)</f>
        <v>32075</v>
      </c>
    </row>
    <row r="90" spans="1:9" ht="25.5" x14ac:dyDescent="0.2">
      <c r="A90" s="1580" t="s">
        <v>192</v>
      </c>
      <c r="B90" s="364" t="s">
        <v>193</v>
      </c>
      <c r="C90" s="363" t="s">
        <v>19</v>
      </c>
      <c r="D90" s="369">
        <v>41</v>
      </c>
      <c r="E90" s="370">
        <v>65000</v>
      </c>
      <c r="F90" s="412">
        <v>20000</v>
      </c>
      <c r="G90" s="1285">
        <v>0</v>
      </c>
      <c r="I90" s="423">
        <f>VLOOKUP(A90,'selección precios unitario'!$A$5:$I$418,9,FALSE)</f>
        <v>42500</v>
      </c>
    </row>
    <row r="91" spans="1:9" s="1544" customFormat="1" x14ac:dyDescent="0.2">
      <c r="A91" s="1583" t="s">
        <v>194</v>
      </c>
      <c r="B91" s="347" t="s">
        <v>195</v>
      </c>
      <c r="C91" s="340" t="s">
        <v>19</v>
      </c>
      <c r="D91" s="369">
        <v>41</v>
      </c>
      <c r="E91" s="370">
        <v>7000</v>
      </c>
      <c r="F91" s="349">
        <v>4200</v>
      </c>
      <c r="G91" s="1285">
        <v>5300</v>
      </c>
      <c r="I91" s="423">
        <f>VLOOKUP(A91,'selección precios unitario'!$A$5:$I$418,9,FALSE)</f>
        <v>5500</v>
      </c>
    </row>
    <row r="92" spans="1:9" s="1544" customFormat="1" x14ac:dyDescent="0.2">
      <c r="A92" s="1585" t="s">
        <v>204</v>
      </c>
      <c r="B92" s="347" t="s">
        <v>21</v>
      </c>
      <c r="C92" s="340" t="s">
        <v>19</v>
      </c>
      <c r="D92" s="348">
        <v>6</v>
      </c>
      <c r="E92" s="1536">
        <v>60000</v>
      </c>
      <c r="F92" s="349">
        <v>19500</v>
      </c>
      <c r="G92" s="1285">
        <v>14660</v>
      </c>
      <c r="I92" s="423">
        <f>VLOOKUP(A92,'selección precios unitario'!$A$5:$I$418,9,FALSE)</f>
        <v>17080</v>
      </c>
    </row>
    <row r="93" spans="1:9" s="1544" customFormat="1" x14ac:dyDescent="0.2">
      <c r="A93" s="1586" t="s">
        <v>216</v>
      </c>
      <c r="B93" s="347" t="s">
        <v>195</v>
      </c>
      <c r="C93" s="340" t="s">
        <v>19</v>
      </c>
      <c r="D93" s="348">
        <v>21</v>
      </c>
      <c r="E93" s="1536">
        <v>10000</v>
      </c>
      <c r="F93" s="349">
        <v>4200</v>
      </c>
      <c r="G93" s="1285">
        <v>5300</v>
      </c>
      <c r="I93" s="423">
        <f>VLOOKUP(A93,'selección precios unitario'!$A$5:$I$418,9,FALSE)</f>
        <v>5500</v>
      </c>
    </row>
    <row r="94" spans="1:9" s="1544" customFormat="1" x14ac:dyDescent="0.2">
      <c r="A94" s="1585" t="s">
        <v>205</v>
      </c>
      <c r="B94" s="347" t="s">
        <v>206</v>
      </c>
      <c r="C94" s="340" t="s">
        <v>19</v>
      </c>
      <c r="D94" s="348">
        <v>6</v>
      </c>
      <c r="E94" s="1536">
        <v>90000</v>
      </c>
      <c r="F94" s="1537">
        <v>3731</v>
      </c>
      <c r="G94" s="1285">
        <v>29150</v>
      </c>
      <c r="I94" s="423">
        <f>VLOOKUP(A94,'selección precios unitario'!$A$5:$I$418,9,FALSE)</f>
        <v>32075</v>
      </c>
    </row>
    <row r="95" spans="1:9" s="1544" customFormat="1" ht="25.5" x14ac:dyDescent="0.2">
      <c r="A95" s="1587" t="s">
        <v>207</v>
      </c>
      <c r="B95" s="347" t="s">
        <v>208</v>
      </c>
      <c r="C95" s="340" t="s">
        <v>19</v>
      </c>
      <c r="D95" s="348">
        <v>6</v>
      </c>
      <c r="E95" s="353">
        <v>75000</v>
      </c>
      <c r="F95" s="349">
        <v>32500</v>
      </c>
      <c r="G95" s="1285">
        <v>0</v>
      </c>
      <c r="I95" s="423">
        <f>VLOOKUP(A95,'selección precios unitario'!$A$5:$I$418,9,FALSE)</f>
        <v>35250</v>
      </c>
    </row>
    <row r="96" spans="1:9" s="1544" customFormat="1" x14ac:dyDescent="0.2">
      <c r="A96" s="1585" t="s">
        <v>209</v>
      </c>
      <c r="B96" s="365" t="s">
        <v>76</v>
      </c>
      <c r="C96" s="366" t="s">
        <v>19</v>
      </c>
      <c r="D96" s="348">
        <v>6</v>
      </c>
      <c r="E96" s="379">
        <v>280000</v>
      </c>
      <c r="F96" s="1537">
        <v>128700</v>
      </c>
      <c r="G96" s="1285">
        <v>227816</v>
      </c>
      <c r="I96" s="423">
        <f>VLOOKUP(A96,'selección precios unitario'!$A$5:$I$418,9,FALSE)</f>
        <v>212172</v>
      </c>
    </row>
    <row r="97" spans="1:9" s="1544" customFormat="1" x14ac:dyDescent="0.2">
      <c r="A97" s="1587" t="s">
        <v>210</v>
      </c>
      <c r="B97" s="347" t="s">
        <v>211</v>
      </c>
      <c r="C97" s="367" t="s">
        <v>19</v>
      </c>
      <c r="D97" s="348">
        <v>20</v>
      </c>
      <c r="E97" s="1536">
        <v>15000</v>
      </c>
      <c r="F97" s="1537">
        <v>4000</v>
      </c>
      <c r="G97" s="1285">
        <v>8445</v>
      </c>
      <c r="I97" s="423">
        <f>VLOOKUP(A97,'selección precios unitario'!$A$5:$I$418,9,FALSE)</f>
        <v>6630</v>
      </c>
    </row>
    <row r="98" spans="1:9" s="1544" customFormat="1" ht="38.25" x14ac:dyDescent="0.2">
      <c r="A98" s="1585" t="s">
        <v>212</v>
      </c>
      <c r="B98" s="368" t="s">
        <v>86</v>
      </c>
      <c r="C98" s="340" t="s">
        <v>19</v>
      </c>
      <c r="D98" s="348">
        <v>3</v>
      </c>
      <c r="E98" s="1536">
        <v>140000</v>
      </c>
      <c r="F98" s="349">
        <v>45500</v>
      </c>
      <c r="G98" s="1285">
        <v>41660</v>
      </c>
      <c r="I98" s="423">
        <f>VLOOKUP(A98,'selección precios unitario'!$A$5:$I$418,9,FALSE)</f>
        <v>45053</v>
      </c>
    </row>
    <row r="99" spans="1:9" x14ac:dyDescent="0.2">
      <c r="A99" s="1587" t="s">
        <v>213</v>
      </c>
      <c r="B99" s="347" t="s">
        <v>88</v>
      </c>
      <c r="C99" s="367" t="s">
        <v>19</v>
      </c>
      <c r="D99" s="348">
        <v>20</v>
      </c>
      <c r="E99" s="353">
        <v>35000</v>
      </c>
      <c r="F99" s="349">
        <v>11700</v>
      </c>
      <c r="G99" s="1285">
        <v>24610</v>
      </c>
      <c r="I99" s="423">
        <f>VLOOKUP(A99,'selección precios unitario'!$A$5:$I$418,9,FALSE)</f>
        <v>26305</v>
      </c>
    </row>
    <row r="100" spans="1:9" x14ac:dyDescent="0.2">
      <c r="A100" s="1585" t="s">
        <v>214</v>
      </c>
      <c r="B100" s="347" t="s">
        <v>98</v>
      </c>
      <c r="C100" s="367" t="s">
        <v>19</v>
      </c>
      <c r="D100" s="348">
        <v>20</v>
      </c>
      <c r="E100" s="353">
        <v>25000</v>
      </c>
      <c r="F100" s="1537">
        <v>8710</v>
      </c>
      <c r="G100" s="1285">
        <v>0</v>
      </c>
      <c r="I100" s="423">
        <f>VLOOKUP(A100,'selección precios unitario'!$A$5:$I$418,9,FALSE)</f>
        <v>19000</v>
      </c>
    </row>
    <row r="101" spans="1:9" x14ac:dyDescent="0.2">
      <c r="A101" s="1585" t="s">
        <v>215</v>
      </c>
      <c r="B101" s="358" t="s">
        <v>92</v>
      </c>
      <c r="C101" s="356" t="s">
        <v>19</v>
      </c>
      <c r="D101" s="346">
        <v>4</v>
      </c>
      <c r="E101" s="353">
        <v>25000</v>
      </c>
      <c r="F101" s="1537">
        <v>8710</v>
      </c>
      <c r="G101" s="1285">
        <v>17005</v>
      </c>
      <c r="I101" s="423">
        <f>VLOOKUP(A101,'selección precios unitario'!$A$5:$I$418,9,FALSE)</f>
        <v>17503</v>
      </c>
    </row>
    <row r="102" spans="1:9" ht="38.25" x14ac:dyDescent="0.2">
      <c r="A102" s="1583" t="s">
        <v>221</v>
      </c>
      <c r="B102" s="347" t="s">
        <v>222</v>
      </c>
      <c r="C102" s="340" t="s">
        <v>14</v>
      </c>
      <c r="D102" s="348">
        <v>47</v>
      </c>
      <c r="E102" s="353">
        <v>135500</v>
      </c>
      <c r="F102" s="387">
        <v>0</v>
      </c>
      <c r="G102" s="1285">
        <v>226947</v>
      </c>
      <c r="I102" s="423">
        <f>VLOOKUP(A102,'selección precios unitario'!$A$5:$I$418,9,FALSE)</f>
        <v>226947</v>
      </c>
    </row>
    <row r="103" spans="1:9" ht="25.5" x14ac:dyDescent="0.2">
      <c r="A103" s="1583" t="s">
        <v>223</v>
      </c>
      <c r="B103" s="347" t="s">
        <v>224</v>
      </c>
      <c r="C103" s="340" t="s">
        <v>19</v>
      </c>
      <c r="D103" s="348">
        <v>47</v>
      </c>
      <c r="E103" s="353">
        <v>12500</v>
      </c>
      <c r="F103" s="1537">
        <v>5000</v>
      </c>
      <c r="G103" s="1285">
        <v>16681</v>
      </c>
      <c r="I103" s="423">
        <f>VLOOKUP(A103,'selección precios unitario'!$A$5:$I$418,9,FALSE)</f>
        <v>16681</v>
      </c>
    </row>
    <row r="104" spans="1:9" x14ac:dyDescent="0.2">
      <c r="A104" s="1583" t="s">
        <v>225</v>
      </c>
      <c r="B104" s="347" t="s">
        <v>226</v>
      </c>
      <c r="C104" s="340" t="s">
        <v>19</v>
      </c>
      <c r="D104" s="348">
        <v>1037</v>
      </c>
      <c r="E104" s="353">
        <v>17000</v>
      </c>
      <c r="F104" s="349">
        <v>2392</v>
      </c>
      <c r="G104" s="1285">
        <v>0</v>
      </c>
      <c r="I104" s="423">
        <f>VLOOKUP(A104,'selección precios unitario'!$A$5:$I$418,9,FALSE)</f>
        <v>9696</v>
      </c>
    </row>
    <row r="105" spans="1:9" x14ac:dyDescent="0.2">
      <c r="A105" s="1583" t="s">
        <v>227</v>
      </c>
      <c r="B105" s="347" t="s">
        <v>228</v>
      </c>
      <c r="C105" s="340" t="s">
        <v>19</v>
      </c>
      <c r="D105" s="348">
        <v>1234</v>
      </c>
      <c r="E105" s="353">
        <v>14000</v>
      </c>
      <c r="F105" s="349">
        <v>3913</v>
      </c>
      <c r="G105" s="1285">
        <v>0</v>
      </c>
      <c r="I105" s="423">
        <f>VLOOKUP(A105,'selección precios unitario'!$A$5:$I$418,9,FALSE)</f>
        <v>8957</v>
      </c>
    </row>
    <row r="106" spans="1:9" ht="25.5" x14ac:dyDescent="0.2">
      <c r="A106" s="1583" t="s">
        <v>229</v>
      </c>
      <c r="B106" s="347" t="s">
        <v>230</v>
      </c>
      <c r="C106" s="340" t="s">
        <v>19</v>
      </c>
      <c r="D106" s="348">
        <v>1037</v>
      </c>
      <c r="E106" s="353">
        <v>45000</v>
      </c>
      <c r="F106" s="387">
        <v>0</v>
      </c>
      <c r="G106" s="1285">
        <v>0</v>
      </c>
      <c r="I106" s="423">
        <f>VLOOKUP(A106,'selección precios unitario'!$A$5:$I$418,9,FALSE)</f>
        <v>45000</v>
      </c>
    </row>
    <row r="107" spans="1:9" ht="25.5" x14ac:dyDescent="0.2">
      <c r="A107" s="1583" t="s">
        <v>231</v>
      </c>
      <c r="B107" s="347" t="s">
        <v>232</v>
      </c>
      <c r="C107" s="356" t="s">
        <v>14</v>
      </c>
      <c r="D107" s="348">
        <v>117</v>
      </c>
      <c r="E107" s="353">
        <v>38000</v>
      </c>
      <c r="F107" s="349">
        <v>10257</v>
      </c>
      <c r="G107" s="1285">
        <v>0</v>
      </c>
      <c r="I107" s="423">
        <f>VLOOKUP(A107,'selección precios unitario'!$A$5:$I$418,9,FALSE)</f>
        <v>24129</v>
      </c>
    </row>
    <row r="108" spans="1:9" x14ac:dyDescent="0.2">
      <c r="A108" s="1583" t="s">
        <v>235</v>
      </c>
      <c r="B108" s="364" t="s">
        <v>84</v>
      </c>
      <c r="C108" s="367" t="s">
        <v>19</v>
      </c>
      <c r="D108" s="381">
        <v>179</v>
      </c>
      <c r="E108" s="353">
        <v>9000</v>
      </c>
      <c r="F108" s="349">
        <v>5200</v>
      </c>
      <c r="G108" s="1285">
        <v>6890</v>
      </c>
      <c r="I108" s="423">
        <f>VLOOKUP(A108,'selección precios unitario'!$A$5:$I$418,9,FALSE)</f>
        <v>6630</v>
      </c>
    </row>
    <row r="109" spans="1:9" x14ac:dyDescent="0.2">
      <c r="A109" s="1583" t="s">
        <v>244</v>
      </c>
      <c r="B109" s="368" t="s">
        <v>98</v>
      </c>
      <c r="C109" s="367" t="s">
        <v>14</v>
      </c>
      <c r="D109" s="348">
        <v>248</v>
      </c>
      <c r="E109" s="353">
        <v>6120</v>
      </c>
      <c r="F109" s="349">
        <v>5200</v>
      </c>
      <c r="G109" s="1285">
        <v>0</v>
      </c>
      <c r="I109" s="423">
        <f>VLOOKUP(A109,'selección precios unitario'!$A$5:$I$418,9,FALSE)</f>
        <v>6120</v>
      </c>
    </row>
    <row r="110" spans="1:9" x14ac:dyDescent="0.2">
      <c r="A110" s="1583" t="s">
        <v>245</v>
      </c>
      <c r="B110" s="358" t="s">
        <v>92</v>
      </c>
      <c r="C110" s="356" t="s">
        <v>14</v>
      </c>
      <c r="D110" s="346">
        <v>50</v>
      </c>
      <c r="E110" s="353">
        <v>10800</v>
      </c>
      <c r="F110" s="1537">
        <v>5200</v>
      </c>
      <c r="G110" s="1285">
        <v>0</v>
      </c>
      <c r="I110" s="423">
        <f>VLOOKUP(A110,'selección precios unitario'!$A$5:$I$418,9,FALSE)</f>
        <v>8000</v>
      </c>
    </row>
    <row r="111" spans="1:9" ht="25.5" x14ac:dyDescent="0.2">
      <c r="A111" s="1583" t="s">
        <v>246</v>
      </c>
      <c r="B111" s="358" t="s">
        <v>247</v>
      </c>
      <c r="C111" s="356" t="s">
        <v>14</v>
      </c>
      <c r="D111" s="348">
        <v>384</v>
      </c>
      <c r="E111" s="353">
        <v>14400</v>
      </c>
      <c r="F111" s="349">
        <v>13000</v>
      </c>
      <c r="G111" s="1285">
        <v>0</v>
      </c>
      <c r="I111" s="423">
        <f>VLOOKUP(A111,'selección precios unitario'!$A$5:$I$418,9,FALSE)</f>
        <v>13700</v>
      </c>
    </row>
    <row r="112" spans="1:9" ht="25.5" x14ac:dyDescent="0.2">
      <c r="A112" s="1583" t="s">
        <v>248</v>
      </c>
      <c r="B112" s="358" t="s">
        <v>249</v>
      </c>
      <c r="C112" s="356" t="s">
        <v>19</v>
      </c>
      <c r="D112" s="348">
        <v>230</v>
      </c>
      <c r="E112" s="353">
        <v>24000</v>
      </c>
      <c r="F112" s="349">
        <v>13000</v>
      </c>
      <c r="G112" s="1285">
        <v>0</v>
      </c>
      <c r="I112" s="423">
        <f>VLOOKUP(A112,'selección precios unitario'!$A$5:$I$418,9,FALSE)</f>
        <v>18500</v>
      </c>
    </row>
    <row r="113" spans="1:9" ht="38.25" x14ac:dyDescent="0.2">
      <c r="A113" s="1583" t="s">
        <v>236</v>
      </c>
      <c r="B113" s="368" t="s">
        <v>86</v>
      </c>
      <c r="C113" s="367" t="s">
        <v>19</v>
      </c>
      <c r="D113" s="348">
        <v>90</v>
      </c>
      <c r="E113" s="353">
        <v>48000</v>
      </c>
      <c r="F113" s="349">
        <v>45500</v>
      </c>
      <c r="G113" s="1285">
        <v>43614</v>
      </c>
      <c r="I113" s="423">
        <f>VLOOKUP(A113,'selección precios unitario'!$A$5:$I$418,9,FALSE)</f>
        <v>45053</v>
      </c>
    </row>
    <row r="114" spans="1:9" x14ac:dyDescent="0.2">
      <c r="A114" s="1583" t="s">
        <v>237</v>
      </c>
      <c r="B114" s="368" t="s">
        <v>88</v>
      </c>
      <c r="C114" s="367" t="s">
        <v>19</v>
      </c>
      <c r="D114" s="348">
        <v>149</v>
      </c>
      <c r="E114" s="353">
        <v>28000</v>
      </c>
      <c r="F114" s="1537">
        <v>11700</v>
      </c>
      <c r="G114" s="1285">
        <v>24610</v>
      </c>
      <c r="I114" s="423">
        <f>VLOOKUP(A114,'selección precios unitario'!$A$5:$I$418,9,FALSE)</f>
        <v>26305</v>
      </c>
    </row>
    <row r="115" spans="1:9" x14ac:dyDescent="0.2">
      <c r="A115" s="1583" t="s">
        <v>238</v>
      </c>
      <c r="B115" s="364" t="s">
        <v>90</v>
      </c>
      <c r="C115" s="367" t="s">
        <v>19</v>
      </c>
      <c r="D115" s="348">
        <v>298</v>
      </c>
      <c r="E115" s="353">
        <v>19000</v>
      </c>
      <c r="F115" s="1537">
        <v>8710</v>
      </c>
      <c r="G115" s="1285">
        <v>0</v>
      </c>
      <c r="I115" s="423">
        <f>VLOOKUP(A115,'selección precios unitario'!$A$5:$I$418,9,FALSE)</f>
        <v>19000</v>
      </c>
    </row>
    <row r="116" spans="1:9" x14ac:dyDescent="0.2">
      <c r="A116" s="1583" t="s">
        <v>239</v>
      </c>
      <c r="B116" s="358" t="s">
        <v>92</v>
      </c>
      <c r="C116" s="356" t="s">
        <v>19</v>
      </c>
      <c r="D116" s="346">
        <v>60</v>
      </c>
      <c r="E116" s="353">
        <v>18000</v>
      </c>
      <c r="F116" s="1537">
        <v>8710</v>
      </c>
      <c r="G116" s="1285">
        <v>17005</v>
      </c>
      <c r="I116" s="423">
        <f>VLOOKUP(A116,'selección precios unitario'!$A$5:$I$418,9,FALSE)</f>
        <v>17503</v>
      </c>
    </row>
    <row r="117" spans="1:9" x14ac:dyDescent="0.2">
      <c r="A117" s="1583" t="s">
        <v>240</v>
      </c>
      <c r="B117" s="364" t="s">
        <v>94</v>
      </c>
      <c r="C117" s="367" t="s">
        <v>19</v>
      </c>
      <c r="D117" s="348">
        <v>56</v>
      </c>
      <c r="E117" s="353">
        <v>17000</v>
      </c>
      <c r="F117" s="1537">
        <v>8710</v>
      </c>
      <c r="G117" s="1285">
        <v>0</v>
      </c>
      <c r="I117" s="423">
        <f>VLOOKUP(A117,'selección precios unitario'!$A$5:$I$418,9,FALSE)</f>
        <v>17000</v>
      </c>
    </row>
    <row r="118" spans="1:9" x14ac:dyDescent="0.2">
      <c r="A118" s="1583" t="s">
        <v>241</v>
      </c>
      <c r="B118" s="364" t="s">
        <v>84</v>
      </c>
      <c r="C118" s="367" t="s">
        <v>14</v>
      </c>
      <c r="D118" s="348">
        <v>149</v>
      </c>
      <c r="E118" s="353">
        <v>5400</v>
      </c>
      <c r="F118" s="349">
        <v>5200</v>
      </c>
      <c r="G118" s="1285">
        <v>0</v>
      </c>
      <c r="I118" s="423">
        <f>VLOOKUP(A118,'selección precios unitario'!$A$5:$I$418,9,FALSE)</f>
        <v>4700</v>
      </c>
    </row>
    <row r="119" spans="1:9" ht="38.25" x14ac:dyDescent="0.2">
      <c r="A119" s="1583" t="s">
        <v>242</v>
      </c>
      <c r="B119" s="368" t="s">
        <v>86</v>
      </c>
      <c r="C119" s="367" t="s">
        <v>14</v>
      </c>
      <c r="D119" s="348">
        <v>74</v>
      </c>
      <c r="E119" s="353">
        <v>28800</v>
      </c>
      <c r="F119" s="349">
        <v>6500</v>
      </c>
      <c r="G119" s="1285">
        <v>0</v>
      </c>
      <c r="I119" s="423">
        <f>VLOOKUP(A119,'selección precios unitario'!$A$5:$I$418,9,FALSE)</f>
        <v>17650</v>
      </c>
    </row>
    <row r="120" spans="1:9" x14ac:dyDescent="0.2">
      <c r="A120" s="1583" t="s">
        <v>243</v>
      </c>
      <c r="B120" s="368" t="s">
        <v>88</v>
      </c>
      <c r="C120" s="367" t="s">
        <v>14</v>
      </c>
      <c r="D120" s="348">
        <v>124</v>
      </c>
      <c r="E120" s="353">
        <v>16800</v>
      </c>
      <c r="F120" s="349">
        <v>11700</v>
      </c>
      <c r="G120" s="1285">
        <v>24610</v>
      </c>
      <c r="I120" s="423">
        <f>VLOOKUP(A120,'selección precios unitario'!$A$5:$I$418,9,FALSE)</f>
        <v>20705</v>
      </c>
    </row>
    <row r="121" spans="1:9" x14ac:dyDescent="0.2">
      <c r="A121" s="1583" t="s">
        <v>252</v>
      </c>
      <c r="B121" s="368" t="s">
        <v>1480</v>
      </c>
      <c r="C121" s="356" t="s">
        <v>6</v>
      </c>
      <c r="D121" s="348">
        <v>1</v>
      </c>
      <c r="E121" s="1536">
        <v>550000</v>
      </c>
      <c r="F121" s="349">
        <v>400000</v>
      </c>
      <c r="G121" s="1285">
        <v>0</v>
      </c>
      <c r="I121" s="423">
        <f>VLOOKUP(A121,'selección precios unitario'!$A$5:$I$418,9,FALSE)</f>
        <v>400000</v>
      </c>
    </row>
    <row r="122" spans="1:9" ht="25.5" x14ac:dyDescent="0.2">
      <c r="A122" s="1583" t="s">
        <v>254</v>
      </c>
      <c r="B122" s="391" t="s">
        <v>1481</v>
      </c>
      <c r="C122" s="367" t="s">
        <v>6</v>
      </c>
      <c r="D122" s="367">
        <v>1</v>
      </c>
      <c r="E122" s="379">
        <v>7500000</v>
      </c>
      <c r="F122" s="349">
        <v>4500000</v>
      </c>
      <c r="G122" s="1285">
        <v>0</v>
      </c>
      <c r="I122" s="423">
        <f>VLOOKUP(A122,'selección precios unitario'!$A$5:$I$418,9,FALSE)</f>
        <v>6000000</v>
      </c>
    </row>
    <row r="123" spans="1:9" x14ac:dyDescent="0.2">
      <c r="A123" s="1583" t="s">
        <v>258</v>
      </c>
      <c r="B123" s="347" t="s">
        <v>21</v>
      </c>
      <c r="C123" s="340" t="s">
        <v>19</v>
      </c>
      <c r="D123" s="348">
        <v>86</v>
      </c>
      <c r="E123" s="353">
        <v>20000</v>
      </c>
      <c r="F123" s="349">
        <v>19500</v>
      </c>
      <c r="G123" s="1285">
        <v>14660</v>
      </c>
      <c r="I123" s="423">
        <f>VLOOKUP(A123,'selección precios unitario'!$A$5:$I$418,9,FALSE)</f>
        <v>18053</v>
      </c>
    </row>
    <row r="124" spans="1:9" ht="25.5" x14ac:dyDescent="0.2">
      <c r="A124" s="1583" t="s">
        <v>259</v>
      </c>
      <c r="B124" s="358" t="s">
        <v>23</v>
      </c>
      <c r="C124" s="356" t="s">
        <v>19</v>
      </c>
      <c r="D124" s="348">
        <v>86</v>
      </c>
      <c r="E124" s="353">
        <v>35000</v>
      </c>
      <c r="F124" s="1537">
        <v>3731</v>
      </c>
      <c r="G124" s="1285">
        <v>29150</v>
      </c>
      <c r="I124" s="423">
        <f>VLOOKUP(A124,'selección precios unitario'!$A$5:$I$418,9,FALSE)</f>
        <v>32075</v>
      </c>
    </row>
    <row r="125" spans="1:9" ht="38.25" x14ac:dyDescent="0.2">
      <c r="A125" s="1583" t="s">
        <v>260</v>
      </c>
      <c r="B125" s="358" t="s">
        <v>29</v>
      </c>
      <c r="C125" s="356" t="s">
        <v>19</v>
      </c>
      <c r="D125" s="348">
        <v>86</v>
      </c>
      <c r="E125" s="353">
        <v>38000</v>
      </c>
      <c r="F125" s="349">
        <v>32500</v>
      </c>
      <c r="G125" s="1285">
        <v>0</v>
      </c>
      <c r="I125" s="423">
        <f>VLOOKUP(A125,'selección precios unitario'!$A$5:$I$418,9,FALSE)</f>
        <v>35250</v>
      </c>
    </row>
    <row r="126" spans="1:9" ht="38.25" x14ac:dyDescent="0.2">
      <c r="A126" s="1583" t="s">
        <v>261</v>
      </c>
      <c r="B126" s="358" t="s">
        <v>262</v>
      </c>
      <c r="C126" s="356" t="s">
        <v>19</v>
      </c>
      <c r="D126" s="348">
        <v>86</v>
      </c>
      <c r="E126" s="353">
        <v>280000</v>
      </c>
      <c r="F126" s="349">
        <v>128700</v>
      </c>
      <c r="G126" s="1285">
        <v>0</v>
      </c>
      <c r="I126" s="423">
        <f>VLOOKUP(A126,'selección precios unitario'!$A$5:$I$418,9,FALSE)</f>
        <v>224350</v>
      </c>
    </row>
    <row r="127" spans="1:9" x14ac:dyDescent="0.2">
      <c r="A127" s="1583" t="s">
        <v>263</v>
      </c>
      <c r="B127" s="347" t="s">
        <v>1482</v>
      </c>
      <c r="C127" s="340" t="s">
        <v>19</v>
      </c>
      <c r="D127" s="348">
        <v>1516</v>
      </c>
      <c r="E127" s="1536">
        <v>135000</v>
      </c>
      <c r="F127" s="349">
        <v>60000</v>
      </c>
      <c r="G127" s="1285">
        <v>0</v>
      </c>
      <c r="I127" s="423">
        <f>VLOOKUP(A127,'selección precios unitario'!$A$5:$I$418,9,FALSE)</f>
        <v>77870</v>
      </c>
    </row>
    <row r="128" spans="1:9" ht="25.5" x14ac:dyDescent="0.2">
      <c r="A128" s="1583" t="s">
        <v>266</v>
      </c>
      <c r="B128" s="358" t="s">
        <v>103</v>
      </c>
      <c r="C128" s="356" t="s">
        <v>19</v>
      </c>
      <c r="D128" s="348">
        <v>24</v>
      </c>
      <c r="E128" s="353">
        <v>130000</v>
      </c>
      <c r="F128" s="349">
        <v>122971.77200000001</v>
      </c>
      <c r="G128" s="1285">
        <v>113422</v>
      </c>
      <c r="I128" s="423">
        <f>VLOOKUP(A128,'selección precios unitario'!$A$5:$I$418,9,FALSE)</f>
        <v>122131</v>
      </c>
    </row>
    <row r="129" spans="1:9" x14ac:dyDescent="0.2">
      <c r="A129" s="1583" t="s">
        <v>275</v>
      </c>
      <c r="B129" s="347" t="s">
        <v>125</v>
      </c>
      <c r="C129" s="363" t="s">
        <v>6</v>
      </c>
      <c r="D129" s="369">
        <v>18</v>
      </c>
      <c r="E129" s="353">
        <v>20000</v>
      </c>
      <c r="F129" s="349">
        <v>33267</v>
      </c>
      <c r="G129" s="1285">
        <v>20219</v>
      </c>
      <c r="I129" s="423">
        <f>VLOOKUP(A129,'selección precios unitario'!$A$5:$I$418,9,FALSE)</f>
        <v>20110</v>
      </c>
    </row>
    <row r="130" spans="1:9" ht="38.25" x14ac:dyDescent="0.2">
      <c r="A130" s="1583" t="s">
        <v>276</v>
      </c>
      <c r="B130" s="396" t="s">
        <v>127</v>
      </c>
      <c r="C130" s="363" t="s">
        <v>6</v>
      </c>
      <c r="D130" s="369">
        <v>18</v>
      </c>
      <c r="E130" s="353">
        <v>120000</v>
      </c>
      <c r="F130" s="371">
        <v>0</v>
      </c>
      <c r="G130" s="1285">
        <v>120233</v>
      </c>
      <c r="I130" s="423">
        <f>VLOOKUP(A130,'selección precios unitario'!$A$5:$I$418,9,FALSE)</f>
        <v>119473</v>
      </c>
    </row>
    <row r="131" spans="1:9" ht="38.25" x14ac:dyDescent="0.2">
      <c r="A131" s="1583" t="s">
        <v>277</v>
      </c>
      <c r="B131" s="396" t="s">
        <v>129</v>
      </c>
      <c r="C131" s="363" t="s">
        <v>6</v>
      </c>
      <c r="D131" s="369">
        <v>18</v>
      </c>
      <c r="E131" s="353">
        <v>115000</v>
      </c>
      <c r="F131" s="371">
        <v>0</v>
      </c>
      <c r="G131" s="1285">
        <v>123946</v>
      </c>
      <c r="I131" s="423">
        <f>VLOOKUP(A131,'selección precios unitario'!$A$5:$I$418,9,FALSE)</f>
        <v>119473</v>
      </c>
    </row>
    <row r="132" spans="1:9" ht="25.5" x14ac:dyDescent="0.2">
      <c r="A132" s="1583" t="s">
        <v>278</v>
      </c>
      <c r="B132" s="347" t="s">
        <v>279</v>
      </c>
      <c r="C132" s="363" t="s">
        <v>6</v>
      </c>
      <c r="D132" s="369">
        <v>3</v>
      </c>
      <c r="E132" s="353">
        <v>95000</v>
      </c>
      <c r="F132" s="1537">
        <v>22000</v>
      </c>
      <c r="G132" s="1285">
        <v>96760</v>
      </c>
      <c r="I132" s="423">
        <f>VLOOKUP(A132,'selección precios unitario'!$A$5:$I$418,9,FALSE)</f>
        <v>95880</v>
      </c>
    </row>
    <row r="133" spans="1:9" ht="25.5" x14ac:dyDescent="0.2">
      <c r="A133" s="1583" t="s">
        <v>280</v>
      </c>
      <c r="B133" s="347" t="s">
        <v>133</v>
      </c>
      <c r="C133" s="363" t="s">
        <v>6</v>
      </c>
      <c r="D133" s="369">
        <v>12</v>
      </c>
      <c r="E133" s="353">
        <v>115000</v>
      </c>
      <c r="F133" s="1537">
        <v>80795</v>
      </c>
      <c r="G133" s="1285">
        <v>142064</v>
      </c>
      <c r="I133" s="423">
        <f>VLOOKUP(A133,'selección precios unitario'!$A$5:$I$418,9,FALSE)</f>
        <v>103175</v>
      </c>
    </row>
    <row r="134" spans="1:9" ht="25.5" x14ac:dyDescent="0.2">
      <c r="A134" s="1583" t="s">
        <v>281</v>
      </c>
      <c r="B134" s="347" t="s">
        <v>135</v>
      </c>
      <c r="C134" s="363" t="s">
        <v>14</v>
      </c>
      <c r="D134" s="369">
        <v>20</v>
      </c>
      <c r="E134" s="353">
        <v>17000</v>
      </c>
      <c r="F134" s="1537">
        <v>8736</v>
      </c>
      <c r="G134" s="1285">
        <v>16536</v>
      </c>
      <c r="I134" s="423">
        <f>VLOOKUP(A134,'selección precios unitario'!$A$5:$I$418,9,FALSE)</f>
        <v>16768</v>
      </c>
    </row>
    <row r="135" spans="1:9" x14ac:dyDescent="0.2">
      <c r="A135" s="1583" t="s">
        <v>282</v>
      </c>
      <c r="B135" s="397" t="s">
        <v>1469</v>
      </c>
      <c r="C135" s="363" t="s">
        <v>6</v>
      </c>
      <c r="D135" s="369">
        <v>18</v>
      </c>
      <c r="E135" s="353">
        <v>38000</v>
      </c>
      <c r="F135" s="1537">
        <v>12948</v>
      </c>
      <c r="G135" s="1285">
        <v>34244</v>
      </c>
      <c r="I135" s="423">
        <f>VLOOKUP(A135,'selección precios unitario'!$A$5:$I$418,9,FALSE)</f>
        <v>36122</v>
      </c>
    </row>
    <row r="136" spans="1:9" x14ac:dyDescent="0.2">
      <c r="A136" s="1583" t="s">
        <v>283</v>
      </c>
      <c r="B136" s="397" t="s">
        <v>1470</v>
      </c>
      <c r="C136" s="363" t="s">
        <v>6</v>
      </c>
      <c r="D136" s="369">
        <v>3</v>
      </c>
      <c r="E136" s="353">
        <v>48000</v>
      </c>
      <c r="F136" s="1537">
        <v>16848</v>
      </c>
      <c r="G136" s="1285">
        <v>46067</v>
      </c>
      <c r="I136" s="423">
        <f>VLOOKUP(A136,'selección precios unitario'!$A$5:$I$418,9,FALSE)</f>
        <v>47034</v>
      </c>
    </row>
    <row r="137" spans="1:9" ht="25.5" x14ac:dyDescent="0.2">
      <c r="A137" s="1583" t="s">
        <v>284</v>
      </c>
      <c r="B137" s="364" t="s">
        <v>141</v>
      </c>
      <c r="C137" s="363" t="s">
        <v>6</v>
      </c>
      <c r="D137" s="369">
        <v>1</v>
      </c>
      <c r="E137" s="353">
        <v>3500000</v>
      </c>
      <c r="F137" s="1537">
        <v>2570460</v>
      </c>
      <c r="G137" s="1285">
        <v>3045320</v>
      </c>
      <c r="I137" s="423">
        <f>VLOOKUP(A137,'selección precios unitario'!$A$5:$I$418,9,FALSE)</f>
        <v>3035230</v>
      </c>
    </row>
    <row r="138" spans="1:9" ht="25.5" x14ac:dyDescent="0.2">
      <c r="A138" s="1583" t="s">
        <v>285</v>
      </c>
      <c r="B138" s="398" t="s">
        <v>286</v>
      </c>
      <c r="C138" s="363" t="s">
        <v>6</v>
      </c>
      <c r="D138" s="369">
        <v>1</v>
      </c>
      <c r="E138" s="353">
        <v>450000</v>
      </c>
      <c r="F138" s="349">
        <v>225498</v>
      </c>
      <c r="G138" s="1285">
        <v>0</v>
      </c>
      <c r="I138" s="423">
        <f>VLOOKUP(A138,'selección precios unitario'!$A$5:$I$418,9,FALSE)</f>
        <v>337749</v>
      </c>
    </row>
    <row r="139" spans="1:9" x14ac:dyDescent="0.2">
      <c r="A139" s="1583" t="s">
        <v>267</v>
      </c>
      <c r="B139" s="347" t="s">
        <v>105</v>
      </c>
      <c r="C139" s="356" t="s">
        <v>14</v>
      </c>
      <c r="D139" s="348">
        <v>15</v>
      </c>
      <c r="E139" s="353">
        <v>50000</v>
      </c>
      <c r="F139" s="1537">
        <v>111069.57400000001</v>
      </c>
      <c r="G139" s="1285">
        <v>41152</v>
      </c>
      <c r="I139" s="423">
        <f>VLOOKUP(A139,'selección precios unitario'!$A$5:$I$418,9,FALSE)</f>
        <v>45576</v>
      </c>
    </row>
    <row r="140" spans="1:9" ht="38.25" x14ac:dyDescent="0.2">
      <c r="A140" s="1583" t="s">
        <v>268</v>
      </c>
      <c r="B140" s="358" t="s">
        <v>1468</v>
      </c>
      <c r="C140" s="356" t="s">
        <v>14</v>
      </c>
      <c r="D140" s="348">
        <v>15</v>
      </c>
      <c r="E140" s="353">
        <v>78000</v>
      </c>
      <c r="F140" s="349">
        <v>76011.936000000002</v>
      </c>
      <c r="G140" s="1285">
        <v>46346</v>
      </c>
      <c r="I140" s="423">
        <f>VLOOKUP(A140,'selección precios unitario'!$A$5:$I$418,9,FALSE)</f>
        <v>46346</v>
      </c>
    </row>
    <row r="141" spans="1:9" x14ac:dyDescent="0.2">
      <c r="A141" s="1583" t="s">
        <v>269</v>
      </c>
      <c r="B141" s="347" t="s">
        <v>109</v>
      </c>
      <c r="C141" s="356" t="s">
        <v>14</v>
      </c>
      <c r="D141" s="348">
        <v>9.39</v>
      </c>
      <c r="E141" s="1537">
        <v>50000</v>
      </c>
      <c r="F141" s="1566">
        <v>17277</v>
      </c>
      <c r="G141" s="1285">
        <v>37101</v>
      </c>
      <c r="I141" s="423">
        <f>VLOOKUP(A141,'selección precios unitario'!$A$5:$I$418,9,FALSE)</f>
        <v>37101</v>
      </c>
    </row>
    <row r="142" spans="1:9" ht="38.25" x14ac:dyDescent="0.2">
      <c r="A142" s="1583" t="s">
        <v>270</v>
      </c>
      <c r="B142" s="396" t="s">
        <v>111</v>
      </c>
      <c r="C142" s="363" t="s">
        <v>6</v>
      </c>
      <c r="D142" s="369">
        <v>3</v>
      </c>
      <c r="E142" s="353">
        <v>650000</v>
      </c>
      <c r="F142" s="1537">
        <v>802118.24000000011</v>
      </c>
      <c r="G142" s="1285">
        <v>579485</v>
      </c>
      <c r="I142" s="423">
        <f>VLOOKUP(A142,'selección precios unitario'!$A$5:$I$418,9,FALSE)</f>
        <v>614743</v>
      </c>
    </row>
    <row r="143" spans="1:9" ht="51" x14ac:dyDescent="0.2">
      <c r="A143" s="1583" t="s">
        <v>271</v>
      </c>
      <c r="B143" s="347" t="s">
        <v>117</v>
      </c>
      <c r="C143" s="363" t="s">
        <v>14</v>
      </c>
      <c r="D143" s="369">
        <v>54</v>
      </c>
      <c r="E143" s="353">
        <v>75000</v>
      </c>
      <c r="F143" s="1537">
        <v>31265</v>
      </c>
      <c r="G143" s="1285">
        <v>70329</v>
      </c>
      <c r="I143" s="423">
        <f>VLOOKUP(A143,'selección precios unitario'!$A$5:$I$418,9,FALSE)</f>
        <v>72665</v>
      </c>
    </row>
    <row r="144" spans="1:9" ht="25.5" x14ac:dyDescent="0.2">
      <c r="A144" s="1583" t="s">
        <v>272</v>
      </c>
      <c r="B144" s="358" t="s">
        <v>119</v>
      </c>
      <c r="C144" s="363" t="s">
        <v>6</v>
      </c>
      <c r="D144" s="369">
        <v>48</v>
      </c>
      <c r="E144" s="353">
        <v>38000</v>
      </c>
      <c r="F144" s="1537">
        <v>16263</v>
      </c>
      <c r="G144" s="1285">
        <v>31702</v>
      </c>
      <c r="I144" s="423">
        <f>VLOOKUP(A144,'selección precios unitario'!$A$5:$I$418,9,FALSE)</f>
        <v>34851</v>
      </c>
    </row>
    <row r="145" spans="1:52" x14ac:dyDescent="0.2">
      <c r="A145" s="1583" t="s">
        <v>273</v>
      </c>
      <c r="B145" s="347" t="s">
        <v>121</v>
      </c>
      <c r="C145" s="363" t="s">
        <v>14</v>
      </c>
      <c r="D145" s="369">
        <v>375</v>
      </c>
      <c r="E145" s="353">
        <v>10550</v>
      </c>
      <c r="F145" s="1537">
        <v>4732</v>
      </c>
      <c r="G145" s="1285">
        <v>10285</v>
      </c>
      <c r="I145" s="423">
        <f>VLOOKUP(A145,'selección precios unitario'!$A$5:$I$418,9,FALSE)</f>
        <v>10418</v>
      </c>
    </row>
    <row r="146" spans="1:52" ht="38.25" x14ac:dyDescent="0.2">
      <c r="A146" s="1583" t="s">
        <v>274</v>
      </c>
      <c r="B146" s="396" t="s">
        <v>123</v>
      </c>
      <c r="C146" s="363" t="s">
        <v>6</v>
      </c>
      <c r="D146" s="369">
        <v>18</v>
      </c>
      <c r="E146" s="353">
        <v>72000</v>
      </c>
      <c r="F146" s="1537">
        <v>112086</v>
      </c>
      <c r="G146" s="1285">
        <v>70740</v>
      </c>
      <c r="I146" s="423">
        <f>VLOOKUP(A146,'selección precios unitario'!$A$5:$I$418,9,FALSE)</f>
        <v>71370</v>
      </c>
    </row>
    <row r="147" spans="1:52" ht="25.5" x14ac:dyDescent="0.2">
      <c r="A147" s="1583" t="s">
        <v>289</v>
      </c>
      <c r="B147" s="347" t="s">
        <v>290</v>
      </c>
      <c r="C147" s="356" t="s">
        <v>19</v>
      </c>
      <c r="D147" s="348">
        <v>225</v>
      </c>
      <c r="E147" s="1536">
        <v>45000</v>
      </c>
      <c r="F147" s="349">
        <v>4000</v>
      </c>
      <c r="G147" s="1285">
        <v>0</v>
      </c>
      <c r="I147" s="423">
        <f>VLOOKUP(A147,'selección precios unitario'!$A$5:$I$418,9,FALSE)</f>
        <v>24500</v>
      </c>
    </row>
    <row r="148" spans="1:52" ht="25.5" x14ac:dyDescent="0.2">
      <c r="A148" s="1583" t="s">
        <v>291</v>
      </c>
      <c r="B148" s="347" t="s">
        <v>292</v>
      </c>
      <c r="C148" s="356" t="s">
        <v>19</v>
      </c>
      <c r="D148" s="348">
        <v>225</v>
      </c>
      <c r="E148" s="353">
        <v>35000</v>
      </c>
      <c r="F148" s="349">
        <v>8710</v>
      </c>
      <c r="G148" s="1285">
        <v>0</v>
      </c>
      <c r="I148" s="423">
        <f>VLOOKUP(A148,'selección precios unitario'!$A$5:$I$418,9,FALSE)</f>
        <v>21855</v>
      </c>
    </row>
    <row r="149" spans="1:52" ht="25.5" x14ac:dyDescent="0.2">
      <c r="A149" s="1583" t="s">
        <v>295</v>
      </c>
      <c r="B149" s="358" t="s">
        <v>296</v>
      </c>
      <c r="C149" s="356" t="s">
        <v>6</v>
      </c>
      <c r="D149" s="348">
        <v>1</v>
      </c>
      <c r="E149" s="379">
        <v>850000</v>
      </c>
      <c r="F149" s="349">
        <v>1000000</v>
      </c>
      <c r="G149" s="1285">
        <v>0</v>
      </c>
      <c r="I149" s="423">
        <f>VLOOKUP(A149,'selección precios unitario'!$A$5:$I$418,9,FALSE)</f>
        <v>925000</v>
      </c>
    </row>
    <row r="150" spans="1:52" x14ac:dyDescent="0.2">
      <c r="A150" s="1583" t="s">
        <v>297</v>
      </c>
      <c r="B150" s="358" t="s">
        <v>298</v>
      </c>
      <c r="C150" s="356" t="s">
        <v>14</v>
      </c>
      <c r="D150" s="348">
        <v>486.00000000000006</v>
      </c>
      <c r="E150" s="353">
        <v>25000</v>
      </c>
      <c r="F150" s="349">
        <v>31213</v>
      </c>
      <c r="G150" s="1285">
        <v>0</v>
      </c>
      <c r="I150" s="423">
        <f>VLOOKUP(A150,'selección precios unitario'!$A$5:$I$418,9,FALSE)</f>
        <v>28107</v>
      </c>
    </row>
    <row r="151" spans="1:52" x14ac:dyDescent="0.2">
      <c r="A151" s="1583" t="s">
        <v>299</v>
      </c>
      <c r="B151" s="358" t="s">
        <v>1483</v>
      </c>
      <c r="C151" s="356" t="s">
        <v>6</v>
      </c>
      <c r="D151" s="348">
        <v>6</v>
      </c>
      <c r="E151" s="353">
        <v>50000</v>
      </c>
      <c r="F151" s="349">
        <v>41800</v>
      </c>
      <c r="G151" s="1285">
        <v>0</v>
      </c>
      <c r="I151" s="423">
        <f>VLOOKUP(A151,'selección precios unitario'!$A$5:$I$418,9,FALSE)</f>
        <v>45900</v>
      </c>
    </row>
    <row r="152" spans="1:52" x14ac:dyDescent="0.2">
      <c r="A152" s="1583" t="s">
        <v>301</v>
      </c>
      <c r="B152" s="358" t="s">
        <v>1484</v>
      </c>
      <c r="C152" s="356" t="s">
        <v>6</v>
      </c>
      <c r="D152" s="348">
        <v>6</v>
      </c>
      <c r="E152" s="379">
        <v>500000</v>
      </c>
      <c r="F152" s="349">
        <v>325000</v>
      </c>
      <c r="G152" s="1285">
        <v>0</v>
      </c>
      <c r="I152" s="423">
        <f>VLOOKUP(A152,'selección precios unitario'!$A$5:$I$418,9,FALSE)</f>
        <v>412500</v>
      </c>
    </row>
    <row r="153" spans="1:52" ht="25.5" x14ac:dyDescent="0.2">
      <c r="A153" s="1583" t="s">
        <v>303</v>
      </c>
      <c r="B153" s="347" t="s">
        <v>304</v>
      </c>
      <c r="C153" s="340" t="s">
        <v>14</v>
      </c>
      <c r="D153" s="348">
        <v>3</v>
      </c>
      <c r="E153" s="353">
        <v>40000</v>
      </c>
      <c r="F153" s="349">
        <v>36283</v>
      </c>
      <c r="G153" s="1285">
        <v>38658.06</v>
      </c>
      <c r="I153" s="423">
        <f>VLOOKUP(A153,'selección precios unitario'!$A$5:$I$418,9,FALSE)</f>
        <v>38314</v>
      </c>
    </row>
    <row r="154" spans="1:52" x14ac:dyDescent="0.2">
      <c r="A154" s="1583" t="s">
        <v>305</v>
      </c>
      <c r="B154" s="358" t="s">
        <v>195</v>
      </c>
      <c r="C154" s="356" t="s">
        <v>19</v>
      </c>
      <c r="D154" s="348">
        <v>1148</v>
      </c>
      <c r="E154" s="379">
        <v>7000</v>
      </c>
      <c r="F154" s="349">
        <v>4200</v>
      </c>
      <c r="G154" s="1285">
        <v>5300</v>
      </c>
      <c r="I154" s="423">
        <f>VLOOKUP(A154,'selección precios unitario'!$A$5:$I$418,9,FALSE)</f>
        <v>5500</v>
      </c>
    </row>
    <row r="155" spans="1:52" s="1533" customFormat="1" x14ac:dyDescent="0.2">
      <c r="A155" s="1583" t="s">
        <v>308</v>
      </c>
      <c r="B155" s="358" t="s">
        <v>309</v>
      </c>
      <c r="C155" s="356" t="s">
        <v>19</v>
      </c>
      <c r="D155" s="348">
        <v>175</v>
      </c>
      <c r="E155" s="353">
        <v>12000</v>
      </c>
      <c r="F155" s="349">
        <v>7046</v>
      </c>
      <c r="G155" s="1285">
        <v>0</v>
      </c>
      <c r="H155" s="1544"/>
      <c r="I155" s="423">
        <f>VLOOKUP(A155,'selección precios unitario'!$A$5:$I$418,9,FALSE)</f>
        <v>9523</v>
      </c>
      <c r="J155" s="1544"/>
      <c r="K155" s="1544"/>
      <c r="L155" s="1544"/>
      <c r="M155" s="1544"/>
      <c r="N155" s="1544"/>
      <c r="O155" s="1544"/>
      <c r="P155" s="1544"/>
      <c r="Q155" s="1544"/>
      <c r="R155" s="1544"/>
      <c r="S155" s="1544"/>
      <c r="T155" s="1544"/>
      <c r="U155" s="1544"/>
      <c r="V155" s="1544"/>
      <c r="W155" s="1544"/>
      <c r="X155" s="1544"/>
      <c r="Y155" s="1544"/>
      <c r="Z155" s="1544"/>
      <c r="AA155" s="1544"/>
      <c r="AB155" s="1544"/>
      <c r="AC155" s="1544"/>
      <c r="AD155" s="1544"/>
      <c r="AE155" s="1544"/>
      <c r="AF155" s="1544"/>
      <c r="AG155" s="1544"/>
      <c r="AH155" s="1544"/>
      <c r="AI155" s="1544"/>
      <c r="AJ155" s="1544"/>
      <c r="AK155" s="1544"/>
      <c r="AL155" s="1544"/>
      <c r="AM155" s="1544"/>
      <c r="AN155" s="1544"/>
      <c r="AO155" s="1544"/>
      <c r="AP155" s="1544"/>
      <c r="AQ155" s="1544"/>
      <c r="AR155" s="1544"/>
      <c r="AS155" s="1544"/>
      <c r="AT155" s="1544"/>
      <c r="AU155" s="1544"/>
      <c r="AV155" s="1544"/>
      <c r="AW155" s="1544"/>
      <c r="AX155" s="1544"/>
      <c r="AY155" s="1544"/>
      <c r="AZ155" s="1544"/>
    </row>
    <row r="156" spans="1:52" ht="25.5" x14ac:dyDescent="0.2">
      <c r="A156" s="1583" t="s">
        <v>310</v>
      </c>
      <c r="B156" s="347" t="s">
        <v>43</v>
      </c>
      <c r="C156" s="340" t="s">
        <v>6</v>
      </c>
      <c r="D156" s="348">
        <v>16</v>
      </c>
      <c r="E156" s="353">
        <v>66000</v>
      </c>
      <c r="F156" s="1539">
        <v>32500</v>
      </c>
      <c r="G156" s="1285">
        <v>64568</v>
      </c>
      <c r="I156" s="423">
        <f>VLOOKUP(A156,'selección precios unitario'!$A$5:$I$418,9,FALSE)</f>
        <v>65284</v>
      </c>
    </row>
    <row r="157" spans="1:52" ht="51" x14ac:dyDescent="0.2">
      <c r="A157" s="1583" t="s">
        <v>311</v>
      </c>
      <c r="B157" s="358" t="s">
        <v>45</v>
      </c>
      <c r="C157" s="361" t="s">
        <v>6</v>
      </c>
      <c r="D157" s="348">
        <v>16</v>
      </c>
      <c r="E157" s="353">
        <v>66000</v>
      </c>
      <c r="F157" s="1539">
        <v>35581</v>
      </c>
      <c r="G157" s="1285">
        <v>64421</v>
      </c>
      <c r="I157" s="423">
        <f>VLOOKUP(A157,'selección precios unitario'!$A$5:$I$418,9,FALSE)</f>
        <v>65211</v>
      </c>
    </row>
    <row r="158" spans="1:52" ht="25.5" x14ac:dyDescent="0.2">
      <c r="A158" s="1583" t="s">
        <v>312</v>
      </c>
      <c r="B158" s="347" t="s">
        <v>49</v>
      </c>
      <c r="C158" s="340" t="s">
        <v>14</v>
      </c>
      <c r="D158" s="348">
        <v>116</v>
      </c>
      <c r="E158" s="353">
        <v>110000</v>
      </c>
      <c r="F158" s="1537">
        <v>132301</v>
      </c>
      <c r="G158" s="1285">
        <v>106395</v>
      </c>
      <c r="I158" s="423">
        <f>VLOOKUP(A158,'selección precios unitario'!$A$5:$I$418,9,FALSE)</f>
        <v>108965</v>
      </c>
    </row>
    <row r="159" spans="1:52" ht="25.5" x14ac:dyDescent="0.2">
      <c r="A159" s="1583" t="s">
        <v>313</v>
      </c>
      <c r="B159" s="347" t="s">
        <v>314</v>
      </c>
      <c r="C159" s="340" t="s">
        <v>14</v>
      </c>
      <c r="D159" s="348">
        <v>195</v>
      </c>
      <c r="E159" s="353">
        <v>100000</v>
      </c>
      <c r="F159" s="349">
        <v>104000</v>
      </c>
      <c r="G159" s="1285">
        <v>97346</v>
      </c>
      <c r="I159" s="423">
        <f>VLOOKUP(A159,'selección precios unitario'!$A$5:$I$418,9,FALSE)</f>
        <v>100449</v>
      </c>
    </row>
    <row r="160" spans="1:52" ht="25.5" x14ac:dyDescent="0.2">
      <c r="A160" s="1583" t="s">
        <v>315</v>
      </c>
      <c r="B160" s="347" t="s">
        <v>316</v>
      </c>
      <c r="C160" s="340" t="s">
        <v>19</v>
      </c>
      <c r="D160" s="348">
        <v>201</v>
      </c>
      <c r="E160" s="353">
        <v>80000</v>
      </c>
      <c r="F160" s="1537">
        <v>65949</v>
      </c>
      <c r="G160" s="1285">
        <v>77917</v>
      </c>
      <c r="I160" s="423">
        <f>VLOOKUP(A160,'selección precios unitario'!$A$5:$I$418,9,FALSE)</f>
        <v>78959</v>
      </c>
    </row>
    <row r="161" spans="1:9" ht="38.25" x14ac:dyDescent="0.2">
      <c r="A161" s="1587" t="s">
        <v>321</v>
      </c>
      <c r="B161" s="347" t="s">
        <v>222</v>
      </c>
      <c r="C161" s="340" t="s">
        <v>14</v>
      </c>
      <c r="D161" s="348">
        <v>29</v>
      </c>
      <c r="E161" s="353">
        <v>135000</v>
      </c>
      <c r="F161" s="399">
        <v>0</v>
      </c>
      <c r="G161" s="1285">
        <v>226947</v>
      </c>
      <c r="I161" s="423">
        <f>VLOOKUP(A161,'selección precios unitario'!$A$5:$I$418,9,FALSE)</f>
        <v>226947</v>
      </c>
    </row>
    <row r="162" spans="1:9" ht="25.5" x14ac:dyDescent="0.2">
      <c r="A162" s="1587" t="s">
        <v>335</v>
      </c>
      <c r="B162" s="358" t="s">
        <v>1487</v>
      </c>
      <c r="C162" s="356" t="s">
        <v>14</v>
      </c>
      <c r="D162" s="356">
        <v>90</v>
      </c>
      <c r="E162" s="353">
        <v>25000</v>
      </c>
      <c r="F162" s="349">
        <v>31213</v>
      </c>
      <c r="G162" s="1285">
        <v>0</v>
      </c>
      <c r="I162" s="423">
        <f>VLOOKUP(A162,'selección precios unitario'!$A$5:$I$418,9,FALSE)</f>
        <v>36943</v>
      </c>
    </row>
    <row r="163" spans="1:9" x14ac:dyDescent="0.2">
      <c r="A163" s="1587" t="s">
        <v>337</v>
      </c>
      <c r="B163" s="347" t="s">
        <v>1488</v>
      </c>
      <c r="C163" s="356" t="s">
        <v>14</v>
      </c>
      <c r="D163" s="355">
        <v>29</v>
      </c>
      <c r="E163" s="353">
        <v>12000</v>
      </c>
      <c r="F163" s="350">
        <v>14000</v>
      </c>
      <c r="G163" s="1285">
        <v>0</v>
      </c>
      <c r="I163" s="423">
        <f>VLOOKUP(A163,'selección precios unitario'!$A$5:$I$418,9,FALSE)</f>
        <v>13000</v>
      </c>
    </row>
    <row r="164" spans="1:9" ht="25.5" x14ac:dyDescent="0.2">
      <c r="A164" s="1587" t="s">
        <v>339</v>
      </c>
      <c r="B164" s="358" t="s">
        <v>340</v>
      </c>
      <c r="C164" s="356" t="s">
        <v>19</v>
      </c>
      <c r="D164" s="355">
        <v>9</v>
      </c>
      <c r="E164" s="1536">
        <v>110000</v>
      </c>
      <c r="F164" s="350">
        <v>74300</v>
      </c>
      <c r="G164" s="1285">
        <v>0</v>
      </c>
      <c r="I164" s="423">
        <f>VLOOKUP(A164,'selección precios unitario'!$A$5:$I$418,9,FALSE)</f>
        <v>74300</v>
      </c>
    </row>
    <row r="165" spans="1:9" ht="25.5" x14ac:dyDescent="0.2">
      <c r="A165" s="1587" t="s">
        <v>322</v>
      </c>
      <c r="B165" s="347" t="s">
        <v>224</v>
      </c>
      <c r="C165" s="340" t="s">
        <v>19</v>
      </c>
      <c r="D165" s="348">
        <v>73</v>
      </c>
      <c r="E165" s="353">
        <v>12500</v>
      </c>
      <c r="F165" s="349">
        <v>5000</v>
      </c>
      <c r="G165" s="1285">
        <v>16681</v>
      </c>
      <c r="I165" s="423">
        <f>VLOOKUP(A165,'selección precios unitario'!$A$5:$I$418,9,FALSE)</f>
        <v>16681</v>
      </c>
    </row>
    <row r="166" spans="1:9" x14ac:dyDescent="0.2">
      <c r="A166" s="1587" t="s">
        <v>323</v>
      </c>
      <c r="B166" s="358" t="s">
        <v>324</v>
      </c>
      <c r="C166" s="356" t="s">
        <v>19</v>
      </c>
      <c r="D166" s="356">
        <v>7</v>
      </c>
      <c r="E166" s="1536">
        <v>20000</v>
      </c>
      <c r="F166" s="350">
        <v>6656</v>
      </c>
      <c r="G166" s="1285">
        <v>0</v>
      </c>
      <c r="I166" s="423">
        <f>VLOOKUP(A166,'selección precios unitario'!$A$5:$I$418,9,FALSE)</f>
        <v>8250</v>
      </c>
    </row>
    <row r="167" spans="1:9" x14ac:dyDescent="0.2">
      <c r="A167" s="1587" t="s">
        <v>325</v>
      </c>
      <c r="B167" s="358" t="s">
        <v>324</v>
      </c>
      <c r="C167" s="356" t="s">
        <v>14</v>
      </c>
      <c r="D167" s="356">
        <v>91</v>
      </c>
      <c r="E167" s="353">
        <v>12000</v>
      </c>
      <c r="F167" s="350">
        <v>4500</v>
      </c>
      <c r="G167" s="1285">
        <v>0</v>
      </c>
      <c r="I167" s="423">
        <f>VLOOKUP(A167,'selección precios unitario'!$A$5:$I$418,9,FALSE)</f>
        <v>8250</v>
      </c>
    </row>
    <row r="168" spans="1:9" ht="25.5" x14ac:dyDescent="0.2">
      <c r="A168" s="1587" t="s">
        <v>326</v>
      </c>
      <c r="B168" s="347" t="s">
        <v>327</v>
      </c>
      <c r="C168" s="356" t="s">
        <v>19</v>
      </c>
      <c r="D168" s="356">
        <v>7</v>
      </c>
      <c r="E168" s="1536">
        <v>110000</v>
      </c>
      <c r="F168" s="350">
        <v>68952</v>
      </c>
      <c r="G168" s="1285">
        <v>0</v>
      </c>
      <c r="I168" s="423">
        <f>VLOOKUP(A168,'selección precios unitario'!$A$5:$I$418,9,FALSE)</f>
        <v>74300</v>
      </c>
    </row>
    <row r="169" spans="1:9" x14ac:dyDescent="0.2">
      <c r="A169" s="1587" t="s">
        <v>328</v>
      </c>
      <c r="B169" s="368" t="s">
        <v>88</v>
      </c>
      <c r="C169" s="367" t="s">
        <v>19</v>
      </c>
      <c r="D169" s="356">
        <v>189</v>
      </c>
      <c r="E169" s="353">
        <v>28000</v>
      </c>
      <c r="F169" s="350">
        <v>11700</v>
      </c>
      <c r="G169" s="1285">
        <v>24610</v>
      </c>
      <c r="I169" s="423">
        <f>VLOOKUP(A169,'selección precios unitario'!$A$5:$I$418,9,FALSE)</f>
        <v>26305</v>
      </c>
    </row>
    <row r="170" spans="1:9" ht="25.5" x14ac:dyDescent="0.2">
      <c r="A170" s="1587" t="s">
        <v>329</v>
      </c>
      <c r="B170" s="358" t="s">
        <v>330</v>
      </c>
      <c r="C170" s="356" t="s">
        <v>19</v>
      </c>
      <c r="D170" s="356">
        <v>377</v>
      </c>
      <c r="E170" s="353">
        <v>21000</v>
      </c>
      <c r="F170" s="1539">
        <v>7982</v>
      </c>
      <c r="G170" s="1285">
        <v>0</v>
      </c>
      <c r="I170" s="423">
        <f>VLOOKUP(A170,'selección precios unitario'!$A$5:$I$418,9,FALSE)</f>
        <v>21000</v>
      </c>
    </row>
    <row r="171" spans="1:9" ht="25.5" x14ac:dyDescent="0.2">
      <c r="A171" s="1587" t="s">
        <v>331</v>
      </c>
      <c r="B171" s="358" t="s">
        <v>1485</v>
      </c>
      <c r="C171" s="356" t="s">
        <v>14</v>
      </c>
      <c r="D171" s="356">
        <v>28</v>
      </c>
      <c r="E171" s="379">
        <v>20000</v>
      </c>
      <c r="F171" s="350">
        <v>3055</v>
      </c>
      <c r="G171" s="1285">
        <v>0</v>
      </c>
      <c r="I171" s="423">
        <f>VLOOKUP(A171,'selección precios unitario'!$A$5:$I$418,9,FALSE)</f>
        <v>11528</v>
      </c>
    </row>
    <row r="172" spans="1:9" ht="25.5" x14ac:dyDescent="0.2">
      <c r="A172" s="1587" t="s">
        <v>333</v>
      </c>
      <c r="B172" s="358" t="s">
        <v>1486</v>
      </c>
      <c r="C172" s="356" t="s">
        <v>14</v>
      </c>
      <c r="D172" s="356">
        <v>16</v>
      </c>
      <c r="E172" s="379">
        <v>65000</v>
      </c>
      <c r="F172" s="350">
        <v>52897</v>
      </c>
      <c r="G172" s="1285">
        <v>0</v>
      </c>
      <c r="I172" s="423">
        <f>VLOOKUP(A172,'selección precios unitario'!$A$5:$I$418,9,FALSE)</f>
        <v>58949</v>
      </c>
    </row>
    <row r="173" spans="1:9" x14ac:dyDescent="0.2">
      <c r="A173" s="1587" t="s">
        <v>343</v>
      </c>
      <c r="B173" s="347" t="s">
        <v>21</v>
      </c>
      <c r="C173" s="367" t="s">
        <v>19</v>
      </c>
      <c r="D173" s="356">
        <v>14</v>
      </c>
      <c r="E173" s="353">
        <v>20000</v>
      </c>
      <c r="F173" s="350">
        <v>19500</v>
      </c>
      <c r="G173" s="1285">
        <v>14660</v>
      </c>
      <c r="I173" s="423">
        <f>VLOOKUP(A173,'selección precios unitario'!$A$5:$I$418,9,FALSE)</f>
        <v>18053</v>
      </c>
    </row>
    <row r="174" spans="1:9" ht="25.5" x14ac:dyDescent="0.2">
      <c r="A174" s="1587" t="s">
        <v>356</v>
      </c>
      <c r="B174" s="360" t="s">
        <v>1490</v>
      </c>
      <c r="C174" s="356" t="s">
        <v>14</v>
      </c>
      <c r="D174" s="355">
        <v>24</v>
      </c>
      <c r="E174" s="353">
        <v>52000</v>
      </c>
      <c r="F174" s="350">
        <v>45383</v>
      </c>
      <c r="G174" s="1285">
        <v>0</v>
      </c>
      <c r="I174" s="423">
        <f>VLOOKUP(A174,'selección precios unitario'!$A$5:$I$418,9,FALSE)</f>
        <v>48692</v>
      </c>
    </row>
    <row r="175" spans="1:9" x14ac:dyDescent="0.2">
      <c r="A175" s="1587" t="s">
        <v>344</v>
      </c>
      <c r="B175" s="358" t="s">
        <v>25</v>
      </c>
      <c r="C175" s="356" t="s">
        <v>19</v>
      </c>
      <c r="D175" s="356">
        <v>14</v>
      </c>
      <c r="E175" s="353">
        <v>27000</v>
      </c>
      <c r="F175" s="350">
        <v>5200</v>
      </c>
      <c r="G175" s="1285">
        <v>0</v>
      </c>
      <c r="I175" s="423">
        <f>VLOOKUP(A175,'selección precios unitario'!$A$5:$I$418,9,FALSE)</f>
        <v>10612</v>
      </c>
    </row>
    <row r="176" spans="1:9" x14ac:dyDescent="0.2">
      <c r="A176" s="1587" t="s">
        <v>346</v>
      </c>
      <c r="B176" s="347" t="s">
        <v>206</v>
      </c>
      <c r="C176" s="340" t="s">
        <v>19</v>
      </c>
      <c r="D176" s="356">
        <v>14</v>
      </c>
      <c r="E176" s="353">
        <v>35000</v>
      </c>
      <c r="F176" s="1539">
        <v>3731</v>
      </c>
      <c r="G176" s="1285">
        <v>29150</v>
      </c>
      <c r="I176" s="423">
        <f>VLOOKUP(A176,'selección precios unitario'!$A$5:$I$418,9,FALSE)</f>
        <v>32075</v>
      </c>
    </row>
    <row r="177" spans="1:9" ht="25.5" x14ac:dyDescent="0.2">
      <c r="A177" s="1587" t="s">
        <v>347</v>
      </c>
      <c r="B177" s="358" t="s">
        <v>208</v>
      </c>
      <c r="C177" s="356" t="s">
        <v>19</v>
      </c>
      <c r="D177" s="356">
        <v>15</v>
      </c>
      <c r="E177" s="353">
        <v>38000</v>
      </c>
      <c r="F177" s="350">
        <v>32500</v>
      </c>
      <c r="G177" s="1285">
        <v>0</v>
      </c>
      <c r="I177" s="423">
        <f>VLOOKUP(A177,'selección precios unitario'!$A$5:$I$418,9,FALSE)</f>
        <v>35250</v>
      </c>
    </row>
    <row r="178" spans="1:9" x14ac:dyDescent="0.2">
      <c r="A178" s="1587" t="s">
        <v>348</v>
      </c>
      <c r="B178" s="365" t="s">
        <v>76</v>
      </c>
      <c r="C178" s="366" t="s">
        <v>19</v>
      </c>
      <c r="D178" s="356">
        <v>16</v>
      </c>
      <c r="E178" s="379">
        <v>280000</v>
      </c>
      <c r="F178" s="350">
        <v>128700</v>
      </c>
      <c r="G178" s="1285">
        <v>0</v>
      </c>
      <c r="I178" s="423">
        <f>VLOOKUP(A178,'selección precios unitario'!$A$5:$I$418,9,FALSE)</f>
        <v>212172</v>
      </c>
    </row>
    <row r="179" spans="1:9" x14ac:dyDescent="0.2">
      <c r="A179" s="1587" t="s">
        <v>349</v>
      </c>
      <c r="B179" s="347" t="s">
        <v>350</v>
      </c>
      <c r="C179" s="356" t="s">
        <v>6</v>
      </c>
      <c r="D179" s="356">
        <v>4</v>
      </c>
      <c r="E179" s="353">
        <v>60000</v>
      </c>
      <c r="F179" s="350">
        <v>88000</v>
      </c>
      <c r="G179" s="1285">
        <v>0</v>
      </c>
      <c r="I179" s="423">
        <f>VLOOKUP(A179,'selección precios unitario'!$A$5:$I$418,9,FALSE)</f>
        <v>74000</v>
      </c>
    </row>
    <row r="180" spans="1:9" ht="25.5" x14ac:dyDescent="0.2">
      <c r="A180" s="1587" t="s">
        <v>351</v>
      </c>
      <c r="B180" s="365" t="s">
        <v>352</v>
      </c>
      <c r="C180" s="356" t="s">
        <v>14</v>
      </c>
      <c r="D180" s="356">
        <v>27</v>
      </c>
      <c r="E180" s="353">
        <v>145000</v>
      </c>
      <c r="F180" s="350">
        <v>112697</v>
      </c>
      <c r="G180" s="1285">
        <v>0</v>
      </c>
      <c r="I180" s="423">
        <f>VLOOKUP(A180,'selección precios unitario'!$A$5:$I$418,9,FALSE)</f>
        <v>128849</v>
      </c>
    </row>
    <row r="181" spans="1:9" ht="25.5" x14ac:dyDescent="0.2">
      <c r="A181" s="1587" t="s">
        <v>353</v>
      </c>
      <c r="B181" s="365" t="s">
        <v>1489</v>
      </c>
      <c r="C181" s="356" t="s">
        <v>14</v>
      </c>
      <c r="D181" s="356">
        <v>34</v>
      </c>
      <c r="E181" s="353">
        <v>112000</v>
      </c>
      <c r="F181" s="350">
        <v>35425</v>
      </c>
      <c r="G181" s="1285">
        <v>0</v>
      </c>
      <c r="I181" s="423">
        <f>VLOOKUP(A181,'selección precios unitario'!$A$5:$I$418,9,FALSE)</f>
        <v>73713</v>
      </c>
    </row>
    <row r="182" spans="1:9" x14ac:dyDescent="0.2">
      <c r="A182" s="1587" t="s">
        <v>355</v>
      </c>
      <c r="B182" s="383" t="s">
        <v>63</v>
      </c>
      <c r="C182" s="361" t="s">
        <v>6</v>
      </c>
      <c r="D182" s="355">
        <v>4</v>
      </c>
      <c r="E182" s="353">
        <v>27000</v>
      </c>
      <c r="F182" s="350">
        <v>28015</v>
      </c>
      <c r="G182" s="1285">
        <v>26036</v>
      </c>
      <c r="I182" s="423">
        <f>VLOOKUP(A182,'selección precios unitario'!$A$5:$I$418,9,FALSE)</f>
        <v>26518</v>
      </c>
    </row>
    <row r="183" spans="1:9" x14ac:dyDescent="0.2">
      <c r="A183" s="1587" t="s">
        <v>359</v>
      </c>
      <c r="B183" s="364" t="s">
        <v>84</v>
      </c>
      <c r="C183" s="367" t="s">
        <v>19</v>
      </c>
      <c r="D183" s="356">
        <v>7</v>
      </c>
      <c r="E183" s="353">
        <v>9000</v>
      </c>
      <c r="F183" s="350">
        <v>5200</v>
      </c>
      <c r="G183" s="1285">
        <v>6890</v>
      </c>
      <c r="I183" s="423">
        <f>VLOOKUP(A183,'selección precios unitario'!$A$5:$I$418,9,FALSE)</f>
        <v>6630</v>
      </c>
    </row>
    <row r="184" spans="1:9" x14ac:dyDescent="0.2">
      <c r="A184" s="1587" t="s">
        <v>368</v>
      </c>
      <c r="B184" s="368" t="s">
        <v>98</v>
      </c>
      <c r="C184" s="367" t="s">
        <v>14</v>
      </c>
      <c r="D184" s="356">
        <v>6</v>
      </c>
      <c r="E184" s="353">
        <v>6120</v>
      </c>
      <c r="F184" s="350">
        <v>8710</v>
      </c>
      <c r="G184" s="1285">
        <v>0</v>
      </c>
      <c r="I184" s="423">
        <f>VLOOKUP(A184,'selección precios unitario'!$A$5:$I$418,9,FALSE)</f>
        <v>6120</v>
      </c>
    </row>
    <row r="185" spans="1:9" x14ac:dyDescent="0.2">
      <c r="A185" s="1587" t="s">
        <v>369</v>
      </c>
      <c r="B185" s="358" t="s">
        <v>92</v>
      </c>
      <c r="C185" s="356" t="s">
        <v>14</v>
      </c>
      <c r="D185" s="346">
        <v>1</v>
      </c>
      <c r="E185" s="353">
        <v>10800</v>
      </c>
      <c r="F185" s="1537">
        <v>5200</v>
      </c>
      <c r="G185" s="1285">
        <v>0</v>
      </c>
      <c r="I185" s="423">
        <f>VLOOKUP(A185,'selección precios unitario'!$A$5:$I$418,9,FALSE)</f>
        <v>8000</v>
      </c>
    </row>
    <row r="186" spans="1:9" x14ac:dyDescent="0.2">
      <c r="A186" s="1587" t="s">
        <v>370</v>
      </c>
      <c r="B186" s="368" t="s">
        <v>371</v>
      </c>
      <c r="C186" s="367" t="s">
        <v>19</v>
      </c>
      <c r="D186" s="346">
        <v>18</v>
      </c>
      <c r="E186" s="353">
        <v>15000</v>
      </c>
      <c r="F186" s="350">
        <v>17000</v>
      </c>
      <c r="G186" s="1285">
        <v>0</v>
      </c>
      <c r="I186" s="423">
        <f>VLOOKUP(A186,'selección precios unitario'!$A$5:$I$418,9,FALSE)</f>
        <v>16000</v>
      </c>
    </row>
    <row r="187" spans="1:9" x14ac:dyDescent="0.2">
      <c r="A187" s="1587" t="s">
        <v>372</v>
      </c>
      <c r="B187" s="368" t="s">
        <v>145</v>
      </c>
      <c r="C187" s="367" t="s">
        <v>19</v>
      </c>
      <c r="D187" s="346">
        <v>4</v>
      </c>
      <c r="E187" s="1536">
        <v>55000</v>
      </c>
      <c r="F187" s="350">
        <v>8000</v>
      </c>
      <c r="G187" s="1285">
        <v>18551</v>
      </c>
      <c r="I187" s="423">
        <f>VLOOKUP(A187,'selección precios unitario'!$A$5:$I$418,9,FALSE)</f>
        <v>18551</v>
      </c>
    </row>
    <row r="188" spans="1:9" x14ac:dyDescent="0.2">
      <c r="A188" s="1587" t="s">
        <v>373</v>
      </c>
      <c r="B188" s="368" t="s">
        <v>374</v>
      </c>
      <c r="C188" s="367" t="s">
        <v>19</v>
      </c>
      <c r="D188" s="346">
        <v>18</v>
      </c>
      <c r="E188" s="1536">
        <v>70000</v>
      </c>
      <c r="F188" s="350">
        <v>48243</v>
      </c>
      <c r="G188" s="1285">
        <v>0</v>
      </c>
      <c r="I188" s="423">
        <f>VLOOKUP(A188,'selección precios unitario'!$A$5:$I$418,9,FALSE)</f>
        <v>48243</v>
      </c>
    </row>
    <row r="189" spans="1:9" ht="38.25" x14ac:dyDescent="0.2">
      <c r="A189" s="1587" t="s">
        <v>360</v>
      </c>
      <c r="B189" s="368" t="s">
        <v>86</v>
      </c>
      <c r="C189" s="367" t="s">
        <v>19</v>
      </c>
      <c r="D189" s="356">
        <v>7</v>
      </c>
      <c r="E189" s="353">
        <v>48000</v>
      </c>
      <c r="F189" s="350">
        <v>45500</v>
      </c>
      <c r="G189" s="1285">
        <v>43614</v>
      </c>
      <c r="I189" s="423">
        <f>VLOOKUP(A189,'selección precios unitario'!$A$5:$I$418,9,FALSE)</f>
        <v>45053</v>
      </c>
    </row>
    <row r="190" spans="1:9" x14ac:dyDescent="0.2">
      <c r="A190" s="1587" t="s">
        <v>361</v>
      </c>
      <c r="B190" s="368" t="s">
        <v>88</v>
      </c>
      <c r="C190" s="367" t="s">
        <v>19</v>
      </c>
      <c r="D190" s="356">
        <v>8</v>
      </c>
      <c r="E190" s="353">
        <v>28000</v>
      </c>
      <c r="F190" s="350">
        <v>11700</v>
      </c>
      <c r="G190" s="1285">
        <v>24610</v>
      </c>
      <c r="I190" s="423">
        <f>VLOOKUP(A190,'selección precios unitario'!$A$5:$I$418,9,FALSE)</f>
        <v>26305</v>
      </c>
    </row>
    <row r="191" spans="1:9" x14ac:dyDescent="0.2">
      <c r="A191" s="1587" t="s">
        <v>362</v>
      </c>
      <c r="B191" s="364" t="s">
        <v>90</v>
      </c>
      <c r="C191" s="367" t="s">
        <v>19</v>
      </c>
      <c r="D191" s="356">
        <v>9</v>
      </c>
      <c r="E191" s="353">
        <v>19000</v>
      </c>
      <c r="F191" s="1539">
        <v>8710</v>
      </c>
      <c r="G191" s="1285">
        <v>0</v>
      </c>
      <c r="I191" s="423">
        <f>VLOOKUP(A191,'selección precios unitario'!$A$5:$I$418,9,FALSE)</f>
        <v>19000</v>
      </c>
    </row>
    <row r="192" spans="1:9" x14ac:dyDescent="0.2">
      <c r="A192" s="1587" t="s">
        <v>363</v>
      </c>
      <c r="B192" s="358" t="s">
        <v>92</v>
      </c>
      <c r="C192" s="356" t="s">
        <v>19</v>
      </c>
      <c r="D192" s="346">
        <v>2</v>
      </c>
      <c r="E192" s="353">
        <v>18000</v>
      </c>
      <c r="F192" s="1537">
        <v>8710</v>
      </c>
      <c r="G192" s="1285">
        <v>17005</v>
      </c>
      <c r="I192" s="423">
        <f>VLOOKUP(A192,'selección precios unitario'!$A$5:$I$418,9,FALSE)</f>
        <v>17503</v>
      </c>
    </row>
    <row r="193" spans="1:9" x14ac:dyDescent="0.2">
      <c r="A193" s="1587" t="s">
        <v>364</v>
      </c>
      <c r="B193" s="364" t="s">
        <v>94</v>
      </c>
      <c r="C193" s="367" t="s">
        <v>19</v>
      </c>
      <c r="D193" s="356">
        <v>11</v>
      </c>
      <c r="E193" s="353">
        <v>17000</v>
      </c>
      <c r="F193" s="1539">
        <v>8710</v>
      </c>
      <c r="G193" s="1285">
        <v>0</v>
      </c>
      <c r="I193" s="423">
        <f>VLOOKUP(A193,'selección precios unitario'!$A$5:$I$418,9,FALSE)</f>
        <v>17000</v>
      </c>
    </row>
    <row r="194" spans="1:9" x14ac:dyDescent="0.2">
      <c r="A194" s="1587" t="s">
        <v>365</v>
      </c>
      <c r="B194" s="364" t="s">
        <v>84</v>
      </c>
      <c r="C194" s="367" t="s">
        <v>14</v>
      </c>
      <c r="D194" s="356">
        <v>4</v>
      </c>
      <c r="E194" s="353">
        <v>5400</v>
      </c>
      <c r="F194" s="350">
        <v>4000</v>
      </c>
      <c r="G194" s="1285">
        <v>0</v>
      </c>
      <c r="I194" s="423">
        <f>VLOOKUP(A194,'selección precios unitario'!$A$5:$I$418,9,FALSE)</f>
        <v>4700</v>
      </c>
    </row>
    <row r="195" spans="1:9" ht="38.25" x14ac:dyDescent="0.2">
      <c r="A195" s="1587" t="s">
        <v>366</v>
      </c>
      <c r="B195" s="368" t="s">
        <v>86</v>
      </c>
      <c r="C195" s="367" t="s">
        <v>14</v>
      </c>
      <c r="D195" s="356">
        <v>3</v>
      </c>
      <c r="E195" s="353">
        <v>28800</v>
      </c>
      <c r="F195" s="350">
        <v>45500</v>
      </c>
      <c r="G195" s="1285">
        <v>0</v>
      </c>
      <c r="I195" s="423">
        <f>VLOOKUP(A195,'selección precios unitario'!$A$5:$I$418,9,FALSE)</f>
        <v>17650</v>
      </c>
    </row>
    <row r="196" spans="1:9" x14ac:dyDescent="0.2">
      <c r="A196" s="1587" t="s">
        <v>367</v>
      </c>
      <c r="B196" s="368" t="s">
        <v>88</v>
      </c>
      <c r="C196" s="367" t="s">
        <v>14</v>
      </c>
      <c r="D196" s="356">
        <v>4</v>
      </c>
      <c r="E196" s="353">
        <v>16800</v>
      </c>
      <c r="F196" s="350">
        <v>11700</v>
      </c>
      <c r="G196" s="1285">
        <v>24610</v>
      </c>
      <c r="I196" s="423">
        <f>VLOOKUP(A196,'selección precios unitario'!$A$5:$I$418,9,FALSE)</f>
        <v>20705</v>
      </c>
    </row>
    <row r="197" spans="1:9" ht="38.25" x14ac:dyDescent="0.2">
      <c r="A197" s="1587" t="s">
        <v>377</v>
      </c>
      <c r="B197" s="368" t="s">
        <v>378</v>
      </c>
      <c r="C197" s="367" t="s">
        <v>14</v>
      </c>
      <c r="D197" s="346">
        <v>20</v>
      </c>
      <c r="E197" s="353">
        <v>112000</v>
      </c>
      <c r="F197" s="349">
        <v>12000</v>
      </c>
      <c r="G197" s="1285">
        <v>0</v>
      </c>
      <c r="I197" s="423">
        <f>VLOOKUP(A197,'selección precios unitario'!$A$5:$I$418,9,FALSE)</f>
        <v>62000</v>
      </c>
    </row>
    <row r="198" spans="1:9" ht="25.5" x14ac:dyDescent="0.2">
      <c r="A198" s="1587" t="s">
        <v>379</v>
      </c>
      <c r="B198" s="368" t="s">
        <v>380</v>
      </c>
      <c r="C198" s="367" t="s">
        <v>19</v>
      </c>
      <c r="D198" s="346">
        <v>12</v>
      </c>
      <c r="E198" s="353">
        <v>80000</v>
      </c>
      <c r="F198" s="349">
        <v>45000</v>
      </c>
      <c r="G198" s="1285">
        <v>0</v>
      </c>
      <c r="I198" s="423">
        <f>VLOOKUP(A198,'selección precios unitario'!$A$5:$I$418,9,FALSE)</f>
        <v>61738</v>
      </c>
    </row>
    <row r="199" spans="1:9" ht="25.5" x14ac:dyDescent="0.2">
      <c r="A199" s="1587" t="s">
        <v>381</v>
      </c>
      <c r="B199" s="360" t="s">
        <v>61</v>
      </c>
      <c r="C199" s="361" t="s">
        <v>14</v>
      </c>
      <c r="D199" s="346">
        <v>16</v>
      </c>
      <c r="E199" s="353">
        <v>46000</v>
      </c>
      <c r="F199" s="349">
        <v>57837</v>
      </c>
      <c r="G199" s="1285">
        <v>0</v>
      </c>
      <c r="I199" s="423">
        <f>VLOOKUP(A199,'selección precios unitario'!$A$5:$I$418,9,FALSE)</f>
        <v>51919</v>
      </c>
    </row>
    <row r="200" spans="1:9" x14ac:dyDescent="0.2">
      <c r="A200" s="1587" t="s">
        <v>382</v>
      </c>
      <c r="B200" s="383" t="s">
        <v>59</v>
      </c>
      <c r="C200" s="361" t="s">
        <v>14</v>
      </c>
      <c r="D200" s="346">
        <v>10</v>
      </c>
      <c r="E200" s="353">
        <v>16000</v>
      </c>
      <c r="F200" s="349">
        <v>16848</v>
      </c>
      <c r="G200" s="1285">
        <v>13382</v>
      </c>
      <c r="I200" s="423">
        <f>VLOOKUP(A200,'selección precios unitario'!$A$5:$I$418,9,FALSE)</f>
        <v>15410</v>
      </c>
    </row>
    <row r="201" spans="1:9" x14ac:dyDescent="0.2">
      <c r="A201" s="1587" t="s">
        <v>383</v>
      </c>
      <c r="B201" s="383" t="s">
        <v>63</v>
      </c>
      <c r="C201" s="361" t="s">
        <v>6</v>
      </c>
      <c r="D201" s="346">
        <v>2</v>
      </c>
      <c r="E201" s="353">
        <v>27000</v>
      </c>
      <c r="F201" s="387">
        <v>0</v>
      </c>
      <c r="G201" s="1285">
        <v>26036</v>
      </c>
      <c r="I201" s="423">
        <f>VLOOKUP(A201,'selección precios unitario'!$A$5:$I$418,9,FALSE)</f>
        <v>26518</v>
      </c>
    </row>
    <row r="202" spans="1:9" x14ac:dyDescent="0.2">
      <c r="A202" s="1587" t="s">
        <v>384</v>
      </c>
      <c r="B202" s="383" t="s">
        <v>65</v>
      </c>
      <c r="C202" s="361" t="s">
        <v>14</v>
      </c>
      <c r="D202" s="346">
        <v>6</v>
      </c>
      <c r="E202" s="353">
        <v>48000</v>
      </c>
      <c r="F202" s="349">
        <v>36283</v>
      </c>
      <c r="G202" s="1566">
        <v>75401</v>
      </c>
      <c r="I202" s="423">
        <f>VLOOKUP(A202,'selección precios unitario'!$A$5:$I$418,9,FALSE)</f>
        <v>42142</v>
      </c>
    </row>
    <row r="203" spans="1:9" ht="25.5" x14ac:dyDescent="0.2">
      <c r="A203" s="1587" t="s">
        <v>385</v>
      </c>
      <c r="B203" s="360" t="s">
        <v>57</v>
      </c>
      <c r="C203" s="361" t="s">
        <v>14</v>
      </c>
      <c r="D203" s="346">
        <v>4</v>
      </c>
      <c r="E203" s="353">
        <v>94000</v>
      </c>
      <c r="F203" s="1537">
        <v>113048</v>
      </c>
      <c r="G203" s="1285">
        <v>91145</v>
      </c>
      <c r="I203" s="423">
        <f>VLOOKUP(A203,'selección precios unitario'!$A$5:$I$418,9,FALSE)</f>
        <v>92573</v>
      </c>
    </row>
    <row r="204" spans="1:9" ht="25.5" x14ac:dyDescent="0.2">
      <c r="A204" s="1587" t="s">
        <v>387</v>
      </c>
      <c r="B204" s="358" t="s">
        <v>103</v>
      </c>
      <c r="C204" s="356" t="s">
        <v>19</v>
      </c>
      <c r="D204" s="346">
        <v>10</v>
      </c>
      <c r="E204" s="353">
        <v>130000</v>
      </c>
      <c r="F204" s="349">
        <v>122971.77200000001</v>
      </c>
      <c r="G204" s="1285">
        <v>113422</v>
      </c>
      <c r="I204" s="423">
        <f>VLOOKUP(A204,'selección precios unitario'!$A$5:$I$418,9,FALSE)</f>
        <v>122131</v>
      </c>
    </row>
    <row r="205" spans="1:9" x14ac:dyDescent="0.2">
      <c r="A205" s="1587" t="s">
        <v>396</v>
      </c>
      <c r="B205" s="347" t="s">
        <v>125</v>
      </c>
      <c r="C205" s="363" t="s">
        <v>6</v>
      </c>
      <c r="D205" s="346">
        <v>7</v>
      </c>
      <c r="E205" s="353">
        <v>20000</v>
      </c>
      <c r="F205" s="349">
        <v>33267</v>
      </c>
      <c r="G205" s="1285">
        <v>20219</v>
      </c>
      <c r="I205" s="423">
        <f>VLOOKUP(A205,'selección precios unitario'!$A$5:$I$418,9,FALSE)</f>
        <v>20110</v>
      </c>
    </row>
    <row r="206" spans="1:9" ht="38.25" x14ac:dyDescent="0.2">
      <c r="A206" s="1587" t="s">
        <v>397</v>
      </c>
      <c r="B206" s="358" t="s">
        <v>127</v>
      </c>
      <c r="C206" s="363" t="s">
        <v>6</v>
      </c>
      <c r="D206" s="346">
        <v>7</v>
      </c>
      <c r="E206" s="353">
        <v>120000</v>
      </c>
      <c r="F206" s="387">
        <v>0</v>
      </c>
      <c r="G206" s="1285">
        <v>120233</v>
      </c>
      <c r="I206" s="423">
        <f>VLOOKUP(A206,'selección precios unitario'!$A$5:$I$418,9,FALSE)</f>
        <v>119473</v>
      </c>
    </row>
    <row r="207" spans="1:9" ht="38.25" x14ac:dyDescent="0.2">
      <c r="A207" s="1587" t="s">
        <v>398</v>
      </c>
      <c r="B207" s="347" t="s">
        <v>129</v>
      </c>
      <c r="C207" s="363" t="s">
        <v>6</v>
      </c>
      <c r="D207" s="346">
        <v>7</v>
      </c>
      <c r="E207" s="353">
        <v>115000</v>
      </c>
      <c r="F207" s="371">
        <v>0</v>
      </c>
      <c r="G207" s="1285">
        <v>123946</v>
      </c>
      <c r="I207" s="423">
        <f>VLOOKUP(A207,'selección precios unitario'!$A$5:$I$418,9,FALSE)</f>
        <v>119473</v>
      </c>
    </row>
    <row r="208" spans="1:9" ht="25.5" x14ac:dyDescent="0.2">
      <c r="A208" s="1587" t="s">
        <v>399</v>
      </c>
      <c r="B208" s="347" t="s">
        <v>279</v>
      </c>
      <c r="C208" s="363" t="s">
        <v>6</v>
      </c>
      <c r="D208" s="346">
        <v>1</v>
      </c>
      <c r="E208" s="353">
        <v>95000</v>
      </c>
      <c r="F208" s="349">
        <v>22000</v>
      </c>
      <c r="G208" s="1285">
        <v>96760</v>
      </c>
      <c r="I208" s="423">
        <f>VLOOKUP(A208,'selección precios unitario'!$A$5:$I$418,9,FALSE)</f>
        <v>95880</v>
      </c>
    </row>
    <row r="209" spans="1:9" ht="25.5" x14ac:dyDescent="0.2">
      <c r="A209" s="1587" t="s">
        <v>400</v>
      </c>
      <c r="B209" s="347" t="s">
        <v>133</v>
      </c>
      <c r="C209" s="363" t="s">
        <v>6</v>
      </c>
      <c r="D209" s="346">
        <v>3</v>
      </c>
      <c r="E209" s="353">
        <v>115000</v>
      </c>
      <c r="F209" s="349">
        <v>80795</v>
      </c>
      <c r="G209" s="1285">
        <v>142064</v>
      </c>
      <c r="I209" s="423">
        <f>VLOOKUP(A209,'selección precios unitario'!$A$5:$I$418,9,FALSE)</f>
        <v>103175</v>
      </c>
    </row>
    <row r="210" spans="1:9" ht="25.5" x14ac:dyDescent="0.2">
      <c r="A210" s="1587" t="s">
        <v>401</v>
      </c>
      <c r="B210" s="347" t="s">
        <v>135</v>
      </c>
      <c r="C210" s="363" t="s">
        <v>14</v>
      </c>
      <c r="D210" s="346">
        <v>5</v>
      </c>
      <c r="E210" s="353">
        <v>17000</v>
      </c>
      <c r="F210" s="1537">
        <v>8736</v>
      </c>
      <c r="G210" s="1285">
        <v>15299</v>
      </c>
      <c r="I210" s="423">
        <f>VLOOKUP(A210,'selección precios unitario'!$A$5:$I$418,9,FALSE)</f>
        <v>16768</v>
      </c>
    </row>
    <row r="211" spans="1:9" x14ac:dyDescent="0.2">
      <c r="A211" s="1587" t="s">
        <v>402</v>
      </c>
      <c r="B211" s="397" t="s">
        <v>1469</v>
      </c>
      <c r="C211" s="363" t="s">
        <v>6</v>
      </c>
      <c r="D211" s="346">
        <v>7</v>
      </c>
      <c r="E211" s="353">
        <v>38000</v>
      </c>
      <c r="F211" s="1537">
        <v>12948</v>
      </c>
      <c r="G211" s="1285">
        <v>34244</v>
      </c>
      <c r="I211" s="423">
        <f>VLOOKUP(A211,'selección precios unitario'!$A$5:$I$418,9,FALSE)</f>
        <v>36122</v>
      </c>
    </row>
    <row r="212" spans="1:9" x14ac:dyDescent="0.2">
      <c r="A212" s="1587" t="s">
        <v>403</v>
      </c>
      <c r="B212" s="397" t="s">
        <v>1470</v>
      </c>
      <c r="C212" s="363" t="s">
        <v>6</v>
      </c>
      <c r="D212" s="346">
        <v>1</v>
      </c>
      <c r="E212" s="353">
        <v>48000</v>
      </c>
      <c r="F212" s="1537">
        <v>16848</v>
      </c>
      <c r="G212" s="1285">
        <v>46067</v>
      </c>
      <c r="I212" s="423">
        <f>VLOOKUP(A212,'selección precios unitario'!$A$5:$I$418,9,FALSE)</f>
        <v>47034</v>
      </c>
    </row>
    <row r="213" spans="1:9" ht="25.5" x14ac:dyDescent="0.2">
      <c r="A213" s="1587" t="s">
        <v>404</v>
      </c>
      <c r="B213" s="364" t="s">
        <v>141</v>
      </c>
      <c r="C213" s="363" t="s">
        <v>6</v>
      </c>
      <c r="D213" s="346">
        <v>1</v>
      </c>
      <c r="E213" s="353">
        <v>3500000</v>
      </c>
      <c r="F213" s="1537">
        <v>2570460</v>
      </c>
      <c r="G213" s="1285">
        <v>3045320</v>
      </c>
      <c r="I213" s="423">
        <f>VLOOKUP(A213,'selección precios unitario'!$A$5:$I$418,9,FALSE)</f>
        <v>3035230</v>
      </c>
    </row>
    <row r="214" spans="1:9" ht="25.5" x14ac:dyDescent="0.2">
      <c r="A214" s="1587" t="s">
        <v>405</v>
      </c>
      <c r="B214" s="398" t="s">
        <v>286</v>
      </c>
      <c r="C214" s="363" t="s">
        <v>6</v>
      </c>
      <c r="D214" s="346">
        <v>1</v>
      </c>
      <c r="E214" s="353">
        <v>450000</v>
      </c>
      <c r="F214" s="349">
        <v>225498</v>
      </c>
      <c r="G214" s="1285">
        <v>0</v>
      </c>
      <c r="I214" s="423">
        <f>VLOOKUP(A214,'selección precios unitario'!$A$5:$I$418,9,FALSE)</f>
        <v>337749</v>
      </c>
    </row>
    <row r="215" spans="1:9" x14ac:dyDescent="0.2">
      <c r="A215" s="1587" t="s">
        <v>388</v>
      </c>
      <c r="B215" s="347" t="s">
        <v>105</v>
      </c>
      <c r="C215" s="356" t="s">
        <v>14</v>
      </c>
      <c r="D215" s="346">
        <v>5</v>
      </c>
      <c r="E215" s="353">
        <v>50000</v>
      </c>
      <c r="F215" s="349">
        <v>111069.57400000001</v>
      </c>
      <c r="G215" s="1285">
        <v>41152</v>
      </c>
      <c r="I215" s="423">
        <f>VLOOKUP(A215,'selección precios unitario'!$A$5:$I$418,9,FALSE)</f>
        <v>45576</v>
      </c>
    </row>
    <row r="216" spans="1:9" ht="25.5" x14ac:dyDescent="0.2">
      <c r="A216" s="1587" t="s">
        <v>406</v>
      </c>
      <c r="B216" s="358" t="s">
        <v>407</v>
      </c>
      <c r="C216" s="356" t="s">
        <v>6</v>
      </c>
      <c r="D216" s="346">
        <v>1</v>
      </c>
      <c r="E216" s="353">
        <v>1350000</v>
      </c>
      <c r="F216" s="1537">
        <v>216309.6</v>
      </c>
      <c r="G216" s="1285">
        <v>1748444</v>
      </c>
      <c r="I216" s="423">
        <f>VLOOKUP(A216,'selección precios unitario'!$A$5:$I$418,9,FALSE)</f>
        <v>1549222</v>
      </c>
    </row>
    <row r="217" spans="1:9" ht="25.5" x14ac:dyDescent="0.2">
      <c r="A217" s="1587" t="s">
        <v>408</v>
      </c>
      <c r="B217" s="358" t="s">
        <v>409</v>
      </c>
      <c r="C217" s="356" t="s">
        <v>14</v>
      </c>
      <c r="D217" s="346">
        <v>1</v>
      </c>
      <c r="E217" s="353">
        <v>260000</v>
      </c>
      <c r="F217" s="349">
        <v>700000</v>
      </c>
      <c r="G217" s="1285">
        <v>226541</v>
      </c>
      <c r="I217" s="423">
        <f>VLOOKUP(A217,'selección precios unitario'!$A$5:$I$418,9,FALSE)</f>
        <v>243271</v>
      </c>
    </row>
    <row r="218" spans="1:9" ht="38.25" x14ac:dyDescent="0.2">
      <c r="A218" s="1587" t="s">
        <v>389</v>
      </c>
      <c r="B218" s="358" t="s">
        <v>1468</v>
      </c>
      <c r="C218" s="356" t="s">
        <v>14</v>
      </c>
      <c r="D218" s="346">
        <v>5</v>
      </c>
      <c r="E218" s="353">
        <v>78000</v>
      </c>
      <c r="F218" s="349">
        <v>76011.936000000002</v>
      </c>
      <c r="G218" s="1285">
        <v>46346</v>
      </c>
      <c r="I218" s="423">
        <f>VLOOKUP(A218,'selección precios unitario'!$A$5:$I$418,9,FALSE)</f>
        <v>46346</v>
      </c>
    </row>
    <row r="219" spans="1:9" x14ac:dyDescent="0.2">
      <c r="A219" s="1587" t="s">
        <v>390</v>
      </c>
      <c r="B219" s="347" t="s">
        <v>109</v>
      </c>
      <c r="C219" s="356" t="s">
        <v>14</v>
      </c>
      <c r="D219" s="346">
        <v>8</v>
      </c>
      <c r="E219" s="1537">
        <v>50000</v>
      </c>
      <c r="F219" s="1566">
        <v>17277</v>
      </c>
      <c r="G219" s="1285">
        <v>37101</v>
      </c>
      <c r="I219" s="423">
        <f>VLOOKUP(A219,'selección precios unitario'!$A$5:$I$418,9,FALSE)</f>
        <v>37101</v>
      </c>
    </row>
    <row r="220" spans="1:9" ht="38.25" x14ac:dyDescent="0.2">
      <c r="A220" s="1587" t="s">
        <v>391</v>
      </c>
      <c r="B220" s="358" t="s">
        <v>111</v>
      </c>
      <c r="C220" s="363" t="s">
        <v>6</v>
      </c>
      <c r="D220" s="346">
        <v>1</v>
      </c>
      <c r="E220" s="353">
        <v>650000</v>
      </c>
      <c r="F220" s="349">
        <v>802118.24000000011</v>
      </c>
      <c r="G220" s="1285">
        <v>579485</v>
      </c>
      <c r="I220" s="423">
        <f>VLOOKUP(A220,'selección precios unitario'!$A$5:$I$418,9,FALSE)</f>
        <v>614743</v>
      </c>
    </row>
    <row r="221" spans="1:9" ht="51" x14ac:dyDescent="0.2">
      <c r="A221" s="1587" t="s">
        <v>392</v>
      </c>
      <c r="B221" s="347" t="s">
        <v>117</v>
      </c>
      <c r="C221" s="363" t="s">
        <v>14</v>
      </c>
      <c r="D221" s="346">
        <v>12</v>
      </c>
      <c r="E221" s="353">
        <v>75000</v>
      </c>
      <c r="F221" s="349">
        <v>31265</v>
      </c>
      <c r="G221" s="1285">
        <v>70329</v>
      </c>
      <c r="I221" s="423">
        <f>VLOOKUP(A221,'selección precios unitario'!$A$5:$I$418,9,FALSE)</f>
        <v>72665</v>
      </c>
    </row>
    <row r="222" spans="1:9" ht="25.5" x14ac:dyDescent="0.2">
      <c r="A222" s="1587" t="s">
        <v>393</v>
      </c>
      <c r="B222" s="358" t="s">
        <v>119</v>
      </c>
      <c r="C222" s="363" t="s">
        <v>6</v>
      </c>
      <c r="D222" s="346">
        <v>7</v>
      </c>
      <c r="E222" s="353">
        <v>38000</v>
      </c>
      <c r="F222" s="1537">
        <v>16263</v>
      </c>
      <c r="G222" s="1285">
        <v>31702</v>
      </c>
      <c r="I222" s="423">
        <f>VLOOKUP(A222,'selección precios unitario'!$A$5:$I$418,9,FALSE)</f>
        <v>34851</v>
      </c>
    </row>
    <row r="223" spans="1:9" x14ac:dyDescent="0.2">
      <c r="A223" s="1587" t="s">
        <v>394</v>
      </c>
      <c r="B223" s="347" t="s">
        <v>121</v>
      </c>
      <c r="C223" s="363" t="s">
        <v>14</v>
      </c>
      <c r="D223" s="346">
        <v>110</v>
      </c>
      <c r="E223" s="353">
        <v>10550</v>
      </c>
      <c r="F223" s="1537">
        <v>4732</v>
      </c>
      <c r="G223" s="1285">
        <v>10285</v>
      </c>
      <c r="I223" s="423">
        <f>VLOOKUP(A223,'selección precios unitario'!$A$5:$I$418,9,FALSE)</f>
        <v>10418</v>
      </c>
    </row>
    <row r="224" spans="1:9" ht="38.25" x14ac:dyDescent="0.2">
      <c r="A224" s="1587" t="s">
        <v>395</v>
      </c>
      <c r="B224" s="358" t="s">
        <v>123</v>
      </c>
      <c r="C224" s="363" t="s">
        <v>6</v>
      </c>
      <c r="D224" s="346">
        <v>7</v>
      </c>
      <c r="E224" s="353">
        <v>72000</v>
      </c>
      <c r="F224" s="1537">
        <v>112086</v>
      </c>
      <c r="G224" s="1285">
        <v>70740</v>
      </c>
      <c r="I224" s="423">
        <f>VLOOKUP(A224,'selección precios unitario'!$A$5:$I$418,9,FALSE)</f>
        <v>71370</v>
      </c>
    </row>
    <row r="225" spans="1:9" x14ac:dyDescent="0.2">
      <c r="A225" s="1587" t="s">
        <v>411</v>
      </c>
      <c r="B225" s="358" t="s">
        <v>412</v>
      </c>
      <c r="C225" s="356" t="s">
        <v>6</v>
      </c>
      <c r="D225" s="346">
        <v>6</v>
      </c>
      <c r="E225" s="353">
        <v>50000</v>
      </c>
      <c r="F225" s="387">
        <v>0</v>
      </c>
      <c r="G225" s="1285">
        <v>0</v>
      </c>
      <c r="I225" s="423">
        <f>VLOOKUP(A225,'selección precios unitario'!$A$5:$I$418,9,FALSE)</f>
        <v>50000</v>
      </c>
    </row>
    <row r="226" spans="1:9" x14ac:dyDescent="0.2">
      <c r="A226" s="1587" t="s">
        <v>751</v>
      </c>
      <c r="B226" s="358" t="s">
        <v>195</v>
      </c>
      <c r="C226" s="356" t="s">
        <v>19</v>
      </c>
      <c r="D226" s="346">
        <v>380</v>
      </c>
      <c r="E226" s="353">
        <v>7000</v>
      </c>
      <c r="F226" s="349">
        <v>4200</v>
      </c>
      <c r="G226" s="1285">
        <v>5300</v>
      </c>
      <c r="I226" s="423">
        <f>VLOOKUP(A226,'selección precios unitario'!$A$5:$I$418,9,FALSE)</f>
        <v>5500</v>
      </c>
    </row>
    <row r="227" spans="1:9" ht="25.5" x14ac:dyDescent="0.2">
      <c r="A227" s="1583" t="s">
        <v>417</v>
      </c>
      <c r="B227" s="347" t="s">
        <v>418</v>
      </c>
      <c r="C227" s="356" t="s">
        <v>19</v>
      </c>
      <c r="D227" s="346">
        <v>197</v>
      </c>
      <c r="E227" s="353">
        <v>45000</v>
      </c>
      <c r="F227" s="387">
        <v>0</v>
      </c>
      <c r="G227" s="1285">
        <v>0</v>
      </c>
      <c r="I227" s="423">
        <f>VLOOKUP(A227,'selección precios unitario'!$A$5:$I$418,9,FALSE)</f>
        <v>24500</v>
      </c>
    </row>
    <row r="228" spans="1:9" ht="76.5" x14ac:dyDescent="0.2">
      <c r="A228" s="1583" t="s">
        <v>419</v>
      </c>
      <c r="B228" s="358" t="s">
        <v>1491</v>
      </c>
      <c r="C228" s="340" t="s">
        <v>6</v>
      </c>
      <c r="D228" s="346">
        <v>113</v>
      </c>
      <c r="E228" s="412">
        <v>230000</v>
      </c>
      <c r="F228" s="412">
        <v>343980</v>
      </c>
      <c r="G228" s="1285">
        <v>0</v>
      </c>
      <c r="I228" s="423">
        <f>VLOOKUP(A228,'selección precios unitario'!$A$5:$I$418,9,FALSE)</f>
        <v>286990</v>
      </c>
    </row>
    <row r="229" spans="1:9" ht="76.5" x14ac:dyDescent="0.2">
      <c r="A229" s="1583" t="s">
        <v>420</v>
      </c>
      <c r="B229" s="358" t="s">
        <v>1492</v>
      </c>
      <c r="C229" s="340" t="s">
        <v>6</v>
      </c>
      <c r="D229" s="346">
        <v>16</v>
      </c>
      <c r="E229" s="412">
        <v>250000</v>
      </c>
      <c r="F229" s="412">
        <v>364000</v>
      </c>
      <c r="G229" s="1285">
        <v>0</v>
      </c>
      <c r="I229" s="423">
        <f>VLOOKUP(A229,'selección precios unitario'!$A$5:$I$418,9,FALSE)</f>
        <v>286990</v>
      </c>
    </row>
    <row r="230" spans="1:9" ht="76.5" x14ac:dyDescent="0.2">
      <c r="A230" s="1583" t="s">
        <v>421</v>
      </c>
      <c r="B230" s="358" t="s">
        <v>1493</v>
      </c>
      <c r="C230" s="340" t="s">
        <v>6</v>
      </c>
      <c r="D230" s="346">
        <v>6</v>
      </c>
      <c r="E230" s="412">
        <v>290000</v>
      </c>
      <c r="F230" s="412">
        <v>600000</v>
      </c>
      <c r="G230" s="1285">
        <v>0</v>
      </c>
      <c r="I230" s="423">
        <f>VLOOKUP(A230,'selección precios unitario'!$A$5:$I$418,9,FALSE)</f>
        <v>445000</v>
      </c>
    </row>
    <row r="231" spans="1:9" ht="51" x14ac:dyDescent="0.2">
      <c r="A231" s="1583" t="s">
        <v>422</v>
      </c>
      <c r="B231" s="384" t="s">
        <v>1494</v>
      </c>
      <c r="C231" s="340" t="s">
        <v>6</v>
      </c>
      <c r="D231" s="346">
        <v>5</v>
      </c>
      <c r="E231" s="353">
        <v>280000</v>
      </c>
      <c r="F231" s="387">
        <v>0</v>
      </c>
      <c r="G231" s="1285">
        <v>0</v>
      </c>
      <c r="I231" s="423">
        <f>VLOOKUP(A231,'selección precios unitario'!$A$5:$I$418,9,FALSE)</f>
        <v>280000</v>
      </c>
    </row>
    <row r="232" spans="1:9" ht="25.5" x14ac:dyDescent="0.2">
      <c r="A232" s="1583" t="s">
        <v>424</v>
      </c>
      <c r="B232" s="358" t="s">
        <v>425</v>
      </c>
      <c r="C232" s="340" t="s">
        <v>19</v>
      </c>
      <c r="D232" s="346">
        <v>4</v>
      </c>
      <c r="E232" s="353">
        <v>45000</v>
      </c>
      <c r="F232" s="387">
        <v>0</v>
      </c>
      <c r="G232" s="1285">
        <v>0</v>
      </c>
      <c r="I232" s="423">
        <f>VLOOKUP(A232,'selección precios unitario'!$A$5:$I$418,9,FALSE)</f>
        <v>45000</v>
      </c>
    </row>
    <row r="233" spans="1:9" ht="51" x14ac:dyDescent="0.2">
      <c r="A233" s="1583" t="s">
        <v>426</v>
      </c>
      <c r="B233" s="384" t="s">
        <v>1495</v>
      </c>
      <c r="C233" s="340" t="s">
        <v>6</v>
      </c>
      <c r="D233" s="346">
        <v>1</v>
      </c>
      <c r="E233" s="353">
        <v>800000</v>
      </c>
      <c r="F233" s="387">
        <v>0</v>
      </c>
      <c r="G233" s="1285">
        <v>0</v>
      </c>
      <c r="I233" s="423">
        <f>VLOOKUP(A233,'selección precios unitario'!$A$5:$I$418,9,FALSE)</f>
        <v>800000</v>
      </c>
    </row>
    <row r="234" spans="1:9" ht="38.25" x14ac:dyDescent="0.2">
      <c r="A234" s="1583" t="s">
        <v>430</v>
      </c>
      <c r="B234" s="384" t="s">
        <v>431</v>
      </c>
      <c r="C234" s="340" t="s">
        <v>6</v>
      </c>
      <c r="D234" s="346">
        <v>37</v>
      </c>
      <c r="E234" s="353">
        <v>550000</v>
      </c>
      <c r="F234" s="349">
        <v>300000</v>
      </c>
      <c r="G234" s="1285">
        <v>0</v>
      </c>
      <c r="I234" s="423">
        <f>VLOOKUP(A234,'selección precios unitario'!$A$5:$I$418,9,FALSE)</f>
        <v>425000</v>
      </c>
    </row>
    <row r="235" spans="1:9" ht="38.25" x14ac:dyDescent="0.2">
      <c r="A235" s="1583" t="s">
        <v>432</v>
      </c>
      <c r="B235" s="384" t="s">
        <v>1496</v>
      </c>
      <c r="C235" s="340" t="s">
        <v>6</v>
      </c>
      <c r="D235" s="385">
        <v>2</v>
      </c>
      <c r="E235" s="353">
        <v>550000</v>
      </c>
      <c r="F235" s="349">
        <v>450000</v>
      </c>
      <c r="G235" s="1285">
        <v>0</v>
      </c>
      <c r="I235" s="423">
        <f>VLOOKUP(A235,'selección precios unitario'!$A$5:$I$418,9,FALSE)</f>
        <v>500000</v>
      </c>
    </row>
    <row r="236" spans="1:9" ht="38.25" x14ac:dyDescent="0.2">
      <c r="A236" s="1583" t="s">
        <v>434</v>
      </c>
      <c r="B236" s="384" t="s">
        <v>435</v>
      </c>
      <c r="C236" s="340" t="s">
        <v>6</v>
      </c>
      <c r="D236" s="385">
        <v>1</v>
      </c>
      <c r="E236" s="353">
        <v>650000</v>
      </c>
      <c r="F236" s="349">
        <v>490000</v>
      </c>
      <c r="G236" s="1285">
        <v>0</v>
      </c>
      <c r="I236" s="423">
        <f>VLOOKUP(A236,'selección precios unitario'!$A$5:$I$418,9,FALSE)</f>
        <v>570000</v>
      </c>
    </row>
    <row r="237" spans="1:9" ht="38.25" x14ac:dyDescent="0.2">
      <c r="A237" s="1583" t="s">
        <v>436</v>
      </c>
      <c r="B237" s="384" t="s">
        <v>437</v>
      </c>
      <c r="C237" s="340" t="s">
        <v>6</v>
      </c>
      <c r="D237" s="385">
        <v>15</v>
      </c>
      <c r="E237" s="353">
        <v>700000</v>
      </c>
      <c r="F237" s="1537">
        <v>2700000</v>
      </c>
      <c r="G237" s="1285">
        <v>0</v>
      </c>
      <c r="I237" s="423">
        <f>VLOOKUP(A237,'selección precios unitario'!$A$5:$I$418,9,FALSE)</f>
        <v>500000</v>
      </c>
    </row>
    <row r="238" spans="1:9" ht="38.25" x14ac:dyDescent="0.2">
      <c r="A238" s="1583" t="s">
        <v>438</v>
      </c>
      <c r="B238" s="384" t="s">
        <v>439</v>
      </c>
      <c r="C238" s="340" t="s">
        <v>6</v>
      </c>
      <c r="D238" s="385">
        <v>7</v>
      </c>
      <c r="E238" s="1536">
        <v>700000</v>
      </c>
      <c r="F238" s="349">
        <v>230000</v>
      </c>
      <c r="G238" s="1285">
        <v>0</v>
      </c>
      <c r="I238" s="423">
        <f>VLOOKUP(A238,'selección precios unitario'!$A$5:$I$418,9,FALSE)</f>
        <v>230000</v>
      </c>
    </row>
    <row r="239" spans="1:9" x14ac:dyDescent="0.2">
      <c r="A239" s="1583" t="s">
        <v>440</v>
      </c>
      <c r="B239" s="358" t="s">
        <v>441</v>
      </c>
      <c r="C239" s="356" t="s">
        <v>6</v>
      </c>
      <c r="D239" s="385">
        <v>5</v>
      </c>
      <c r="E239" s="353">
        <v>60000</v>
      </c>
      <c r="F239" s="349">
        <v>65000</v>
      </c>
      <c r="G239" s="1285">
        <v>0</v>
      </c>
      <c r="I239" s="423">
        <f>VLOOKUP(A239,'selección precios unitario'!$A$5:$I$418,9,FALSE)</f>
        <v>62500</v>
      </c>
    </row>
    <row r="240" spans="1:9" ht="38.25" x14ac:dyDescent="0.2">
      <c r="A240" s="1583" t="s">
        <v>442</v>
      </c>
      <c r="B240" s="400" t="s">
        <v>443</v>
      </c>
      <c r="C240" s="340" t="s">
        <v>6</v>
      </c>
      <c r="D240" s="385">
        <v>5</v>
      </c>
      <c r="E240" s="1536">
        <v>2900000</v>
      </c>
      <c r="F240" s="349">
        <v>1100000</v>
      </c>
      <c r="G240" s="1285">
        <v>0</v>
      </c>
      <c r="I240" s="423">
        <f>VLOOKUP(A240,'selección precios unitario'!$A$5:$I$418,9,FALSE)</f>
        <v>1100000</v>
      </c>
    </row>
    <row r="241" spans="1:9" x14ac:dyDescent="0.2">
      <c r="A241" s="1583" t="s">
        <v>445</v>
      </c>
      <c r="B241" s="364" t="s">
        <v>84</v>
      </c>
      <c r="C241" s="367" t="s">
        <v>19</v>
      </c>
      <c r="D241" s="385">
        <v>426</v>
      </c>
      <c r="E241" s="353">
        <v>9000</v>
      </c>
      <c r="F241" s="349">
        <v>5200</v>
      </c>
      <c r="G241" s="1285">
        <v>6890</v>
      </c>
      <c r="I241" s="423">
        <f>VLOOKUP(A241,'selección precios unitario'!$A$5:$I$418,9,FALSE)</f>
        <v>6630</v>
      </c>
    </row>
    <row r="242" spans="1:9" x14ac:dyDescent="0.2">
      <c r="A242" s="1583" t="s">
        <v>454</v>
      </c>
      <c r="B242" s="368" t="s">
        <v>90</v>
      </c>
      <c r="C242" s="367" t="s">
        <v>14</v>
      </c>
      <c r="D242" s="385">
        <v>351</v>
      </c>
      <c r="E242" s="353">
        <v>11400</v>
      </c>
      <c r="F242" s="349">
        <v>8710</v>
      </c>
      <c r="G242" s="1285">
        <v>0</v>
      </c>
      <c r="I242" s="423">
        <f>VLOOKUP(A242,'selección precios unitario'!$A$5:$I$418,9,FALSE)</f>
        <v>11400</v>
      </c>
    </row>
    <row r="243" spans="1:9" x14ac:dyDescent="0.2">
      <c r="A243" s="1583" t="s">
        <v>455</v>
      </c>
      <c r="B243" s="358" t="s">
        <v>92</v>
      </c>
      <c r="C243" s="356" t="s">
        <v>14</v>
      </c>
      <c r="D243" s="346">
        <v>351</v>
      </c>
      <c r="E243" s="353">
        <v>10800</v>
      </c>
      <c r="F243" s="1537">
        <v>8710</v>
      </c>
      <c r="G243" s="1285">
        <v>0</v>
      </c>
      <c r="I243" s="423">
        <f>VLOOKUP(A243,'selección precios unitario'!$A$5:$I$418,9,FALSE)</f>
        <v>8000</v>
      </c>
    </row>
    <row r="244" spans="1:9" ht="38.25" x14ac:dyDescent="0.2">
      <c r="A244" s="1583" t="s">
        <v>446</v>
      </c>
      <c r="B244" s="368" t="s">
        <v>86</v>
      </c>
      <c r="C244" s="367" t="s">
        <v>19</v>
      </c>
      <c r="D244" s="385">
        <v>355</v>
      </c>
      <c r="E244" s="353">
        <v>48000</v>
      </c>
      <c r="F244" s="349">
        <v>45500</v>
      </c>
      <c r="G244" s="1285">
        <v>43614</v>
      </c>
      <c r="I244" s="423">
        <f>VLOOKUP(A244,'selección precios unitario'!$A$5:$I$418,9,FALSE)</f>
        <v>45053</v>
      </c>
    </row>
    <row r="245" spans="1:9" x14ac:dyDescent="0.2">
      <c r="A245" s="1583" t="s">
        <v>447</v>
      </c>
      <c r="B245" s="368" t="s">
        <v>88</v>
      </c>
      <c r="C245" s="367" t="s">
        <v>19</v>
      </c>
      <c r="D245" s="385">
        <v>568</v>
      </c>
      <c r="E245" s="353">
        <v>28000</v>
      </c>
      <c r="F245" s="349">
        <v>11700</v>
      </c>
      <c r="G245" s="1285">
        <v>24610</v>
      </c>
      <c r="I245" s="423">
        <f>VLOOKUP(A245,'selección precios unitario'!$A$5:$I$418,9,FALSE)</f>
        <v>26305</v>
      </c>
    </row>
    <row r="246" spans="1:9" x14ac:dyDescent="0.2">
      <c r="A246" s="1583" t="s">
        <v>448</v>
      </c>
      <c r="B246" s="364" t="s">
        <v>90</v>
      </c>
      <c r="C246" s="367" t="s">
        <v>19</v>
      </c>
      <c r="D246" s="385">
        <v>710</v>
      </c>
      <c r="E246" s="353">
        <v>19000</v>
      </c>
      <c r="F246" s="1537">
        <v>8710</v>
      </c>
      <c r="G246" s="1285">
        <v>0</v>
      </c>
      <c r="I246" s="423">
        <f>VLOOKUP(A246,'selección precios unitario'!$A$5:$I$418,9,FALSE)</f>
        <v>19000</v>
      </c>
    </row>
    <row r="247" spans="1:9" x14ac:dyDescent="0.2">
      <c r="A247" s="1583" t="s">
        <v>449</v>
      </c>
      <c r="B247" s="358" t="s">
        <v>92</v>
      </c>
      <c r="C247" s="356" t="s">
        <v>19</v>
      </c>
      <c r="D247" s="346">
        <v>497</v>
      </c>
      <c r="E247" s="353">
        <v>18000</v>
      </c>
      <c r="F247" s="1537">
        <v>8710</v>
      </c>
      <c r="G247" s="1285">
        <v>17005</v>
      </c>
      <c r="I247" s="423">
        <f>VLOOKUP(A247,'selección precios unitario'!$A$5:$I$418,9,FALSE)</f>
        <v>17503</v>
      </c>
    </row>
    <row r="248" spans="1:9" x14ac:dyDescent="0.2">
      <c r="A248" s="1583" t="s">
        <v>450</v>
      </c>
      <c r="B248" s="364" t="s">
        <v>94</v>
      </c>
      <c r="C248" s="367" t="s">
        <v>19</v>
      </c>
      <c r="D248" s="385">
        <v>474</v>
      </c>
      <c r="E248" s="353">
        <v>17000</v>
      </c>
      <c r="F248" s="1537">
        <v>8710</v>
      </c>
      <c r="G248" s="1285">
        <v>0</v>
      </c>
      <c r="I248" s="423">
        <f>VLOOKUP(A248,'selección precios unitario'!$A$5:$I$418,9,FALSE)</f>
        <v>17000</v>
      </c>
    </row>
    <row r="249" spans="1:9" x14ac:dyDescent="0.2">
      <c r="A249" s="1583" t="s">
        <v>451</v>
      </c>
      <c r="B249" s="364" t="s">
        <v>84</v>
      </c>
      <c r="C249" s="367" t="s">
        <v>14</v>
      </c>
      <c r="D249" s="385">
        <v>281</v>
      </c>
      <c r="E249" s="353">
        <v>5400</v>
      </c>
      <c r="F249" s="349">
        <v>5200</v>
      </c>
      <c r="G249" s="1285">
        <v>0</v>
      </c>
      <c r="I249" s="423">
        <f>VLOOKUP(A249,'selección precios unitario'!$A$5:$I$418,9,FALSE)</f>
        <v>4700</v>
      </c>
    </row>
    <row r="250" spans="1:9" ht="38.25" x14ac:dyDescent="0.2">
      <c r="A250" s="1583" t="s">
        <v>452</v>
      </c>
      <c r="B250" s="368" t="s">
        <v>86</v>
      </c>
      <c r="C250" s="367" t="s">
        <v>14</v>
      </c>
      <c r="D250" s="385">
        <v>281</v>
      </c>
      <c r="E250" s="353">
        <v>28800</v>
      </c>
      <c r="F250" s="349">
        <v>6500</v>
      </c>
      <c r="G250" s="1285">
        <v>0</v>
      </c>
      <c r="I250" s="423">
        <f>VLOOKUP(A250,'selección precios unitario'!$A$5:$I$418,9,FALSE)</f>
        <v>17650</v>
      </c>
    </row>
    <row r="251" spans="1:9" x14ac:dyDescent="0.2">
      <c r="A251" s="1583" t="s">
        <v>453</v>
      </c>
      <c r="B251" s="368" t="s">
        <v>88</v>
      </c>
      <c r="C251" s="367" t="s">
        <v>14</v>
      </c>
      <c r="D251" s="385">
        <v>351</v>
      </c>
      <c r="E251" s="353">
        <v>16800</v>
      </c>
      <c r="F251" s="349">
        <v>11700</v>
      </c>
      <c r="G251" s="1285">
        <v>24610</v>
      </c>
      <c r="I251" s="423">
        <f>VLOOKUP(A251,'selección precios unitario'!$A$5:$I$418,9,FALSE)</f>
        <v>20705</v>
      </c>
    </row>
    <row r="252" spans="1:9" ht="25.5" x14ac:dyDescent="0.2">
      <c r="A252" s="1583" t="s">
        <v>458</v>
      </c>
      <c r="B252" s="368" t="s">
        <v>459</v>
      </c>
      <c r="C252" s="340" t="s">
        <v>6</v>
      </c>
      <c r="D252" s="385">
        <v>4</v>
      </c>
      <c r="E252" s="379">
        <v>180000</v>
      </c>
      <c r="F252" s="1537">
        <v>12415</v>
      </c>
      <c r="G252" s="1285">
        <v>0</v>
      </c>
      <c r="I252" s="423">
        <f>VLOOKUP(A252,'selección precios unitario'!$A$5:$I$418,9,FALSE)</f>
        <v>96208</v>
      </c>
    </row>
    <row r="253" spans="1:9" ht="25.5" x14ac:dyDescent="0.2">
      <c r="A253" s="1583" t="s">
        <v>477</v>
      </c>
      <c r="B253" s="347" t="s">
        <v>1501</v>
      </c>
      <c r="C253" s="340" t="s">
        <v>14</v>
      </c>
      <c r="D253" s="385">
        <v>25</v>
      </c>
      <c r="E253" s="353">
        <v>35000</v>
      </c>
      <c r="F253" s="349">
        <v>15392</v>
      </c>
      <c r="G253" s="1285">
        <v>0</v>
      </c>
      <c r="I253" s="423">
        <f>VLOOKUP(A253,'selección precios unitario'!$A$5:$I$418,9,FALSE)</f>
        <v>25196</v>
      </c>
    </row>
    <row r="254" spans="1:9" ht="25.5" x14ac:dyDescent="0.2">
      <c r="A254" s="1583" t="s">
        <v>479</v>
      </c>
      <c r="B254" s="347" t="s">
        <v>1502</v>
      </c>
      <c r="C254" s="340" t="s">
        <v>6</v>
      </c>
      <c r="D254" s="385">
        <v>5</v>
      </c>
      <c r="E254" s="353">
        <v>600000</v>
      </c>
      <c r="F254" s="349">
        <v>312000</v>
      </c>
      <c r="G254" s="1285">
        <v>177946</v>
      </c>
      <c r="I254" s="423">
        <f>VLOOKUP(A254,'selección precios unitario'!$A$5:$I$418,9,FALSE)</f>
        <v>177946</v>
      </c>
    </row>
    <row r="255" spans="1:9" x14ac:dyDescent="0.2">
      <c r="A255" s="1583" t="s">
        <v>481</v>
      </c>
      <c r="B255" s="364" t="s">
        <v>482</v>
      </c>
      <c r="C255" s="367" t="s">
        <v>150</v>
      </c>
      <c r="D255" s="385">
        <v>2</v>
      </c>
      <c r="E255" s="353">
        <v>120000</v>
      </c>
      <c r="F255" s="1537">
        <v>274603.32899999997</v>
      </c>
      <c r="G255" s="1285">
        <v>0</v>
      </c>
      <c r="I255" s="423">
        <f>VLOOKUP(A255,'selección precios unitario'!$A$5:$I$418,9,FALSE)</f>
        <v>180000</v>
      </c>
    </row>
    <row r="256" spans="1:9" ht="38.25" x14ac:dyDescent="0.2">
      <c r="A256" s="1583" t="s">
        <v>483</v>
      </c>
      <c r="B256" s="347" t="s">
        <v>484</v>
      </c>
      <c r="C256" s="340" t="s">
        <v>14</v>
      </c>
      <c r="D256" s="385">
        <v>15</v>
      </c>
      <c r="E256" s="353">
        <v>35000</v>
      </c>
      <c r="F256" s="349">
        <v>60500.000000000007</v>
      </c>
      <c r="G256" s="1285">
        <v>0</v>
      </c>
      <c r="I256" s="423">
        <f>VLOOKUP(A256,'selección precios unitario'!$A$5:$I$418,9,FALSE)</f>
        <v>47750</v>
      </c>
    </row>
    <row r="257" spans="1:9" ht="25.5" x14ac:dyDescent="0.2">
      <c r="A257" s="1583" t="s">
        <v>485</v>
      </c>
      <c r="B257" s="347" t="s">
        <v>1503</v>
      </c>
      <c r="C257" s="340" t="s">
        <v>14</v>
      </c>
      <c r="D257" s="385">
        <v>15</v>
      </c>
      <c r="E257" s="353">
        <v>15000</v>
      </c>
      <c r="F257" s="349">
        <v>20000</v>
      </c>
      <c r="G257" s="1285">
        <v>0</v>
      </c>
      <c r="I257" s="423">
        <f>VLOOKUP(A257,'selección precios unitario'!$A$5:$I$418,9,FALSE)</f>
        <v>17500</v>
      </c>
    </row>
    <row r="258" spans="1:9" ht="25.5" x14ac:dyDescent="0.2">
      <c r="A258" s="1583" t="s">
        <v>487</v>
      </c>
      <c r="B258" s="347" t="s">
        <v>488</v>
      </c>
      <c r="C258" s="340" t="s">
        <v>6</v>
      </c>
      <c r="D258" s="385">
        <v>2</v>
      </c>
      <c r="E258" s="353">
        <v>200000</v>
      </c>
      <c r="F258" s="1537">
        <v>570401</v>
      </c>
      <c r="G258" s="1285">
        <v>0</v>
      </c>
      <c r="I258" s="423">
        <f>VLOOKUP(A258,'selección precios unitario'!$A$5:$I$418,9,FALSE)</f>
        <v>200000</v>
      </c>
    </row>
    <row r="259" spans="1:9" x14ac:dyDescent="0.2">
      <c r="A259" s="1583" t="s">
        <v>489</v>
      </c>
      <c r="B259" s="368" t="s">
        <v>490</v>
      </c>
      <c r="C259" s="340" t="s">
        <v>14</v>
      </c>
      <c r="D259" s="385">
        <v>1</v>
      </c>
      <c r="E259" s="1536">
        <v>60000</v>
      </c>
      <c r="F259" s="349">
        <v>16115.000000000002</v>
      </c>
      <c r="G259" s="1285">
        <v>0</v>
      </c>
      <c r="I259" s="423">
        <f>VLOOKUP(A259,'selección precios unitario'!$A$5:$I$418,9,FALSE)</f>
        <v>16115.000000000002</v>
      </c>
    </row>
    <row r="260" spans="1:9" x14ac:dyDescent="0.2">
      <c r="A260" s="1583" t="s">
        <v>491</v>
      </c>
      <c r="B260" s="347" t="s">
        <v>1504</v>
      </c>
      <c r="C260" s="340" t="s">
        <v>14</v>
      </c>
      <c r="D260" s="385">
        <v>25</v>
      </c>
      <c r="E260" s="353">
        <v>98000</v>
      </c>
      <c r="F260" s="349">
        <v>58617</v>
      </c>
      <c r="G260" s="1285">
        <v>0</v>
      </c>
      <c r="I260" s="423">
        <f>VLOOKUP(A260,'selección precios unitario'!$A$5:$I$418,9,FALSE)</f>
        <v>78309</v>
      </c>
    </row>
    <row r="261" spans="1:9" x14ac:dyDescent="0.2">
      <c r="A261" s="1583" t="s">
        <v>493</v>
      </c>
      <c r="B261" s="368" t="s">
        <v>494</v>
      </c>
      <c r="C261" s="340" t="s">
        <v>6</v>
      </c>
      <c r="D261" s="385">
        <v>1</v>
      </c>
      <c r="E261" s="353">
        <v>45000</v>
      </c>
      <c r="F261" s="349">
        <v>22100</v>
      </c>
      <c r="G261" s="1285">
        <v>0</v>
      </c>
      <c r="I261" s="423">
        <f>VLOOKUP(A261,'selección precios unitario'!$A$5:$I$418,9,FALSE)</f>
        <v>33550</v>
      </c>
    </row>
    <row r="262" spans="1:9" ht="25.5" x14ac:dyDescent="0.2">
      <c r="A262" s="1583" t="s">
        <v>460</v>
      </c>
      <c r="B262" s="347" t="s">
        <v>461</v>
      </c>
      <c r="C262" s="340" t="s">
        <v>6</v>
      </c>
      <c r="D262" s="385">
        <v>1</v>
      </c>
      <c r="E262" s="1536">
        <v>850000</v>
      </c>
      <c r="F262" s="349">
        <v>581464</v>
      </c>
      <c r="G262" s="1285">
        <v>0</v>
      </c>
      <c r="I262" s="423">
        <f>VLOOKUP(A262,'selección precios unitario'!$A$5:$I$418,9,FALSE)</f>
        <v>581464</v>
      </c>
    </row>
    <row r="263" spans="1:9" x14ac:dyDescent="0.2">
      <c r="A263" s="1583" t="s">
        <v>462</v>
      </c>
      <c r="B263" s="368" t="s">
        <v>1497</v>
      </c>
      <c r="C263" s="340" t="s">
        <v>150</v>
      </c>
      <c r="D263" s="385">
        <v>25</v>
      </c>
      <c r="E263" s="353">
        <v>25000</v>
      </c>
      <c r="F263" s="349">
        <v>23478</v>
      </c>
      <c r="G263" s="1285">
        <v>0</v>
      </c>
      <c r="I263" s="423">
        <f>VLOOKUP(A263,'selección precios unitario'!$A$5:$I$418,9,FALSE)</f>
        <v>24239</v>
      </c>
    </row>
    <row r="264" spans="1:9" x14ac:dyDescent="0.2">
      <c r="A264" s="1583" t="s">
        <v>464</v>
      </c>
      <c r="B264" s="368" t="s">
        <v>465</v>
      </c>
      <c r="C264" s="340" t="s">
        <v>14</v>
      </c>
      <c r="D264" s="385">
        <v>16</v>
      </c>
      <c r="E264" s="353">
        <v>35000</v>
      </c>
      <c r="F264" s="349">
        <v>33254</v>
      </c>
      <c r="G264" s="1285">
        <v>0</v>
      </c>
      <c r="I264" s="423">
        <f>VLOOKUP(A264,'selección precios unitario'!$A$5:$I$418,9,FALSE)</f>
        <v>34127</v>
      </c>
    </row>
    <row r="265" spans="1:9" x14ac:dyDescent="0.2">
      <c r="A265" s="1583" t="s">
        <v>466</v>
      </c>
      <c r="B265" s="368" t="s">
        <v>467</v>
      </c>
      <c r="C265" s="340" t="s">
        <v>14</v>
      </c>
      <c r="D265" s="385">
        <v>16</v>
      </c>
      <c r="E265" s="353">
        <v>16000</v>
      </c>
      <c r="F265" s="349">
        <v>23000</v>
      </c>
      <c r="G265" s="1285">
        <v>13382</v>
      </c>
      <c r="I265" s="423">
        <f>VLOOKUP(A265,'selección precios unitario'!$A$5:$I$418,9,FALSE)</f>
        <v>17461</v>
      </c>
    </row>
    <row r="266" spans="1:9" x14ac:dyDescent="0.2">
      <c r="A266" s="1583" t="s">
        <v>468</v>
      </c>
      <c r="B266" s="358" t="s">
        <v>469</v>
      </c>
      <c r="C266" s="356" t="s">
        <v>6</v>
      </c>
      <c r="D266" s="385">
        <v>4</v>
      </c>
      <c r="E266" s="1536">
        <v>180000</v>
      </c>
      <c r="F266" s="349">
        <v>88000</v>
      </c>
      <c r="G266" s="1285">
        <v>0</v>
      </c>
      <c r="I266" s="423">
        <f>VLOOKUP(A266,'selección precios unitario'!$A$5:$I$418,9,FALSE)</f>
        <v>88000</v>
      </c>
    </row>
    <row r="267" spans="1:9" x14ac:dyDescent="0.2">
      <c r="A267" s="1583" t="s">
        <v>470</v>
      </c>
      <c r="B267" s="347" t="s">
        <v>1498</v>
      </c>
      <c r="C267" s="340" t="s">
        <v>14</v>
      </c>
      <c r="D267" s="385">
        <v>50</v>
      </c>
      <c r="E267" s="353">
        <v>10000</v>
      </c>
      <c r="F267" s="349">
        <v>12376</v>
      </c>
      <c r="G267" s="1285">
        <v>0</v>
      </c>
      <c r="I267" s="423">
        <f>VLOOKUP(A267,'selección precios unitario'!$A$5:$I$418,9,FALSE)</f>
        <v>11188</v>
      </c>
    </row>
    <row r="268" spans="1:9" x14ac:dyDescent="0.2">
      <c r="A268" s="1583" t="s">
        <v>472</v>
      </c>
      <c r="B268" s="347" t="s">
        <v>1499</v>
      </c>
      <c r="C268" s="340" t="s">
        <v>474</v>
      </c>
      <c r="D268" s="385">
        <v>25</v>
      </c>
      <c r="E268" s="353">
        <v>12000</v>
      </c>
      <c r="F268" s="349">
        <v>3510</v>
      </c>
      <c r="G268" s="1285">
        <v>0</v>
      </c>
      <c r="I268" s="423">
        <f>VLOOKUP(A268,'selección precios unitario'!$A$5:$I$418,9,FALSE)</f>
        <v>7755</v>
      </c>
    </row>
    <row r="269" spans="1:9" ht="25.5" x14ac:dyDescent="0.2">
      <c r="A269" s="1583" t="s">
        <v>475</v>
      </c>
      <c r="B269" s="347" t="s">
        <v>1500</v>
      </c>
      <c r="C269" s="340" t="s">
        <v>14</v>
      </c>
      <c r="D269" s="385">
        <v>30</v>
      </c>
      <c r="E269" s="353">
        <v>48000</v>
      </c>
      <c r="F269" s="1537">
        <v>36276.5</v>
      </c>
      <c r="G269" s="1285">
        <v>75401</v>
      </c>
      <c r="I269" s="423">
        <f>VLOOKUP(A269,'selección precios unitario'!$A$5:$I$418,9,FALSE)</f>
        <v>61701</v>
      </c>
    </row>
    <row r="270" spans="1:9" x14ac:dyDescent="0.2">
      <c r="A270" s="1583" t="s">
        <v>495</v>
      </c>
      <c r="B270" s="347" t="s">
        <v>1482</v>
      </c>
      <c r="C270" s="340" t="s">
        <v>19</v>
      </c>
      <c r="D270" s="385">
        <v>616</v>
      </c>
      <c r="E270" s="1536">
        <v>135000</v>
      </c>
      <c r="F270" s="349">
        <v>77870</v>
      </c>
      <c r="G270" s="1285">
        <v>0</v>
      </c>
      <c r="I270" s="423">
        <f>VLOOKUP(A270,'selección precios unitario'!$A$5:$I$418,9,FALSE)</f>
        <v>77870</v>
      </c>
    </row>
    <row r="271" spans="1:9" x14ac:dyDescent="0.2">
      <c r="A271" s="1583" t="s">
        <v>510</v>
      </c>
      <c r="B271" s="347" t="s">
        <v>25</v>
      </c>
      <c r="C271" s="356" t="s">
        <v>19</v>
      </c>
      <c r="D271" s="385">
        <v>97</v>
      </c>
      <c r="E271" s="353">
        <v>27000</v>
      </c>
      <c r="F271" s="349">
        <v>5200</v>
      </c>
      <c r="G271" s="1285">
        <v>10612</v>
      </c>
      <c r="I271" s="423">
        <f>VLOOKUP(A271,'selección precios unitario'!$A$5:$I$418,9,FALSE)</f>
        <v>10612</v>
      </c>
    </row>
    <row r="272" spans="1:9" x14ac:dyDescent="0.2">
      <c r="A272" s="1583" t="s">
        <v>511</v>
      </c>
      <c r="B272" s="347" t="s">
        <v>27</v>
      </c>
      <c r="C272" s="340" t="s">
        <v>19</v>
      </c>
      <c r="D272" s="385">
        <v>97</v>
      </c>
      <c r="E272" s="353">
        <v>75000</v>
      </c>
      <c r="F272" s="387">
        <v>0</v>
      </c>
      <c r="G272" s="1285">
        <v>0</v>
      </c>
      <c r="I272" s="423">
        <f>VLOOKUP(A272,'selección precios unitario'!$A$5:$I$418,9,FALSE)</f>
        <v>42115</v>
      </c>
    </row>
    <row r="273" spans="1:9" ht="38.25" x14ac:dyDescent="0.2">
      <c r="A273" s="1583" t="s">
        <v>512</v>
      </c>
      <c r="B273" s="347" t="s">
        <v>29</v>
      </c>
      <c r="C273" s="356" t="s">
        <v>19</v>
      </c>
      <c r="D273" s="385">
        <v>97</v>
      </c>
      <c r="E273" s="353">
        <v>38000</v>
      </c>
      <c r="F273" s="349">
        <v>5200</v>
      </c>
      <c r="G273" s="1285">
        <v>0</v>
      </c>
      <c r="I273" s="423">
        <f>VLOOKUP(A273,'selección precios unitario'!$A$5:$I$418,9,FALSE)</f>
        <v>35250</v>
      </c>
    </row>
    <row r="274" spans="1:9" ht="38.25" x14ac:dyDescent="0.2">
      <c r="A274" s="1583" t="s">
        <v>513</v>
      </c>
      <c r="B274" s="347" t="s">
        <v>31</v>
      </c>
      <c r="C274" s="356" t="s">
        <v>19</v>
      </c>
      <c r="D274" s="385">
        <v>97</v>
      </c>
      <c r="E274" s="353">
        <v>320000</v>
      </c>
      <c r="F274" s="349">
        <v>128700</v>
      </c>
      <c r="G274" s="1285">
        <v>0</v>
      </c>
      <c r="I274" s="423">
        <f>VLOOKUP(A274,'selección precios unitario'!$A$5:$I$418,9,FALSE)</f>
        <v>224350</v>
      </c>
    </row>
    <row r="275" spans="1:9" ht="51" x14ac:dyDescent="0.2">
      <c r="A275" s="1583" t="s">
        <v>514</v>
      </c>
      <c r="B275" s="357" t="s">
        <v>1464</v>
      </c>
      <c r="C275" s="356" t="s">
        <v>14</v>
      </c>
      <c r="D275" s="385">
        <v>131</v>
      </c>
      <c r="E275" s="353">
        <v>50000</v>
      </c>
      <c r="F275" s="349">
        <v>52117</v>
      </c>
      <c r="G275" s="1285">
        <v>0</v>
      </c>
      <c r="I275" s="423">
        <f>VLOOKUP(A275,'selección precios unitario'!$A$5:$I$418,9,FALSE)</f>
        <v>51059</v>
      </c>
    </row>
    <row r="276" spans="1:9" ht="25.5" x14ac:dyDescent="0.2">
      <c r="A276" s="1583" t="s">
        <v>515</v>
      </c>
      <c r="B276" s="358" t="s">
        <v>35</v>
      </c>
      <c r="C276" s="356" t="s">
        <v>19</v>
      </c>
      <c r="D276" s="385">
        <v>97</v>
      </c>
      <c r="E276" s="353">
        <v>140000</v>
      </c>
      <c r="F276" s="349">
        <v>116903.6</v>
      </c>
      <c r="G276" s="1285">
        <v>0</v>
      </c>
      <c r="I276" s="423">
        <f>VLOOKUP(A276,'selección precios unitario'!$A$5:$I$418,9,FALSE)</f>
        <v>128452</v>
      </c>
    </row>
    <row r="277" spans="1:9" x14ac:dyDescent="0.2">
      <c r="A277" s="1583" t="s">
        <v>516</v>
      </c>
      <c r="B277" s="347" t="s">
        <v>37</v>
      </c>
      <c r="C277" s="356" t="s">
        <v>14</v>
      </c>
      <c r="D277" s="385">
        <v>26</v>
      </c>
      <c r="E277" s="353">
        <v>35000</v>
      </c>
      <c r="F277" s="349">
        <v>18746</v>
      </c>
      <c r="G277" s="1285">
        <v>21193</v>
      </c>
      <c r="I277" s="423">
        <f>VLOOKUP(A277,'selección precios unitario'!$A$5:$I$418,9,FALSE)</f>
        <v>21193</v>
      </c>
    </row>
    <row r="278" spans="1:9" x14ac:dyDescent="0.2">
      <c r="A278" s="1583" t="s">
        <v>517</v>
      </c>
      <c r="B278" s="358" t="s">
        <v>39</v>
      </c>
      <c r="C278" s="356" t="s">
        <v>14</v>
      </c>
      <c r="D278" s="385">
        <v>55</v>
      </c>
      <c r="E278" s="353">
        <v>40000</v>
      </c>
      <c r="F278" s="349">
        <v>17173</v>
      </c>
      <c r="G278" s="1285">
        <v>0</v>
      </c>
      <c r="I278" s="423">
        <f>VLOOKUP(A278,'selección precios unitario'!$A$5:$I$418,9,FALSE)</f>
        <v>28587</v>
      </c>
    </row>
    <row r="279" spans="1:9" x14ac:dyDescent="0.2">
      <c r="A279" s="1583" t="s">
        <v>496</v>
      </c>
      <c r="B279" s="347" t="s">
        <v>195</v>
      </c>
      <c r="C279" s="340" t="s">
        <v>19</v>
      </c>
      <c r="D279" s="385">
        <v>816</v>
      </c>
      <c r="E279" s="353">
        <v>7000</v>
      </c>
      <c r="F279" s="349">
        <v>4200</v>
      </c>
      <c r="G279" s="1285">
        <v>5300</v>
      </c>
      <c r="I279" s="423">
        <f>VLOOKUP(A279,'selección precios unitario'!$A$5:$I$418,9,FALSE)</f>
        <v>5500</v>
      </c>
    </row>
    <row r="280" spans="1:9" x14ac:dyDescent="0.2">
      <c r="A280" s="1583" t="s">
        <v>497</v>
      </c>
      <c r="B280" s="347" t="s">
        <v>1505</v>
      </c>
      <c r="C280" s="356" t="s">
        <v>14</v>
      </c>
      <c r="D280" s="385">
        <v>167</v>
      </c>
      <c r="E280" s="353">
        <v>35000</v>
      </c>
      <c r="F280" s="349">
        <v>13146</v>
      </c>
      <c r="G280" s="1285">
        <v>0</v>
      </c>
      <c r="I280" s="423">
        <f>VLOOKUP(A280,'selección precios unitario'!$A$5:$I$418,9,FALSE)</f>
        <v>24073</v>
      </c>
    </row>
    <row r="281" spans="1:9" ht="25.5" x14ac:dyDescent="0.2">
      <c r="A281" s="1583" t="s">
        <v>499</v>
      </c>
      <c r="B281" s="347" t="s">
        <v>500</v>
      </c>
      <c r="C281" s="356" t="s">
        <v>501</v>
      </c>
      <c r="D281" s="385">
        <v>1</v>
      </c>
      <c r="E281" s="353">
        <v>3000000</v>
      </c>
      <c r="F281" s="387">
        <v>0</v>
      </c>
      <c r="G281" s="1285">
        <v>0</v>
      </c>
      <c r="I281" s="423">
        <f>VLOOKUP(A281,'selección precios unitario'!$A$5:$I$418,9,FALSE)</f>
        <v>3000000</v>
      </c>
    </row>
    <row r="282" spans="1:9" x14ac:dyDescent="0.2">
      <c r="A282" s="1583" t="s">
        <v>502</v>
      </c>
      <c r="B282" s="347" t="s">
        <v>503</v>
      </c>
      <c r="C282" s="356" t="s">
        <v>19</v>
      </c>
      <c r="D282" s="385">
        <v>110</v>
      </c>
      <c r="E282" s="353">
        <v>30000</v>
      </c>
      <c r="F282" s="349">
        <v>15067</v>
      </c>
      <c r="G282" s="1285">
        <v>0</v>
      </c>
      <c r="I282" s="423">
        <f>VLOOKUP(A282,'selección precios unitario'!$A$5:$I$418,9,FALSE)</f>
        <v>22534</v>
      </c>
    </row>
    <row r="283" spans="1:9" x14ac:dyDescent="0.2">
      <c r="A283" s="1583" t="s">
        <v>504</v>
      </c>
      <c r="B283" s="347" t="s">
        <v>505</v>
      </c>
      <c r="C283" s="356" t="s">
        <v>6</v>
      </c>
      <c r="D283" s="385">
        <v>36</v>
      </c>
      <c r="E283" s="353">
        <v>8000</v>
      </c>
      <c r="F283" s="349">
        <v>13967.2</v>
      </c>
      <c r="G283" s="1285">
        <v>0</v>
      </c>
      <c r="I283" s="423">
        <f>VLOOKUP(A283,'selección precios unitario'!$A$5:$I$418,9,FALSE)</f>
        <v>10984</v>
      </c>
    </row>
    <row r="284" spans="1:9" ht="38.25" x14ac:dyDescent="0.2">
      <c r="A284" s="1583" t="s">
        <v>506</v>
      </c>
      <c r="B284" s="347" t="s">
        <v>507</v>
      </c>
      <c r="C284" s="356" t="s">
        <v>6</v>
      </c>
      <c r="D284" s="385">
        <v>36</v>
      </c>
      <c r="E284" s="353">
        <v>80000</v>
      </c>
      <c r="F284" s="349">
        <v>54601.3</v>
      </c>
      <c r="G284" s="1285">
        <v>0</v>
      </c>
      <c r="I284" s="423">
        <f>VLOOKUP(A284,'selección precios unitario'!$A$5:$I$418,9,FALSE)</f>
        <v>67301</v>
      </c>
    </row>
    <row r="285" spans="1:9" x14ac:dyDescent="0.2">
      <c r="A285" s="1583" t="s">
        <v>508</v>
      </c>
      <c r="B285" s="347" t="s">
        <v>1476</v>
      </c>
      <c r="C285" s="356" t="s">
        <v>14</v>
      </c>
      <c r="D285" s="385">
        <v>172</v>
      </c>
      <c r="E285" s="353">
        <v>25000</v>
      </c>
      <c r="F285" s="349">
        <v>7969</v>
      </c>
      <c r="G285" s="1285">
        <v>26415</v>
      </c>
      <c r="I285" s="423">
        <f>VLOOKUP(A285,'selección precios unitario'!$A$5:$I$418,9,FALSE)</f>
        <v>25708</v>
      </c>
    </row>
    <row r="286" spans="1:9" ht="25.5" x14ac:dyDescent="0.2">
      <c r="A286" s="1583" t="s">
        <v>509</v>
      </c>
      <c r="B286" s="347" t="s">
        <v>23</v>
      </c>
      <c r="C286" s="340" t="s">
        <v>19</v>
      </c>
      <c r="D286" s="385">
        <v>97</v>
      </c>
      <c r="E286" s="353">
        <v>35000</v>
      </c>
      <c r="F286" s="349">
        <v>3731</v>
      </c>
      <c r="G286" s="1285">
        <v>29150</v>
      </c>
      <c r="I286" s="423">
        <f>VLOOKUP(A286,'selección precios unitario'!$A$5:$I$418,9,FALSE)</f>
        <v>32075</v>
      </c>
    </row>
    <row r="287" spans="1:9" ht="25.5" x14ac:dyDescent="0.2">
      <c r="A287" s="1583" t="s">
        <v>519</v>
      </c>
      <c r="B287" s="358" t="s">
        <v>103</v>
      </c>
      <c r="C287" s="356" t="s">
        <v>19</v>
      </c>
      <c r="D287" s="346">
        <v>10</v>
      </c>
      <c r="E287" s="353">
        <v>130000</v>
      </c>
      <c r="F287" s="349">
        <v>122971.77200000001</v>
      </c>
      <c r="G287" s="1285">
        <v>113422</v>
      </c>
      <c r="I287" s="423">
        <f>VLOOKUP(A287,'selección precios unitario'!$A$5:$I$418,9,FALSE)</f>
        <v>122131</v>
      </c>
    </row>
    <row r="288" spans="1:9" x14ac:dyDescent="0.2">
      <c r="A288" s="1583" t="s">
        <v>520</v>
      </c>
      <c r="B288" s="347" t="s">
        <v>105</v>
      </c>
      <c r="C288" s="356" t="s">
        <v>14</v>
      </c>
      <c r="D288" s="346">
        <v>5</v>
      </c>
      <c r="E288" s="353">
        <v>50000</v>
      </c>
      <c r="F288" s="349">
        <v>111069.57400000001</v>
      </c>
      <c r="G288" s="1285">
        <v>41152</v>
      </c>
      <c r="I288" s="423">
        <f>VLOOKUP(A288,'selección precios unitario'!$A$5:$I$418,9,FALSE)</f>
        <v>45576</v>
      </c>
    </row>
    <row r="289" spans="1:9" ht="38.25" x14ac:dyDescent="0.2">
      <c r="A289" s="1583" t="s">
        <v>521</v>
      </c>
      <c r="B289" s="358" t="s">
        <v>1468</v>
      </c>
      <c r="C289" s="356" t="s">
        <v>14</v>
      </c>
      <c r="D289" s="346">
        <v>5</v>
      </c>
      <c r="E289" s="353">
        <v>78000</v>
      </c>
      <c r="F289" s="349">
        <v>76011.936000000002</v>
      </c>
      <c r="G289" s="1285">
        <v>46346</v>
      </c>
      <c r="I289" s="423">
        <f>VLOOKUP(A289,'selección precios unitario'!$A$5:$I$418,9,FALSE)</f>
        <v>46346</v>
      </c>
    </row>
    <row r="290" spans="1:9" x14ac:dyDescent="0.2">
      <c r="A290" s="1583" t="s">
        <v>522</v>
      </c>
      <c r="B290" s="347" t="s">
        <v>109</v>
      </c>
      <c r="C290" s="356" t="s">
        <v>14</v>
      </c>
      <c r="D290" s="346">
        <v>8</v>
      </c>
      <c r="E290" s="1537">
        <v>50000</v>
      </c>
      <c r="F290" s="1566">
        <v>17277</v>
      </c>
      <c r="G290" s="1285">
        <v>37101</v>
      </c>
      <c r="I290" s="423">
        <f>VLOOKUP(A290,'selección precios unitario'!$A$5:$I$418,9,FALSE)</f>
        <v>37101</v>
      </c>
    </row>
    <row r="291" spans="1:9" ht="38.25" x14ac:dyDescent="0.2">
      <c r="A291" s="1583" t="s">
        <v>523</v>
      </c>
      <c r="B291" s="358" t="s">
        <v>111</v>
      </c>
      <c r="C291" s="363" t="s">
        <v>6</v>
      </c>
      <c r="D291" s="346">
        <v>1</v>
      </c>
      <c r="E291" s="353">
        <v>650000</v>
      </c>
      <c r="F291" s="349">
        <v>802118.24000000011</v>
      </c>
      <c r="G291" s="1285">
        <v>579485</v>
      </c>
      <c r="I291" s="423">
        <f>VLOOKUP(A291,'selección precios unitario'!$A$5:$I$418,9,FALSE)</f>
        <v>614743</v>
      </c>
    </row>
    <row r="292" spans="1:9" ht="25.5" x14ac:dyDescent="0.2">
      <c r="A292" s="1587" t="s">
        <v>528</v>
      </c>
      <c r="B292" s="358" t="s">
        <v>529</v>
      </c>
      <c r="C292" s="356" t="s">
        <v>19</v>
      </c>
      <c r="D292" s="346">
        <v>22</v>
      </c>
      <c r="E292" s="353">
        <v>12500</v>
      </c>
      <c r="F292" s="387">
        <v>0</v>
      </c>
      <c r="G292" s="1285">
        <v>0</v>
      </c>
      <c r="I292" s="423">
        <f>VLOOKUP(A292,'selección precios unitario'!$A$5:$I$418,9,FALSE)</f>
        <v>12500</v>
      </c>
    </row>
    <row r="293" spans="1:9" ht="25.5" x14ac:dyDescent="0.2">
      <c r="A293" s="1587" t="s">
        <v>530</v>
      </c>
      <c r="B293" s="358" t="s">
        <v>531</v>
      </c>
      <c r="C293" s="356" t="s">
        <v>19</v>
      </c>
      <c r="D293" s="355">
        <v>395</v>
      </c>
      <c r="E293" s="353">
        <v>14000</v>
      </c>
      <c r="F293" s="349">
        <v>4000</v>
      </c>
      <c r="G293" s="1285">
        <v>0</v>
      </c>
      <c r="I293" s="423">
        <f>VLOOKUP(A293,'selección precios unitario'!$A$5:$I$418,9,FALSE)</f>
        <v>9000</v>
      </c>
    </row>
    <row r="294" spans="1:9" x14ac:dyDescent="0.2">
      <c r="A294" s="1587" t="s">
        <v>532</v>
      </c>
      <c r="B294" s="358" t="s">
        <v>533</v>
      </c>
      <c r="C294" s="356" t="s">
        <v>19</v>
      </c>
      <c r="D294" s="355">
        <v>245</v>
      </c>
      <c r="E294" s="353">
        <v>9000</v>
      </c>
      <c r="F294" s="349">
        <v>4000</v>
      </c>
      <c r="G294" s="1285">
        <v>6890</v>
      </c>
      <c r="I294" s="423">
        <f>VLOOKUP(A294,'selección precios unitario'!$A$5:$I$418,9,FALSE)</f>
        <v>6630</v>
      </c>
    </row>
    <row r="295" spans="1:9" ht="38.25" x14ac:dyDescent="0.2">
      <c r="A295" s="1587" t="s">
        <v>534</v>
      </c>
      <c r="B295" s="358" t="s">
        <v>86</v>
      </c>
      <c r="C295" s="356" t="s">
        <v>19</v>
      </c>
      <c r="D295" s="355">
        <v>245</v>
      </c>
      <c r="E295" s="353">
        <v>48000</v>
      </c>
      <c r="F295" s="349">
        <v>45500</v>
      </c>
      <c r="G295" s="1285">
        <v>43614</v>
      </c>
      <c r="I295" s="423">
        <f>VLOOKUP(A295,'selección precios unitario'!$A$5:$I$418,9,FALSE)</f>
        <v>45053</v>
      </c>
    </row>
    <row r="296" spans="1:9" x14ac:dyDescent="0.2">
      <c r="A296" s="1587" t="s">
        <v>535</v>
      </c>
      <c r="B296" s="358" t="s">
        <v>536</v>
      </c>
      <c r="C296" s="356" t="s">
        <v>19</v>
      </c>
      <c r="D296" s="355">
        <v>350</v>
      </c>
      <c r="E296" s="353">
        <v>14000</v>
      </c>
      <c r="F296" s="349">
        <v>15288</v>
      </c>
      <c r="G296" s="1285">
        <v>0</v>
      </c>
      <c r="I296" s="423">
        <f>VLOOKUP(A296,'selección precios unitario'!$A$5:$I$418,9,FALSE)</f>
        <v>14644</v>
      </c>
    </row>
    <row r="297" spans="1:9" ht="25.5" x14ac:dyDescent="0.2">
      <c r="A297" s="1587" t="s">
        <v>537</v>
      </c>
      <c r="B297" s="358" t="s">
        <v>1506</v>
      </c>
      <c r="C297" s="356" t="s">
        <v>19</v>
      </c>
      <c r="D297" s="355">
        <v>350</v>
      </c>
      <c r="E297" s="353">
        <v>35000</v>
      </c>
      <c r="F297" s="349">
        <v>12000</v>
      </c>
      <c r="G297" s="1285">
        <v>0</v>
      </c>
      <c r="I297" s="423">
        <f>VLOOKUP(A297,'selección precios unitario'!$A$5:$I$418,9,FALSE)</f>
        <v>21500</v>
      </c>
    </row>
    <row r="298" spans="1:9" x14ac:dyDescent="0.2">
      <c r="A298" s="1587" t="s">
        <v>541</v>
      </c>
      <c r="B298" s="358" t="s">
        <v>1507</v>
      </c>
      <c r="C298" s="356" t="s">
        <v>6</v>
      </c>
      <c r="D298" s="346">
        <v>6</v>
      </c>
      <c r="E298" s="353">
        <v>50000</v>
      </c>
      <c r="F298" s="349">
        <v>65000</v>
      </c>
      <c r="G298" s="1285">
        <v>0</v>
      </c>
      <c r="I298" s="423">
        <f>VLOOKUP(A298,'selección precios unitario'!$A$5:$I$418,9,FALSE)</f>
        <v>62500</v>
      </c>
    </row>
    <row r="299" spans="1:9" ht="38.25" x14ac:dyDescent="0.2">
      <c r="A299" s="1587" t="s">
        <v>543</v>
      </c>
      <c r="B299" s="358" t="s">
        <v>544</v>
      </c>
      <c r="C299" s="340" t="s">
        <v>6</v>
      </c>
      <c r="D299" s="346">
        <v>22</v>
      </c>
      <c r="E299" s="353">
        <v>550000</v>
      </c>
      <c r="F299" s="349">
        <v>300000</v>
      </c>
      <c r="G299" s="1285">
        <v>0</v>
      </c>
      <c r="I299" s="423">
        <f>VLOOKUP(A299,'selección precios unitario'!$A$5:$I$418,9,FALSE)</f>
        <v>425000</v>
      </c>
    </row>
    <row r="300" spans="1:9" ht="51" x14ac:dyDescent="0.2">
      <c r="A300" s="1587" t="s">
        <v>545</v>
      </c>
      <c r="B300" s="358" t="s">
        <v>546</v>
      </c>
      <c r="C300" s="356" t="s">
        <v>6</v>
      </c>
      <c r="D300" s="355">
        <v>6</v>
      </c>
      <c r="E300" s="1536">
        <v>2900000</v>
      </c>
      <c r="F300" s="349">
        <v>1100000</v>
      </c>
      <c r="G300" s="1285">
        <v>0</v>
      </c>
      <c r="I300" s="423">
        <f>VLOOKUP(A300,'selección precios unitario'!$A$5:$I$418,9,FALSE)</f>
        <v>1100000</v>
      </c>
    </row>
    <row r="301" spans="1:9" ht="25.5" x14ac:dyDescent="0.2">
      <c r="A301" s="1587" t="s">
        <v>547</v>
      </c>
      <c r="B301" s="358" t="s">
        <v>1508</v>
      </c>
      <c r="C301" s="356" t="s">
        <v>6</v>
      </c>
      <c r="D301" s="355">
        <v>6</v>
      </c>
      <c r="E301" s="353">
        <v>160000</v>
      </c>
      <c r="F301" s="349">
        <v>250000</v>
      </c>
      <c r="G301" s="1285">
        <v>0</v>
      </c>
      <c r="I301" s="423">
        <f>VLOOKUP(A301,'selección precios unitario'!$A$5:$I$418,9,FALSE)</f>
        <v>205000</v>
      </c>
    </row>
    <row r="302" spans="1:9" x14ac:dyDescent="0.2">
      <c r="A302" s="1587" t="s">
        <v>549</v>
      </c>
      <c r="B302" s="358" t="s">
        <v>550</v>
      </c>
      <c r="C302" s="356" t="s">
        <v>6</v>
      </c>
      <c r="D302" s="355">
        <v>12</v>
      </c>
      <c r="E302" s="353">
        <v>105000</v>
      </c>
      <c r="F302" s="349">
        <v>65000</v>
      </c>
      <c r="G302" s="1285">
        <v>0</v>
      </c>
      <c r="I302" s="423">
        <f>VLOOKUP(A302,'selección precios unitario'!$A$5:$I$418,9,FALSE)</f>
        <v>85000</v>
      </c>
    </row>
    <row r="303" spans="1:9" x14ac:dyDescent="0.2">
      <c r="A303" s="1587" t="s">
        <v>552</v>
      </c>
      <c r="B303" s="364" t="s">
        <v>84</v>
      </c>
      <c r="C303" s="367" t="s">
        <v>19</v>
      </c>
      <c r="D303" s="346">
        <v>191</v>
      </c>
      <c r="E303" s="353">
        <v>9000</v>
      </c>
      <c r="F303" s="349">
        <v>5200</v>
      </c>
      <c r="G303" s="1285">
        <v>6890</v>
      </c>
      <c r="I303" s="423">
        <f>VLOOKUP(A303,'selección precios unitario'!$A$5:$I$418,9,FALSE)</f>
        <v>6630</v>
      </c>
    </row>
    <row r="304" spans="1:9" x14ac:dyDescent="0.2">
      <c r="A304" s="1587" t="s">
        <v>561</v>
      </c>
      <c r="B304" s="368" t="s">
        <v>98</v>
      </c>
      <c r="C304" s="367" t="s">
        <v>14</v>
      </c>
      <c r="D304" s="346">
        <v>10</v>
      </c>
      <c r="E304" s="353">
        <v>10200</v>
      </c>
      <c r="F304" s="349">
        <v>5200</v>
      </c>
      <c r="G304" s="1285">
        <v>0</v>
      </c>
      <c r="I304" s="423">
        <f>VLOOKUP(A304,'selección precios unitario'!$A$5:$I$418,9,FALSE)</f>
        <v>6120</v>
      </c>
    </row>
    <row r="305" spans="1:9" x14ac:dyDescent="0.2">
      <c r="A305" s="1587" t="s">
        <v>562</v>
      </c>
      <c r="B305" s="358" t="s">
        <v>92</v>
      </c>
      <c r="C305" s="356" t="s">
        <v>14</v>
      </c>
      <c r="D305" s="346">
        <v>10</v>
      </c>
      <c r="E305" s="353">
        <v>10800</v>
      </c>
      <c r="F305" s="1537">
        <v>5200</v>
      </c>
      <c r="G305" s="1285">
        <v>0</v>
      </c>
      <c r="I305" s="423">
        <f>VLOOKUP(A305,'selección precios unitario'!$A$5:$I$418,9,FALSE)</f>
        <v>8000</v>
      </c>
    </row>
    <row r="306" spans="1:9" ht="38.25" x14ac:dyDescent="0.2">
      <c r="A306" s="1587" t="s">
        <v>553</v>
      </c>
      <c r="B306" s="368" t="s">
        <v>86</v>
      </c>
      <c r="C306" s="367" t="s">
        <v>19</v>
      </c>
      <c r="D306" s="346">
        <v>191</v>
      </c>
      <c r="E306" s="353">
        <v>48000</v>
      </c>
      <c r="F306" s="349">
        <v>45500</v>
      </c>
      <c r="G306" s="1285">
        <v>43614</v>
      </c>
      <c r="I306" s="423">
        <f>VLOOKUP(A306,'selección precios unitario'!$A$5:$I$418,9,FALSE)</f>
        <v>45053</v>
      </c>
    </row>
    <row r="307" spans="1:9" x14ac:dyDescent="0.2">
      <c r="A307" s="1587" t="s">
        <v>554</v>
      </c>
      <c r="B307" s="368" t="s">
        <v>88</v>
      </c>
      <c r="C307" s="367" t="s">
        <v>19</v>
      </c>
      <c r="D307" s="346">
        <v>239</v>
      </c>
      <c r="E307" s="353">
        <v>28000</v>
      </c>
      <c r="F307" s="349">
        <v>11700</v>
      </c>
      <c r="G307" s="1285">
        <v>24610</v>
      </c>
      <c r="I307" s="423">
        <f>VLOOKUP(A307,'selección precios unitario'!$A$5:$I$418,9,FALSE)</f>
        <v>26305</v>
      </c>
    </row>
    <row r="308" spans="1:9" x14ac:dyDescent="0.2">
      <c r="A308" s="1587" t="s">
        <v>555</v>
      </c>
      <c r="B308" s="364" t="s">
        <v>90</v>
      </c>
      <c r="C308" s="367" t="s">
        <v>19</v>
      </c>
      <c r="D308" s="346">
        <v>239</v>
      </c>
      <c r="E308" s="353">
        <v>19000</v>
      </c>
      <c r="F308" s="1537">
        <v>8710</v>
      </c>
      <c r="G308" s="1285">
        <v>0</v>
      </c>
      <c r="I308" s="423">
        <f>VLOOKUP(A308,'selección precios unitario'!$A$5:$I$418,9,FALSE)</f>
        <v>19000</v>
      </c>
    </row>
    <row r="309" spans="1:9" x14ac:dyDescent="0.2">
      <c r="A309" s="1587" t="s">
        <v>556</v>
      </c>
      <c r="B309" s="358" t="s">
        <v>92</v>
      </c>
      <c r="C309" s="356" t="s">
        <v>19</v>
      </c>
      <c r="D309" s="346">
        <v>167</v>
      </c>
      <c r="E309" s="353">
        <v>18000</v>
      </c>
      <c r="F309" s="1537">
        <v>8710</v>
      </c>
      <c r="G309" s="1285">
        <v>17005</v>
      </c>
      <c r="I309" s="423">
        <f>VLOOKUP(A309,'selección precios unitario'!$A$5:$I$418,9,FALSE)</f>
        <v>17503</v>
      </c>
    </row>
    <row r="310" spans="1:9" x14ac:dyDescent="0.2">
      <c r="A310" s="1587" t="s">
        <v>557</v>
      </c>
      <c r="B310" s="401" t="s">
        <v>94</v>
      </c>
      <c r="C310" s="367" t="s">
        <v>19</v>
      </c>
      <c r="D310" s="346">
        <v>3</v>
      </c>
      <c r="E310" s="353">
        <v>17000</v>
      </c>
      <c r="F310" s="1537">
        <v>8710</v>
      </c>
      <c r="G310" s="1285">
        <v>0</v>
      </c>
      <c r="I310" s="423">
        <f>VLOOKUP(A310,'selección precios unitario'!$A$5:$I$418,9,FALSE)</f>
        <v>17000</v>
      </c>
    </row>
    <row r="311" spans="1:9" x14ac:dyDescent="0.2">
      <c r="A311" s="1587" t="s">
        <v>558</v>
      </c>
      <c r="B311" s="364" t="s">
        <v>84</v>
      </c>
      <c r="C311" s="367" t="s">
        <v>14</v>
      </c>
      <c r="D311" s="346">
        <v>10</v>
      </c>
      <c r="E311" s="353">
        <v>5400</v>
      </c>
      <c r="F311" s="349">
        <v>5200</v>
      </c>
      <c r="G311" s="1285">
        <v>0</v>
      </c>
      <c r="I311" s="423">
        <f>VLOOKUP(A311,'selección precios unitario'!$A$5:$I$418,9,FALSE)</f>
        <v>4700</v>
      </c>
    </row>
    <row r="312" spans="1:9" ht="38.25" x14ac:dyDescent="0.2">
      <c r="A312" s="1587" t="s">
        <v>559</v>
      </c>
      <c r="B312" s="368" t="s">
        <v>86</v>
      </c>
      <c r="C312" s="367" t="s">
        <v>14</v>
      </c>
      <c r="D312" s="346">
        <v>10</v>
      </c>
      <c r="E312" s="353">
        <v>28800</v>
      </c>
      <c r="F312" s="349">
        <v>6500</v>
      </c>
      <c r="G312" s="1285">
        <v>0</v>
      </c>
      <c r="I312" s="423">
        <f>VLOOKUP(A312,'selección precios unitario'!$A$5:$I$418,9,FALSE)</f>
        <v>17650</v>
      </c>
    </row>
    <row r="313" spans="1:9" x14ac:dyDescent="0.2">
      <c r="A313" s="1587" t="s">
        <v>560</v>
      </c>
      <c r="B313" s="368" t="s">
        <v>88</v>
      </c>
      <c r="C313" s="367" t="s">
        <v>14</v>
      </c>
      <c r="D313" s="346">
        <v>10</v>
      </c>
      <c r="E313" s="353">
        <v>16800</v>
      </c>
      <c r="F313" s="349">
        <v>11700</v>
      </c>
      <c r="G313" s="1285">
        <v>24610</v>
      </c>
      <c r="I313" s="423">
        <f>VLOOKUP(A313,'selección precios unitario'!$A$5:$I$418,9,FALSE)</f>
        <v>20705</v>
      </c>
    </row>
    <row r="314" spans="1:9" ht="25.5" x14ac:dyDescent="0.2">
      <c r="A314" s="1587" t="s">
        <v>565</v>
      </c>
      <c r="B314" s="388" t="s">
        <v>566</v>
      </c>
      <c r="C314" s="389" t="s">
        <v>19</v>
      </c>
      <c r="D314" s="346">
        <v>490</v>
      </c>
      <c r="E314" s="379">
        <v>33000</v>
      </c>
      <c r="F314" s="387">
        <v>0</v>
      </c>
      <c r="G314" s="1285">
        <v>0</v>
      </c>
      <c r="I314" s="423">
        <f>VLOOKUP(A314,'selección precios unitario'!$A$5:$I$418,9,FALSE)</f>
        <v>33000</v>
      </c>
    </row>
    <row r="315" spans="1:9" x14ac:dyDescent="0.2">
      <c r="A315" s="1587" t="s">
        <v>567</v>
      </c>
      <c r="B315" s="368" t="s">
        <v>568</v>
      </c>
      <c r="C315" s="363" t="s">
        <v>14</v>
      </c>
      <c r="D315" s="346">
        <v>60</v>
      </c>
      <c r="E315" s="353">
        <v>60000</v>
      </c>
      <c r="F315" s="387">
        <v>0</v>
      </c>
      <c r="G315" s="1285">
        <v>55754</v>
      </c>
      <c r="I315" s="423">
        <f>VLOOKUP(A315,'selección precios unitario'!$A$5:$I$418,9,FALSE)</f>
        <v>57877</v>
      </c>
    </row>
    <row r="316" spans="1:9" ht="25.5" x14ac:dyDescent="0.2">
      <c r="A316" s="1587" t="s">
        <v>569</v>
      </c>
      <c r="B316" s="360" t="s">
        <v>61</v>
      </c>
      <c r="C316" s="361" t="s">
        <v>14</v>
      </c>
      <c r="D316" s="346">
        <v>40</v>
      </c>
      <c r="E316" s="353">
        <v>46000</v>
      </c>
      <c r="F316" s="349">
        <v>57837</v>
      </c>
      <c r="G316" s="1285">
        <v>0</v>
      </c>
      <c r="I316" s="423">
        <f>VLOOKUP(A316,'selección precios unitario'!$A$5:$I$418,9,FALSE)</f>
        <v>51919</v>
      </c>
    </row>
    <row r="317" spans="1:9" x14ac:dyDescent="0.2">
      <c r="A317" s="1587" t="s">
        <v>570</v>
      </c>
      <c r="B317" s="358" t="s">
        <v>1482</v>
      </c>
      <c r="C317" s="356" t="s">
        <v>19</v>
      </c>
      <c r="D317" s="346">
        <v>15</v>
      </c>
      <c r="E317" s="1536">
        <v>135000</v>
      </c>
      <c r="F317" s="349">
        <v>77870</v>
      </c>
      <c r="G317" s="1285">
        <v>0</v>
      </c>
      <c r="I317" s="423">
        <f>VLOOKUP(A317,'selección precios unitario'!$A$5:$I$418,9,FALSE)</f>
        <v>77870</v>
      </c>
    </row>
    <row r="318" spans="1:9" x14ac:dyDescent="0.2">
      <c r="A318" s="1587" t="s">
        <v>571</v>
      </c>
      <c r="B318" s="358" t="s">
        <v>195</v>
      </c>
      <c r="C318" s="356" t="s">
        <v>19</v>
      </c>
      <c r="D318" s="346">
        <v>570</v>
      </c>
      <c r="E318" s="353">
        <v>7000</v>
      </c>
      <c r="F318" s="349">
        <v>4200</v>
      </c>
      <c r="G318" s="1285">
        <v>5300</v>
      </c>
      <c r="I318" s="423">
        <f>VLOOKUP(A318,'selección precios unitario'!$A$5:$I$418,9,FALSE)</f>
        <v>5500</v>
      </c>
    </row>
    <row r="319" spans="1:9" x14ac:dyDescent="0.2">
      <c r="A319" s="1587" t="s">
        <v>572</v>
      </c>
      <c r="B319" s="358" t="s">
        <v>1509</v>
      </c>
      <c r="C319" s="356" t="s">
        <v>6</v>
      </c>
      <c r="D319" s="346">
        <v>6</v>
      </c>
      <c r="E319" s="416">
        <v>45000</v>
      </c>
      <c r="F319" s="349">
        <v>9000</v>
      </c>
      <c r="G319" s="1285">
        <v>0</v>
      </c>
      <c r="I319" s="423">
        <f>VLOOKUP(A319,'selección precios unitario'!$A$5:$I$418,9,FALSE)</f>
        <v>9000</v>
      </c>
    </row>
    <row r="320" spans="1:9" x14ac:dyDescent="0.2">
      <c r="A320" s="1587" t="s">
        <v>574</v>
      </c>
      <c r="B320" s="358" t="s">
        <v>1510</v>
      </c>
      <c r="C320" s="356" t="s">
        <v>6</v>
      </c>
      <c r="D320" s="346">
        <v>6</v>
      </c>
      <c r="E320" s="353">
        <v>98000</v>
      </c>
      <c r="F320" s="349">
        <v>15000</v>
      </c>
      <c r="G320" s="1285">
        <v>0</v>
      </c>
      <c r="I320" s="423">
        <f>VLOOKUP(A320,'selección precios unitario'!$A$5:$I$418,9,FALSE)</f>
        <v>56500</v>
      </c>
    </row>
    <row r="321" spans="1:9" ht="25.5" x14ac:dyDescent="0.2">
      <c r="A321" s="1583" t="s">
        <v>579</v>
      </c>
      <c r="B321" s="358" t="s">
        <v>529</v>
      </c>
      <c r="C321" s="356" t="s">
        <v>19</v>
      </c>
      <c r="D321" s="346">
        <v>33</v>
      </c>
      <c r="E321" s="353">
        <v>12500</v>
      </c>
      <c r="F321" s="387">
        <v>0</v>
      </c>
      <c r="G321" s="1285"/>
      <c r="I321" s="423">
        <f>VLOOKUP(A321,'selección precios unitario'!$A$5:$I$418,9,FALSE)</f>
        <v>12500</v>
      </c>
    </row>
    <row r="322" spans="1:9" ht="25.5" x14ac:dyDescent="0.2">
      <c r="A322" s="1583" t="s">
        <v>580</v>
      </c>
      <c r="B322" s="358" t="s">
        <v>531</v>
      </c>
      <c r="C322" s="356" t="s">
        <v>19</v>
      </c>
      <c r="D322" s="346">
        <v>33</v>
      </c>
      <c r="E322" s="353">
        <v>14000</v>
      </c>
      <c r="F322" s="349">
        <v>3731</v>
      </c>
      <c r="G322" s="1285">
        <v>0</v>
      </c>
      <c r="I322" s="423">
        <f>VLOOKUP(A322,'selección precios unitario'!$A$5:$I$418,9,FALSE)</f>
        <v>9000</v>
      </c>
    </row>
    <row r="323" spans="1:9" ht="25.5" x14ac:dyDescent="0.2">
      <c r="A323" s="1583" t="s">
        <v>581</v>
      </c>
      <c r="B323" s="358" t="s">
        <v>582</v>
      </c>
      <c r="C323" s="356" t="s">
        <v>14</v>
      </c>
      <c r="D323" s="346">
        <v>5</v>
      </c>
      <c r="E323" s="353">
        <v>85000</v>
      </c>
      <c r="F323" s="387">
        <v>0</v>
      </c>
      <c r="G323" s="1285">
        <v>0</v>
      </c>
      <c r="I323" s="423">
        <f>VLOOKUP(A323,'selección precios unitario'!$A$5:$I$418,9,FALSE)</f>
        <v>85000</v>
      </c>
    </row>
    <row r="324" spans="1:9" x14ac:dyDescent="0.2">
      <c r="A324" s="1583" t="s">
        <v>583</v>
      </c>
      <c r="B324" s="358" t="s">
        <v>533</v>
      </c>
      <c r="C324" s="356" t="s">
        <v>19</v>
      </c>
      <c r="D324" s="346">
        <v>20</v>
      </c>
      <c r="E324" s="353">
        <v>9000</v>
      </c>
      <c r="F324" s="349">
        <v>4000</v>
      </c>
      <c r="G324" s="1285">
        <v>6890</v>
      </c>
      <c r="I324" s="423">
        <f>VLOOKUP(A324,'selección precios unitario'!$A$5:$I$418,9,FALSE)</f>
        <v>6630</v>
      </c>
    </row>
    <row r="325" spans="1:9" ht="25.5" x14ac:dyDescent="0.2">
      <c r="A325" s="1583" t="s">
        <v>584</v>
      </c>
      <c r="B325" s="358" t="s">
        <v>1511</v>
      </c>
      <c r="C325" s="356" t="s">
        <v>19</v>
      </c>
      <c r="D325" s="346">
        <v>33</v>
      </c>
      <c r="E325" s="353">
        <v>22500</v>
      </c>
      <c r="F325" s="387">
        <v>0</v>
      </c>
      <c r="G325" s="1285">
        <v>0</v>
      </c>
      <c r="I325" s="423">
        <f>VLOOKUP(A325,'selección precios unitario'!$A$5:$I$418,9,FALSE)</f>
        <v>22500</v>
      </c>
    </row>
    <row r="326" spans="1:9" x14ac:dyDescent="0.2">
      <c r="A326" s="1583" t="s">
        <v>586</v>
      </c>
      <c r="B326" s="358" t="s">
        <v>1512</v>
      </c>
      <c r="C326" s="356" t="s">
        <v>19</v>
      </c>
      <c r="D326" s="346">
        <v>33</v>
      </c>
      <c r="E326" s="353">
        <v>24000</v>
      </c>
      <c r="F326" s="1537">
        <v>8710</v>
      </c>
      <c r="G326" s="1285">
        <v>0</v>
      </c>
      <c r="I326" s="423">
        <f>VLOOKUP(A326,'selección precios unitario'!$A$5:$I$418,9,FALSE)</f>
        <v>21500</v>
      </c>
    </row>
    <row r="327" spans="1:9" ht="38.25" x14ac:dyDescent="0.2">
      <c r="A327" s="1583" t="s">
        <v>588</v>
      </c>
      <c r="B327" s="358" t="s">
        <v>86</v>
      </c>
      <c r="C327" s="356" t="s">
        <v>19</v>
      </c>
      <c r="D327" s="346">
        <v>20</v>
      </c>
      <c r="E327" s="353">
        <v>48000</v>
      </c>
      <c r="F327" s="349">
        <v>45500</v>
      </c>
      <c r="G327" s="1285">
        <v>43614</v>
      </c>
      <c r="I327" s="423">
        <f>VLOOKUP(A327,'selección precios unitario'!$A$5:$I$418,9,FALSE)</f>
        <v>45053</v>
      </c>
    </row>
    <row r="328" spans="1:9" ht="25.5" x14ac:dyDescent="0.2">
      <c r="A328" s="1583" t="s">
        <v>591</v>
      </c>
      <c r="B328" s="402" t="s">
        <v>1513</v>
      </c>
      <c r="C328" s="389" t="s">
        <v>14</v>
      </c>
      <c r="D328" s="346">
        <v>20</v>
      </c>
      <c r="E328" s="353">
        <v>85000</v>
      </c>
      <c r="F328" s="349">
        <v>62000</v>
      </c>
      <c r="G328" s="1285">
        <v>0</v>
      </c>
      <c r="I328" s="423">
        <f>VLOOKUP(A328,'selección precios unitario'!$A$5:$I$418,9,FALSE)</f>
        <v>73500</v>
      </c>
    </row>
    <row r="329" spans="1:9" x14ac:dyDescent="0.2">
      <c r="A329" s="1583" t="s">
        <v>601</v>
      </c>
      <c r="B329" s="358" t="s">
        <v>88</v>
      </c>
      <c r="C329" s="356" t="s">
        <v>14</v>
      </c>
      <c r="D329" s="346">
        <v>3</v>
      </c>
      <c r="E329" s="353">
        <v>16800</v>
      </c>
      <c r="F329" s="349">
        <v>11700</v>
      </c>
      <c r="G329" s="1285">
        <v>24610</v>
      </c>
      <c r="I329" s="423">
        <f>VLOOKUP(A329,'selección precios unitario'!$A$5:$I$418,9,FALSE)</f>
        <v>20705</v>
      </c>
    </row>
    <row r="330" spans="1:9" x14ac:dyDescent="0.2">
      <c r="A330" s="1583" t="s">
        <v>602</v>
      </c>
      <c r="B330" s="358" t="s">
        <v>98</v>
      </c>
      <c r="C330" s="356" t="s">
        <v>14</v>
      </c>
      <c r="D330" s="346">
        <v>3</v>
      </c>
      <c r="E330" s="353">
        <v>10200</v>
      </c>
      <c r="F330" s="349">
        <v>5200</v>
      </c>
      <c r="G330" s="1285">
        <v>0</v>
      </c>
      <c r="I330" s="423">
        <f>VLOOKUP(A330,'selección precios unitario'!$A$5:$I$418,9,FALSE)</f>
        <v>6120</v>
      </c>
    </row>
    <row r="331" spans="1:9" x14ac:dyDescent="0.2">
      <c r="A331" s="1583" t="s">
        <v>603</v>
      </c>
      <c r="B331" s="358" t="s">
        <v>92</v>
      </c>
      <c r="C331" s="356" t="s">
        <v>14</v>
      </c>
      <c r="D331" s="346">
        <v>3</v>
      </c>
      <c r="E331" s="353">
        <v>10800</v>
      </c>
      <c r="F331" s="1537">
        <v>5200</v>
      </c>
      <c r="G331" s="1285">
        <v>0</v>
      </c>
      <c r="I331" s="423">
        <f>VLOOKUP(A331,'selección precios unitario'!$A$5:$I$418,9,FALSE)</f>
        <v>8000</v>
      </c>
    </row>
    <row r="332" spans="1:9" x14ac:dyDescent="0.2">
      <c r="A332" s="1583" t="s">
        <v>593</v>
      </c>
      <c r="B332" s="364" t="s">
        <v>84</v>
      </c>
      <c r="C332" s="367" t="s">
        <v>19</v>
      </c>
      <c r="D332" s="346">
        <v>50</v>
      </c>
      <c r="E332" s="353">
        <v>9000</v>
      </c>
      <c r="F332" s="349">
        <v>5200</v>
      </c>
      <c r="G332" s="1285">
        <v>6890</v>
      </c>
      <c r="I332" s="423">
        <f>VLOOKUP(A332,'selección precios unitario'!$A$5:$I$418,9,FALSE)</f>
        <v>6630</v>
      </c>
    </row>
    <row r="333" spans="1:9" ht="38.25" x14ac:dyDescent="0.2">
      <c r="A333" s="1583" t="s">
        <v>594</v>
      </c>
      <c r="B333" s="358" t="s">
        <v>86</v>
      </c>
      <c r="C333" s="356" t="s">
        <v>19</v>
      </c>
      <c r="D333" s="346">
        <v>50</v>
      </c>
      <c r="E333" s="353">
        <v>48000</v>
      </c>
      <c r="F333" s="349">
        <v>45500</v>
      </c>
      <c r="G333" s="1285">
        <v>43614</v>
      </c>
      <c r="I333" s="423">
        <f>VLOOKUP(A333,'selección precios unitario'!$A$5:$I$418,9,FALSE)</f>
        <v>45053</v>
      </c>
    </row>
    <row r="334" spans="1:9" x14ac:dyDescent="0.2">
      <c r="A334" s="1583" t="s">
        <v>595</v>
      </c>
      <c r="B334" s="358" t="s">
        <v>88</v>
      </c>
      <c r="C334" s="356" t="s">
        <v>19</v>
      </c>
      <c r="D334" s="346">
        <v>80</v>
      </c>
      <c r="E334" s="353">
        <v>28000</v>
      </c>
      <c r="F334" s="349">
        <v>11700</v>
      </c>
      <c r="G334" s="1285">
        <v>24610</v>
      </c>
      <c r="I334" s="423">
        <f>VLOOKUP(A334,'selección precios unitario'!$A$5:$I$418,9,FALSE)</f>
        <v>26305</v>
      </c>
    </row>
    <row r="335" spans="1:9" x14ac:dyDescent="0.2">
      <c r="A335" s="1583" t="s">
        <v>596</v>
      </c>
      <c r="B335" s="358" t="s">
        <v>90</v>
      </c>
      <c r="C335" s="356" t="s">
        <v>19</v>
      </c>
      <c r="D335" s="346">
        <v>114</v>
      </c>
      <c r="E335" s="353">
        <v>19000</v>
      </c>
      <c r="F335" s="1537">
        <v>8710</v>
      </c>
      <c r="G335" s="1285">
        <v>0</v>
      </c>
      <c r="I335" s="423">
        <f>VLOOKUP(A335,'selección precios unitario'!$A$5:$I$418,9,FALSE)</f>
        <v>19000</v>
      </c>
    </row>
    <row r="336" spans="1:9" x14ac:dyDescent="0.2">
      <c r="A336" s="1583" t="s">
        <v>597</v>
      </c>
      <c r="B336" s="358" t="s">
        <v>92</v>
      </c>
      <c r="C336" s="356" t="s">
        <v>19</v>
      </c>
      <c r="D336" s="346">
        <v>23</v>
      </c>
      <c r="E336" s="353">
        <v>18000</v>
      </c>
      <c r="F336" s="1537">
        <v>8710</v>
      </c>
      <c r="G336" s="1285">
        <v>17005</v>
      </c>
      <c r="I336" s="423">
        <f>VLOOKUP(A336,'selección precios unitario'!$A$5:$I$418,9,FALSE)</f>
        <v>17503</v>
      </c>
    </row>
    <row r="337" spans="1:9" x14ac:dyDescent="0.2">
      <c r="A337" s="1583" t="s">
        <v>598</v>
      </c>
      <c r="B337" s="358" t="s">
        <v>94</v>
      </c>
      <c r="C337" s="356" t="s">
        <v>19</v>
      </c>
      <c r="D337" s="346">
        <v>6</v>
      </c>
      <c r="E337" s="353">
        <v>17000</v>
      </c>
      <c r="F337" s="1537">
        <v>8710</v>
      </c>
      <c r="G337" s="1285">
        <v>0</v>
      </c>
      <c r="I337" s="423">
        <f>VLOOKUP(A337,'selección precios unitario'!$A$5:$I$418,9,FALSE)</f>
        <v>17000</v>
      </c>
    </row>
    <row r="338" spans="1:9" x14ac:dyDescent="0.2">
      <c r="A338" s="1583" t="s">
        <v>599</v>
      </c>
      <c r="B338" s="358" t="s">
        <v>84</v>
      </c>
      <c r="C338" s="356" t="s">
        <v>14</v>
      </c>
      <c r="D338" s="346">
        <v>3</v>
      </c>
      <c r="E338" s="353">
        <v>5400</v>
      </c>
      <c r="F338" s="349">
        <v>5200</v>
      </c>
      <c r="G338" s="1285">
        <v>0</v>
      </c>
      <c r="I338" s="423">
        <f>VLOOKUP(A338,'selección precios unitario'!$A$5:$I$418,9,FALSE)</f>
        <v>4700</v>
      </c>
    </row>
    <row r="339" spans="1:9" ht="38.25" x14ac:dyDescent="0.2">
      <c r="A339" s="1583" t="s">
        <v>600</v>
      </c>
      <c r="B339" s="358" t="s">
        <v>86</v>
      </c>
      <c r="C339" s="356" t="s">
        <v>14</v>
      </c>
      <c r="D339" s="346">
        <v>3</v>
      </c>
      <c r="E339" s="353">
        <v>28800</v>
      </c>
      <c r="F339" s="349">
        <v>6500</v>
      </c>
      <c r="G339" s="1285">
        <v>0</v>
      </c>
      <c r="I339" s="423">
        <f>VLOOKUP(A339,'selección precios unitario'!$A$5:$I$418,9,FALSE)</f>
        <v>17650</v>
      </c>
    </row>
    <row r="340" spans="1:9" x14ac:dyDescent="0.2">
      <c r="A340" s="1583" t="s">
        <v>606</v>
      </c>
      <c r="B340" s="388" t="s">
        <v>607</v>
      </c>
      <c r="C340" s="389" t="s">
        <v>19</v>
      </c>
      <c r="D340" s="346">
        <v>30</v>
      </c>
      <c r="E340" s="353">
        <v>9000</v>
      </c>
      <c r="F340" s="349">
        <v>7000</v>
      </c>
      <c r="G340" s="1285">
        <v>9646</v>
      </c>
      <c r="I340" s="423">
        <f>VLOOKUP(A340,'selección precios unitario'!$A$5:$I$418,9,FALSE)</f>
        <v>8549</v>
      </c>
    </row>
    <row r="341" spans="1:9" ht="25.5" x14ac:dyDescent="0.2">
      <c r="A341" s="1583" t="s">
        <v>608</v>
      </c>
      <c r="B341" s="388" t="s">
        <v>609</v>
      </c>
      <c r="C341" s="389" t="s">
        <v>19</v>
      </c>
      <c r="D341" s="346">
        <v>30</v>
      </c>
      <c r="E341" s="353">
        <v>80000</v>
      </c>
      <c r="F341" s="349">
        <v>45000</v>
      </c>
      <c r="G341" s="1285">
        <v>60213</v>
      </c>
      <c r="I341" s="423">
        <f>VLOOKUP(A341,'selección precios unitario'!$A$5:$I$418,9,FALSE)</f>
        <v>61738</v>
      </c>
    </row>
    <row r="342" spans="1:9" x14ac:dyDescent="0.2">
      <c r="A342" s="1583" t="s">
        <v>610</v>
      </c>
      <c r="B342" s="383" t="s">
        <v>59</v>
      </c>
      <c r="C342" s="403" t="s">
        <v>14</v>
      </c>
      <c r="D342" s="386">
        <v>23</v>
      </c>
      <c r="E342" s="353">
        <v>16000</v>
      </c>
      <c r="F342" s="349">
        <v>16848</v>
      </c>
      <c r="G342" s="1285">
        <v>13382</v>
      </c>
      <c r="I342" s="423">
        <f>VLOOKUP(A342,'selección precios unitario'!$A$5:$I$418,9,FALSE)</f>
        <v>15410</v>
      </c>
    </row>
    <row r="343" spans="1:9" ht="25.5" x14ac:dyDescent="0.2">
      <c r="A343" s="1583" t="s">
        <v>611</v>
      </c>
      <c r="B343" s="358" t="s">
        <v>61</v>
      </c>
      <c r="C343" s="356" t="s">
        <v>14</v>
      </c>
      <c r="D343" s="385">
        <v>23</v>
      </c>
      <c r="E343" s="353">
        <v>46000</v>
      </c>
      <c r="F343" s="349">
        <v>57837</v>
      </c>
      <c r="G343" s="1285">
        <v>0</v>
      </c>
      <c r="I343" s="423">
        <f>VLOOKUP(A343,'selección precios unitario'!$A$5:$I$418,9,FALSE)</f>
        <v>51919</v>
      </c>
    </row>
    <row r="344" spans="1:9" x14ac:dyDescent="0.2">
      <c r="A344" s="1583" t="s">
        <v>613</v>
      </c>
      <c r="B344" s="358" t="s">
        <v>614</v>
      </c>
      <c r="C344" s="389" t="s">
        <v>19</v>
      </c>
      <c r="D344" s="385">
        <v>30</v>
      </c>
      <c r="E344" s="353">
        <v>110000</v>
      </c>
      <c r="F344" s="349">
        <v>38000</v>
      </c>
      <c r="G344" s="1285">
        <v>56170</v>
      </c>
      <c r="I344" s="423">
        <f>VLOOKUP(A344,'selección precios unitario'!$A$5:$I$418,9,FALSE)</f>
        <v>56170</v>
      </c>
    </row>
    <row r="345" spans="1:9" x14ac:dyDescent="0.2">
      <c r="A345" s="1583" t="s">
        <v>615</v>
      </c>
      <c r="B345" s="358" t="s">
        <v>195</v>
      </c>
      <c r="C345" s="389" t="s">
        <v>19</v>
      </c>
      <c r="D345" s="385">
        <v>30</v>
      </c>
      <c r="E345" s="353">
        <v>70000</v>
      </c>
      <c r="F345" s="349">
        <v>4200</v>
      </c>
      <c r="G345" s="1285">
        <v>5300</v>
      </c>
      <c r="I345" s="423">
        <f>VLOOKUP(A345,'selección precios unitario'!$A$5:$I$418,9,FALSE)</f>
        <v>5500</v>
      </c>
    </row>
    <row r="346" spans="1:9" ht="25.5" x14ac:dyDescent="0.2">
      <c r="A346" s="1587" t="s">
        <v>620</v>
      </c>
      <c r="B346" s="358" t="s">
        <v>621</v>
      </c>
      <c r="C346" s="356" t="s">
        <v>19</v>
      </c>
      <c r="D346" s="346">
        <v>17</v>
      </c>
      <c r="E346" s="353">
        <v>14000</v>
      </c>
      <c r="F346" s="387">
        <v>0</v>
      </c>
      <c r="G346" s="1285">
        <v>0</v>
      </c>
      <c r="I346" s="423">
        <f>VLOOKUP(A346,'selección precios unitario'!$A$5:$I$418,9,FALSE)</f>
        <v>9000</v>
      </c>
    </row>
    <row r="347" spans="1:9" ht="38.25" x14ac:dyDescent="0.2">
      <c r="A347" s="1587" t="s">
        <v>622</v>
      </c>
      <c r="B347" s="360" t="s">
        <v>86</v>
      </c>
      <c r="C347" s="389" t="s">
        <v>19</v>
      </c>
      <c r="D347" s="346">
        <v>10</v>
      </c>
      <c r="E347" s="353">
        <v>48000</v>
      </c>
      <c r="F347" s="349">
        <v>45500</v>
      </c>
      <c r="G347" s="1285">
        <v>43614</v>
      </c>
      <c r="I347" s="423">
        <f>VLOOKUP(A347,'selección precios unitario'!$A$5:$I$418,9,FALSE)</f>
        <v>45053</v>
      </c>
    </row>
    <row r="348" spans="1:9" x14ac:dyDescent="0.2">
      <c r="A348" s="1587" t="s">
        <v>623</v>
      </c>
      <c r="B348" s="358" t="s">
        <v>533</v>
      </c>
      <c r="C348" s="356" t="s">
        <v>19</v>
      </c>
      <c r="D348" s="346">
        <v>10</v>
      </c>
      <c r="E348" s="353">
        <v>9000</v>
      </c>
      <c r="F348" s="349">
        <v>4000</v>
      </c>
      <c r="G348" s="1285">
        <v>6890</v>
      </c>
      <c r="I348" s="423">
        <f>VLOOKUP(A348,'selección precios unitario'!$A$5:$I$418,9,FALSE)</f>
        <v>6630</v>
      </c>
    </row>
    <row r="349" spans="1:9" x14ac:dyDescent="0.2">
      <c r="A349" s="1587" t="s">
        <v>624</v>
      </c>
      <c r="B349" s="358" t="s">
        <v>536</v>
      </c>
      <c r="C349" s="356" t="s">
        <v>19</v>
      </c>
      <c r="D349" s="346">
        <v>17</v>
      </c>
      <c r="E349" s="353">
        <v>14000</v>
      </c>
      <c r="F349" s="387">
        <v>0</v>
      </c>
      <c r="G349" s="1285">
        <v>0</v>
      </c>
      <c r="I349" s="423">
        <f>VLOOKUP(A349,'selección precios unitario'!$A$5:$I$418,9,FALSE)</f>
        <v>14644</v>
      </c>
    </row>
    <row r="350" spans="1:9" ht="25.5" x14ac:dyDescent="0.2">
      <c r="A350" s="1587" t="s">
        <v>625</v>
      </c>
      <c r="B350" s="358" t="s">
        <v>1506</v>
      </c>
      <c r="C350" s="356" t="s">
        <v>19</v>
      </c>
      <c r="D350" s="346">
        <v>17</v>
      </c>
      <c r="E350" s="353">
        <v>28000</v>
      </c>
      <c r="F350" s="349">
        <v>15000</v>
      </c>
      <c r="G350" s="1285">
        <v>0</v>
      </c>
      <c r="I350" s="423">
        <f>VLOOKUP(A350,'selección precios unitario'!$A$5:$I$418,9,FALSE)</f>
        <v>21500</v>
      </c>
    </row>
    <row r="351" spans="1:9" x14ac:dyDescent="0.2">
      <c r="A351" s="1587" t="s">
        <v>628</v>
      </c>
      <c r="B351" s="364" t="s">
        <v>84</v>
      </c>
      <c r="C351" s="367" t="s">
        <v>19</v>
      </c>
      <c r="D351" s="385">
        <v>192</v>
      </c>
      <c r="E351" s="353">
        <v>9000</v>
      </c>
      <c r="F351" s="349">
        <v>5200</v>
      </c>
      <c r="G351" s="1285">
        <v>6890</v>
      </c>
      <c r="I351" s="423">
        <f>VLOOKUP(A351,'selección precios unitario'!$A$5:$I$418,9,FALSE)</f>
        <v>6630</v>
      </c>
    </row>
    <row r="352" spans="1:9" x14ac:dyDescent="0.2">
      <c r="A352" s="1587" t="s">
        <v>640</v>
      </c>
      <c r="B352" s="358" t="s">
        <v>92</v>
      </c>
      <c r="C352" s="356" t="s">
        <v>14</v>
      </c>
      <c r="D352" s="346">
        <v>20</v>
      </c>
      <c r="E352" s="353">
        <v>10800</v>
      </c>
      <c r="F352" s="1537">
        <v>5200</v>
      </c>
      <c r="G352" s="1285">
        <v>0</v>
      </c>
      <c r="I352" s="423">
        <f>VLOOKUP(A352,'selección precios unitario'!$A$5:$I$418,9,FALSE)</f>
        <v>8000</v>
      </c>
    </row>
    <row r="353" spans="1:9" ht="38.25" x14ac:dyDescent="0.2">
      <c r="A353" s="1587" t="s">
        <v>629</v>
      </c>
      <c r="B353" s="368" t="s">
        <v>86</v>
      </c>
      <c r="C353" s="367" t="s">
        <v>19</v>
      </c>
      <c r="D353" s="385">
        <v>192</v>
      </c>
      <c r="E353" s="353">
        <v>48000</v>
      </c>
      <c r="F353" s="349">
        <v>45500</v>
      </c>
      <c r="G353" s="1285">
        <v>43614</v>
      </c>
      <c r="I353" s="423">
        <f>VLOOKUP(A353,'selección precios unitario'!$A$5:$I$418,9,FALSE)</f>
        <v>45053</v>
      </c>
    </row>
    <row r="354" spans="1:9" x14ac:dyDescent="0.2">
      <c r="A354" s="1587" t="s">
        <v>630</v>
      </c>
      <c r="B354" s="368" t="s">
        <v>88</v>
      </c>
      <c r="C354" s="367" t="s">
        <v>19</v>
      </c>
      <c r="D354" s="385">
        <v>274</v>
      </c>
      <c r="E354" s="353">
        <v>28000</v>
      </c>
      <c r="F354" s="349">
        <v>11700</v>
      </c>
      <c r="G354" s="1285">
        <v>24610</v>
      </c>
      <c r="I354" s="423">
        <f>VLOOKUP(A354,'selección precios unitario'!$A$5:$I$418,9,FALSE)</f>
        <v>26305</v>
      </c>
    </row>
    <row r="355" spans="1:9" x14ac:dyDescent="0.2">
      <c r="A355" s="1587" t="s">
        <v>631</v>
      </c>
      <c r="B355" s="364" t="s">
        <v>632</v>
      </c>
      <c r="C355" s="367" t="s">
        <v>19</v>
      </c>
      <c r="D355" s="385">
        <v>274</v>
      </c>
      <c r="E355" s="353">
        <v>19000</v>
      </c>
      <c r="F355" s="1537">
        <v>8710</v>
      </c>
      <c r="G355" s="1285">
        <v>0</v>
      </c>
      <c r="I355" s="423">
        <f>VLOOKUP(A355,'selección precios unitario'!$A$5:$I$418,9,FALSE)</f>
        <v>19000</v>
      </c>
    </row>
    <row r="356" spans="1:9" x14ac:dyDescent="0.2">
      <c r="A356" s="1587" t="s">
        <v>633</v>
      </c>
      <c r="B356" s="358" t="s">
        <v>92</v>
      </c>
      <c r="C356" s="356" t="s">
        <v>19</v>
      </c>
      <c r="D356" s="346">
        <v>137</v>
      </c>
      <c r="E356" s="353">
        <v>18000</v>
      </c>
      <c r="F356" s="1537">
        <v>8710</v>
      </c>
      <c r="G356" s="1285">
        <v>0</v>
      </c>
      <c r="I356" s="423">
        <f>VLOOKUP(A356,'selección precios unitario'!$A$5:$I$418,9,FALSE)</f>
        <v>17503</v>
      </c>
    </row>
    <row r="357" spans="1:9" x14ac:dyDescent="0.2">
      <c r="A357" s="1587" t="s">
        <v>634</v>
      </c>
      <c r="B357" s="364" t="s">
        <v>84</v>
      </c>
      <c r="C357" s="367" t="s">
        <v>14</v>
      </c>
      <c r="D357" s="385">
        <v>46</v>
      </c>
      <c r="E357" s="353">
        <v>5400</v>
      </c>
      <c r="F357" s="349">
        <v>5200</v>
      </c>
      <c r="G357" s="1285">
        <v>0</v>
      </c>
      <c r="I357" s="423">
        <f>VLOOKUP(A357,'selección precios unitario'!$A$5:$I$418,9,FALSE)</f>
        <v>4700</v>
      </c>
    </row>
    <row r="358" spans="1:9" ht="25.5" x14ac:dyDescent="0.2">
      <c r="A358" s="1587" t="s">
        <v>635</v>
      </c>
      <c r="B358" s="358" t="s">
        <v>636</v>
      </c>
      <c r="C358" s="356" t="s">
        <v>14</v>
      </c>
      <c r="D358" s="385">
        <v>46</v>
      </c>
      <c r="E358" s="353">
        <v>28800</v>
      </c>
      <c r="F358" s="349">
        <v>6500</v>
      </c>
      <c r="G358" s="1285">
        <v>0</v>
      </c>
      <c r="I358" s="423">
        <f>VLOOKUP(A358,'selección precios unitario'!$A$5:$I$418,9,FALSE)</f>
        <v>17650</v>
      </c>
    </row>
    <row r="359" spans="1:9" x14ac:dyDescent="0.2">
      <c r="A359" s="1587" t="s">
        <v>637</v>
      </c>
      <c r="B359" s="358" t="s">
        <v>88</v>
      </c>
      <c r="C359" s="356" t="s">
        <v>14</v>
      </c>
      <c r="D359" s="385">
        <v>46</v>
      </c>
      <c r="E359" s="353">
        <v>16800</v>
      </c>
      <c r="F359" s="349">
        <v>11700</v>
      </c>
      <c r="G359" s="1285">
        <v>0</v>
      </c>
      <c r="I359" s="423">
        <f>VLOOKUP(A359,'selección precios unitario'!$A$5:$I$418,9,FALSE)</f>
        <v>20705</v>
      </c>
    </row>
    <row r="360" spans="1:9" x14ac:dyDescent="0.2">
      <c r="A360" s="1587" t="s">
        <v>638</v>
      </c>
      <c r="B360" s="358" t="s">
        <v>639</v>
      </c>
      <c r="C360" s="356" t="s">
        <v>14</v>
      </c>
      <c r="D360" s="385">
        <v>65</v>
      </c>
      <c r="E360" s="353">
        <v>11400</v>
      </c>
      <c r="F360" s="349">
        <v>5200</v>
      </c>
      <c r="G360" s="1285">
        <v>0</v>
      </c>
      <c r="I360" s="423">
        <f>VLOOKUP(A360,'selección precios unitario'!$A$5:$I$418,9,FALSE)</f>
        <v>6120</v>
      </c>
    </row>
    <row r="361" spans="1:9" ht="25.5" x14ac:dyDescent="0.2">
      <c r="A361" s="1587" t="s">
        <v>643</v>
      </c>
      <c r="B361" s="360" t="s">
        <v>644</v>
      </c>
      <c r="C361" s="404" t="s">
        <v>19</v>
      </c>
      <c r="D361" s="385">
        <v>10</v>
      </c>
      <c r="E361" s="353">
        <v>50000</v>
      </c>
      <c r="F361" s="387">
        <v>0</v>
      </c>
      <c r="G361" s="1285">
        <v>0</v>
      </c>
      <c r="I361" s="423">
        <f>VLOOKUP(A361,'selección precios unitario'!$A$5:$I$418,9,FALSE)</f>
        <v>50000</v>
      </c>
    </row>
    <row r="362" spans="1:9" ht="25.5" x14ac:dyDescent="0.2">
      <c r="A362" s="1587" t="s">
        <v>660</v>
      </c>
      <c r="B362" s="402" t="s">
        <v>1518</v>
      </c>
      <c r="C362" s="389" t="s">
        <v>14</v>
      </c>
      <c r="D362" s="385">
        <v>15</v>
      </c>
      <c r="E362" s="353">
        <v>85000</v>
      </c>
      <c r="F362" s="349">
        <v>62000</v>
      </c>
      <c r="G362" s="1285">
        <v>0</v>
      </c>
      <c r="I362" s="423">
        <f>VLOOKUP(A362,'selección precios unitario'!$A$5:$I$418,9,FALSE)</f>
        <v>73500</v>
      </c>
    </row>
    <row r="363" spans="1:9" ht="38.25" x14ac:dyDescent="0.2">
      <c r="A363" s="1587" t="s">
        <v>662</v>
      </c>
      <c r="B363" s="391" t="s">
        <v>663</v>
      </c>
      <c r="C363" s="363" t="s">
        <v>19</v>
      </c>
      <c r="D363" s="385">
        <v>45</v>
      </c>
      <c r="E363" s="353">
        <v>75000</v>
      </c>
      <c r="F363" s="387">
        <v>0</v>
      </c>
      <c r="G363" s="1285">
        <v>0</v>
      </c>
      <c r="I363" s="423">
        <f>VLOOKUP(A363,'selección precios unitario'!$A$5:$I$418,9,FALSE)</f>
        <v>75000</v>
      </c>
    </row>
    <row r="364" spans="1:9" ht="25.5" x14ac:dyDescent="0.2">
      <c r="A364" s="1587" t="s">
        <v>664</v>
      </c>
      <c r="B364" s="358" t="s">
        <v>1519</v>
      </c>
      <c r="C364" s="356" t="s">
        <v>6</v>
      </c>
      <c r="D364" s="385">
        <v>2</v>
      </c>
      <c r="E364" s="353">
        <v>160000</v>
      </c>
      <c r="F364" s="349">
        <v>245778</v>
      </c>
      <c r="G364" s="1285">
        <v>0</v>
      </c>
      <c r="I364" s="423">
        <f>VLOOKUP(A364,'selección precios unitario'!$A$5:$I$418,9,FALSE)</f>
        <v>202889</v>
      </c>
    </row>
    <row r="365" spans="1:9" x14ac:dyDescent="0.2">
      <c r="A365" s="1587" t="s">
        <v>666</v>
      </c>
      <c r="B365" s="392" t="s">
        <v>1520</v>
      </c>
      <c r="C365" s="340" t="s">
        <v>6</v>
      </c>
      <c r="D365" s="385">
        <v>1</v>
      </c>
      <c r="E365" s="353">
        <v>80000</v>
      </c>
      <c r="F365" s="349">
        <v>47398</v>
      </c>
      <c r="G365" s="1285">
        <v>0</v>
      </c>
      <c r="I365" s="423">
        <f>VLOOKUP(A365,'selección precios unitario'!$A$5:$I$418,9,FALSE)</f>
        <v>62500</v>
      </c>
    </row>
    <row r="366" spans="1:9" x14ac:dyDescent="0.2">
      <c r="A366" s="1587" t="s">
        <v>668</v>
      </c>
      <c r="B366" s="347" t="s">
        <v>669</v>
      </c>
      <c r="C366" s="340" t="s">
        <v>6</v>
      </c>
      <c r="D366" s="385">
        <v>1</v>
      </c>
      <c r="E366" s="1536">
        <v>800000</v>
      </c>
      <c r="F366" s="349">
        <v>455624</v>
      </c>
      <c r="G366" s="1285">
        <v>0</v>
      </c>
      <c r="I366" s="423">
        <f>VLOOKUP(A366,'selección precios unitario'!$A$5:$I$418,9,FALSE)</f>
        <v>455624</v>
      </c>
    </row>
    <row r="367" spans="1:9" x14ac:dyDescent="0.2">
      <c r="A367" s="1587" t="s">
        <v>645</v>
      </c>
      <c r="B367" s="390" t="s">
        <v>646</v>
      </c>
      <c r="C367" s="363" t="s">
        <v>150</v>
      </c>
      <c r="D367" s="405">
        <v>9</v>
      </c>
      <c r="E367" s="353">
        <v>65000</v>
      </c>
      <c r="F367" s="349">
        <v>17797</v>
      </c>
      <c r="G367" s="1285">
        <v>0</v>
      </c>
      <c r="I367" s="423">
        <f>VLOOKUP(A367,'selección precios unitario'!$A$5:$I$418,9,FALSE)</f>
        <v>41757</v>
      </c>
    </row>
    <row r="368" spans="1:9" ht="25.5" x14ac:dyDescent="0.2">
      <c r="A368" s="1587" t="s">
        <v>647</v>
      </c>
      <c r="B368" s="391" t="s">
        <v>648</v>
      </c>
      <c r="C368" s="340" t="s">
        <v>150</v>
      </c>
      <c r="D368" s="385">
        <v>1</v>
      </c>
      <c r="E368" s="353">
        <v>920000</v>
      </c>
      <c r="F368" s="349">
        <v>830024</v>
      </c>
      <c r="G368" s="1285">
        <v>0</v>
      </c>
      <c r="I368" s="423">
        <f>VLOOKUP(A368,'selección precios unitario'!$A$5:$I$418,9,FALSE)</f>
        <v>875012</v>
      </c>
    </row>
    <row r="369" spans="1:9" ht="25.5" x14ac:dyDescent="0.2">
      <c r="A369" s="1587" t="s">
        <v>649</v>
      </c>
      <c r="B369" s="358" t="s">
        <v>650</v>
      </c>
      <c r="C369" s="363" t="s">
        <v>19</v>
      </c>
      <c r="D369" s="385">
        <v>52</v>
      </c>
      <c r="E369" s="353">
        <v>45000</v>
      </c>
      <c r="F369" s="1537">
        <v>180661</v>
      </c>
      <c r="G369" s="1285">
        <v>0</v>
      </c>
      <c r="I369" s="423">
        <f>VLOOKUP(A369,'selección precios unitario'!$A$5:$I$418,9,FALSE)</f>
        <v>45000</v>
      </c>
    </row>
    <row r="370" spans="1:9" ht="25.5" x14ac:dyDescent="0.2">
      <c r="A370" s="1587" t="s">
        <v>651</v>
      </c>
      <c r="B370" s="358" t="s">
        <v>1515</v>
      </c>
      <c r="C370" s="356" t="s">
        <v>14</v>
      </c>
      <c r="D370" s="355">
        <v>12</v>
      </c>
      <c r="E370" s="353">
        <v>120000</v>
      </c>
      <c r="F370" s="349">
        <v>18317</v>
      </c>
      <c r="G370" s="1285">
        <v>0</v>
      </c>
      <c r="I370" s="423">
        <f>VLOOKUP(A370,'selección precios unitario'!$A$5:$I$418,9,FALSE)</f>
        <v>69159</v>
      </c>
    </row>
    <row r="371" spans="1:9" ht="38.25" x14ac:dyDescent="0.2">
      <c r="A371" s="1587" t="s">
        <v>653</v>
      </c>
      <c r="B371" s="391" t="s">
        <v>1516</v>
      </c>
      <c r="C371" s="363" t="s">
        <v>19</v>
      </c>
      <c r="D371" s="385">
        <v>22</v>
      </c>
      <c r="E371" s="353">
        <v>250000</v>
      </c>
      <c r="F371" s="349">
        <v>252694</v>
      </c>
      <c r="G371" s="1285">
        <v>0</v>
      </c>
      <c r="I371" s="423">
        <f>VLOOKUP(A371,'selección precios unitario'!$A$5:$I$418,9,FALSE)</f>
        <v>251347</v>
      </c>
    </row>
    <row r="372" spans="1:9" x14ac:dyDescent="0.2">
      <c r="A372" s="1587" t="s">
        <v>655</v>
      </c>
      <c r="B372" s="392" t="s">
        <v>1517</v>
      </c>
      <c r="C372" s="340" t="s">
        <v>19</v>
      </c>
      <c r="D372" s="385">
        <v>17</v>
      </c>
      <c r="E372" s="353">
        <v>30000</v>
      </c>
      <c r="F372" s="349">
        <v>25935</v>
      </c>
      <c r="G372" s="1285">
        <v>0</v>
      </c>
      <c r="I372" s="423">
        <f>VLOOKUP(A372,'selección precios unitario'!$A$5:$I$418,9,FALSE)</f>
        <v>27968</v>
      </c>
    </row>
    <row r="373" spans="1:9" x14ac:dyDescent="0.2">
      <c r="A373" s="1587" t="s">
        <v>657</v>
      </c>
      <c r="B373" s="392" t="s">
        <v>658</v>
      </c>
      <c r="C373" s="340" t="s">
        <v>19</v>
      </c>
      <c r="D373" s="385">
        <v>17</v>
      </c>
      <c r="E373" s="1290"/>
      <c r="F373" s="349">
        <v>349323</v>
      </c>
      <c r="G373" s="1285">
        <v>0</v>
      </c>
      <c r="I373" s="423">
        <f>VLOOKUP(A373,'selección precios unitario'!$A$5:$I$418,9,FALSE)</f>
        <v>349323</v>
      </c>
    </row>
    <row r="374" spans="1:9" x14ac:dyDescent="0.2">
      <c r="A374" s="1587" t="s">
        <v>659</v>
      </c>
      <c r="B374" s="393" t="s">
        <v>195</v>
      </c>
      <c r="C374" s="363" t="s">
        <v>19</v>
      </c>
      <c r="D374" s="385">
        <v>165</v>
      </c>
      <c r="E374" s="353">
        <v>7000</v>
      </c>
      <c r="F374" s="349">
        <v>4200</v>
      </c>
      <c r="G374" s="1285">
        <v>5300</v>
      </c>
      <c r="I374" s="423">
        <f>VLOOKUP(A374,'selección precios unitario'!$A$5:$I$418,9,FALSE)</f>
        <v>5500</v>
      </c>
    </row>
    <row r="375" spans="1:9" ht="76.5" x14ac:dyDescent="0.2">
      <c r="A375" s="1583" t="s">
        <v>674</v>
      </c>
      <c r="B375" s="347" t="s">
        <v>675</v>
      </c>
      <c r="C375" s="340" t="s">
        <v>6</v>
      </c>
      <c r="D375" s="346">
        <v>2</v>
      </c>
      <c r="E375" s="353">
        <v>850000</v>
      </c>
      <c r="F375" s="349">
        <v>600000</v>
      </c>
      <c r="G375" s="1285">
        <v>0</v>
      </c>
      <c r="I375" s="423">
        <f>VLOOKUP(A375,'selección precios unitario'!$A$5:$I$418,9,FALSE)</f>
        <v>725000</v>
      </c>
    </row>
    <row r="376" spans="1:9" ht="76.5" x14ac:dyDescent="0.2">
      <c r="A376" s="1583" t="s">
        <v>676</v>
      </c>
      <c r="B376" s="347" t="s">
        <v>677</v>
      </c>
      <c r="C376" s="340" t="s">
        <v>6</v>
      </c>
      <c r="D376" s="385">
        <v>34</v>
      </c>
      <c r="E376" s="353">
        <v>800000</v>
      </c>
      <c r="F376" s="349">
        <v>481000</v>
      </c>
      <c r="G376" s="1285">
        <v>0</v>
      </c>
      <c r="I376" s="423">
        <f>VLOOKUP(A376,'selección precios unitario'!$A$5:$I$418,9,FALSE)</f>
        <v>640500</v>
      </c>
    </row>
    <row r="377" spans="1:9" ht="76.5" x14ac:dyDescent="0.2">
      <c r="A377" s="1583" t="s">
        <v>678</v>
      </c>
      <c r="B377" s="347" t="s">
        <v>679</v>
      </c>
      <c r="C377" s="340" t="s">
        <v>6</v>
      </c>
      <c r="D377" s="385">
        <v>17</v>
      </c>
      <c r="E377" s="353">
        <v>800000</v>
      </c>
      <c r="F377" s="349">
        <v>550000</v>
      </c>
      <c r="G377" s="1285">
        <v>0</v>
      </c>
      <c r="I377" s="423">
        <f>VLOOKUP(A377,'selección precios unitario'!$A$5:$I$418,9,FALSE)</f>
        <v>640500</v>
      </c>
    </row>
    <row r="378" spans="1:9" ht="76.5" x14ac:dyDescent="0.2">
      <c r="A378" s="1583" t="s">
        <v>680</v>
      </c>
      <c r="B378" s="347" t="s">
        <v>681</v>
      </c>
      <c r="C378" s="340" t="s">
        <v>6</v>
      </c>
      <c r="D378" s="385">
        <v>13</v>
      </c>
      <c r="E378" s="353">
        <v>700000</v>
      </c>
      <c r="F378" s="349">
        <v>550000</v>
      </c>
      <c r="G378" s="1285">
        <v>0</v>
      </c>
      <c r="I378" s="423">
        <f>VLOOKUP(A378,'selección precios unitario'!$A$5:$I$418,9,FALSE)</f>
        <v>625000</v>
      </c>
    </row>
    <row r="379" spans="1:9" ht="63.75" x14ac:dyDescent="0.2">
      <c r="A379" s="1583" t="s">
        <v>682</v>
      </c>
      <c r="B379" s="347" t="s">
        <v>683</v>
      </c>
      <c r="C379" s="356" t="s">
        <v>6</v>
      </c>
      <c r="D379" s="385">
        <v>1</v>
      </c>
      <c r="E379" s="353">
        <v>2900000</v>
      </c>
      <c r="F379" s="349">
        <v>4000000</v>
      </c>
      <c r="G379" s="1285">
        <v>0</v>
      </c>
      <c r="I379" s="423">
        <f>VLOOKUP(A379,'selección precios unitario'!$A$5:$I$418,9,FALSE)</f>
        <v>3450000</v>
      </c>
    </row>
    <row r="380" spans="1:9" ht="63.75" x14ac:dyDescent="0.2">
      <c r="A380" s="1583" t="s">
        <v>684</v>
      </c>
      <c r="B380" s="347" t="s">
        <v>685</v>
      </c>
      <c r="C380" s="356" t="s">
        <v>6</v>
      </c>
      <c r="D380" s="385">
        <v>1</v>
      </c>
      <c r="E380" s="353">
        <v>2700000</v>
      </c>
      <c r="F380" s="349">
        <v>3500000</v>
      </c>
      <c r="G380" s="1285">
        <v>0</v>
      </c>
      <c r="I380" s="423">
        <f>VLOOKUP(A380,'selección precios unitario'!$A$5:$I$418,9,FALSE)</f>
        <v>3100000</v>
      </c>
    </row>
    <row r="381" spans="1:9" ht="25.5" x14ac:dyDescent="0.2">
      <c r="A381" s="1583" t="s">
        <v>686</v>
      </c>
      <c r="B381" s="347" t="s">
        <v>687</v>
      </c>
      <c r="C381" s="340" t="s">
        <v>6</v>
      </c>
      <c r="D381" s="385">
        <v>1</v>
      </c>
      <c r="E381" s="353">
        <v>60000</v>
      </c>
      <c r="F381" s="349">
        <v>65000</v>
      </c>
      <c r="G381" s="1285">
        <v>0</v>
      </c>
      <c r="I381" s="423">
        <f>VLOOKUP(A381,'selección precios unitario'!$A$5:$I$418,9,FALSE)</f>
        <v>62500</v>
      </c>
    </row>
    <row r="382" spans="1:9" ht="25.5" x14ac:dyDescent="0.2">
      <c r="A382" s="1583" t="s">
        <v>688</v>
      </c>
      <c r="B382" s="347" t="s">
        <v>689</v>
      </c>
      <c r="C382" s="340" t="s">
        <v>6</v>
      </c>
      <c r="D382" s="385">
        <v>15</v>
      </c>
      <c r="E382" s="353">
        <v>80000</v>
      </c>
      <c r="F382" s="349">
        <v>95000</v>
      </c>
      <c r="G382" s="1285">
        <v>0</v>
      </c>
      <c r="I382" s="423">
        <f>VLOOKUP(A382,'selección precios unitario'!$A$5:$I$418,9,FALSE)</f>
        <v>87500</v>
      </c>
    </row>
    <row r="383" spans="1:9" x14ac:dyDescent="0.2">
      <c r="A383" s="1583" t="s">
        <v>691</v>
      </c>
      <c r="B383" s="364" t="s">
        <v>84</v>
      </c>
      <c r="C383" s="367" t="s">
        <v>19</v>
      </c>
      <c r="D383" s="385">
        <v>320</v>
      </c>
      <c r="E383" s="353">
        <v>9000</v>
      </c>
      <c r="F383" s="349">
        <v>5200</v>
      </c>
      <c r="G383" s="1285">
        <v>6890</v>
      </c>
      <c r="I383" s="423">
        <f>VLOOKUP(A383,'selección precios unitario'!$A$5:$I$418,9,FALSE)</f>
        <v>6630</v>
      </c>
    </row>
    <row r="384" spans="1:9" x14ac:dyDescent="0.2">
      <c r="A384" s="1583" t="s">
        <v>700</v>
      </c>
      <c r="B384" s="368" t="s">
        <v>98</v>
      </c>
      <c r="C384" s="367" t="s">
        <v>14</v>
      </c>
      <c r="D384" s="385">
        <v>5</v>
      </c>
      <c r="E384" s="353">
        <v>10200</v>
      </c>
      <c r="F384" s="349">
        <v>5200</v>
      </c>
      <c r="G384" s="1285">
        <v>0</v>
      </c>
      <c r="I384" s="423">
        <f>VLOOKUP(A384,'selección precios unitario'!$A$5:$I$418,9,FALSE)</f>
        <v>6120</v>
      </c>
    </row>
    <row r="385" spans="1:10" x14ac:dyDescent="0.2">
      <c r="A385" s="1583" t="s">
        <v>701</v>
      </c>
      <c r="B385" s="358" t="s">
        <v>92</v>
      </c>
      <c r="C385" s="356" t="s">
        <v>14</v>
      </c>
      <c r="D385" s="346">
        <v>5</v>
      </c>
      <c r="E385" s="353">
        <v>10800</v>
      </c>
      <c r="F385" s="1537">
        <v>5200</v>
      </c>
      <c r="G385" s="1285">
        <v>0</v>
      </c>
      <c r="I385" s="423">
        <f>VLOOKUP(A385,'selección precios unitario'!$A$5:$I$418,9,FALSE)</f>
        <v>8000</v>
      </c>
    </row>
    <row r="386" spans="1:10" ht="38.25" x14ac:dyDescent="0.2">
      <c r="A386" s="1583" t="s">
        <v>692</v>
      </c>
      <c r="B386" s="368" t="s">
        <v>86</v>
      </c>
      <c r="C386" s="367" t="s">
        <v>19</v>
      </c>
      <c r="D386" s="385">
        <v>320</v>
      </c>
      <c r="E386" s="353">
        <v>48000</v>
      </c>
      <c r="F386" s="349">
        <v>45500</v>
      </c>
      <c r="G386" s="1285">
        <v>43614</v>
      </c>
      <c r="I386" s="423">
        <f>VLOOKUP(A386,'selección precios unitario'!$A$5:$I$418,9,FALSE)</f>
        <v>45053</v>
      </c>
    </row>
    <row r="387" spans="1:10" x14ac:dyDescent="0.2">
      <c r="A387" s="1583" t="s">
        <v>693</v>
      </c>
      <c r="B387" s="368" t="s">
        <v>88</v>
      </c>
      <c r="C387" s="367" t="s">
        <v>19</v>
      </c>
      <c r="D387" s="385">
        <v>448</v>
      </c>
      <c r="E387" s="353">
        <v>28000</v>
      </c>
      <c r="F387" s="349">
        <v>11700</v>
      </c>
      <c r="G387" s="1285">
        <v>24610</v>
      </c>
      <c r="I387" s="423">
        <f>VLOOKUP(A387,'selección precios unitario'!$A$5:$I$418,9,FALSE)</f>
        <v>26305</v>
      </c>
    </row>
    <row r="388" spans="1:10" x14ac:dyDescent="0.2">
      <c r="A388" s="1583" t="s">
        <v>694</v>
      </c>
      <c r="B388" s="364" t="s">
        <v>90</v>
      </c>
      <c r="C388" s="367" t="s">
        <v>19</v>
      </c>
      <c r="D388" s="385">
        <v>641</v>
      </c>
      <c r="E388" s="353">
        <v>19000</v>
      </c>
      <c r="F388" s="1537">
        <v>8710</v>
      </c>
      <c r="G388" s="1285">
        <v>0</v>
      </c>
      <c r="I388" s="423">
        <f>VLOOKUP(A388,'selección precios unitario'!$A$5:$I$418,9,FALSE)</f>
        <v>19000</v>
      </c>
    </row>
    <row r="389" spans="1:10" x14ac:dyDescent="0.2">
      <c r="A389" s="1583" t="s">
        <v>695</v>
      </c>
      <c r="B389" s="358" t="s">
        <v>92</v>
      </c>
      <c r="C389" s="356" t="s">
        <v>19</v>
      </c>
      <c r="D389" s="346">
        <v>128</v>
      </c>
      <c r="E389" s="353">
        <v>18000</v>
      </c>
      <c r="F389" s="1537">
        <v>8710</v>
      </c>
      <c r="G389" s="1285">
        <v>17005</v>
      </c>
      <c r="I389" s="423">
        <f>VLOOKUP(A389,'selección precios unitario'!$A$5:$I$418,9,FALSE)</f>
        <v>17503</v>
      </c>
    </row>
    <row r="390" spans="1:10" x14ac:dyDescent="0.2">
      <c r="A390" s="1583" t="s">
        <v>696</v>
      </c>
      <c r="B390" s="401" t="s">
        <v>94</v>
      </c>
      <c r="C390" s="367" t="s">
        <v>19</v>
      </c>
      <c r="D390" s="385">
        <v>3</v>
      </c>
      <c r="E390" s="353">
        <v>17000</v>
      </c>
      <c r="F390" s="1537">
        <v>8710</v>
      </c>
      <c r="G390" s="1285">
        <v>0</v>
      </c>
      <c r="I390" s="423">
        <f>VLOOKUP(A390,'selección precios unitario'!$A$5:$I$418,9,FALSE)</f>
        <v>17000</v>
      </c>
    </row>
    <row r="391" spans="1:10" x14ac:dyDescent="0.2">
      <c r="A391" s="1583" t="s">
        <v>697</v>
      </c>
      <c r="B391" s="364" t="s">
        <v>84</v>
      </c>
      <c r="C391" s="367" t="s">
        <v>14</v>
      </c>
      <c r="D391" s="385">
        <v>5</v>
      </c>
      <c r="E391" s="353">
        <v>5400</v>
      </c>
      <c r="F391" s="349">
        <v>5200</v>
      </c>
      <c r="G391" s="1285">
        <v>0</v>
      </c>
      <c r="I391" s="423">
        <f>VLOOKUP(A391,'selección precios unitario'!$A$5:$I$418,9,FALSE)</f>
        <v>4700</v>
      </c>
      <c r="J391" s="1567"/>
    </row>
    <row r="392" spans="1:10" ht="38.25" x14ac:dyDescent="0.2">
      <c r="A392" s="1583" t="s">
        <v>698</v>
      </c>
      <c r="B392" s="368" t="s">
        <v>86</v>
      </c>
      <c r="C392" s="367" t="s">
        <v>14</v>
      </c>
      <c r="D392" s="385">
        <v>5</v>
      </c>
      <c r="E392" s="353">
        <v>28800</v>
      </c>
      <c r="F392" s="349">
        <v>6500</v>
      </c>
      <c r="G392" s="1285">
        <v>0</v>
      </c>
      <c r="I392" s="423">
        <f>VLOOKUP(A392,'selección precios unitario'!$A$5:$I$418,9,FALSE)</f>
        <v>17650</v>
      </c>
      <c r="J392" s="1567"/>
    </row>
    <row r="393" spans="1:10" x14ac:dyDescent="0.2">
      <c r="A393" s="1583" t="s">
        <v>699</v>
      </c>
      <c r="B393" s="368" t="s">
        <v>88</v>
      </c>
      <c r="C393" s="367" t="s">
        <v>14</v>
      </c>
      <c r="D393" s="385">
        <v>5</v>
      </c>
      <c r="E393" s="353">
        <v>16800</v>
      </c>
      <c r="F393" s="349">
        <v>11700</v>
      </c>
      <c r="G393" s="1285">
        <v>0</v>
      </c>
      <c r="I393" s="423">
        <f>VLOOKUP(A393,'selección precios unitario'!$A$5:$I$418,9,FALSE)</f>
        <v>20705</v>
      </c>
    </row>
    <row r="394" spans="1:10" ht="38.25" x14ac:dyDescent="0.2">
      <c r="A394" s="1583" t="s">
        <v>704</v>
      </c>
      <c r="B394" s="358" t="s">
        <v>1521</v>
      </c>
      <c r="C394" s="389" t="s">
        <v>19</v>
      </c>
      <c r="D394" s="385">
        <v>40</v>
      </c>
      <c r="E394" s="353">
        <v>145000</v>
      </c>
      <c r="F394" s="349">
        <v>64150</v>
      </c>
      <c r="G394" s="1285">
        <v>0</v>
      </c>
      <c r="I394" s="423">
        <f>VLOOKUP(A394,'selección precios unitario'!$A$5:$I$418,9,FALSE)</f>
        <v>104575</v>
      </c>
    </row>
    <row r="395" spans="1:10" x14ac:dyDescent="0.2">
      <c r="A395" s="1583" t="s">
        <v>706</v>
      </c>
      <c r="B395" s="388" t="s">
        <v>707</v>
      </c>
      <c r="C395" s="389" t="s">
        <v>14</v>
      </c>
      <c r="D395" s="385">
        <v>60</v>
      </c>
      <c r="E395" s="353">
        <v>35000</v>
      </c>
      <c r="F395" s="349">
        <v>36340</v>
      </c>
      <c r="G395" s="1285">
        <v>0</v>
      </c>
      <c r="I395" s="423">
        <f>VLOOKUP(A395,'selección precios unitario'!$A$5:$I$418,9,FALSE)</f>
        <v>35670</v>
      </c>
    </row>
    <row r="396" spans="1:10" ht="25.5" x14ac:dyDescent="0.2">
      <c r="A396" s="1583" t="s">
        <v>708</v>
      </c>
      <c r="B396" s="368" t="s">
        <v>709</v>
      </c>
      <c r="C396" s="367" t="s">
        <v>19</v>
      </c>
      <c r="D396" s="385">
        <v>3</v>
      </c>
      <c r="E396" s="353">
        <v>20000</v>
      </c>
      <c r="F396" s="349">
        <v>18700</v>
      </c>
      <c r="G396" s="1285">
        <v>17183</v>
      </c>
      <c r="I396" s="423">
        <f>VLOOKUP(A396,'selección precios unitario'!$A$5:$I$418,9,FALSE)</f>
        <v>18628</v>
      </c>
    </row>
    <row r="397" spans="1:10" x14ac:dyDescent="0.2">
      <c r="A397" s="1583" t="s">
        <v>710</v>
      </c>
      <c r="B397" s="368" t="s">
        <v>711</v>
      </c>
      <c r="C397" s="367" t="s">
        <v>14</v>
      </c>
      <c r="D397" s="385">
        <v>5</v>
      </c>
      <c r="E397" s="353">
        <v>25000</v>
      </c>
      <c r="F397" s="349">
        <v>29810.000000000004</v>
      </c>
      <c r="G397" s="1285">
        <v>28983</v>
      </c>
      <c r="I397" s="423">
        <f>VLOOKUP(A397,'selección precios unitario'!$A$5:$I$418,9,FALSE)</f>
        <v>27931</v>
      </c>
    </row>
    <row r="398" spans="1:10" ht="25.5" x14ac:dyDescent="0.2">
      <c r="A398" s="1583" t="s">
        <v>712</v>
      </c>
      <c r="B398" s="368" t="s">
        <v>713</v>
      </c>
      <c r="C398" s="367" t="s">
        <v>19</v>
      </c>
      <c r="D398" s="385">
        <v>3</v>
      </c>
      <c r="E398" s="353">
        <v>40000</v>
      </c>
      <c r="F398" s="349">
        <v>40700</v>
      </c>
      <c r="G398" s="1285">
        <v>36498</v>
      </c>
      <c r="I398" s="423">
        <f>VLOOKUP(A398,'selección precios unitario'!$A$5:$I$418,9,FALSE)</f>
        <v>39066</v>
      </c>
    </row>
    <row r="399" spans="1:10" x14ac:dyDescent="0.2">
      <c r="A399" s="1583" t="s">
        <v>714</v>
      </c>
      <c r="B399" s="368" t="s">
        <v>715</v>
      </c>
      <c r="C399" s="367" t="s">
        <v>19</v>
      </c>
      <c r="D399" s="385">
        <v>3</v>
      </c>
      <c r="E399" s="353">
        <v>35000</v>
      </c>
      <c r="F399" s="349">
        <v>46200.000000000007</v>
      </c>
      <c r="G399" s="1285">
        <v>41917</v>
      </c>
      <c r="I399" s="423">
        <f>VLOOKUP(A399,'selección precios unitario'!$A$5:$I$418,9,FALSE)</f>
        <v>41039</v>
      </c>
      <c r="J399" s="1567"/>
    </row>
    <row r="400" spans="1:10" x14ac:dyDescent="0.2">
      <c r="A400" s="1583" t="s">
        <v>716</v>
      </c>
      <c r="B400" s="368" t="s">
        <v>717</v>
      </c>
      <c r="C400" s="367" t="s">
        <v>19</v>
      </c>
      <c r="D400" s="385">
        <v>3</v>
      </c>
      <c r="E400" s="353">
        <v>50000</v>
      </c>
      <c r="F400" s="349">
        <v>18700</v>
      </c>
      <c r="G400" s="1285">
        <v>0</v>
      </c>
      <c r="I400" s="423">
        <f>VLOOKUP(A400,'selección precios unitario'!$A$5:$I$418,9,FALSE)</f>
        <v>34350</v>
      </c>
    </row>
    <row r="401" spans="1:12" x14ac:dyDescent="0.2">
      <c r="A401" s="1583" t="s">
        <v>719</v>
      </c>
      <c r="B401" s="388" t="s">
        <v>720</v>
      </c>
      <c r="C401" s="389" t="s">
        <v>6</v>
      </c>
      <c r="D401" s="385">
        <v>6</v>
      </c>
      <c r="E401" s="353">
        <v>20000</v>
      </c>
      <c r="F401" s="349">
        <v>24362</v>
      </c>
      <c r="G401" s="1285">
        <v>0</v>
      </c>
      <c r="I401" s="423">
        <f>VLOOKUP(A401,'selección precios unitario'!$A$5:$I$418,9,FALSE)</f>
        <v>22181</v>
      </c>
    </row>
    <row r="402" spans="1:12" ht="25.5" x14ac:dyDescent="0.2">
      <c r="A402" s="1583" t="s">
        <v>721</v>
      </c>
      <c r="B402" s="388" t="s">
        <v>722</v>
      </c>
      <c r="C402" s="389" t="s">
        <v>6</v>
      </c>
      <c r="D402" s="385">
        <v>6</v>
      </c>
      <c r="E402" s="1536">
        <v>350000</v>
      </c>
      <c r="F402" s="1537">
        <v>480870</v>
      </c>
      <c r="G402" s="1285">
        <v>93544</v>
      </c>
      <c r="I402" s="423">
        <f>VLOOKUP(A402,'selección precios unitario'!$A$5:$I$418,9,FALSE)</f>
        <v>93544</v>
      </c>
    </row>
    <row r="403" spans="1:12" x14ac:dyDescent="0.2">
      <c r="A403" s="1583" t="s">
        <v>723</v>
      </c>
      <c r="B403" s="388" t="s">
        <v>1522</v>
      </c>
      <c r="C403" s="389"/>
      <c r="D403" s="385">
        <v>2</v>
      </c>
      <c r="E403" s="353">
        <v>30000</v>
      </c>
      <c r="F403" s="349">
        <v>41800</v>
      </c>
      <c r="G403" s="1285">
        <v>0</v>
      </c>
      <c r="I403" s="423">
        <f>VLOOKUP(A403,'selección precios unitario'!$A$5:$I$418,9,FALSE)</f>
        <v>35900</v>
      </c>
    </row>
    <row r="404" spans="1:12" x14ac:dyDescent="0.2">
      <c r="A404" s="1583" t="s">
        <v>725</v>
      </c>
      <c r="B404" s="388" t="s">
        <v>1523</v>
      </c>
      <c r="C404" s="389" t="s">
        <v>6</v>
      </c>
      <c r="D404" s="385">
        <v>2</v>
      </c>
      <c r="E404" s="353">
        <v>65000</v>
      </c>
      <c r="F404" s="349">
        <v>133679</v>
      </c>
      <c r="G404" s="1285">
        <v>0</v>
      </c>
      <c r="I404" s="423">
        <f>VLOOKUP(A404,'selección precios unitario'!$A$5:$I$418,9,FALSE)</f>
        <v>99340</v>
      </c>
    </row>
    <row r="405" spans="1:12" ht="25.5" x14ac:dyDescent="0.2">
      <c r="A405" s="1583" t="s">
        <v>727</v>
      </c>
      <c r="B405" s="388" t="s">
        <v>728</v>
      </c>
      <c r="C405" s="389" t="s">
        <v>6</v>
      </c>
      <c r="D405" s="385">
        <v>1</v>
      </c>
      <c r="E405" s="353">
        <v>850000</v>
      </c>
      <c r="F405" s="349">
        <v>205080</v>
      </c>
      <c r="G405" s="1285">
        <v>0</v>
      </c>
      <c r="I405" s="423">
        <f>VLOOKUP(A405,'selección precios unitario'!$A$5:$I$418,9,FALSE)</f>
        <v>527540</v>
      </c>
    </row>
    <row r="406" spans="1:12" ht="25.5" x14ac:dyDescent="0.2">
      <c r="A406" s="1583" t="s">
        <v>729</v>
      </c>
      <c r="B406" s="358" t="s">
        <v>61</v>
      </c>
      <c r="C406" s="356" t="s">
        <v>14</v>
      </c>
      <c r="D406" s="385">
        <v>5</v>
      </c>
      <c r="E406" s="353">
        <v>46000</v>
      </c>
      <c r="F406" s="349">
        <v>57837</v>
      </c>
      <c r="G406" s="1285">
        <v>0</v>
      </c>
      <c r="I406" s="423">
        <f>VLOOKUP(A406,'selección precios unitario'!$A$5:$I$418,9,FALSE)</f>
        <v>51919</v>
      </c>
    </row>
    <row r="407" spans="1:12" ht="25.5" x14ac:dyDescent="0.2">
      <c r="A407" s="1583" t="s">
        <v>730</v>
      </c>
      <c r="B407" s="358" t="s">
        <v>731</v>
      </c>
      <c r="C407" s="356" t="s">
        <v>19</v>
      </c>
      <c r="D407" s="385">
        <v>12</v>
      </c>
      <c r="E407" s="353">
        <v>38000</v>
      </c>
      <c r="F407" s="349">
        <v>44980</v>
      </c>
      <c r="G407" s="1285">
        <v>0</v>
      </c>
      <c r="I407" s="423">
        <f>VLOOKUP(A407,'selección precios unitario'!$A$5:$I$418,9,FALSE)</f>
        <v>35250</v>
      </c>
    </row>
    <row r="408" spans="1:12" x14ac:dyDescent="0.2">
      <c r="A408" s="1583" t="s">
        <v>732</v>
      </c>
      <c r="B408" s="358" t="s">
        <v>195</v>
      </c>
      <c r="C408" s="356" t="s">
        <v>19</v>
      </c>
      <c r="D408" s="385">
        <v>390</v>
      </c>
      <c r="E408" s="353">
        <v>7000</v>
      </c>
      <c r="F408" s="349">
        <v>4200</v>
      </c>
      <c r="G408" s="1285">
        <v>5300</v>
      </c>
      <c r="I408" s="423">
        <f>VLOOKUP(A408,'selección precios unitario'!$A$5:$I$418,9,FALSE)</f>
        <v>5500</v>
      </c>
    </row>
    <row r="409" spans="1:12" x14ac:dyDescent="0.2">
      <c r="A409" s="1583" t="s">
        <v>735</v>
      </c>
      <c r="B409" s="358" t="s">
        <v>1525</v>
      </c>
      <c r="C409" s="356" t="s">
        <v>19</v>
      </c>
      <c r="D409" s="385">
        <v>80</v>
      </c>
      <c r="E409" s="353">
        <v>17000</v>
      </c>
      <c r="F409" s="349">
        <v>10000</v>
      </c>
      <c r="G409" s="1285">
        <v>0</v>
      </c>
      <c r="I409" s="423">
        <f>VLOOKUP(A409,'selección precios unitario'!$A$5:$I$418,9,FALSE)</f>
        <v>13500</v>
      </c>
    </row>
    <row r="410" spans="1:12" x14ac:dyDescent="0.2">
      <c r="A410" s="1583" t="s">
        <v>737</v>
      </c>
      <c r="B410" s="358" t="s">
        <v>738</v>
      </c>
      <c r="C410" s="356" t="s">
        <v>19</v>
      </c>
      <c r="D410" s="385">
        <v>80</v>
      </c>
      <c r="E410" s="353">
        <v>5000</v>
      </c>
      <c r="F410" s="387">
        <v>0</v>
      </c>
      <c r="G410" s="1285">
        <v>0</v>
      </c>
      <c r="I410" s="423">
        <f>VLOOKUP(A410,'selección precios unitario'!$A$5:$I$418,9,FALSE)</f>
        <v>5000</v>
      </c>
    </row>
    <row r="411" spans="1:12" ht="25.5" x14ac:dyDescent="0.2">
      <c r="A411" s="1583" t="s">
        <v>739</v>
      </c>
      <c r="B411" s="358" t="s">
        <v>1279</v>
      </c>
      <c r="C411" s="356" t="s">
        <v>19</v>
      </c>
      <c r="D411" s="385">
        <v>80</v>
      </c>
      <c r="E411" s="353">
        <v>20000</v>
      </c>
      <c r="F411" s="387">
        <v>0</v>
      </c>
      <c r="G411" s="1285">
        <v>17652</v>
      </c>
      <c r="I411" s="423">
        <f>VLOOKUP(A411,'selección precios unitario'!$A$5:$I$418,9,FALSE)</f>
        <v>18826</v>
      </c>
    </row>
    <row r="412" spans="1:12" ht="38.25" x14ac:dyDescent="0.2">
      <c r="A412" s="1587" t="s">
        <v>745</v>
      </c>
      <c r="B412" s="358" t="s">
        <v>746</v>
      </c>
      <c r="C412" s="389" t="s">
        <v>19</v>
      </c>
      <c r="D412" s="385">
        <v>156</v>
      </c>
      <c r="E412" s="353">
        <v>145000</v>
      </c>
      <c r="F412" s="349">
        <v>64150</v>
      </c>
      <c r="G412" s="1285">
        <v>0</v>
      </c>
      <c r="I412" s="423">
        <f>VLOOKUP(A412,'selección precios unitario'!$A$5:$I$418,9,FALSE)</f>
        <v>104575</v>
      </c>
    </row>
    <row r="413" spans="1:12" x14ac:dyDescent="0.2">
      <c r="A413" s="1587" t="s">
        <v>747</v>
      </c>
      <c r="B413" s="358" t="s">
        <v>748</v>
      </c>
      <c r="C413" s="356" t="s">
        <v>19</v>
      </c>
      <c r="D413" s="385">
        <v>24</v>
      </c>
      <c r="E413" s="353">
        <v>45000</v>
      </c>
      <c r="F413" s="349">
        <v>36340</v>
      </c>
      <c r="G413" s="1285">
        <v>0</v>
      </c>
      <c r="I413" s="423">
        <f>VLOOKUP(A413,'selección precios unitario'!$A$5:$I$418,9,FALSE)</f>
        <v>40670</v>
      </c>
    </row>
    <row r="414" spans="1:12" ht="25.5" x14ac:dyDescent="0.2">
      <c r="A414" s="1587" t="s">
        <v>749</v>
      </c>
      <c r="B414" s="358" t="s">
        <v>61</v>
      </c>
      <c r="C414" s="356" t="s">
        <v>14</v>
      </c>
      <c r="D414" s="385">
        <v>24</v>
      </c>
      <c r="E414" s="353">
        <v>46000</v>
      </c>
      <c r="F414" s="349">
        <v>57837</v>
      </c>
      <c r="G414" s="1285">
        <v>0</v>
      </c>
      <c r="I414" s="423">
        <f>VLOOKUP(A414,'selección precios unitario'!$A$5:$I$418,9,FALSE)</f>
        <v>51919</v>
      </c>
    </row>
    <row r="415" spans="1:12" s="1544" customFormat="1" x14ac:dyDescent="0.2">
      <c r="A415" s="1587" t="s">
        <v>752</v>
      </c>
      <c r="B415" s="406" t="s">
        <v>195</v>
      </c>
      <c r="C415" s="394" t="s">
        <v>19</v>
      </c>
      <c r="D415" s="385">
        <v>156</v>
      </c>
      <c r="E415" s="353">
        <v>7000</v>
      </c>
      <c r="F415" s="349">
        <v>4200</v>
      </c>
      <c r="G415" s="1285">
        <v>5300</v>
      </c>
      <c r="I415" s="423">
        <f>VLOOKUP(A415,'selección precios unitario'!$A$5:$I$418,9,FALSE)</f>
        <v>5500</v>
      </c>
    </row>
    <row r="416" spans="1:12" s="1544" customFormat="1" ht="15" x14ac:dyDescent="0.25">
      <c r="A416" s="336"/>
      <c r="B416" s="336"/>
      <c r="C416" s="336"/>
      <c r="D416" s="336"/>
      <c r="E416" s="336"/>
      <c r="F416" s="336"/>
      <c r="G416" s="336"/>
      <c r="I416"/>
      <c r="J416" s="1548"/>
      <c r="K416" s="1548"/>
      <c r="L416" s="1548"/>
    </row>
    <row r="417" spans="1:12" s="1544" customFormat="1" ht="15" x14ac:dyDescent="0.25">
      <c r="A417" s="336"/>
      <c r="B417" s="336"/>
      <c r="C417" s="336"/>
      <c r="D417" s="336"/>
      <c r="E417" s="336"/>
      <c r="F417" s="336"/>
      <c r="G417" s="336"/>
      <c r="I417"/>
      <c r="J417" s="1548"/>
      <c r="K417" s="1548"/>
      <c r="L417" s="1548"/>
    </row>
    <row r="421" spans="1:12" x14ac:dyDescent="0.2">
      <c r="A421" s="425" t="s">
        <v>1356</v>
      </c>
    </row>
    <row r="422" spans="1:12" s="1544" customFormat="1" x14ac:dyDescent="0.2">
      <c r="A422" s="336"/>
      <c r="B422" s="336"/>
      <c r="C422" s="336"/>
      <c r="D422" s="336"/>
      <c r="E422" s="336"/>
      <c r="F422" s="336"/>
      <c r="G422" s="336"/>
      <c r="I422" s="336"/>
    </row>
    <row r="423" spans="1:12" s="1544" customFormat="1" x14ac:dyDescent="0.2">
      <c r="A423" s="336"/>
      <c r="B423" s="336"/>
      <c r="C423" s="336"/>
      <c r="D423" s="336"/>
      <c r="E423" s="336" t="s">
        <v>1535</v>
      </c>
      <c r="F423" s="336"/>
      <c r="G423" s="336"/>
      <c r="I423" s="336"/>
    </row>
    <row r="424" spans="1:12" s="1544" customFormat="1" x14ac:dyDescent="0.2">
      <c r="A424" s="413"/>
      <c r="B424" s="336" t="s">
        <v>1527</v>
      </c>
      <c r="C424" s="336"/>
      <c r="D424" s="336"/>
      <c r="E424" s="336"/>
      <c r="F424" s="336"/>
      <c r="G424" s="336"/>
      <c r="I424" s="336"/>
    </row>
    <row r="425" spans="1:12" s="1544" customFormat="1" x14ac:dyDescent="0.2">
      <c r="A425" s="1568"/>
      <c r="B425" s="336" t="s">
        <v>1462</v>
      </c>
      <c r="C425" s="336"/>
      <c r="D425" s="336"/>
      <c r="E425" s="336"/>
      <c r="F425" s="336"/>
      <c r="G425" s="336"/>
      <c r="I425" s="336"/>
    </row>
    <row r="426" spans="1:12" s="1544" customFormat="1" x14ac:dyDescent="0.2">
      <c r="A426" s="336"/>
      <c r="B426" s="336"/>
      <c r="C426" s="336"/>
      <c r="D426" s="336"/>
      <c r="E426" s="336"/>
      <c r="F426" s="336"/>
      <c r="G426" s="336"/>
      <c r="I426" s="336"/>
    </row>
    <row r="427" spans="1:12" s="1544" customFormat="1" x14ac:dyDescent="0.2">
      <c r="A427" s="336"/>
      <c r="B427" s="425" t="s">
        <v>809</v>
      </c>
      <c r="C427" s="336"/>
      <c r="D427" s="336"/>
      <c r="E427" s="336"/>
      <c r="F427" s="336"/>
      <c r="G427" s="336"/>
      <c r="I427" s="336"/>
    </row>
    <row r="428" spans="1:12" s="1544" customFormat="1" ht="15.75" x14ac:dyDescent="0.2">
      <c r="A428" s="336"/>
      <c r="B428" s="1865" t="s">
        <v>1544</v>
      </c>
      <c r="C428" s="1865"/>
      <c r="D428" s="1865"/>
      <c r="E428" s="1865"/>
      <c r="F428" s="336"/>
      <c r="G428" s="336"/>
      <c r="I428" s="336"/>
    </row>
    <row r="429" spans="1:12" s="1544" customFormat="1" ht="15.75" x14ac:dyDescent="0.2">
      <c r="A429" s="336"/>
      <c r="B429" s="1865" t="s">
        <v>1545</v>
      </c>
      <c r="C429" s="1865"/>
      <c r="D429" s="1865"/>
      <c r="E429" s="1865"/>
      <c r="F429" s="336"/>
      <c r="G429" s="336"/>
      <c r="I429" s="336"/>
    </row>
    <row r="430" spans="1:12" s="1544" customFormat="1" ht="15.75" x14ac:dyDescent="0.2">
      <c r="A430" s="336"/>
      <c r="B430" s="1865" t="s">
        <v>1546</v>
      </c>
      <c r="C430" s="1865"/>
      <c r="D430" s="1865"/>
      <c r="E430" s="1865"/>
      <c r="F430" s="336"/>
      <c r="G430" s="336"/>
      <c r="I430" s="336"/>
    </row>
    <row r="431" spans="1:12" s="1544" customFormat="1" ht="15.75" x14ac:dyDescent="0.2">
      <c r="A431" s="336"/>
      <c r="B431" s="1865" t="s">
        <v>1547</v>
      </c>
      <c r="C431" s="1865"/>
      <c r="D431" s="1865"/>
      <c r="E431" s="1865"/>
      <c r="F431" s="336"/>
      <c r="G431" s="336"/>
      <c r="I431" s="336"/>
    </row>
    <row r="432" spans="1:12" ht="15.75" x14ac:dyDescent="0.25">
      <c r="B432" s="1588" t="s">
        <v>1548</v>
      </c>
    </row>
  </sheetData>
  <autoFilter ref="A2:I2" xr:uid="{00000000-0009-0000-0000-000006000000}">
    <sortState ref="A3:I415">
      <sortCondition ref="A2"/>
    </sortState>
  </autoFilter>
  <mergeCells count="4">
    <mergeCell ref="B428:E428"/>
    <mergeCell ref="B429:E429"/>
    <mergeCell ref="B430:E430"/>
    <mergeCell ref="B431:E431"/>
  </mergeCells>
  <pageMargins left="0.7" right="0.7" top="0.75" bottom="0.75" header="0.3" footer="0.3"/>
  <pageSetup paperSize="7" scale="31" orientation="landscape"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tabColor rgb="FFFFFF00"/>
  </sheetPr>
  <dimension ref="A1:T231"/>
  <sheetViews>
    <sheetView showGridLines="0" topLeftCell="B1" zoomScaleNormal="100" workbookViewId="0">
      <selection activeCell="L5" sqref="L5:O5"/>
    </sheetView>
  </sheetViews>
  <sheetFormatPr baseColWidth="10" defaultRowHeight="12.75" x14ac:dyDescent="0.2"/>
  <cols>
    <col min="1" max="1" width="8.28515625" style="336" bestFit="1" customWidth="1"/>
    <col min="2" max="2" width="55.28515625" style="336" customWidth="1"/>
    <col min="3" max="3" width="10.42578125" style="336" hidden="1" customWidth="1"/>
    <col min="4" max="4" width="11.5703125" style="336" hidden="1" customWidth="1"/>
    <col min="5" max="5" width="20.28515625" style="336" hidden="1" customWidth="1"/>
    <col min="6" max="6" width="24.5703125" style="336" hidden="1" customWidth="1"/>
    <col min="7" max="7" width="20.28515625" style="336" hidden="1" customWidth="1"/>
    <col min="8" max="8" width="25.140625" style="336" hidden="1" customWidth="1"/>
    <col min="9" max="9" width="17" style="336" hidden="1" customWidth="1"/>
    <col min="10" max="10" width="20" style="336" hidden="1" customWidth="1"/>
    <col min="11" max="11" width="3.7109375" style="336" customWidth="1"/>
    <col min="12" max="12" width="11.42578125" style="337" customWidth="1"/>
    <col min="13" max="13" width="17" style="336" bestFit="1" customWidth="1"/>
    <col min="14" max="15" width="14.42578125" style="336" bestFit="1" customWidth="1"/>
    <col min="16" max="16" width="11.42578125" style="336" hidden="1" customWidth="1"/>
    <col min="17" max="17" width="14.7109375" style="336" hidden="1" customWidth="1"/>
    <col min="18" max="18" width="0" style="336" hidden="1" customWidth="1"/>
    <col min="19" max="19" width="12.140625" style="336" hidden="1" customWidth="1"/>
    <col min="20" max="20" width="0" style="336" hidden="1" customWidth="1"/>
    <col min="21" max="16384" width="11.42578125" style="336"/>
  </cols>
  <sheetData>
    <row r="1" spans="1:19" ht="23.25" x14ac:dyDescent="0.35">
      <c r="A1" s="1589" t="s">
        <v>1553</v>
      </c>
    </row>
    <row r="3" spans="1:19" ht="15" customHeight="1" x14ac:dyDescent="0.25">
      <c r="A3"/>
      <c r="B3"/>
      <c r="L3" s="1895" t="s">
        <v>1451</v>
      </c>
      <c r="M3" s="1896"/>
      <c r="N3" s="1896"/>
      <c r="O3" s="1897"/>
    </row>
    <row r="4" spans="1:19" ht="15" x14ac:dyDescent="0.25">
      <c r="A4"/>
      <c r="B4"/>
      <c r="C4" s="1831" t="s">
        <v>0</v>
      </c>
      <c r="D4" s="1832"/>
      <c r="E4" s="1832"/>
      <c r="F4" s="1832"/>
      <c r="G4" s="1832"/>
      <c r="H4" s="1832"/>
      <c r="I4" s="1832"/>
      <c r="J4" s="1832"/>
      <c r="K4" s="279"/>
      <c r="L4" s="1831" t="s">
        <v>790</v>
      </c>
      <c r="M4" s="1832"/>
      <c r="N4" s="1832"/>
      <c r="O4" s="1898"/>
      <c r="P4" s="279"/>
    </row>
    <row r="5" spans="1:19" ht="15" x14ac:dyDescent="0.25">
      <c r="A5"/>
      <c r="B5"/>
      <c r="C5" s="279"/>
      <c r="D5" s="279"/>
      <c r="E5" s="279"/>
      <c r="F5" s="279"/>
      <c r="G5" s="279"/>
      <c r="H5" s="279"/>
      <c r="I5" s="279"/>
      <c r="J5" s="279"/>
      <c r="K5" s="279"/>
      <c r="L5" s="1831" t="s">
        <v>792</v>
      </c>
      <c r="M5" s="1832"/>
      <c r="N5" s="1832"/>
      <c r="O5" s="1898"/>
      <c r="P5" s="279"/>
    </row>
    <row r="6" spans="1:19" ht="15" x14ac:dyDescent="0.25">
      <c r="A6"/>
      <c r="B6"/>
      <c r="C6" s="279"/>
      <c r="D6" s="279"/>
      <c r="E6" s="279"/>
      <c r="F6" s="279"/>
      <c r="G6" s="279"/>
      <c r="H6" s="279"/>
      <c r="I6" s="279"/>
      <c r="J6" s="279"/>
      <c r="K6" s="279"/>
      <c r="L6" s="1831" t="s">
        <v>791</v>
      </c>
      <c r="M6" s="1832"/>
      <c r="N6" s="1832"/>
      <c r="O6" s="1898"/>
      <c r="P6" s="279"/>
    </row>
    <row r="7" spans="1:19" ht="15" x14ac:dyDescent="0.2">
      <c r="A7" s="1884" t="s">
        <v>1</v>
      </c>
      <c r="B7" s="1885"/>
      <c r="C7" s="1885"/>
      <c r="D7" s="1885"/>
      <c r="E7" s="1885"/>
      <c r="F7" s="1885"/>
      <c r="G7" s="1885"/>
      <c r="H7" s="1885"/>
      <c r="I7" s="1885"/>
      <c r="J7" s="1885"/>
      <c r="K7" s="419"/>
      <c r="L7" s="1899" t="s">
        <v>793</v>
      </c>
      <c r="M7" s="1900"/>
      <c r="N7" s="1900"/>
      <c r="O7" s="1901"/>
      <c r="P7" s="419"/>
    </row>
    <row r="8" spans="1:19" x14ac:dyDescent="0.2">
      <c r="A8" s="1829" t="s">
        <v>804</v>
      </c>
      <c r="B8" s="1830"/>
      <c r="C8" s="1830"/>
      <c r="D8" s="1830"/>
      <c r="E8" s="1830"/>
      <c r="F8" s="1830"/>
      <c r="G8" s="1830"/>
      <c r="H8" s="1830"/>
      <c r="I8" s="1830"/>
      <c r="J8" s="1830"/>
      <c r="K8" s="419"/>
      <c r="L8" s="419"/>
      <c r="M8" s="419"/>
      <c r="N8" s="419"/>
      <c r="O8" s="419"/>
      <c r="P8" s="419"/>
    </row>
    <row r="9" spans="1:19" x14ac:dyDescent="0.2">
      <c r="A9" s="1829"/>
      <c r="B9" s="1830"/>
      <c r="C9" s="1830"/>
      <c r="D9" s="1830"/>
      <c r="E9" s="1830"/>
      <c r="F9" s="1830"/>
      <c r="G9" s="1830"/>
      <c r="H9" s="1830"/>
      <c r="I9" s="1830"/>
      <c r="J9" s="1830"/>
    </row>
    <row r="10" spans="1:19" ht="27.75" customHeight="1" x14ac:dyDescent="0.2">
      <c r="A10" s="1867" t="s">
        <v>2</v>
      </c>
      <c r="B10" s="1867"/>
      <c r="C10" s="420"/>
      <c r="D10" s="420"/>
      <c r="E10" s="421"/>
      <c r="F10" s="421"/>
      <c r="G10" s="421"/>
      <c r="H10" s="421"/>
      <c r="I10" s="420"/>
      <c r="J10" s="420"/>
      <c r="L10" s="1878" t="s">
        <v>797</v>
      </c>
      <c r="M10" s="1886" t="s">
        <v>805</v>
      </c>
      <c r="N10" s="1887"/>
      <c r="O10" s="1888"/>
    </row>
    <row r="11" spans="1:19" ht="12.75" customHeight="1" x14ac:dyDescent="0.2">
      <c r="A11" s="1554" t="s">
        <v>806</v>
      </c>
      <c r="B11" s="1872" t="s">
        <v>807</v>
      </c>
      <c r="C11" s="1872"/>
      <c r="D11" s="1873"/>
      <c r="E11" s="1889" t="s">
        <v>764</v>
      </c>
      <c r="F11" s="1890"/>
      <c r="G11" s="1891" t="s">
        <v>808</v>
      </c>
      <c r="H11" s="1892"/>
      <c r="I11" s="1893" t="s">
        <v>796</v>
      </c>
      <c r="J11" s="1894"/>
      <c r="L11" s="1879"/>
      <c r="M11" s="359">
        <v>2022</v>
      </c>
      <c r="N11" s="359">
        <v>2023</v>
      </c>
      <c r="O11" s="359">
        <v>2024</v>
      </c>
    </row>
    <row r="12" spans="1:19" x14ac:dyDescent="0.2">
      <c r="A12" s="341" t="s">
        <v>4</v>
      </c>
      <c r="B12" s="342" t="s">
        <v>5</v>
      </c>
      <c r="C12" s="339" t="s">
        <v>6</v>
      </c>
      <c r="D12" s="343" t="s">
        <v>7</v>
      </c>
      <c r="E12" s="344" t="s">
        <v>8</v>
      </c>
      <c r="F12" s="344" t="s">
        <v>771</v>
      </c>
      <c r="G12" s="344" t="s">
        <v>772</v>
      </c>
      <c r="H12" s="344" t="s">
        <v>9</v>
      </c>
      <c r="I12" s="344" t="s">
        <v>8</v>
      </c>
      <c r="J12" s="339" t="s">
        <v>9</v>
      </c>
      <c r="L12" s="1879"/>
      <c r="M12" s="1881" t="s">
        <v>799</v>
      </c>
      <c r="N12" s="1882"/>
      <c r="O12" s="1883"/>
    </row>
    <row r="13" spans="1:19" x14ac:dyDescent="0.2">
      <c r="A13" s="339" t="s">
        <v>10</v>
      </c>
      <c r="B13" s="342" t="s">
        <v>11</v>
      </c>
      <c r="C13" s="339"/>
      <c r="D13" s="343"/>
      <c r="E13" s="338"/>
      <c r="F13" s="345"/>
      <c r="G13" s="338"/>
      <c r="H13" s="345"/>
      <c r="I13" s="344"/>
      <c r="J13" s="339"/>
      <c r="L13" s="1880"/>
      <c r="M13" s="1590">
        <v>0.13120000000000001</v>
      </c>
      <c r="N13" s="1590">
        <v>9.2799999999999994E-2</v>
      </c>
      <c r="O13" s="1591"/>
    </row>
    <row r="14" spans="1:19" x14ac:dyDescent="0.2">
      <c r="A14" s="346" t="s">
        <v>20</v>
      </c>
      <c r="B14" s="347" t="s">
        <v>21</v>
      </c>
      <c r="C14" s="340" t="s">
        <v>19</v>
      </c>
      <c r="D14" s="348">
        <v>288</v>
      </c>
      <c r="E14" s="349">
        <v>20000</v>
      </c>
      <c r="F14" s="349">
        <f t="shared" ref="F14:F54" si="0">+E14*D14</f>
        <v>5760000</v>
      </c>
      <c r="G14" s="350">
        <v>19500</v>
      </c>
      <c r="H14" s="349">
        <f t="shared" ref="H14:H54" si="1">+G14*D14</f>
        <v>5616000</v>
      </c>
      <c r="I14" s="351">
        <f t="shared" ref="I14:I54" si="2">+O14</f>
        <v>14660</v>
      </c>
      <c r="J14" s="350">
        <f t="shared" ref="J14:J53" si="3">+I14*D14</f>
        <v>4222080</v>
      </c>
      <c r="L14" s="340" t="s">
        <v>791</v>
      </c>
      <c r="M14" s="423"/>
      <c r="N14" s="1592">
        <f>+'Contrato 041'!E34</f>
        <v>13415</v>
      </c>
      <c r="O14" s="1593">
        <f t="shared" ref="O14:O53" si="4">ROUND(N14*(1+$N$13),0)</f>
        <v>14660</v>
      </c>
      <c r="Q14" s="324">
        <f>ROUND(13415*1.0928,0)</f>
        <v>14660</v>
      </c>
      <c r="S14" s="408">
        <f t="shared" ref="S14:S55" si="5">+Q14-O14</f>
        <v>0</v>
      </c>
    </row>
    <row r="15" spans="1:19" ht="25.5" x14ac:dyDescent="0.2">
      <c r="A15" s="346" t="s">
        <v>22</v>
      </c>
      <c r="B15" s="347" t="s">
        <v>23</v>
      </c>
      <c r="C15" s="340" t="s">
        <v>19</v>
      </c>
      <c r="D15" s="348">
        <v>288</v>
      </c>
      <c r="E15" s="353">
        <v>35000</v>
      </c>
      <c r="F15" s="349">
        <f t="shared" si="0"/>
        <v>10080000</v>
      </c>
      <c r="G15" s="415">
        <v>3731</v>
      </c>
      <c r="H15" s="349">
        <f t="shared" si="1"/>
        <v>1074528</v>
      </c>
      <c r="I15" s="351">
        <f t="shared" si="2"/>
        <v>29150</v>
      </c>
      <c r="J15" s="350">
        <f t="shared" si="3"/>
        <v>8395200</v>
      </c>
      <c r="L15" s="340" t="s">
        <v>791</v>
      </c>
      <c r="M15" s="423"/>
      <c r="N15" s="1592">
        <f>+'Contrato 041'!E35</f>
        <v>26675</v>
      </c>
      <c r="O15" s="1593">
        <f t="shared" si="4"/>
        <v>29150</v>
      </c>
      <c r="Q15" s="290">
        <f>ROUND(26675*1.0928,0)</f>
        <v>29150</v>
      </c>
      <c r="S15" s="408">
        <f t="shared" si="5"/>
        <v>0</v>
      </c>
    </row>
    <row r="16" spans="1:19" x14ac:dyDescent="0.2">
      <c r="A16" s="346" t="s">
        <v>24</v>
      </c>
      <c r="B16" s="347" t="s">
        <v>25</v>
      </c>
      <c r="C16" s="340" t="s">
        <v>19</v>
      </c>
      <c r="D16" s="348">
        <v>288</v>
      </c>
      <c r="E16" s="353">
        <v>27000</v>
      </c>
      <c r="F16" s="349">
        <f t="shared" si="0"/>
        <v>7776000</v>
      </c>
      <c r="G16" s="350">
        <v>4400</v>
      </c>
      <c r="H16" s="349">
        <f t="shared" si="1"/>
        <v>1267200</v>
      </c>
      <c r="I16" s="351">
        <f t="shared" si="2"/>
        <v>10612</v>
      </c>
      <c r="J16" s="350">
        <f t="shared" si="3"/>
        <v>3056256</v>
      </c>
      <c r="L16" s="340" t="s">
        <v>791</v>
      </c>
      <c r="M16" s="423"/>
      <c r="N16" s="1592">
        <f>+'Contrato 041'!E131</f>
        <v>9711</v>
      </c>
      <c r="O16" s="1593">
        <f t="shared" si="4"/>
        <v>10612</v>
      </c>
      <c r="Q16" s="324">
        <f>ROUND(9711*1.0928,0)</f>
        <v>10612</v>
      </c>
      <c r="S16" s="408">
        <f t="shared" si="5"/>
        <v>0</v>
      </c>
    </row>
    <row r="17" spans="1:19" ht="25.5" x14ac:dyDescent="0.2">
      <c r="A17" s="346" t="s">
        <v>36</v>
      </c>
      <c r="B17" s="358" t="s">
        <v>37</v>
      </c>
      <c r="C17" s="356" t="s">
        <v>14</v>
      </c>
      <c r="D17" s="348">
        <v>91</v>
      </c>
      <c r="E17" s="353">
        <v>35000</v>
      </c>
      <c r="F17" s="349">
        <f t="shared" si="0"/>
        <v>3185000</v>
      </c>
      <c r="G17" s="349">
        <v>18746</v>
      </c>
      <c r="H17" s="349">
        <f t="shared" si="1"/>
        <v>1705886</v>
      </c>
      <c r="I17" s="351">
        <f t="shared" si="2"/>
        <v>21193</v>
      </c>
      <c r="J17" s="350">
        <f t="shared" si="3"/>
        <v>1928563</v>
      </c>
      <c r="L17" s="340" t="s">
        <v>790</v>
      </c>
      <c r="M17" s="423"/>
      <c r="N17" s="1592">
        <f>+'Contrato 013'!E20</f>
        <v>19393</v>
      </c>
      <c r="O17" s="1593">
        <f t="shared" si="4"/>
        <v>21193</v>
      </c>
      <c r="Q17" s="328">
        <f>ROUND(19393*1.0928,0)</f>
        <v>21193</v>
      </c>
      <c r="S17" s="408">
        <f t="shared" si="5"/>
        <v>0</v>
      </c>
    </row>
    <row r="18" spans="1:19" ht="25.5" x14ac:dyDescent="0.2">
      <c r="A18" s="346" t="s">
        <v>42</v>
      </c>
      <c r="B18" s="360" t="s">
        <v>43</v>
      </c>
      <c r="C18" s="361" t="s">
        <v>6</v>
      </c>
      <c r="D18" s="348">
        <v>52</v>
      </c>
      <c r="E18" s="353">
        <v>66000</v>
      </c>
      <c r="F18" s="349">
        <f t="shared" si="0"/>
        <v>3432000</v>
      </c>
      <c r="G18" s="415">
        <v>32500</v>
      </c>
      <c r="H18" s="349">
        <f t="shared" si="1"/>
        <v>1690000</v>
      </c>
      <c r="I18" s="418">
        <f t="shared" si="2"/>
        <v>64568</v>
      </c>
      <c r="J18" s="350">
        <f t="shared" si="3"/>
        <v>3357536</v>
      </c>
      <c r="L18" s="340" t="s">
        <v>791</v>
      </c>
      <c r="M18" s="423"/>
      <c r="N18" s="1592">
        <f>+'contrato 041 con adic'!D75</f>
        <v>59085</v>
      </c>
      <c r="O18" s="1593">
        <f t="shared" si="4"/>
        <v>64568</v>
      </c>
      <c r="Q18" s="263">
        <f>ROUND(59085*1.0928,0)</f>
        <v>64568</v>
      </c>
      <c r="S18" s="408">
        <f t="shared" si="5"/>
        <v>0</v>
      </c>
    </row>
    <row r="19" spans="1:19" ht="63.75" x14ac:dyDescent="0.2">
      <c r="A19" s="354" t="s">
        <v>44</v>
      </c>
      <c r="B19" s="358" t="s">
        <v>45</v>
      </c>
      <c r="C19" s="361" t="s">
        <v>6</v>
      </c>
      <c r="D19" s="348">
        <v>52</v>
      </c>
      <c r="E19" s="353">
        <v>66000</v>
      </c>
      <c r="F19" s="349">
        <f t="shared" si="0"/>
        <v>3432000</v>
      </c>
      <c r="G19" s="415">
        <v>35581</v>
      </c>
      <c r="H19" s="349">
        <f t="shared" si="1"/>
        <v>1850212</v>
      </c>
      <c r="I19" s="351">
        <f t="shared" si="2"/>
        <v>64421</v>
      </c>
      <c r="J19" s="350">
        <f t="shared" si="3"/>
        <v>3349892</v>
      </c>
      <c r="L19" s="340" t="s">
        <v>791</v>
      </c>
      <c r="M19" s="423"/>
      <c r="N19" s="1592">
        <f>+'contrato 041 con adic'!D76</f>
        <v>58950</v>
      </c>
      <c r="O19" s="1593">
        <f t="shared" si="4"/>
        <v>64421</v>
      </c>
      <c r="Q19" s="282">
        <f>ROUND(58950*1.0928,0)</f>
        <v>64421</v>
      </c>
      <c r="S19" s="408">
        <f t="shared" si="5"/>
        <v>0</v>
      </c>
    </row>
    <row r="20" spans="1:19" ht="25.5" x14ac:dyDescent="0.2">
      <c r="A20" s="340" t="s">
        <v>46</v>
      </c>
      <c r="B20" s="358" t="s">
        <v>47</v>
      </c>
      <c r="C20" s="356" t="s">
        <v>14</v>
      </c>
      <c r="D20" s="348">
        <v>97</v>
      </c>
      <c r="E20" s="353">
        <v>118000</v>
      </c>
      <c r="F20" s="349">
        <f t="shared" si="0"/>
        <v>11446000</v>
      </c>
      <c r="G20" s="350">
        <v>132301</v>
      </c>
      <c r="H20" s="349">
        <f t="shared" si="1"/>
        <v>12833197</v>
      </c>
      <c r="I20" s="351">
        <f t="shared" si="2"/>
        <v>115095</v>
      </c>
      <c r="J20" s="350">
        <f t="shared" si="3"/>
        <v>11164215</v>
      </c>
      <c r="L20" s="340" t="s">
        <v>791</v>
      </c>
      <c r="M20" s="423"/>
      <c r="N20" s="1592">
        <f>+'contrato 041 con adic'!D87</f>
        <v>105321</v>
      </c>
      <c r="O20" s="1593">
        <f t="shared" si="4"/>
        <v>115095</v>
      </c>
      <c r="Q20" s="263">
        <f>ROUND(105321*1.0928,0)</f>
        <v>115095</v>
      </c>
      <c r="S20" s="408">
        <f t="shared" si="5"/>
        <v>0</v>
      </c>
    </row>
    <row r="21" spans="1:19" ht="25.5" x14ac:dyDescent="0.2">
      <c r="A21" s="354" t="s">
        <v>48</v>
      </c>
      <c r="B21" s="358" t="s">
        <v>49</v>
      </c>
      <c r="C21" s="356" t="s">
        <v>14</v>
      </c>
      <c r="D21" s="348">
        <v>212</v>
      </c>
      <c r="E21" s="353">
        <v>110000</v>
      </c>
      <c r="F21" s="349">
        <f t="shared" si="0"/>
        <v>23320000</v>
      </c>
      <c r="G21" s="350">
        <v>110500</v>
      </c>
      <c r="H21" s="349">
        <f t="shared" si="1"/>
        <v>23426000</v>
      </c>
      <c r="I21" s="351">
        <f t="shared" si="2"/>
        <v>106395</v>
      </c>
      <c r="J21" s="350">
        <f t="shared" si="3"/>
        <v>22555740</v>
      </c>
      <c r="L21" s="340" t="s">
        <v>791</v>
      </c>
      <c r="M21" s="423"/>
      <c r="N21" s="1592">
        <f>+'contrato 041 con adic'!D85</f>
        <v>97360</v>
      </c>
      <c r="O21" s="1593">
        <f t="shared" si="4"/>
        <v>106395</v>
      </c>
      <c r="Q21" s="282">
        <f>ROUND(97360*1.0928,0)</f>
        <v>106395</v>
      </c>
      <c r="S21" s="408">
        <f t="shared" si="5"/>
        <v>0</v>
      </c>
    </row>
    <row r="22" spans="1:19" ht="38.25" x14ac:dyDescent="0.2">
      <c r="A22" s="362" t="s">
        <v>50</v>
      </c>
      <c r="B22" s="358" t="s">
        <v>51</v>
      </c>
      <c r="C22" s="356" t="s">
        <v>14</v>
      </c>
      <c r="D22" s="348">
        <v>255</v>
      </c>
      <c r="E22" s="353">
        <v>100000</v>
      </c>
      <c r="F22" s="349">
        <f t="shared" si="0"/>
        <v>25500000</v>
      </c>
      <c r="G22" s="350">
        <v>104000</v>
      </c>
      <c r="H22" s="349">
        <f t="shared" si="1"/>
        <v>26520000</v>
      </c>
      <c r="I22" s="351">
        <f t="shared" si="2"/>
        <v>97346</v>
      </c>
      <c r="J22" s="350">
        <f t="shared" si="3"/>
        <v>24823230</v>
      </c>
      <c r="L22" s="340" t="s">
        <v>791</v>
      </c>
      <c r="M22" s="423"/>
      <c r="N22" s="1592">
        <f>+'contrato 041 con adic'!D86</f>
        <v>89079</v>
      </c>
      <c r="O22" s="1593">
        <f t="shared" si="4"/>
        <v>97346</v>
      </c>
      <c r="Q22" s="263">
        <f>ROUND(89079*1.0928,0)</f>
        <v>97346</v>
      </c>
      <c r="S22" s="408">
        <f t="shared" si="5"/>
        <v>0</v>
      </c>
    </row>
    <row r="23" spans="1:19" ht="25.5" x14ac:dyDescent="0.2">
      <c r="A23" s="354" t="s">
        <v>52</v>
      </c>
      <c r="B23" s="360" t="s">
        <v>53</v>
      </c>
      <c r="C23" s="361" t="s">
        <v>19</v>
      </c>
      <c r="D23" s="348">
        <v>330</v>
      </c>
      <c r="E23" s="353">
        <v>80000</v>
      </c>
      <c r="F23" s="349">
        <f t="shared" si="0"/>
        <v>26400000</v>
      </c>
      <c r="G23" s="350">
        <v>65949</v>
      </c>
      <c r="H23" s="349">
        <f t="shared" si="1"/>
        <v>21763170</v>
      </c>
      <c r="I23" s="351">
        <f t="shared" si="2"/>
        <v>77917</v>
      </c>
      <c r="J23" s="350">
        <f t="shared" si="3"/>
        <v>25712610</v>
      </c>
      <c r="L23" s="340" t="s">
        <v>791</v>
      </c>
      <c r="M23" s="423"/>
      <c r="N23" s="1592">
        <f>+'contrato 041 con adic'!D78</f>
        <v>71300</v>
      </c>
      <c r="O23" s="1593">
        <f t="shared" si="4"/>
        <v>77917</v>
      </c>
      <c r="Q23" s="282">
        <f>ROUND(71300*1.0928,0)</f>
        <v>77917</v>
      </c>
      <c r="S23" s="408">
        <f t="shared" si="5"/>
        <v>0</v>
      </c>
    </row>
    <row r="24" spans="1:19" ht="25.5" x14ac:dyDescent="0.2">
      <c r="A24" s="362" t="s">
        <v>54</v>
      </c>
      <c r="B24" s="358" t="s">
        <v>55</v>
      </c>
      <c r="C24" s="356" t="s">
        <v>14</v>
      </c>
      <c r="D24" s="348">
        <v>28</v>
      </c>
      <c r="E24" s="353">
        <v>92000</v>
      </c>
      <c r="F24" s="349">
        <f t="shared" si="0"/>
        <v>2576000</v>
      </c>
      <c r="G24" s="350">
        <v>72813</v>
      </c>
      <c r="H24" s="349">
        <f t="shared" si="1"/>
        <v>2038764</v>
      </c>
      <c r="I24" s="351">
        <f t="shared" si="2"/>
        <v>89336</v>
      </c>
      <c r="J24" s="350">
        <f t="shared" si="3"/>
        <v>2501408</v>
      </c>
      <c r="L24" s="340" t="s">
        <v>791</v>
      </c>
      <c r="M24" s="423"/>
      <c r="N24" s="1592">
        <f>+'contrato 041 con adic'!D79</f>
        <v>81750</v>
      </c>
      <c r="O24" s="1593">
        <f t="shared" si="4"/>
        <v>89336</v>
      </c>
      <c r="Q24" s="263">
        <f>ROUND(81750*1.0928,0)</f>
        <v>89336</v>
      </c>
      <c r="S24" s="408">
        <f t="shared" si="5"/>
        <v>0</v>
      </c>
    </row>
    <row r="25" spans="1:19" ht="25.5" x14ac:dyDescent="0.2">
      <c r="A25" s="354" t="s">
        <v>56</v>
      </c>
      <c r="B25" s="358" t="s">
        <v>57</v>
      </c>
      <c r="C25" s="356" t="s">
        <v>14</v>
      </c>
      <c r="D25" s="348">
        <v>40</v>
      </c>
      <c r="E25" s="353">
        <v>94000</v>
      </c>
      <c r="F25" s="349">
        <f t="shared" si="0"/>
        <v>3760000</v>
      </c>
      <c r="G25" s="350">
        <v>113048</v>
      </c>
      <c r="H25" s="349">
        <f t="shared" si="1"/>
        <v>4521920</v>
      </c>
      <c r="I25" s="351">
        <f t="shared" si="2"/>
        <v>91145</v>
      </c>
      <c r="J25" s="350">
        <f t="shared" si="3"/>
        <v>3645800</v>
      </c>
      <c r="L25" s="340" t="s">
        <v>791</v>
      </c>
      <c r="M25" s="423"/>
      <c r="N25" s="1592">
        <f>+'contrato 041 con adic'!D80</f>
        <v>83405</v>
      </c>
      <c r="O25" s="1593">
        <f t="shared" si="4"/>
        <v>91145</v>
      </c>
      <c r="Q25" s="282">
        <f>ROUND(83405*1.0928,0)</f>
        <v>91145</v>
      </c>
      <c r="S25" s="408">
        <f t="shared" si="5"/>
        <v>0</v>
      </c>
    </row>
    <row r="26" spans="1:19" x14ac:dyDescent="0.2">
      <c r="A26" s="362" t="s">
        <v>58</v>
      </c>
      <c r="B26" s="358" t="s">
        <v>59</v>
      </c>
      <c r="C26" s="356" t="s">
        <v>14</v>
      </c>
      <c r="D26" s="348">
        <v>40</v>
      </c>
      <c r="E26" s="353">
        <v>16000</v>
      </c>
      <c r="F26" s="349">
        <f t="shared" si="0"/>
        <v>640000</v>
      </c>
      <c r="G26" s="350">
        <v>16848</v>
      </c>
      <c r="H26" s="349">
        <f t="shared" si="1"/>
        <v>673920</v>
      </c>
      <c r="I26" s="351">
        <f t="shared" si="2"/>
        <v>13382</v>
      </c>
      <c r="J26" s="350">
        <f t="shared" si="3"/>
        <v>535280</v>
      </c>
      <c r="L26" s="340" t="s">
        <v>791</v>
      </c>
      <c r="M26" s="423"/>
      <c r="N26" s="1592">
        <f>+'Contrato 041'!E21</f>
        <v>12246</v>
      </c>
      <c r="O26" s="1593">
        <f t="shared" si="4"/>
        <v>13382</v>
      </c>
      <c r="Q26" s="263">
        <f>ROUND(13500*1.0928,0)</f>
        <v>14753</v>
      </c>
      <c r="S26" s="408">
        <f t="shared" si="5"/>
        <v>1371</v>
      </c>
    </row>
    <row r="27" spans="1:19" x14ac:dyDescent="0.2">
      <c r="A27" s="362" t="s">
        <v>62</v>
      </c>
      <c r="B27" s="358" t="s">
        <v>63</v>
      </c>
      <c r="C27" s="356" t="s">
        <v>6</v>
      </c>
      <c r="D27" s="348">
        <v>10</v>
      </c>
      <c r="E27" s="353">
        <v>27000</v>
      </c>
      <c r="F27" s="349">
        <f t="shared" si="0"/>
        <v>270000</v>
      </c>
      <c r="G27" s="350">
        <v>6667.1</v>
      </c>
      <c r="H27" s="349">
        <f t="shared" si="1"/>
        <v>66671</v>
      </c>
      <c r="I27" s="351">
        <f t="shared" si="2"/>
        <v>26036</v>
      </c>
      <c r="J27" s="350">
        <f t="shared" si="3"/>
        <v>260360</v>
      </c>
      <c r="L27" s="340" t="s">
        <v>791</v>
      </c>
      <c r="M27" s="423"/>
      <c r="N27" s="1592">
        <f>+'contrato 041 con adic'!D83</f>
        <v>23825</v>
      </c>
      <c r="O27" s="1593">
        <f t="shared" si="4"/>
        <v>26036</v>
      </c>
      <c r="Q27" s="263">
        <f>ROUND(3825*1.0928,0)</f>
        <v>4180</v>
      </c>
      <c r="S27" s="408">
        <f t="shared" si="5"/>
        <v>-21856</v>
      </c>
    </row>
    <row r="28" spans="1:19" ht="25.5" x14ac:dyDescent="0.2">
      <c r="A28" s="354" t="s">
        <v>64</v>
      </c>
      <c r="B28" s="358" t="s">
        <v>65</v>
      </c>
      <c r="C28" s="356" t="s">
        <v>14</v>
      </c>
      <c r="D28" s="348">
        <v>80</v>
      </c>
      <c r="E28" s="353">
        <v>48000</v>
      </c>
      <c r="F28" s="349">
        <f t="shared" si="0"/>
        <v>3840000</v>
      </c>
      <c r="G28" s="350">
        <v>36283</v>
      </c>
      <c r="H28" s="349">
        <f t="shared" si="1"/>
        <v>2902640</v>
      </c>
      <c r="I28" s="351">
        <f t="shared" si="2"/>
        <v>75401</v>
      </c>
      <c r="J28" s="350">
        <f t="shared" si="3"/>
        <v>6032080</v>
      </c>
      <c r="L28" s="340" t="s">
        <v>792</v>
      </c>
      <c r="M28" s="423"/>
      <c r="N28" s="1592">
        <f>+'Contrato 028'!F94</f>
        <v>68997.88</v>
      </c>
      <c r="O28" s="1593">
        <f t="shared" si="4"/>
        <v>75401</v>
      </c>
      <c r="Q28" s="282">
        <f>ROUND(42270*1.0928,0)</f>
        <v>46193</v>
      </c>
      <c r="S28" s="408">
        <f t="shared" si="5"/>
        <v>-29208</v>
      </c>
    </row>
    <row r="29" spans="1:19" ht="25.5" x14ac:dyDescent="0.2">
      <c r="A29" s="340" t="s">
        <v>71</v>
      </c>
      <c r="B29" s="360" t="s">
        <v>72</v>
      </c>
      <c r="C29" s="363" t="s">
        <v>19</v>
      </c>
      <c r="D29" s="348">
        <v>191</v>
      </c>
      <c r="E29" s="353">
        <v>20000</v>
      </c>
      <c r="F29" s="349">
        <f t="shared" si="0"/>
        <v>3820000</v>
      </c>
      <c r="G29" s="349">
        <v>19500</v>
      </c>
      <c r="H29" s="349">
        <f t="shared" si="1"/>
        <v>3724500</v>
      </c>
      <c r="I29" s="351">
        <f t="shared" si="2"/>
        <v>14660</v>
      </c>
      <c r="J29" s="350">
        <f t="shared" si="3"/>
        <v>2800060</v>
      </c>
      <c r="L29" s="340" t="s">
        <v>791</v>
      </c>
      <c r="M29" s="423"/>
      <c r="N29" s="1592">
        <f>+'Contrato 041'!E34</f>
        <v>13415</v>
      </c>
      <c r="O29" s="1593">
        <f t="shared" si="4"/>
        <v>14660</v>
      </c>
      <c r="Q29" s="324">
        <f>ROUND(13415*1.0928,0)</f>
        <v>14660</v>
      </c>
      <c r="S29" s="408">
        <f t="shared" si="5"/>
        <v>0</v>
      </c>
    </row>
    <row r="30" spans="1:19" ht="25.5" x14ac:dyDescent="0.2">
      <c r="A30" s="362" t="s">
        <v>73</v>
      </c>
      <c r="B30" s="364" t="s">
        <v>74</v>
      </c>
      <c r="C30" s="363" t="s">
        <v>19</v>
      </c>
      <c r="D30" s="348">
        <v>191</v>
      </c>
      <c r="E30" s="353">
        <v>35000</v>
      </c>
      <c r="F30" s="349">
        <f t="shared" si="0"/>
        <v>6685000</v>
      </c>
      <c r="G30" s="411">
        <v>3731</v>
      </c>
      <c r="H30" s="349">
        <f t="shared" si="1"/>
        <v>712621</v>
      </c>
      <c r="I30" s="351">
        <f t="shared" si="2"/>
        <v>29150</v>
      </c>
      <c r="J30" s="350">
        <f t="shared" si="3"/>
        <v>5567650</v>
      </c>
      <c r="L30" s="340" t="s">
        <v>791</v>
      </c>
      <c r="M30" s="423"/>
      <c r="N30" s="1592">
        <f>+'Contrato 041'!E35</f>
        <v>26675</v>
      </c>
      <c r="O30" s="1593">
        <f t="shared" si="4"/>
        <v>29150</v>
      </c>
      <c r="Q30" s="290">
        <f>ROUND(26675*1.0928,0)</f>
        <v>29150</v>
      </c>
      <c r="S30" s="408">
        <f t="shared" si="5"/>
        <v>0</v>
      </c>
    </row>
    <row r="31" spans="1:19" ht="25.5" x14ac:dyDescent="0.2">
      <c r="A31" s="340" t="s">
        <v>75</v>
      </c>
      <c r="B31" s="365" t="s">
        <v>76</v>
      </c>
      <c r="C31" s="366" t="s">
        <v>19</v>
      </c>
      <c r="D31" s="348">
        <v>51</v>
      </c>
      <c r="E31" s="416">
        <v>280000</v>
      </c>
      <c r="F31" s="349">
        <f t="shared" si="0"/>
        <v>14280000</v>
      </c>
      <c r="G31" s="349">
        <v>128700</v>
      </c>
      <c r="H31" s="349">
        <f t="shared" si="1"/>
        <v>6563700</v>
      </c>
      <c r="I31" s="351">
        <f t="shared" si="2"/>
        <v>227816</v>
      </c>
      <c r="J31" s="350">
        <f t="shared" si="3"/>
        <v>11618616</v>
      </c>
      <c r="L31" s="340" t="s">
        <v>792</v>
      </c>
      <c r="M31" s="423"/>
      <c r="N31" s="1592">
        <f>+'Contrato 028'!F121</f>
        <v>208470</v>
      </c>
      <c r="O31" s="1593">
        <f t="shared" si="4"/>
        <v>227816</v>
      </c>
      <c r="Q31" s="324">
        <f>ROUND(208470*1.0928,0)</f>
        <v>227816</v>
      </c>
      <c r="S31" s="408">
        <f t="shared" si="5"/>
        <v>0</v>
      </c>
    </row>
    <row r="32" spans="1:19" x14ac:dyDescent="0.2">
      <c r="A32" s="354" t="s">
        <v>83</v>
      </c>
      <c r="B32" s="364" t="s">
        <v>84</v>
      </c>
      <c r="C32" s="367" t="s">
        <v>19</v>
      </c>
      <c r="D32" s="348">
        <v>247</v>
      </c>
      <c r="E32" s="353">
        <v>9000</v>
      </c>
      <c r="F32" s="349">
        <f t="shared" si="0"/>
        <v>2223000</v>
      </c>
      <c r="G32" s="349">
        <v>5200</v>
      </c>
      <c r="H32" s="349">
        <f t="shared" si="1"/>
        <v>1284400</v>
      </c>
      <c r="I32" s="351">
        <f t="shared" si="2"/>
        <v>6890</v>
      </c>
      <c r="J32" s="350">
        <f t="shared" si="3"/>
        <v>1701830</v>
      </c>
      <c r="L32" s="340" t="s">
        <v>791</v>
      </c>
      <c r="M32" s="423"/>
      <c r="N32" s="1592">
        <f>+'Contrato 041'!E140</f>
        <v>6305</v>
      </c>
      <c r="O32" s="1593">
        <f t="shared" si="4"/>
        <v>6890</v>
      </c>
      <c r="Q32" s="282">
        <f>ROUND(6305*1.0928,0)</f>
        <v>6890</v>
      </c>
      <c r="S32" s="408">
        <f t="shared" si="5"/>
        <v>0</v>
      </c>
    </row>
    <row r="33" spans="1:19" ht="38.25" x14ac:dyDescent="0.2">
      <c r="A33" s="346" t="s">
        <v>85</v>
      </c>
      <c r="B33" s="368" t="s">
        <v>86</v>
      </c>
      <c r="C33" s="367" t="s">
        <v>19</v>
      </c>
      <c r="D33" s="348">
        <v>247</v>
      </c>
      <c r="E33" s="353">
        <v>48000</v>
      </c>
      <c r="F33" s="349">
        <f t="shared" si="0"/>
        <v>11856000</v>
      </c>
      <c r="G33" s="349">
        <v>45500</v>
      </c>
      <c r="H33" s="349">
        <f t="shared" si="1"/>
        <v>11238500</v>
      </c>
      <c r="I33" s="351">
        <f t="shared" si="2"/>
        <v>41660</v>
      </c>
      <c r="J33" s="350">
        <f t="shared" si="3"/>
        <v>10290020</v>
      </c>
      <c r="L33" s="340" t="s">
        <v>792</v>
      </c>
      <c r="M33" s="423"/>
      <c r="N33" s="1592">
        <f>+'Contrato 028'!F114</f>
        <v>38122</v>
      </c>
      <c r="O33" s="1593">
        <f t="shared" si="4"/>
        <v>41660</v>
      </c>
      <c r="Q33" s="263">
        <f>ROUND(39910*1.0928,0)</f>
        <v>43614</v>
      </c>
      <c r="S33" s="408">
        <f t="shared" si="5"/>
        <v>1954</v>
      </c>
    </row>
    <row r="34" spans="1:19" x14ac:dyDescent="0.2">
      <c r="A34" s="354" t="s">
        <v>87</v>
      </c>
      <c r="B34" s="368" t="s">
        <v>88</v>
      </c>
      <c r="C34" s="367" t="s">
        <v>19</v>
      </c>
      <c r="D34" s="348">
        <v>247</v>
      </c>
      <c r="E34" s="353">
        <v>28000</v>
      </c>
      <c r="F34" s="349">
        <f t="shared" si="0"/>
        <v>6916000</v>
      </c>
      <c r="G34" s="349">
        <v>11700</v>
      </c>
      <c r="H34" s="349">
        <f t="shared" si="1"/>
        <v>2889900</v>
      </c>
      <c r="I34" s="351">
        <f t="shared" si="2"/>
        <v>24610</v>
      </c>
      <c r="J34" s="350">
        <f t="shared" si="3"/>
        <v>6078670</v>
      </c>
      <c r="L34" s="340" t="s">
        <v>791</v>
      </c>
      <c r="M34" s="423"/>
      <c r="N34" s="1592">
        <f>+'Contrato 041'!E141</f>
        <v>22520</v>
      </c>
      <c r="O34" s="1593">
        <f t="shared" si="4"/>
        <v>24610</v>
      </c>
      <c r="Q34" s="282">
        <f>ROUND(22520*1.0928,0)</f>
        <v>24610</v>
      </c>
      <c r="S34" s="408">
        <f t="shared" si="5"/>
        <v>0</v>
      </c>
    </row>
    <row r="35" spans="1:19" x14ac:dyDescent="0.2">
      <c r="A35" s="354" t="s">
        <v>91</v>
      </c>
      <c r="B35" s="368" t="s">
        <v>92</v>
      </c>
      <c r="C35" s="367" t="s">
        <v>19</v>
      </c>
      <c r="D35" s="348">
        <v>67.16200000000002</v>
      </c>
      <c r="E35" s="353">
        <v>18000</v>
      </c>
      <c r="F35" s="349">
        <f t="shared" si="0"/>
        <v>1208916.0000000005</v>
      </c>
      <c r="G35" s="411">
        <v>8710</v>
      </c>
      <c r="H35" s="349">
        <f t="shared" si="1"/>
        <v>584981.02000000014</v>
      </c>
      <c r="I35" s="351">
        <f t="shared" si="2"/>
        <v>17005</v>
      </c>
      <c r="J35" s="350">
        <f t="shared" si="3"/>
        <v>1142089.8100000003</v>
      </c>
      <c r="L35" s="340" t="s">
        <v>791</v>
      </c>
      <c r="M35" s="423"/>
      <c r="N35" s="1592">
        <f>+'Contrato 041'!E33</f>
        <v>15561</v>
      </c>
      <c r="O35" s="1593">
        <f t="shared" si="4"/>
        <v>17005</v>
      </c>
      <c r="Q35" s="282">
        <f>ROUND(15561*1.0928,0)</f>
        <v>17005</v>
      </c>
      <c r="S35" s="408">
        <f t="shared" si="5"/>
        <v>0</v>
      </c>
    </row>
    <row r="36" spans="1:19" x14ac:dyDescent="0.2">
      <c r="A36" s="346" t="s">
        <v>96</v>
      </c>
      <c r="B36" s="368" t="s">
        <v>88</v>
      </c>
      <c r="C36" s="367" t="s">
        <v>14</v>
      </c>
      <c r="D36" s="348">
        <v>121</v>
      </c>
      <c r="E36" s="353">
        <v>16800</v>
      </c>
      <c r="F36" s="349">
        <f t="shared" si="0"/>
        <v>2032800</v>
      </c>
      <c r="G36" s="349">
        <v>11700</v>
      </c>
      <c r="H36" s="349">
        <f t="shared" si="1"/>
        <v>1415700</v>
      </c>
      <c r="I36" s="351">
        <f t="shared" si="2"/>
        <v>24610</v>
      </c>
      <c r="J36" s="350">
        <f t="shared" si="3"/>
        <v>2977810</v>
      </c>
      <c r="L36" s="340" t="s">
        <v>791</v>
      </c>
      <c r="M36" s="423"/>
      <c r="N36" s="1592">
        <f>+'Contrato 041'!E141</f>
        <v>22520</v>
      </c>
      <c r="O36" s="1593">
        <f t="shared" si="4"/>
        <v>24610</v>
      </c>
      <c r="Q36" s="296">
        <f>ROUND(12295*1.0928,0)</f>
        <v>13436</v>
      </c>
      <c r="S36" s="408">
        <f t="shared" si="5"/>
        <v>-11174</v>
      </c>
    </row>
    <row r="37" spans="1:19" ht="25.5" x14ac:dyDescent="0.2">
      <c r="A37" s="346" t="s">
        <v>102</v>
      </c>
      <c r="B37" s="358" t="s">
        <v>103</v>
      </c>
      <c r="C37" s="356" t="s">
        <v>19</v>
      </c>
      <c r="D37" s="348">
        <v>158</v>
      </c>
      <c r="E37" s="353">
        <v>130000</v>
      </c>
      <c r="F37" s="349">
        <f t="shared" si="0"/>
        <v>20540000</v>
      </c>
      <c r="G37" s="349">
        <v>122971.77200000001</v>
      </c>
      <c r="H37" s="349">
        <f t="shared" si="1"/>
        <v>19429539.976000004</v>
      </c>
      <c r="I37" s="351">
        <f t="shared" si="2"/>
        <v>113422</v>
      </c>
      <c r="J37" s="350">
        <f t="shared" si="3"/>
        <v>17920676</v>
      </c>
      <c r="L37" s="340" t="s">
        <v>791</v>
      </c>
      <c r="M37" s="423"/>
      <c r="N37" s="1592">
        <f>+'Contrato 041'!E14</f>
        <v>103790</v>
      </c>
      <c r="O37" s="1593">
        <f t="shared" si="4"/>
        <v>113422</v>
      </c>
      <c r="Q37" s="263">
        <f>ROUND(103790*1.0928,0)</f>
        <v>113422</v>
      </c>
      <c r="S37" s="408">
        <f t="shared" si="5"/>
        <v>0</v>
      </c>
    </row>
    <row r="38" spans="1:19" x14ac:dyDescent="0.2">
      <c r="A38" s="346" t="s">
        <v>104</v>
      </c>
      <c r="B38" s="347" t="s">
        <v>105</v>
      </c>
      <c r="C38" s="356" t="s">
        <v>14</v>
      </c>
      <c r="D38" s="348">
        <v>40</v>
      </c>
      <c r="E38" s="353">
        <v>50000</v>
      </c>
      <c r="F38" s="349">
        <f t="shared" si="0"/>
        <v>2000000</v>
      </c>
      <c r="G38" s="411">
        <v>111069.57400000001</v>
      </c>
      <c r="H38" s="349">
        <f t="shared" si="1"/>
        <v>4442782.96</v>
      </c>
      <c r="I38" s="351">
        <f t="shared" si="2"/>
        <v>41152</v>
      </c>
      <c r="J38" s="350">
        <f t="shared" si="3"/>
        <v>1646080</v>
      </c>
      <c r="L38" s="340" t="s">
        <v>791</v>
      </c>
      <c r="M38" s="423"/>
      <c r="N38" s="1592">
        <f>+'Contrato 041'!E15</f>
        <v>37657</v>
      </c>
      <c r="O38" s="1593">
        <f t="shared" si="4"/>
        <v>41152</v>
      </c>
      <c r="Q38" s="282">
        <f>ROUND(37657*1.0928,0)</f>
        <v>41152</v>
      </c>
      <c r="S38" s="408">
        <f t="shared" si="5"/>
        <v>0</v>
      </c>
    </row>
    <row r="39" spans="1:19" ht="51" x14ac:dyDescent="0.2">
      <c r="A39" s="346" t="s">
        <v>106</v>
      </c>
      <c r="B39" s="358" t="s">
        <v>107</v>
      </c>
      <c r="C39" s="356" t="s">
        <v>14</v>
      </c>
      <c r="D39" s="348">
        <v>40</v>
      </c>
      <c r="E39" s="353">
        <v>78000</v>
      </c>
      <c r="F39" s="349">
        <f t="shared" si="0"/>
        <v>3120000</v>
      </c>
      <c r="G39" s="349">
        <v>76011.936000000002</v>
      </c>
      <c r="H39" s="349">
        <f t="shared" si="1"/>
        <v>3040477.44</v>
      </c>
      <c r="I39" s="351">
        <f t="shared" si="2"/>
        <v>46346</v>
      </c>
      <c r="J39" s="350">
        <f t="shared" si="3"/>
        <v>1853840</v>
      </c>
      <c r="L39" s="340" t="s">
        <v>791</v>
      </c>
      <c r="M39" s="423"/>
      <c r="N39" s="1592">
        <f>+'Contrato 041'!E81</f>
        <v>42410</v>
      </c>
      <c r="O39" s="1593">
        <f t="shared" si="4"/>
        <v>46346</v>
      </c>
      <c r="Q39" s="263">
        <f>ROUND(42410*1.0928,0)</f>
        <v>46346</v>
      </c>
      <c r="S39" s="408">
        <f t="shared" si="5"/>
        <v>0</v>
      </c>
    </row>
    <row r="40" spans="1:19" x14ac:dyDescent="0.2">
      <c r="A40" s="346" t="s">
        <v>108</v>
      </c>
      <c r="B40" s="347" t="s">
        <v>109</v>
      </c>
      <c r="C40" s="356" t="s">
        <v>14</v>
      </c>
      <c r="D40" s="348">
        <v>60</v>
      </c>
      <c r="E40" s="353">
        <v>50000</v>
      </c>
      <c r="F40" s="349">
        <f t="shared" si="0"/>
        <v>3000000</v>
      </c>
      <c r="G40" s="411">
        <v>17277</v>
      </c>
      <c r="H40" s="349">
        <f t="shared" si="1"/>
        <v>1036620</v>
      </c>
      <c r="I40" s="351">
        <f t="shared" si="2"/>
        <v>37101</v>
      </c>
      <c r="J40" s="350">
        <f t="shared" si="3"/>
        <v>2226060</v>
      </c>
      <c r="L40" s="340" t="s">
        <v>791</v>
      </c>
      <c r="M40" s="423"/>
      <c r="N40" s="1592">
        <f>+'Contrato 041'!E88</f>
        <v>33950</v>
      </c>
      <c r="O40" s="1593">
        <f t="shared" si="4"/>
        <v>37101</v>
      </c>
      <c r="Q40" s="282">
        <f>ROUND(33950*1.0928,0)</f>
        <v>37101</v>
      </c>
      <c r="S40" s="408">
        <f t="shared" si="5"/>
        <v>0</v>
      </c>
    </row>
    <row r="41" spans="1:19" ht="51" x14ac:dyDescent="0.2">
      <c r="A41" s="362" t="s">
        <v>110</v>
      </c>
      <c r="B41" s="358" t="s">
        <v>111</v>
      </c>
      <c r="C41" s="363" t="s">
        <v>6</v>
      </c>
      <c r="D41" s="369">
        <v>8</v>
      </c>
      <c r="E41" s="370">
        <v>650000</v>
      </c>
      <c r="F41" s="349">
        <f t="shared" si="0"/>
        <v>5200000</v>
      </c>
      <c r="G41" s="411">
        <v>802118.24000000011</v>
      </c>
      <c r="H41" s="349">
        <f t="shared" si="1"/>
        <v>6416945.9200000009</v>
      </c>
      <c r="I41" s="351">
        <f t="shared" si="2"/>
        <v>579485</v>
      </c>
      <c r="J41" s="350">
        <f t="shared" si="3"/>
        <v>4635880</v>
      </c>
      <c r="L41" s="340" t="s">
        <v>791</v>
      </c>
      <c r="M41" s="423"/>
      <c r="N41" s="1592">
        <f>+'Contrato 041'!E95</f>
        <v>530275</v>
      </c>
      <c r="O41" s="1593">
        <f t="shared" si="4"/>
        <v>579485</v>
      </c>
      <c r="Q41" s="298">
        <f>ROUND(530275*1.0928,0)</f>
        <v>579485</v>
      </c>
      <c r="S41" s="408">
        <f t="shared" si="5"/>
        <v>0</v>
      </c>
    </row>
    <row r="42" spans="1:19" x14ac:dyDescent="0.2">
      <c r="A42" s="362" t="s">
        <v>112</v>
      </c>
      <c r="B42" s="347" t="s">
        <v>113</v>
      </c>
      <c r="C42" s="356" t="s">
        <v>14</v>
      </c>
      <c r="D42" s="369">
        <v>1</v>
      </c>
      <c r="E42" s="417">
        <v>55000</v>
      </c>
      <c r="F42" s="349">
        <f t="shared" si="0"/>
        <v>55000</v>
      </c>
      <c r="G42" s="349">
        <v>17979</v>
      </c>
      <c r="H42" s="349">
        <f t="shared" si="1"/>
        <v>17979</v>
      </c>
      <c r="I42" s="351">
        <f t="shared" si="2"/>
        <v>16829</v>
      </c>
      <c r="J42" s="350">
        <f t="shared" si="3"/>
        <v>16829</v>
      </c>
      <c r="L42" s="340" t="s">
        <v>790</v>
      </c>
      <c r="M42" s="423"/>
      <c r="N42" s="1592">
        <f>+'Contrato 013'!F48</f>
        <v>15400</v>
      </c>
      <c r="O42" s="1593">
        <f t="shared" si="4"/>
        <v>16829</v>
      </c>
      <c r="Q42" s="325">
        <f>ROUND(15400*1.0928,0)</f>
        <v>16829</v>
      </c>
      <c r="S42" s="408">
        <f t="shared" si="5"/>
        <v>0</v>
      </c>
    </row>
    <row r="43" spans="1:19" ht="51" x14ac:dyDescent="0.2">
      <c r="A43" s="354" t="s">
        <v>116</v>
      </c>
      <c r="B43" s="347" t="s">
        <v>117</v>
      </c>
      <c r="C43" s="363" t="s">
        <v>14</v>
      </c>
      <c r="D43" s="369">
        <v>139</v>
      </c>
      <c r="E43" s="370">
        <v>75000</v>
      </c>
      <c r="F43" s="349">
        <f t="shared" si="0"/>
        <v>10425000</v>
      </c>
      <c r="G43" s="411">
        <v>31265</v>
      </c>
      <c r="H43" s="349">
        <f t="shared" si="1"/>
        <v>4345835</v>
      </c>
      <c r="I43" s="351">
        <f t="shared" si="2"/>
        <v>70329</v>
      </c>
      <c r="J43" s="350">
        <f t="shared" si="3"/>
        <v>9775731</v>
      </c>
      <c r="L43" s="340" t="s">
        <v>791</v>
      </c>
      <c r="M43" s="423"/>
      <c r="N43" s="1592">
        <f>+'Contrato 041'!E96</f>
        <v>64357</v>
      </c>
      <c r="O43" s="1593">
        <f t="shared" si="4"/>
        <v>70329</v>
      </c>
      <c r="Q43" s="282">
        <f>ROUND(64357*1.0928,0)</f>
        <v>70329</v>
      </c>
      <c r="S43" s="408">
        <f t="shared" si="5"/>
        <v>0</v>
      </c>
    </row>
    <row r="44" spans="1:19" ht="38.25" x14ac:dyDescent="0.2">
      <c r="A44" s="348" t="s">
        <v>118</v>
      </c>
      <c r="B44" s="358" t="s">
        <v>119</v>
      </c>
      <c r="C44" s="356" t="s">
        <v>6</v>
      </c>
      <c r="D44" s="369">
        <v>105</v>
      </c>
      <c r="E44" s="370">
        <v>38000</v>
      </c>
      <c r="F44" s="349">
        <f t="shared" si="0"/>
        <v>3990000</v>
      </c>
      <c r="G44" s="411">
        <v>16263</v>
      </c>
      <c r="H44" s="349">
        <f t="shared" si="1"/>
        <v>1707615</v>
      </c>
      <c r="I44" s="351">
        <f t="shared" si="2"/>
        <v>31702</v>
      </c>
      <c r="J44" s="350">
        <f t="shared" si="3"/>
        <v>3328710</v>
      </c>
      <c r="L44" s="340" t="s">
        <v>791</v>
      </c>
      <c r="M44" s="423"/>
      <c r="N44" s="1592">
        <f>+'Contrato 041'!E97</f>
        <v>29010</v>
      </c>
      <c r="O44" s="1593">
        <f t="shared" si="4"/>
        <v>31702</v>
      </c>
      <c r="Q44" s="263">
        <f>ROUND(29010*1.0928,0)</f>
        <v>31702</v>
      </c>
      <c r="S44" s="408">
        <f t="shared" si="5"/>
        <v>0</v>
      </c>
    </row>
    <row r="45" spans="1:19" ht="25.5" x14ac:dyDescent="0.2">
      <c r="A45" s="354" t="s">
        <v>120</v>
      </c>
      <c r="B45" s="358" t="s">
        <v>121</v>
      </c>
      <c r="C45" s="356" t="s">
        <v>14</v>
      </c>
      <c r="D45" s="369">
        <v>990</v>
      </c>
      <c r="E45" s="370">
        <v>10550</v>
      </c>
      <c r="F45" s="349">
        <f t="shared" si="0"/>
        <v>10444500</v>
      </c>
      <c r="G45" s="411">
        <v>4732</v>
      </c>
      <c r="H45" s="349">
        <f t="shared" si="1"/>
        <v>4684680</v>
      </c>
      <c r="I45" s="351">
        <f t="shared" si="2"/>
        <v>10285</v>
      </c>
      <c r="J45" s="350">
        <f t="shared" si="3"/>
        <v>10182150</v>
      </c>
      <c r="L45" s="340" t="s">
        <v>791</v>
      </c>
      <c r="M45" s="423"/>
      <c r="N45" s="1592">
        <f>+'Contrato 041'!E98</f>
        <v>9412</v>
      </c>
      <c r="O45" s="1593">
        <f t="shared" si="4"/>
        <v>10285</v>
      </c>
      <c r="Q45" s="282">
        <f>ROUND(9412*1.0928,0)</f>
        <v>10285</v>
      </c>
      <c r="S45" s="408">
        <f t="shared" si="5"/>
        <v>0</v>
      </c>
    </row>
    <row r="46" spans="1:19" ht="51" x14ac:dyDescent="0.2">
      <c r="A46" s="348" t="s">
        <v>122</v>
      </c>
      <c r="B46" s="358" t="s">
        <v>123</v>
      </c>
      <c r="C46" s="356" t="s">
        <v>6</v>
      </c>
      <c r="D46" s="369">
        <v>35</v>
      </c>
      <c r="E46" s="370">
        <v>72000</v>
      </c>
      <c r="F46" s="349">
        <f t="shared" si="0"/>
        <v>2520000</v>
      </c>
      <c r="G46" s="349">
        <v>112086</v>
      </c>
      <c r="H46" s="349">
        <f t="shared" si="1"/>
        <v>3923010</v>
      </c>
      <c r="I46" s="351">
        <f t="shared" si="2"/>
        <v>70740</v>
      </c>
      <c r="J46" s="350">
        <f t="shared" si="3"/>
        <v>2475900</v>
      </c>
      <c r="L46" s="340" t="s">
        <v>791</v>
      </c>
      <c r="M46" s="423"/>
      <c r="N46" s="1592">
        <f>+'Contrato 041'!E99</f>
        <v>64733</v>
      </c>
      <c r="O46" s="1593">
        <f t="shared" si="4"/>
        <v>70740</v>
      </c>
      <c r="Q46" s="263">
        <f>ROUND(64733*1.0928,0)</f>
        <v>70740</v>
      </c>
      <c r="S46" s="408">
        <f t="shared" si="5"/>
        <v>0</v>
      </c>
    </row>
    <row r="47" spans="1:19" ht="25.5" x14ac:dyDescent="0.2">
      <c r="A47" s="354" t="s">
        <v>124</v>
      </c>
      <c r="B47" s="358" t="s">
        <v>125</v>
      </c>
      <c r="C47" s="356" t="s">
        <v>6</v>
      </c>
      <c r="D47" s="369">
        <v>35</v>
      </c>
      <c r="E47" s="370">
        <v>20000</v>
      </c>
      <c r="F47" s="349">
        <f t="shared" si="0"/>
        <v>700000</v>
      </c>
      <c r="G47" s="349">
        <v>33267</v>
      </c>
      <c r="H47" s="349">
        <f t="shared" si="1"/>
        <v>1164345</v>
      </c>
      <c r="I47" s="351">
        <f t="shared" si="2"/>
        <v>20219</v>
      </c>
      <c r="J47" s="350">
        <f t="shared" si="3"/>
        <v>707665</v>
      </c>
      <c r="L47" s="340" t="s">
        <v>791</v>
      </c>
      <c r="M47" s="423"/>
      <c r="N47" s="1592">
        <f>+'Contrato 041'!E100</f>
        <v>18502</v>
      </c>
      <c r="O47" s="1593">
        <f t="shared" si="4"/>
        <v>20219</v>
      </c>
      <c r="Q47" s="282">
        <f>ROUND(18502*1.0928,0)</f>
        <v>20219</v>
      </c>
      <c r="S47" s="408">
        <f t="shared" si="5"/>
        <v>0</v>
      </c>
    </row>
    <row r="48" spans="1:19" ht="51" x14ac:dyDescent="0.2">
      <c r="A48" s="348" t="s">
        <v>126</v>
      </c>
      <c r="B48" s="358" t="s">
        <v>127</v>
      </c>
      <c r="C48" s="356" t="s">
        <v>6</v>
      </c>
      <c r="D48" s="369">
        <v>35</v>
      </c>
      <c r="E48" s="370">
        <v>120000</v>
      </c>
      <c r="F48" s="349">
        <f t="shared" si="0"/>
        <v>4200000</v>
      </c>
      <c r="G48" s="371">
        <v>0</v>
      </c>
      <c r="H48" s="349">
        <f t="shared" si="1"/>
        <v>0</v>
      </c>
      <c r="I48" s="351">
        <f t="shared" si="2"/>
        <v>120233</v>
      </c>
      <c r="J48" s="350">
        <f t="shared" si="3"/>
        <v>4208155</v>
      </c>
      <c r="K48" s="410"/>
      <c r="L48" s="340" t="s">
        <v>791</v>
      </c>
      <c r="M48" s="1594"/>
      <c r="N48" s="1592">
        <f>+'Contrato 041'!E101</f>
        <v>110023</v>
      </c>
      <c r="O48" s="1593">
        <f t="shared" si="4"/>
        <v>120233</v>
      </c>
      <c r="Q48" s="407">
        <v>110023</v>
      </c>
      <c r="S48" s="408">
        <f t="shared" si="5"/>
        <v>-10210</v>
      </c>
    </row>
    <row r="49" spans="1:19" ht="51" x14ac:dyDescent="0.2">
      <c r="A49" s="354" t="s">
        <v>128</v>
      </c>
      <c r="B49" s="358" t="s">
        <v>129</v>
      </c>
      <c r="C49" s="356" t="s">
        <v>6</v>
      </c>
      <c r="D49" s="369">
        <v>35</v>
      </c>
      <c r="E49" s="370">
        <v>115000</v>
      </c>
      <c r="F49" s="349">
        <f t="shared" si="0"/>
        <v>4025000</v>
      </c>
      <c r="G49" s="371">
        <v>0</v>
      </c>
      <c r="H49" s="349">
        <f t="shared" si="1"/>
        <v>0</v>
      </c>
      <c r="I49" s="351">
        <f t="shared" si="2"/>
        <v>123946</v>
      </c>
      <c r="J49" s="350">
        <f t="shared" si="3"/>
        <v>4338110</v>
      </c>
      <c r="L49" s="340" t="s">
        <v>791</v>
      </c>
      <c r="M49" s="423"/>
      <c r="N49" s="1592">
        <f>+'Contrato 041'!E102</f>
        <v>113421</v>
      </c>
      <c r="O49" s="1593">
        <f t="shared" si="4"/>
        <v>123946</v>
      </c>
      <c r="Q49" s="282">
        <f>ROUND(113421*1.0928,0)</f>
        <v>123946</v>
      </c>
      <c r="S49" s="408">
        <f t="shared" si="5"/>
        <v>0</v>
      </c>
    </row>
    <row r="50" spans="1:19" ht="25.5" x14ac:dyDescent="0.2">
      <c r="A50" s="348" t="s">
        <v>130</v>
      </c>
      <c r="B50" s="358" t="s">
        <v>131</v>
      </c>
      <c r="C50" s="356" t="s">
        <v>6</v>
      </c>
      <c r="D50" s="369">
        <v>5</v>
      </c>
      <c r="E50" s="370">
        <v>95000</v>
      </c>
      <c r="F50" s="349">
        <f t="shared" si="0"/>
        <v>475000</v>
      </c>
      <c r="G50" s="349">
        <v>22000</v>
      </c>
      <c r="H50" s="349">
        <f t="shared" si="1"/>
        <v>110000</v>
      </c>
      <c r="I50" s="351">
        <f t="shared" si="2"/>
        <v>96760</v>
      </c>
      <c r="J50" s="350">
        <f t="shared" si="3"/>
        <v>483800</v>
      </c>
      <c r="L50" s="340" t="s">
        <v>791</v>
      </c>
      <c r="M50" s="423"/>
      <c r="N50" s="1592">
        <f>+'Contrato 041'!E106</f>
        <v>88543</v>
      </c>
      <c r="O50" s="1593">
        <f t="shared" si="4"/>
        <v>96760</v>
      </c>
      <c r="Q50" s="263">
        <f>ROUND(88543*1.0928,0)</f>
        <v>96760</v>
      </c>
      <c r="S50" s="408">
        <f t="shared" si="5"/>
        <v>0</v>
      </c>
    </row>
    <row r="51" spans="1:19" ht="38.25" x14ac:dyDescent="0.2">
      <c r="A51" s="354" t="s">
        <v>132</v>
      </c>
      <c r="B51" s="358" t="s">
        <v>133</v>
      </c>
      <c r="C51" s="356" t="s">
        <v>6</v>
      </c>
      <c r="D51" s="369">
        <v>20</v>
      </c>
      <c r="E51" s="370">
        <v>115000</v>
      </c>
      <c r="F51" s="349">
        <f t="shared" si="0"/>
        <v>2300000</v>
      </c>
      <c r="G51" s="349">
        <v>80795</v>
      </c>
      <c r="H51" s="349">
        <f t="shared" si="1"/>
        <v>1615900</v>
      </c>
      <c r="I51" s="351">
        <f t="shared" si="2"/>
        <v>113729</v>
      </c>
      <c r="J51" s="350">
        <f t="shared" si="3"/>
        <v>2274580</v>
      </c>
      <c r="L51" s="340" t="s">
        <v>791</v>
      </c>
      <c r="M51" s="423"/>
      <c r="N51" s="1592">
        <f>+'Contrato 041'!E53</f>
        <v>104071</v>
      </c>
      <c r="O51" s="1593">
        <f t="shared" si="4"/>
        <v>113729</v>
      </c>
      <c r="Q51" s="282">
        <f>ROUND(130000*1.0928,0)</f>
        <v>142064</v>
      </c>
      <c r="S51" s="408">
        <f t="shared" si="5"/>
        <v>28335</v>
      </c>
    </row>
    <row r="52" spans="1:19" ht="25.5" x14ac:dyDescent="0.2">
      <c r="A52" s="348" t="s">
        <v>134</v>
      </c>
      <c r="B52" s="358" t="s">
        <v>135</v>
      </c>
      <c r="C52" s="356" t="s">
        <v>14</v>
      </c>
      <c r="D52" s="369">
        <v>20</v>
      </c>
      <c r="E52" s="370">
        <v>17000</v>
      </c>
      <c r="F52" s="349">
        <f t="shared" si="0"/>
        <v>340000</v>
      </c>
      <c r="G52" s="349">
        <v>8736</v>
      </c>
      <c r="H52" s="349">
        <f t="shared" si="1"/>
        <v>174720</v>
      </c>
      <c r="I52" s="351">
        <f t="shared" si="2"/>
        <v>16536</v>
      </c>
      <c r="J52" s="350">
        <f t="shared" si="3"/>
        <v>330720</v>
      </c>
      <c r="L52" s="340" t="s">
        <v>791</v>
      </c>
      <c r="M52" s="423"/>
      <c r="N52" s="1592">
        <f>+'Contrato 041'!E103</f>
        <v>15132</v>
      </c>
      <c r="O52" s="1593">
        <f t="shared" si="4"/>
        <v>16536</v>
      </c>
      <c r="Q52" s="263">
        <f>ROUND(15132*1.0928,0)</f>
        <v>16536</v>
      </c>
      <c r="S52" s="408">
        <f t="shared" si="5"/>
        <v>0</v>
      </c>
    </row>
    <row r="53" spans="1:19" x14ac:dyDescent="0.2">
      <c r="A53" s="354" t="s">
        <v>136</v>
      </c>
      <c r="B53" s="358" t="s">
        <v>137</v>
      </c>
      <c r="C53" s="356" t="s">
        <v>6</v>
      </c>
      <c r="D53" s="369">
        <v>35</v>
      </c>
      <c r="E53" s="370">
        <v>38000</v>
      </c>
      <c r="F53" s="349">
        <f t="shared" si="0"/>
        <v>1330000</v>
      </c>
      <c r="G53" s="349">
        <v>12948</v>
      </c>
      <c r="H53" s="349">
        <f t="shared" si="1"/>
        <v>453180</v>
      </c>
      <c r="I53" s="351">
        <f t="shared" si="2"/>
        <v>34244</v>
      </c>
      <c r="J53" s="350">
        <f t="shared" si="3"/>
        <v>1198540</v>
      </c>
      <c r="L53" s="340" t="s">
        <v>791</v>
      </c>
      <c r="M53" s="423"/>
      <c r="N53" s="1592">
        <f>+'contrato 041 con adic'!D140</f>
        <v>31336</v>
      </c>
      <c r="O53" s="1593">
        <f t="shared" si="4"/>
        <v>34244</v>
      </c>
      <c r="Q53" s="282">
        <f>ROUND(31336*1.0928,0)</f>
        <v>34244</v>
      </c>
      <c r="S53" s="408">
        <f t="shared" si="5"/>
        <v>0</v>
      </c>
    </row>
    <row r="54" spans="1:19" x14ac:dyDescent="0.2">
      <c r="A54" s="348" t="s">
        <v>138</v>
      </c>
      <c r="B54" s="358" t="s">
        <v>139</v>
      </c>
      <c r="C54" s="356" t="s">
        <v>6</v>
      </c>
      <c r="D54" s="369">
        <v>5</v>
      </c>
      <c r="E54" s="370">
        <v>48000</v>
      </c>
      <c r="F54" s="349">
        <f t="shared" si="0"/>
        <v>240000</v>
      </c>
      <c r="G54" s="349">
        <v>16848</v>
      </c>
      <c r="H54" s="349">
        <f t="shared" si="1"/>
        <v>84240</v>
      </c>
      <c r="I54" s="351">
        <f t="shared" si="2"/>
        <v>46067</v>
      </c>
      <c r="J54" s="350">
        <f t="shared" ref="J54:J64" si="6">+I54*D54</f>
        <v>230335</v>
      </c>
      <c r="L54" s="340" t="s">
        <v>791</v>
      </c>
      <c r="M54" s="423"/>
      <c r="N54" s="1592">
        <f>+'contrato 041 con adic'!D141</f>
        <v>42155</v>
      </c>
      <c r="O54" s="1593">
        <f t="shared" ref="O54:O64" si="7">ROUND(N54*(1+$N$13),0)</f>
        <v>46067</v>
      </c>
      <c r="Q54" s="263">
        <f>ROUND(42155*1.0928,0)</f>
        <v>46067</v>
      </c>
      <c r="S54" s="408">
        <f t="shared" si="5"/>
        <v>0</v>
      </c>
    </row>
    <row r="55" spans="1:19" ht="25.5" x14ac:dyDescent="0.2">
      <c r="A55" s="354" t="s">
        <v>140</v>
      </c>
      <c r="B55" s="358" t="s">
        <v>141</v>
      </c>
      <c r="C55" s="356" t="s">
        <v>6</v>
      </c>
      <c r="D55" s="369">
        <v>1</v>
      </c>
      <c r="E55" s="370">
        <v>3500000</v>
      </c>
      <c r="F55" s="349">
        <f t="shared" ref="F55:F64" si="8">+E55*D55</f>
        <v>3500000</v>
      </c>
      <c r="G55" s="349">
        <v>2570000</v>
      </c>
      <c r="H55" s="349">
        <f t="shared" ref="H55:H64" si="9">+G55*D55</f>
        <v>2570000</v>
      </c>
      <c r="I55" s="351">
        <f t="shared" ref="I55:I64" si="10">+O55</f>
        <v>3045320</v>
      </c>
      <c r="J55" s="350">
        <f t="shared" si="6"/>
        <v>3045320</v>
      </c>
      <c r="L55" s="340" t="s">
        <v>791</v>
      </c>
      <c r="M55" s="423"/>
      <c r="N55" s="1592">
        <f>+'Contrato 041'!E107</f>
        <v>2786713</v>
      </c>
      <c r="O55" s="1593">
        <f t="shared" si="7"/>
        <v>3045320</v>
      </c>
      <c r="Q55" s="282">
        <f>ROUND(2786713*1.0928,0)</f>
        <v>3045320</v>
      </c>
      <c r="S55" s="408">
        <f t="shared" si="5"/>
        <v>0</v>
      </c>
    </row>
    <row r="56" spans="1:19" ht="25.5" x14ac:dyDescent="0.2">
      <c r="A56" s="354" t="s">
        <v>144</v>
      </c>
      <c r="B56" s="368" t="s">
        <v>145</v>
      </c>
      <c r="C56" s="367" t="s">
        <v>19</v>
      </c>
      <c r="D56" s="369">
        <v>5</v>
      </c>
      <c r="E56" s="370">
        <v>55000</v>
      </c>
      <c r="F56" s="349">
        <f t="shared" si="8"/>
        <v>275000</v>
      </c>
      <c r="G56" s="349">
        <v>9000</v>
      </c>
      <c r="H56" s="349">
        <f t="shared" si="9"/>
        <v>45000</v>
      </c>
      <c r="I56" s="351">
        <f t="shared" si="10"/>
        <v>18551</v>
      </c>
      <c r="J56" s="350">
        <f t="shared" si="6"/>
        <v>92755</v>
      </c>
      <c r="L56" s="340" t="s">
        <v>791</v>
      </c>
      <c r="M56" s="423"/>
      <c r="N56" s="1592">
        <f>+'Contrato 041'!E17</f>
        <v>16976</v>
      </c>
      <c r="O56" s="1593">
        <f t="shared" si="7"/>
        <v>18551</v>
      </c>
      <c r="Q56" s="282">
        <f>ROUND(16976*1.0928,0)</f>
        <v>18551</v>
      </c>
      <c r="S56" s="408">
        <f t="shared" ref="S56:S74" si="11">+Q56-O56</f>
        <v>0</v>
      </c>
    </row>
    <row r="57" spans="1:19" x14ac:dyDescent="0.2">
      <c r="A57" s="348" t="s">
        <v>157</v>
      </c>
      <c r="B57" s="358" t="s">
        <v>158</v>
      </c>
      <c r="C57" s="340" t="s">
        <v>14</v>
      </c>
      <c r="D57" s="369">
        <v>3</v>
      </c>
      <c r="E57" s="370">
        <v>30000</v>
      </c>
      <c r="F57" s="349">
        <f t="shared" si="8"/>
        <v>90000</v>
      </c>
      <c r="G57" s="349">
        <v>16117.178000000002</v>
      </c>
      <c r="H57" s="349">
        <f t="shared" si="9"/>
        <v>48351.534000000007</v>
      </c>
      <c r="I57" s="351">
        <f t="shared" si="10"/>
        <v>13382</v>
      </c>
      <c r="J57" s="350">
        <f t="shared" si="6"/>
        <v>40146</v>
      </c>
      <c r="L57" s="340" t="s">
        <v>791</v>
      </c>
      <c r="M57" s="423"/>
      <c r="N57" s="1592">
        <f>+'Contrato 041'!E21</f>
        <v>12246</v>
      </c>
      <c r="O57" s="1593">
        <f t="shared" si="7"/>
        <v>13382</v>
      </c>
      <c r="Q57" s="282">
        <f>ROUND(12246*1.0298,0)</f>
        <v>12611</v>
      </c>
      <c r="S57" s="408">
        <f t="shared" si="11"/>
        <v>-771</v>
      </c>
    </row>
    <row r="58" spans="1:19" ht="25.5" x14ac:dyDescent="0.2">
      <c r="A58" s="348" t="s">
        <v>161</v>
      </c>
      <c r="B58" s="358" t="s">
        <v>162</v>
      </c>
      <c r="C58" s="356" t="s">
        <v>14</v>
      </c>
      <c r="D58" s="369">
        <v>3</v>
      </c>
      <c r="E58" s="370">
        <v>45000</v>
      </c>
      <c r="F58" s="349">
        <f t="shared" si="8"/>
        <v>135000</v>
      </c>
      <c r="G58" s="349">
        <v>75897.668000000005</v>
      </c>
      <c r="H58" s="349">
        <f t="shared" si="9"/>
        <v>227693.00400000002</v>
      </c>
      <c r="I58" s="351">
        <f t="shared" si="10"/>
        <v>75401</v>
      </c>
      <c r="J58" s="350">
        <f t="shared" si="6"/>
        <v>226203</v>
      </c>
      <c r="L58" s="340" t="s">
        <v>791</v>
      </c>
      <c r="M58" s="423"/>
      <c r="N58" s="1592">
        <f>+'Contrato 028'!F94</f>
        <v>68997.88</v>
      </c>
      <c r="O58" s="1593">
        <f t="shared" si="7"/>
        <v>75401</v>
      </c>
      <c r="Q58" s="282">
        <f>ROUND(42270*1.0928,0)</f>
        <v>46193</v>
      </c>
      <c r="S58" s="408">
        <f t="shared" si="11"/>
        <v>-29208</v>
      </c>
    </row>
    <row r="59" spans="1:19" x14ac:dyDescent="0.2">
      <c r="A59" s="348" t="s">
        <v>165</v>
      </c>
      <c r="B59" s="358" t="s">
        <v>166</v>
      </c>
      <c r="C59" s="356" t="s">
        <v>150</v>
      </c>
      <c r="D59" s="369">
        <v>2</v>
      </c>
      <c r="E59" s="370">
        <v>100000</v>
      </c>
      <c r="F59" s="349">
        <f t="shared" si="8"/>
        <v>200000</v>
      </c>
      <c r="G59" s="349">
        <v>81356</v>
      </c>
      <c r="H59" s="349">
        <f t="shared" si="9"/>
        <v>162712</v>
      </c>
      <c r="I59" s="351">
        <f t="shared" si="10"/>
        <v>77455</v>
      </c>
      <c r="J59" s="350">
        <f t="shared" si="6"/>
        <v>154910</v>
      </c>
      <c r="L59" s="340" t="s">
        <v>791</v>
      </c>
      <c r="M59" s="423"/>
      <c r="N59" s="1592">
        <f>+'Contrato 041'!E62</f>
        <v>70878</v>
      </c>
      <c r="O59" s="1593">
        <f t="shared" si="7"/>
        <v>77455</v>
      </c>
      <c r="Q59" s="282">
        <f>ROUND(70878*1.0928,0)</f>
        <v>77455</v>
      </c>
      <c r="S59" s="408">
        <f t="shared" si="11"/>
        <v>0</v>
      </c>
    </row>
    <row r="60" spans="1:19" x14ac:dyDescent="0.2">
      <c r="A60" s="374" t="s">
        <v>169</v>
      </c>
      <c r="B60" s="358" t="s">
        <v>158</v>
      </c>
      <c r="C60" s="340" t="s">
        <v>14</v>
      </c>
      <c r="D60" s="369">
        <v>220</v>
      </c>
      <c r="E60" s="370">
        <v>15000</v>
      </c>
      <c r="F60" s="349">
        <f t="shared" si="8"/>
        <v>3300000</v>
      </c>
      <c r="G60" s="349">
        <v>16117.178000000002</v>
      </c>
      <c r="H60" s="349">
        <f t="shared" si="9"/>
        <v>3545779.16</v>
      </c>
      <c r="I60" s="351">
        <f t="shared" si="10"/>
        <v>13382</v>
      </c>
      <c r="J60" s="350">
        <f t="shared" si="6"/>
        <v>2944040</v>
      </c>
      <c r="L60" s="340" t="s">
        <v>791</v>
      </c>
      <c r="M60" s="423"/>
      <c r="N60" s="1592">
        <f>+'Contrato 041'!E21</f>
        <v>12246</v>
      </c>
      <c r="O60" s="1593">
        <f t="shared" si="7"/>
        <v>13382</v>
      </c>
      <c r="Q60" s="282">
        <f>ROUND(12246*1.0298,0)</f>
        <v>12611</v>
      </c>
      <c r="S60" s="408">
        <f t="shared" si="11"/>
        <v>-771</v>
      </c>
    </row>
    <row r="61" spans="1:19" ht="25.5" x14ac:dyDescent="0.2">
      <c r="A61" s="348" t="s">
        <v>170</v>
      </c>
      <c r="B61" s="364" t="s">
        <v>171</v>
      </c>
      <c r="C61" s="340" t="s">
        <v>14</v>
      </c>
      <c r="D61" s="369">
        <v>120</v>
      </c>
      <c r="E61" s="370">
        <v>40000</v>
      </c>
      <c r="F61" s="349">
        <f t="shared" si="8"/>
        <v>4800000</v>
      </c>
      <c r="G61" s="349">
        <v>31213</v>
      </c>
      <c r="H61" s="349">
        <f t="shared" si="9"/>
        <v>3745560</v>
      </c>
      <c r="I61" s="351">
        <f t="shared" si="10"/>
        <v>39615</v>
      </c>
      <c r="J61" s="350">
        <f t="shared" si="6"/>
        <v>4753800</v>
      </c>
      <c r="L61" s="340" t="s">
        <v>791</v>
      </c>
      <c r="M61" s="423"/>
      <c r="N61" s="1592">
        <f>+'Contrato 041'!E29</f>
        <v>36251</v>
      </c>
      <c r="O61" s="1593">
        <f t="shared" si="7"/>
        <v>39615</v>
      </c>
      <c r="Q61" s="263">
        <f>ROUND(36251*1.0928,0)</f>
        <v>39615</v>
      </c>
      <c r="S61" s="408">
        <f t="shared" si="11"/>
        <v>0</v>
      </c>
    </row>
    <row r="62" spans="1:19" x14ac:dyDescent="0.2">
      <c r="A62" s="348" t="s">
        <v>172</v>
      </c>
      <c r="B62" s="347" t="s">
        <v>173</v>
      </c>
      <c r="C62" s="340" t="s">
        <v>14</v>
      </c>
      <c r="D62" s="369">
        <v>100</v>
      </c>
      <c r="E62" s="370">
        <v>25000</v>
      </c>
      <c r="F62" s="349">
        <f t="shared" si="8"/>
        <v>2500000</v>
      </c>
      <c r="G62" s="352">
        <v>0</v>
      </c>
      <c r="H62" s="349">
        <f t="shared" si="9"/>
        <v>0</v>
      </c>
      <c r="I62" s="351">
        <f t="shared" si="10"/>
        <v>26415</v>
      </c>
      <c r="J62" s="350">
        <f t="shared" si="6"/>
        <v>2641500</v>
      </c>
      <c r="L62" s="340" t="s">
        <v>791</v>
      </c>
      <c r="M62" s="423"/>
      <c r="N62" s="1592">
        <f>+'Contrato 041'!E23</f>
        <v>24172</v>
      </c>
      <c r="O62" s="1593">
        <f t="shared" si="7"/>
        <v>26415</v>
      </c>
      <c r="Q62" s="282">
        <f>ROUND(24172*1.0928,0)</f>
        <v>26415</v>
      </c>
      <c r="S62" s="408">
        <f t="shared" si="11"/>
        <v>0</v>
      </c>
    </row>
    <row r="63" spans="1:19" ht="25.5" x14ac:dyDescent="0.2">
      <c r="A63" s="348" t="s">
        <v>190</v>
      </c>
      <c r="B63" s="358" t="s">
        <v>191</v>
      </c>
      <c r="C63" s="356" t="s">
        <v>19</v>
      </c>
      <c r="D63" s="369">
        <v>41</v>
      </c>
      <c r="E63" s="370">
        <v>35000</v>
      </c>
      <c r="F63" s="349">
        <f t="shared" si="8"/>
        <v>1435000</v>
      </c>
      <c r="G63" s="349">
        <v>3731</v>
      </c>
      <c r="H63" s="349">
        <f t="shared" si="9"/>
        <v>152971</v>
      </c>
      <c r="I63" s="351">
        <f t="shared" si="10"/>
        <v>29150</v>
      </c>
      <c r="J63" s="350">
        <f t="shared" si="6"/>
        <v>1195150</v>
      </c>
      <c r="L63" s="340" t="s">
        <v>791</v>
      </c>
      <c r="M63" s="423"/>
      <c r="N63" s="1592">
        <f>+'Contrato 041'!E35</f>
        <v>26675</v>
      </c>
      <c r="O63" s="1593">
        <f t="shared" si="7"/>
        <v>29150</v>
      </c>
      <c r="Q63" s="290">
        <f>ROUND(26675*1.0928,0)</f>
        <v>29150</v>
      </c>
      <c r="S63" s="408">
        <f t="shared" si="11"/>
        <v>0</v>
      </c>
    </row>
    <row r="64" spans="1:19" x14ac:dyDescent="0.2">
      <c r="A64" s="348" t="s">
        <v>194</v>
      </c>
      <c r="B64" s="347" t="s">
        <v>195</v>
      </c>
      <c r="C64" s="340" t="s">
        <v>19</v>
      </c>
      <c r="D64" s="369">
        <v>41</v>
      </c>
      <c r="E64" s="370">
        <v>7000</v>
      </c>
      <c r="F64" s="349">
        <f t="shared" si="8"/>
        <v>287000</v>
      </c>
      <c r="G64" s="349">
        <v>4200</v>
      </c>
      <c r="H64" s="349">
        <f t="shared" si="9"/>
        <v>172200</v>
      </c>
      <c r="I64" s="351">
        <f t="shared" si="10"/>
        <v>5300</v>
      </c>
      <c r="J64" s="350">
        <f t="shared" si="6"/>
        <v>217300</v>
      </c>
      <c r="L64" s="340" t="s">
        <v>791</v>
      </c>
      <c r="M64" s="423"/>
      <c r="N64" s="1592">
        <f>+'Contrato 041'!E63</f>
        <v>4850</v>
      </c>
      <c r="O64" s="1593">
        <f t="shared" si="7"/>
        <v>5300</v>
      </c>
      <c r="Q64" s="263">
        <f>ROUND(4850*1.0928,0)</f>
        <v>5300</v>
      </c>
      <c r="S64" s="408">
        <f t="shared" si="11"/>
        <v>0</v>
      </c>
    </row>
    <row r="65" spans="1:19" x14ac:dyDescent="0.2">
      <c r="A65" s="354" t="s">
        <v>204</v>
      </c>
      <c r="B65" s="347" t="s">
        <v>21</v>
      </c>
      <c r="C65" s="340" t="s">
        <v>19</v>
      </c>
      <c r="D65" s="348">
        <v>6</v>
      </c>
      <c r="E65" s="353">
        <v>60000</v>
      </c>
      <c r="F65" s="353">
        <f>+E65*D65</f>
        <v>360000</v>
      </c>
      <c r="G65" s="349">
        <v>19500</v>
      </c>
      <c r="H65" s="349">
        <f>+G65*D65</f>
        <v>117000</v>
      </c>
      <c r="I65" s="351">
        <f t="shared" ref="I65:I72" si="12">+O65</f>
        <v>14660</v>
      </c>
      <c r="J65" s="349">
        <f t="shared" ref="J65:J72" si="13">+I65*D65</f>
        <v>87960</v>
      </c>
      <c r="L65" s="340" t="s">
        <v>791</v>
      </c>
      <c r="M65" s="423"/>
      <c r="N65" s="1592">
        <f>+'Contrato 041'!E34</f>
        <v>13415</v>
      </c>
      <c r="O65" s="1593">
        <f>ROUND(N65*(1+$N$13),0)</f>
        <v>14660</v>
      </c>
      <c r="Q65" s="290">
        <f>ROUND(13415*1.0928,0)</f>
        <v>14660</v>
      </c>
      <c r="S65" s="408">
        <f t="shared" si="11"/>
        <v>0</v>
      </c>
    </row>
    <row r="66" spans="1:19" x14ac:dyDescent="0.2">
      <c r="A66" s="354" t="s">
        <v>205</v>
      </c>
      <c r="B66" s="347" t="s">
        <v>206</v>
      </c>
      <c r="C66" s="340" t="s">
        <v>19</v>
      </c>
      <c r="D66" s="348">
        <v>6</v>
      </c>
      <c r="E66" s="353">
        <v>90000</v>
      </c>
      <c r="F66" s="353">
        <f t="shared" ref="F66:F72" si="14">+E66*D66</f>
        <v>540000</v>
      </c>
      <c r="G66" s="349">
        <v>3731</v>
      </c>
      <c r="H66" s="349">
        <f t="shared" ref="H66:H72" si="15">+G66*D66</f>
        <v>22386</v>
      </c>
      <c r="I66" s="351">
        <f t="shared" si="12"/>
        <v>29150</v>
      </c>
      <c r="J66" s="349">
        <f t="shared" si="13"/>
        <v>174900</v>
      </c>
      <c r="L66" s="340" t="s">
        <v>791</v>
      </c>
      <c r="M66" s="423"/>
      <c r="N66" s="1592">
        <f>+'Contrato 041'!E35</f>
        <v>26675</v>
      </c>
      <c r="O66" s="1593">
        <f>ROUND(N66*(1+$N$13),0)</f>
        <v>29150</v>
      </c>
      <c r="Q66" s="324">
        <f>ROUND(26675*1.0928,0)</f>
        <v>29150</v>
      </c>
      <c r="S66" s="408">
        <f t="shared" si="11"/>
        <v>0</v>
      </c>
    </row>
    <row r="67" spans="1:19" ht="25.5" x14ac:dyDescent="0.2">
      <c r="A67" s="354" t="s">
        <v>209</v>
      </c>
      <c r="B67" s="365" t="s">
        <v>76</v>
      </c>
      <c r="C67" s="366" t="s">
        <v>19</v>
      </c>
      <c r="D67" s="348">
        <v>6</v>
      </c>
      <c r="E67" s="379">
        <v>280000</v>
      </c>
      <c r="F67" s="353">
        <f t="shared" si="14"/>
        <v>1680000</v>
      </c>
      <c r="G67" s="349">
        <v>128700</v>
      </c>
      <c r="H67" s="349">
        <f t="shared" si="15"/>
        <v>772200</v>
      </c>
      <c r="I67" s="351">
        <f t="shared" si="12"/>
        <v>227816</v>
      </c>
      <c r="J67" s="349">
        <f t="shared" si="13"/>
        <v>1366896</v>
      </c>
      <c r="L67" s="340" t="s">
        <v>791</v>
      </c>
      <c r="M67" s="423"/>
      <c r="N67" s="423">
        <v>208470</v>
      </c>
      <c r="O67" s="1593">
        <f t="shared" ref="O67:O99" si="16">ROUND(N67*(1+$N$13),0)</f>
        <v>227816</v>
      </c>
      <c r="Q67" s="324">
        <f>ROUND(208470*1.0928,0)</f>
        <v>227816</v>
      </c>
      <c r="S67" s="408">
        <f t="shared" si="11"/>
        <v>0</v>
      </c>
    </row>
    <row r="68" spans="1:19" x14ac:dyDescent="0.2">
      <c r="A68" s="346" t="s">
        <v>210</v>
      </c>
      <c r="B68" s="347" t="s">
        <v>211</v>
      </c>
      <c r="C68" s="367" t="s">
        <v>19</v>
      </c>
      <c r="D68" s="348">
        <v>20</v>
      </c>
      <c r="E68" s="353">
        <v>15000</v>
      </c>
      <c r="F68" s="353">
        <f t="shared" si="14"/>
        <v>300000</v>
      </c>
      <c r="G68" s="349">
        <v>4000</v>
      </c>
      <c r="H68" s="349">
        <f t="shared" si="15"/>
        <v>80000</v>
      </c>
      <c r="I68" s="351">
        <f t="shared" si="12"/>
        <v>8445</v>
      </c>
      <c r="J68" s="349">
        <f t="shared" si="13"/>
        <v>168900</v>
      </c>
      <c r="L68" s="340" t="s">
        <v>791</v>
      </c>
      <c r="M68" s="423"/>
      <c r="N68" s="1592">
        <f>+'Contrato 041'!E89</f>
        <v>7728</v>
      </c>
      <c r="O68" s="1593">
        <f t="shared" si="16"/>
        <v>8445</v>
      </c>
      <c r="Q68" s="263">
        <f>ROUND(7728*1.0928,0)</f>
        <v>8445</v>
      </c>
      <c r="S68" s="408">
        <f t="shared" si="11"/>
        <v>0</v>
      </c>
    </row>
    <row r="69" spans="1:19" ht="38.25" x14ac:dyDescent="0.2">
      <c r="A69" s="354" t="s">
        <v>212</v>
      </c>
      <c r="B69" s="368" t="s">
        <v>86</v>
      </c>
      <c r="C69" s="340" t="s">
        <v>19</v>
      </c>
      <c r="D69" s="348">
        <v>3</v>
      </c>
      <c r="E69" s="353">
        <v>140000</v>
      </c>
      <c r="F69" s="353">
        <f t="shared" si="14"/>
        <v>420000</v>
      </c>
      <c r="G69" s="349">
        <v>45500</v>
      </c>
      <c r="H69" s="349">
        <f t="shared" si="15"/>
        <v>136500</v>
      </c>
      <c r="I69" s="351">
        <f t="shared" si="12"/>
        <v>41660</v>
      </c>
      <c r="J69" s="349">
        <f t="shared" si="13"/>
        <v>124980</v>
      </c>
      <c r="L69" s="340" t="s">
        <v>792</v>
      </c>
      <c r="M69" s="423"/>
      <c r="N69" s="1592">
        <f>+'Contrato 028'!F114</f>
        <v>38122</v>
      </c>
      <c r="O69" s="1593">
        <f t="shared" si="16"/>
        <v>41660</v>
      </c>
      <c r="Q69" s="282">
        <f>ROUND(39910*1.0928,0)</f>
        <v>43614</v>
      </c>
      <c r="S69" s="408">
        <f t="shared" si="11"/>
        <v>1954</v>
      </c>
    </row>
    <row r="70" spans="1:19" x14ac:dyDescent="0.2">
      <c r="A70" s="346" t="s">
        <v>213</v>
      </c>
      <c r="B70" s="347" t="s">
        <v>88</v>
      </c>
      <c r="C70" s="367" t="s">
        <v>19</v>
      </c>
      <c r="D70" s="348">
        <v>20</v>
      </c>
      <c r="E70" s="353">
        <v>35000</v>
      </c>
      <c r="F70" s="353">
        <f t="shared" si="14"/>
        <v>700000</v>
      </c>
      <c r="G70" s="349">
        <v>11700</v>
      </c>
      <c r="H70" s="349">
        <f t="shared" si="15"/>
        <v>234000</v>
      </c>
      <c r="I70" s="351">
        <f t="shared" si="12"/>
        <v>24610</v>
      </c>
      <c r="J70" s="349">
        <f t="shared" si="13"/>
        <v>492200</v>
      </c>
      <c r="L70" s="340" t="s">
        <v>791</v>
      </c>
      <c r="M70" s="423"/>
      <c r="N70" s="1592">
        <f>+'Contrato 041'!E141</f>
        <v>22520</v>
      </c>
      <c r="O70" s="1593">
        <f t="shared" si="16"/>
        <v>24610</v>
      </c>
      <c r="Q70" s="263">
        <f>ROUND(22520*1.0928,0)</f>
        <v>24610</v>
      </c>
      <c r="S70" s="408">
        <f t="shared" si="11"/>
        <v>0</v>
      </c>
    </row>
    <row r="71" spans="1:19" x14ac:dyDescent="0.2">
      <c r="A71" s="340" t="s">
        <v>215</v>
      </c>
      <c r="B71" s="347" t="s">
        <v>92</v>
      </c>
      <c r="C71" s="367" t="s">
        <v>19</v>
      </c>
      <c r="D71" s="348">
        <v>4</v>
      </c>
      <c r="E71" s="353">
        <v>25000</v>
      </c>
      <c r="F71" s="353">
        <f t="shared" si="14"/>
        <v>100000</v>
      </c>
      <c r="G71" s="349">
        <v>8710</v>
      </c>
      <c r="H71" s="349">
        <f t="shared" si="15"/>
        <v>34840</v>
      </c>
      <c r="I71" s="351">
        <f t="shared" si="12"/>
        <v>17005</v>
      </c>
      <c r="J71" s="349">
        <f t="shared" si="13"/>
        <v>68020</v>
      </c>
      <c r="L71" s="340" t="s">
        <v>791</v>
      </c>
      <c r="M71" s="423"/>
      <c r="N71" s="1592">
        <f>+'Contrato 041'!E33</f>
        <v>15561</v>
      </c>
      <c r="O71" s="1593">
        <f t="shared" si="16"/>
        <v>17005</v>
      </c>
      <c r="Q71" s="263">
        <f>ROUND(15561*1.0928,0)</f>
        <v>17005</v>
      </c>
      <c r="S71" s="408">
        <f t="shared" si="11"/>
        <v>0</v>
      </c>
    </row>
    <row r="72" spans="1:19" x14ac:dyDescent="0.2">
      <c r="A72" s="340" t="s">
        <v>216</v>
      </c>
      <c r="B72" s="347" t="s">
        <v>195</v>
      </c>
      <c r="C72" s="340" t="s">
        <v>19</v>
      </c>
      <c r="D72" s="348">
        <v>21</v>
      </c>
      <c r="E72" s="353">
        <v>10000</v>
      </c>
      <c r="F72" s="353">
        <f t="shared" si="14"/>
        <v>210000</v>
      </c>
      <c r="G72" s="349">
        <v>4200</v>
      </c>
      <c r="H72" s="349">
        <f t="shared" si="15"/>
        <v>88200</v>
      </c>
      <c r="I72" s="351">
        <f t="shared" si="12"/>
        <v>5300</v>
      </c>
      <c r="J72" s="349">
        <f t="shared" si="13"/>
        <v>111300</v>
      </c>
      <c r="L72" s="340" t="s">
        <v>791</v>
      </c>
      <c r="M72" s="423"/>
      <c r="N72" s="1592">
        <f>+'Contrato 041'!E63</f>
        <v>4850</v>
      </c>
      <c r="O72" s="1593">
        <f t="shared" si="16"/>
        <v>5300</v>
      </c>
      <c r="Q72" s="282">
        <f>ROUND(4850*1.0928,0)</f>
        <v>5300</v>
      </c>
      <c r="S72" s="408">
        <f t="shared" si="11"/>
        <v>0</v>
      </c>
    </row>
    <row r="73" spans="1:19" ht="38.25" x14ac:dyDescent="0.2">
      <c r="A73" s="346" t="s">
        <v>221</v>
      </c>
      <c r="B73" s="347" t="s">
        <v>222</v>
      </c>
      <c r="C73" s="340" t="s">
        <v>14</v>
      </c>
      <c r="D73" s="348">
        <v>47</v>
      </c>
      <c r="E73" s="353">
        <v>135500</v>
      </c>
      <c r="F73" s="353">
        <f>+E73*D73</f>
        <v>6368500</v>
      </c>
      <c r="G73" s="387">
        <v>0</v>
      </c>
      <c r="H73" s="353">
        <f>+G73*D73</f>
        <v>0</v>
      </c>
      <c r="I73" s="351">
        <f t="shared" ref="I73:I103" si="17">+O73</f>
        <v>226947</v>
      </c>
      <c r="J73" s="349">
        <f t="shared" ref="J73:J103" si="18">+I73*D73</f>
        <v>10666509</v>
      </c>
      <c r="L73" s="340" t="s">
        <v>793</v>
      </c>
      <c r="M73" s="1592">
        <f>+'Contrato 058'!F16</f>
        <v>183588</v>
      </c>
      <c r="N73" s="1592">
        <f t="shared" ref="N73:N74" si="19">+M73*(1+M$13)</f>
        <v>207674.74559999999</v>
      </c>
      <c r="O73" s="1593">
        <f t="shared" si="16"/>
        <v>226947</v>
      </c>
      <c r="Q73" s="326">
        <f>ROUND((183588*1.1312)*1.0928,0)</f>
        <v>226947</v>
      </c>
      <c r="S73" s="408">
        <f t="shared" si="11"/>
        <v>0</v>
      </c>
    </row>
    <row r="74" spans="1:19" ht="25.5" x14ac:dyDescent="0.2">
      <c r="A74" s="381" t="s">
        <v>223</v>
      </c>
      <c r="B74" s="347" t="s">
        <v>224</v>
      </c>
      <c r="C74" s="340" t="s">
        <v>19</v>
      </c>
      <c r="D74" s="348">
        <v>47</v>
      </c>
      <c r="E74" s="353">
        <v>12500</v>
      </c>
      <c r="F74" s="353">
        <f t="shared" ref="F74:F104" si="20">+E74*D74</f>
        <v>587500</v>
      </c>
      <c r="G74" s="349">
        <v>5000</v>
      </c>
      <c r="H74" s="353">
        <f t="shared" ref="H74:H104" si="21">+G74*D74</f>
        <v>235000</v>
      </c>
      <c r="I74" s="351">
        <f t="shared" si="17"/>
        <v>16681</v>
      </c>
      <c r="J74" s="349">
        <f t="shared" si="18"/>
        <v>784007</v>
      </c>
      <c r="L74" s="340" t="s">
        <v>793</v>
      </c>
      <c r="M74" s="1592">
        <f>+'Contrato 058'!F17</f>
        <v>13494</v>
      </c>
      <c r="N74" s="1592">
        <f t="shared" si="19"/>
        <v>15264.4128</v>
      </c>
      <c r="O74" s="1593">
        <f t="shared" si="16"/>
        <v>16681</v>
      </c>
      <c r="Q74" s="282">
        <f>ROUND((13494*1.1312)*1.0928,0)</f>
        <v>16681</v>
      </c>
      <c r="S74" s="408">
        <f t="shared" si="11"/>
        <v>0</v>
      </c>
    </row>
    <row r="75" spans="1:19" x14ac:dyDescent="0.2">
      <c r="A75" s="381" t="s">
        <v>235</v>
      </c>
      <c r="B75" s="364" t="s">
        <v>84</v>
      </c>
      <c r="C75" s="367" t="s">
        <v>19</v>
      </c>
      <c r="D75" s="381">
        <v>179</v>
      </c>
      <c r="E75" s="353">
        <v>9000</v>
      </c>
      <c r="F75" s="353">
        <f t="shared" si="20"/>
        <v>1611000</v>
      </c>
      <c r="G75" s="349">
        <v>5200</v>
      </c>
      <c r="H75" s="353">
        <f t="shared" si="21"/>
        <v>930800</v>
      </c>
      <c r="I75" s="351">
        <f t="shared" si="17"/>
        <v>6890</v>
      </c>
      <c r="J75" s="349">
        <f t="shared" si="18"/>
        <v>1233310</v>
      </c>
      <c r="L75" s="340" t="s">
        <v>791</v>
      </c>
      <c r="M75" s="423"/>
      <c r="N75" s="1592">
        <f>+'Contrato 041'!E140</f>
        <v>6305</v>
      </c>
      <c r="O75" s="1593">
        <f t="shared" si="16"/>
        <v>6890</v>
      </c>
      <c r="Q75" s="282">
        <f>ROUND(6305*1.0928,0)</f>
        <v>6890</v>
      </c>
      <c r="S75" s="408">
        <f t="shared" ref="S75:S105" si="22">+Q75-O75</f>
        <v>0</v>
      </c>
    </row>
    <row r="76" spans="1:19" ht="38.25" x14ac:dyDescent="0.2">
      <c r="A76" s="346" t="s">
        <v>236</v>
      </c>
      <c r="B76" s="368" t="s">
        <v>86</v>
      </c>
      <c r="C76" s="367" t="s">
        <v>19</v>
      </c>
      <c r="D76" s="348">
        <v>90</v>
      </c>
      <c r="E76" s="353">
        <v>48000</v>
      </c>
      <c r="F76" s="353">
        <f t="shared" si="20"/>
        <v>4320000</v>
      </c>
      <c r="G76" s="349">
        <v>45500</v>
      </c>
      <c r="H76" s="353">
        <f t="shared" si="21"/>
        <v>4095000</v>
      </c>
      <c r="I76" s="351">
        <f t="shared" si="17"/>
        <v>43614</v>
      </c>
      <c r="J76" s="349">
        <f t="shared" si="18"/>
        <v>3925260</v>
      </c>
      <c r="L76" s="340" t="s">
        <v>791</v>
      </c>
      <c r="M76" s="423"/>
      <c r="N76" s="1592">
        <f>+'Contrato 041'!E129</f>
        <v>39910</v>
      </c>
      <c r="O76" s="1593">
        <f t="shared" si="16"/>
        <v>43614</v>
      </c>
      <c r="Q76" s="263">
        <f>ROUND(39910*1.0928,0)</f>
        <v>43614</v>
      </c>
      <c r="S76" s="408">
        <f t="shared" si="22"/>
        <v>0</v>
      </c>
    </row>
    <row r="77" spans="1:19" x14ac:dyDescent="0.2">
      <c r="A77" s="367" t="s">
        <v>237</v>
      </c>
      <c r="B77" s="368" t="s">
        <v>88</v>
      </c>
      <c r="C77" s="367" t="s">
        <v>19</v>
      </c>
      <c r="D77" s="348">
        <v>149</v>
      </c>
      <c r="E77" s="353">
        <v>28000</v>
      </c>
      <c r="F77" s="353">
        <f t="shared" si="20"/>
        <v>4172000</v>
      </c>
      <c r="G77" s="349">
        <v>11700</v>
      </c>
      <c r="H77" s="353">
        <f t="shared" si="21"/>
        <v>1743300</v>
      </c>
      <c r="I77" s="351">
        <f t="shared" si="17"/>
        <v>24610</v>
      </c>
      <c r="J77" s="349">
        <f t="shared" si="18"/>
        <v>3666890</v>
      </c>
      <c r="L77" s="340" t="s">
        <v>791</v>
      </c>
      <c r="M77" s="423"/>
      <c r="N77" s="1592">
        <f>+'Contrato 041'!E141</f>
        <v>22520</v>
      </c>
      <c r="O77" s="1593">
        <f t="shared" si="16"/>
        <v>24610</v>
      </c>
      <c r="Q77" s="282">
        <f>ROUND(22520*1.0928,0)</f>
        <v>24610</v>
      </c>
      <c r="S77" s="408">
        <f t="shared" si="22"/>
        <v>0</v>
      </c>
    </row>
    <row r="78" spans="1:19" x14ac:dyDescent="0.2">
      <c r="A78" s="367" t="s">
        <v>239</v>
      </c>
      <c r="B78" s="368" t="s">
        <v>92</v>
      </c>
      <c r="C78" s="367" t="s">
        <v>19</v>
      </c>
      <c r="D78" s="348">
        <v>60</v>
      </c>
      <c r="E78" s="353">
        <v>18000</v>
      </c>
      <c r="F78" s="353">
        <f t="shared" si="20"/>
        <v>1080000</v>
      </c>
      <c r="G78" s="349">
        <v>8710</v>
      </c>
      <c r="H78" s="353">
        <f t="shared" si="21"/>
        <v>522600</v>
      </c>
      <c r="I78" s="351">
        <f t="shared" si="17"/>
        <v>17005</v>
      </c>
      <c r="J78" s="349">
        <f t="shared" si="18"/>
        <v>1020300</v>
      </c>
      <c r="L78" s="340" t="s">
        <v>791</v>
      </c>
      <c r="M78" s="423"/>
      <c r="N78" s="1592">
        <f>+'Contrato 041'!E33</f>
        <v>15561</v>
      </c>
      <c r="O78" s="1593">
        <f t="shared" si="16"/>
        <v>17005</v>
      </c>
      <c r="Q78" s="282">
        <f>ROUND(15561*1.0928,0)</f>
        <v>17005</v>
      </c>
      <c r="S78" s="408">
        <f t="shared" si="22"/>
        <v>0</v>
      </c>
    </row>
    <row r="79" spans="1:19" x14ac:dyDescent="0.2">
      <c r="A79" s="367" t="s">
        <v>243</v>
      </c>
      <c r="B79" s="368" t="s">
        <v>88</v>
      </c>
      <c r="C79" s="367" t="s">
        <v>14</v>
      </c>
      <c r="D79" s="348">
        <v>124</v>
      </c>
      <c r="E79" s="353">
        <v>16800</v>
      </c>
      <c r="F79" s="353">
        <f t="shared" si="20"/>
        <v>2083200</v>
      </c>
      <c r="G79" s="349">
        <v>11700</v>
      </c>
      <c r="H79" s="353">
        <f t="shared" si="21"/>
        <v>1450800</v>
      </c>
      <c r="I79" s="351">
        <f t="shared" si="17"/>
        <v>24610</v>
      </c>
      <c r="J79" s="349">
        <f t="shared" si="18"/>
        <v>3051640</v>
      </c>
      <c r="L79" s="340" t="s">
        <v>791</v>
      </c>
      <c r="M79" s="423"/>
      <c r="N79" s="1592">
        <f>+'Contrato 041'!E141</f>
        <v>22520</v>
      </c>
      <c r="O79" s="1593">
        <f t="shared" si="16"/>
        <v>24610</v>
      </c>
      <c r="Q79" s="327">
        <f>ROUND(12295*1.0928,0)</f>
        <v>13436</v>
      </c>
      <c r="S79" s="408">
        <f t="shared" si="22"/>
        <v>-11174</v>
      </c>
    </row>
    <row r="80" spans="1:19" x14ac:dyDescent="0.2">
      <c r="A80" s="346" t="s">
        <v>258</v>
      </c>
      <c r="B80" s="347" t="s">
        <v>21</v>
      </c>
      <c r="C80" s="340" t="s">
        <v>19</v>
      </c>
      <c r="D80" s="348">
        <v>86</v>
      </c>
      <c r="E80" s="353">
        <v>20000</v>
      </c>
      <c r="F80" s="353">
        <f t="shared" si="20"/>
        <v>1720000</v>
      </c>
      <c r="G80" s="349">
        <v>19500</v>
      </c>
      <c r="H80" s="353">
        <f t="shared" si="21"/>
        <v>1677000</v>
      </c>
      <c r="I80" s="351">
        <f t="shared" si="17"/>
        <v>14660</v>
      </c>
      <c r="J80" s="349">
        <f t="shared" si="18"/>
        <v>1260760</v>
      </c>
      <c r="L80" s="340" t="s">
        <v>791</v>
      </c>
      <c r="M80" s="423"/>
      <c r="N80" s="1592">
        <f>+'Contrato 041'!E34</f>
        <v>13415</v>
      </c>
      <c r="O80" s="1593">
        <f t="shared" si="16"/>
        <v>14660</v>
      </c>
      <c r="Q80" s="290">
        <f>ROUND(13415*1.0928,0)</f>
        <v>14660</v>
      </c>
      <c r="S80" s="408">
        <f t="shared" si="22"/>
        <v>0</v>
      </c>
    </row>
    <row r="81" spans="1:20" ht="25.5" x14ac:dyDescent="0.2">
      <c r="A81" s="346" t="s">
        <v>259</v>
      </c>
      <c r="B81" s="358" t="s">
        <v>23</v>
      </c>
      <c r="C81" s="356" t="s">
        <v>19</v>
      </c>
      <c r="D81" s="348">
        <v>86</v>
      </c>
      <c r="E81" s="353">
        <v>35000</v>
      </c>
      <c r="F81" s="353">
        <f t="shared" si="20"/>
        <v>3010000</v>
      </c>
      <c r="G81" s="349">
        <v>3731</v>
      </c>
      <c r="H81" s="353">
        <f t="shared" si="21"/>
        <v>320866</v>
      </c>
      <c r="I81" s="351">
        <f t="shared" si="17"/>
        <v>29150</v>
      </c>
      <c r="J81" s="349">
        <f t="shared" si="18"/>
        <v>2506900</v>
      </c>
      <c r="L81" s="340" t="s">
        <v>791</v>
      </c>
      <c r="M81" s="423"/>
      <c r="N81" s="1592">
        <f>+'Contrato 041'!E35</f>
        <v>26675</v>
      </c>
      <c r="O81" s="1593">
        <f t="shared" si="16"/>
        <v>29150</v>
      </c>
      <c r="Q81" s="324">
        <f>ROUND(26675*1.0928,0)</f>
        <v>29150</v>
      </c>
      <c r="S81" s="408">
        <f t="shared" si="22"/>
        <v>0</v>
      </c>
    </row>
    <row r="82" spans="1:20" ht="25.5" x14ac:dyDescent="0.2">
      <c r="A82" s="346" t="s">
        <v>266</v>
      </c>
      <c r="B82" s="358" t="s">
        <v>103</v>
      </c>
      <c r="C82" s="356" t="s">
        <v>19</v>
      </c>
      <c r="D82" s="348">
        <v>24</v>
      </c>
      <c r="E82" s="353">
        <v>130000</v>
      </c>
      <c r="F82" s="353">
        <f t="shared" si="20"/>
        <v>3120000</v>
      </c>
      <c r="G82" s="349">
        <v>122971.77200000001</v>
      </c>
      <c r="H82" s="353">
        <f t="shared" si="21"/>
        <v>2951322.5280000004</v>
      </c>
      <c r="I82" s="351">
        <f t="shared" si="17"/>
        <v>113422</v>
      </c>
      <c r="J82" s="349">
        <f t="shared" si="18"/>
        <v>2722128</v>
      </c>
      <c r="L82" s="340" t="s">
        <v>791</v>
      </c>
      <c r="M82" s="423"/>
      <c r="N82" s="1592">
        <f>+'Contrato 041'!E14</f>
        <v>103790</v>
      </c>
      <c r="O82" s="1593">
        <f t="shared" si="16"/>
        <v>113422</v>
      </c>
      <c r="Q82" s="263">
        <f>ROUND(103790*1.0928,0)</f>
        <v>113422</v>
      </c>
      <c r="S82" s="408">
        <f t="shared" si="22"/>
        <v>0</v>
      </c>
    </row>
    <row r="83" spans="1:20" x14ac:dyDescent="0.2">
      <c r="A83" s="346" t="s">
        <v>267</v>
      </c>
      <c r="B83" s="347" t="s">
        <v>105</v>
      </c>
      <c r="C83" s="356" t="s">
        <v>14</v>
      </c>
      <c r="D83" s="348">
        <v>15</v>
      </c>
      <c r="E83" s="353">
        <v>50000</v>
      </c>
      <c r="F83" s="353">
        <f t="shared" si="20"/>
        <v>750000</v>
      </c>
      <c r="G83" s="349">
        <v>111069.57400000001</v>
      </c>
      <c r="H83" s="353">
        <f t="shared" si="21"/>
        <v>1666043.61</v>
      </c>
      <c r="I83" s="351">
        <f t="shared" si="17"/>
        <v>41152</v>
      </c>
      <c r="J83" s="349">
        <f t="shared" si="18"/>
        <v>617280</v>
      </c>
      <c r="L83" s="340" t="s">
        <v>791</v>
      </c>
      <c r="M83" s="423"/>
      <c r="N83" s="1592">
        <f>+'Contrato 041'!E15</f>
        <v>37657</v>
      </c>
      <c r="O83" s="1593">
        <f t="shared" si="16"/>
        <v>41152</v>
      </c>
      <c r="Q83" s="282">
        <f>ROUND(37657*1.0928,0)</f>
        <v>41152</v>
      </c>
      <c r="S83" s="408">
        <f t="shared" si="22"/>
        <v>0</v>
      </c>
    </row>
    <row r="84" spans="1:20" ht="51" x14ac:dyDescent="0.2">
      <c r="A84" s="346" t="s">
        <v>268</v>
      </c>
      <c r="B84" s="358" t="s">
        <v>107</v>
      </c>
      <c r="C84" s="356" t="s">
        <v>14</v>
      </c>
      <c r="D84" s="348">
        <v>15</v>
      </c>
      <c r="E84" s="353">
        <v>78000</v>
      </c>
      <c r="F84" s="353">
        <f t="shared" si="20"/>
        <v>1170000</v>
      </c>
      <c r="G84" s="349">
        <v>76011.936000000002</v>
      </c>
      <c r="H84" s="353">
        <f t="shared" si="21"/>
        <v>1140179.04</v>
      </c>
      <c r="I84" s="351">
        <f t="shared" si="17"/>
        <v>46346</v>
      </c>
      <c r="J84" s="349">
        <f t="shared" si="18"/>
        <v>695190</v>
      </c>
      <c r="L84" s="340" t="s">
        <v>791</v>
      </c>
      <c r="M84" s="423"/>
      <c r="N84" s="1592">
        <f>+'Contrato 041'!E16</f>
        <v>42410</v>
      </c>
      <c r="O84" s="1593">
        <f t="shared" si="16"/>
        <v>46346</v>
      </c>
      <c r="Q84" s="263">
        <f>ROUND(42410*1.0928,0)</f>
        <v>46346</v>
      </c>
      <c r="S84" s="408">
        <f t="shared" si="22"/>
        <v>0</v>
      </c>
    </row>
    <row r="85" spans="1:20" x14ac:dyDescent="0.2">
      <c r="A85" s="346" t="s">
        <v>269</v>
      </c>
      <c r="B85" s="347" t="s">
        <v>109</v>
      </c>
      <c r="C85" s="356" t="s">
        <v>14</v>
      </c>
      <c r="D85" s="348">
        <v>9.39</v>
      </c>
      <c r="E85" s="353">
        <v>50000</v>
      </c>
      <c r="F85" s="353">
        <f t="shared" si="20"/>
        <v>469500</v>
      </c>
      <c r="G85" s="349">
        <v>17277</v>
      </c>
      <c r="H85" s="353">
        <f t="shared" si="21"/>
        <v>162231.03</v>
      </c>
      <c r="I85" s="351">
        <f t="shared" si="17"/>
        <v>37101</v>
      </c>
      <c r="J85" s="349">
        <f t="shared" si="18"/>
        <v>348378.39</v>
      </c>
      <c r="L85" s="340" t="s">
        <v>791</v>
      </c>
      <c r="M85" s="423"/>
      <c r="N85" s="1592">
        <f>+'Contrato 041'!E88</f>
        <v>33950</v>
      </c>
      <c r="O85" s="1593">
        <f t="shared" si="16"/>
        <v>37101</v>
      </c>
      <c r="Q85" s="282">
        <f>ROUND(33950*1.0928,0)</f>
        <v>37101</v>
      </c>
      <c r="S85" s="408">
        <f t="shared" si="22"/>
        <v>0</v>
      </c>
    </row>
    <row r="86" spans="1:20" ht="51" x14ac:dyDescent="0.2">
      <c r="A86" s="346" t="s">
        <v>270</v>
      </c>
      <c r="B86" s="396" t="s">
        <v>111</v>
      </c>
      <c r="C86" s="363" t="s">
        <v>6</v>
      </c>
      <c r="D86" s="369">
        <v>3</v>
      </c>
      <c r="E86" s="353">
        <v>650000</v>
      </c>
      <c r="F86" s="353">
        <f t="shared" si="20"/>
        <v>1950000</v>
      </c>
      <c r="G86" s="349">
        <v>802118.24000000011</v>
      </c>
      <c r="H86" s="353">
        <f t="shared" si="21"/>
        <v>2406354.7200000002</v>
      </c>
      <c r="I86" s="351">
        <f t="shared" si="17"/>
        <v>579485</v>
      </c>
      <c r="J86" s="349">
        <f t="shared" si="18"/>
        <v>1738455</v>
      </c>
      <c r="L86" s="340" t="s">
        <v>791</v>
      </c>
      <c r="M86" s="423"/>
      <c r="N86" s="1592">
        <f>+'Contrato 041'!E95</f>
        <v>530275</v>
      </c>
      <c r="O86" s="1593">
        <f t="shared" si="16"/>
        <v>579485</v>
      </c>
      <c r="Q86" s="298">
        <f>ROUND(530275*1.0928,0)</f>
        <v>579485</v>
      </c>
      <c r="S86" s="408">
        <f t="shared" si="22"/>
        <v>0</v>
      </c>
    </row>
    <row r="87" spans="1:20" ht="51" x14ac:dyDescent="0.2">
      <c r="A87" s="346" t="s">
        <v>271</v>
      </c>
      <c r="B87" s="347" t="s">
        <v>117</v>
      </c>
      <c r="C87" s="363" t="s">
        <v>14</v>
      </c>
      <c r="D87" s="369">
        <v>54</v>
      </c>
      <c r="E87" s="353">
        <v>75000</v>
      </c>
      <c r="F87" s="353">
        <f t="shared" si="20"/>
        <v>4050000</v>
      </c>
      <c r="G87" s="349">
        <v>31265</v>
      </c>
      <c r="H87" s="353">
        <f t="shared" si="21"/>
        <v>1688310</v>
      </c>
      <c r="I87" s="351">
        <f t="shared" si="17"/>
        <v>70329</v>
      </c>
      <c r="J87" s="349">
        <f t="shared" si="18"/>
        <v>3797766</v>
      </c>
      <c r="L87" s="340" t="s">
        <v>791</v>
      </c>
      <c r="M87" s="423"/>
      <c r="N87" s="1592">
        <f>+'Contrato 041'!E96</f>
        <v>64357</v>
      </c>
      <c r="O87" s="1593">
        <f t="shared" si="16"/>
        <v>70329</v>
      </c>
      <c r="Q87" s="282">
        <f>ROUND(64357*1.0928,0)</f>
        <v>70329</v>
      </c>
      <c r="S87" s="408">
        <f t="shared" si="22"/>
        <v>0</v>
      </c>
    </row>
    <row r="88" spans="1:20" ht="38.25" x14ac:dyDescent="0.2">
      <c r="A88" s="346" t="s">
        <v>272</v>
      </c>
      <c r="B88" s="358" t="s">
        <v>119</v>
      </c>
      <c r="C88" s="363" t="s">
        <v>6</v>
      </c>
      <c r="D88" s="369">
        <v>48</v>
      </c>
      <c r="E88" s="353">
        <v>38000</v>
      </c>
      <c r="F88" s="353">
        <f t="shared" si="20"/>
        <v>1824000</v>
      </c>
      <c r="G88" s="349">
        <v>16263</v>
      </c>
      <c r="H88" s="353">
        <f t="shared" si="21"/>
        <v>780624</v>
      </c>
      <c r="I88" s="351">
        <f t="shared" si="17"/>
        <v>31702</v>
      </c>
      <c r="J88" s="349">
        <f t="shared" si="18"/>
        <v>1521696</v>
      </c>
      <c r="L88" s="340" t="s">
        <v>791</v>
      </c>
      <c r="M88" s="423"/>
      <c r="N88" s="1592">
        <f>+'Contrato 041'!E97</f>
        <v>29010</v>
      </c>
      <c r="O88" s="1593">
        <f t="shared" si="16"/>
        <v>31702</v>
      </c>
      <c r="Q88" s="263">
        <f>ROUND(29010*1.0928,0)</f>
        <v>31702</v>
      </c>
      <c r="S88" s="408">
        <f t="shared" si="22"/>
        <v>0</v>
      </c>
    </row>
    <row r="89" spans="1:20" ht="25.5" x14ac:dyDescent="0.2">
      <c r="A89" s="346" t="s">
        <v>273</v>
      </c>
      <c r="B89" s="347" t="s">
        <v>121</v>
      </c>
      <c r="C89" s="363" t="s">
        <v>14</v>
      </c>
      <c r="D89" s="369">
        <v>375</v>
      </c>
      <c r="E89" s="353">
        <v>10550</v>
      </c>
      <c r="F89" s="353">
        <f t="shared" si="20"/>
        <v>3956250</v>
      </c>
      <c r="G89" s="349">
        <v>4732</v>
      </c>
      <c r="H89" s="353">
        <f t="shared" si="21"/>
        <v>1774500</v>
      </c>
      <c r="I89" s="351">
        <f t="shared" si="17"/>
        <v>10285</v>
      </c>
      <c r="J89" s="349">
        <f t="shared" si="18"/>
        <v>3856875</v>
      </c>
      <c r="L89" s="340" t="s">
        <v>791</v>
      </c>
      <c r="M89" s="423"/>
      <c r="N89" s="1592">
        <f>+'Contrato 041'!E98</f>
        <v>9412</v>
      </c>
      <c r="O89" s="1593">
        <f t="shared" si="16"/>
        <v>10285</v>
      </c>
      <c r="Q89" s="282">
        <f>ROUND(9412*1.0928,0)</f>
        <v>10285</v>
      </c>
      <c r="S89" s="408">
        <f t="shared" si="22"/>
        <v>0</v>
      </c>
    </row>
    <row r="90" spans="1:20" ht="51" x14ac:dyDescent="0.2">
      <c r="A90" s="346" t="s">
        <v>274</v>
      </c>
      <c r="B90" s="396" t="s">
        <v>123</v>
      </c>
      <c r="C90" s="363" t="s">
        <v>6</v>
      </c>
      <c r="D90" s="369">
        <v>18</v>
      </c>
      <c r="E90" s="353">
        <v>72000</v>
      </c>
      <c r="F90" s="353">
        <f t="shared" si="20"/>
        <v>1296000</v>
      </c>
      <c r="G90" s="349">
        <v>112086</v>
      </c>
      <c r="H90" s="353">
        <f t="shared" si="21"/>
        <v>2017548</v>
      </c>
      <c r="I90" s="351">
        <f t="shared" si="17"/>
        <v>70740</v>
      </c>
      <c r="J90" s="349">
        <f t="shared" si="18"/>
        <v>1273320</v>
      </c>
      <c r="L90" s="340" t="s">
        <v>791</v>
      </c>
      <c r="M90" s="423"/>
      <c r="N90" s="1592">
        <f>+'Contrato 041'!E99</f>
        <v>64733</v>
      </c>
      <c r="O90" s="1593">
        <f t="shared" si="16"/>
        <v>70740</v>
      </c>
      <c r="Q90" s="263">
        <f>ROUND(64733*1.0928,0)</f>
        <v>70740</v>
      </c>
      <c r="S90" s="408">
        <f t="shared" si="22"/>
        <v>0</v>
      </c>
    </row>
    <row r="91" spans="1:20" ht="25.5" x14ac:dyDescent="0.2">
      <c r="A91" s="346" t="s">
        <v>275</v>
      </c>
      <c r="B91" s="347" t="s">
        <v>125</v>
      </c>
      <c r="C91" s="363" t="s">
        <v>6</v>
      </c>
      <c r="D91" s="369">
        <v>18</v>
      </c>
      <c r="E91" s="353">
        <v>20000</v>
      </c>
      <c r="F91" s="353">
        <f t="shared" si="20"/>
        <v>360000</v>
      </c>
      <c r="G91" s="349">
        <v>33267</v>
      </c>
      <c r="H91" s="353">
        <f t="shared" si="21"/>
        <v>598806</v>
      </c>
      <c r="I91" s="351">
        <f t="shared" si="17"/>
        <v>20219</v>
      </c>
      <c r="J91" s="349">
        <f t="shared" si="18"/>
        <v>363942</v>
      </c>
      <c r="L91" s="340" t="s">
        <v>791</v>
      </c>
      <c r="M91" s="423"/>
      <c r="N91" s="1592">
        <f>+'Contrato 041'!E100</f>
        <v>18502</v>
      </c>
      <c r="O91" s="1593">
        <f t="shared" si="16"/>
        <v>20219</v>
      </c>
      <c r="Q91" s="282">
        <f>ROUND(18502*1.0928,0)</f>
        <v>20219</v>
      </c>
      <c r="S91" s="408">
        <f t="shared" si="22"/>
        <v>0</v>
      </c>
    </row>
    <row r="92" spans="1:20" ht="51" x14ac:dyDescent="0.2">
      <c r="A92" s="346" t="s">
        <v>276</v>
      </c>
      <c r="B92" s="396" t="s">
        <v>127</v>
      </c>
      <c r="C92" s="363" t="s">
        <v>6</v>
      </c>
      <c r="D92" s="369">
        <v>18</v>
      </c>
      <c r="E92" s="353">
        <v>120000</v>
      </c>
      <c r="F92" s="353">
        <f t="shared" si="20"/>
        <v>2160000</v>
      </c>
      <c r="G92" s="371">
        <v>0</v>
      </c>
      <c r="H92" s="353">
        <f t="shared" si="21"/>
        <v>0</v>
      </c>
      <c r="I92" s="351">
        <f t="shared" si="17"/>
        <v>120233</v>
      </c>
      <c r="J92" s="349">
        <f t="shared" si="18"/>
        <v>2164194</v>
      </c>
      <c r="L92" s="340" t="s">
        <v>791</v>
      </c>
      <c r="M92" s="423"/>
      <c r="N92" s="1595">
        <f>+'Contrato 041'!E50</f>
        <v>110023</v>
      </c>
      <c r="O92" s="1593">
        <f t="shared" si="16"/>
        <v>120233</v>
      </c>
      <c r="Q92" s="407">
        <v>110023</v>
      </c>
      <c r="S92" s="408">
        <f t="shared" si="22"/>
        <v>-10210</v>
      </c>
      <c r="T92" s="336">
        <f>+S92/(1+N13)</f>
        <v>-9342.972181551977</v>
      </c>
    </row>
    <row r="93" spans="1:20" ht="51" x14ac:dyDescent="0.2">
      <c r="A93" s="346" t="s">
        <v>277</v>
      </c>
      <c r="B93" s="382" t="s">
        <v>129</v>
      </c>
      <c r="C93" s="363" t="s">
        <v>6</v>
      </c>
      <c r="D93" s="369">
        <v>18</v>
      </c>
      <c r="E93" s="353">
        <v>115000</v>
      </c>
      <c r="F93" s="353">
        <f t="shared" si="20"/>
        <v>2070000</v>
      </c>
      <c r="G93" s="371">
        <v>0</v>
      </c>
      <c r="H93" s="353">
        <f t="shared" si="21"/>
        <v>0</v>
      </c>
      <c r="I93" s="351">
        <f t="shared" si="17"/>
        <v>123946</v>
      </c>
      <c r="J93" s="349">
        <f t="shared" si="18"/>
        <v>2231028</v>
      </c>
      <c r="L93" s="340" t="s">
        <v>791</v>
      </c>
      <c r="M93" s="423"/>
      <c r="N93" s="1592">
        <f>+'Contrato 041'!E102</f>
        <v>113421</v>
      </c>
      <c r="O93" s="1593">
        <f t="shared" si="16"/>
        <v>123946</v>
      </c>
      <c r="Q93" s="282">
        <f>ROUND(113421*1.0928,0)</f>
        <v>123946</v>
      </c>
      <c r="S93" s="408">
        <f t="shared" si="22"/>
        <v>0</v>
      </c>
    </row>
    <row r="94" spans="1:20" ht="25.5" x14ac:dyDescent="0.2">
      <c r="A94" s="346" t="s">
        <v>278</v>
      </c>
      <c r="B94" s="347" t="s">
        <v>279</v>
      </c>
      <c r="C94" s="363" t="s">
        <v>6</v>
      </c>
      <c r="D94" s="369">
        <v>3</v>
      </c>
      <c r="E94" s="353">
        <v>95000</v>
      </c>
      <c r="F94" s="353">
        <f t="shared" si="20"/>
        <v>285000</v>
      </c>
      <c r="G94" s="349">
        <v>22000</v>
      </c>
      <c r="H94" s="353">
        <f t="shared" si="21"/>
        <v>66000</v>
      </c>
      <c r="I94" s="351">
        <f t="shared" si="17"/>
        <v>96760</v>
      </c>
      <c r="J94" s="349">
        <f t="shared" si="18"/>
        <v>290280</v>
      </c>
      <c r="L94" s="340" t="s">
        <v>791</v>
      </c>
      <c r="M94" s="423"/>
      <c r="N94" s="1592">
        <f>+'Contrato 041'!E106</f>
        <v>88543</v>
      </c>
      <c r="O94" s="1593">
        <f t="shared" si="16"/>
        <v>96760</v>
      </c>
      <c r="Q94" s="263">
        <f>ROUND(88543*1.0928,0)</f>
        <v>96760</v>
      </c>
      <c r="S94" s="408">
        <f t="shared" si="22"/>
        <v>0</v>
      </c>
    </row>
    <row r="95" spans="1:20" ht="38.25" x14ac:dyDescent="0.2">
      <c r="A95" s="346" t="s">
        <v>280</v>
      </c>
      <c r="B95" s="347" t="s">
        <v>133</v>
      </c>
      <c r="C95" s="363" t="s">
        <v>6</v>
      </c>
      <c r="D95" s="369">
        <v>12</v>
      </c>
      <c r="E95" s="353">
        <v>115000</v>
      </c>
      <c r="F95" s="353">
        <f t="shared" si="20"/>
        <v>1380000</v>
      </c>
      <c r="G95" s="349">
        <v>80795</v>
      </c>
      <c r="H95" s="353">
        <f t="shared" si="21"/>
        <v>969540</v>
      </c>
      <c r="I95" s="351">
        <f t="shared" si="17"/>
        <v>142064</v>
      </c>
      <c r="J95" s="349">
        <f t="shared" si="18"/>
        <v>1704768</v>
      </c>
      <c r="L95" s="340" t="s">
        <v>791</v>
      </c>
      <c r="M95" s="423"/>
      <c r="N95" s="1592">
        <f>+'Contrato 013'!E39</f>
        <v>130000</v>
      </c>
      <c r="O95" s="1593">
        <f t="shared" si="16"/>
        <v>142064</v>
      </c>
      <c r="Q95" s="282">
        <f>ROUND(130000*1.0928,0)</f>
        <v>142064</v>
      </c>
      <c r="S95" s="408">
        <f t="shared" si="22"/>
        <v>0</v>
      </c>
    </row>
    <row r="96" spans="1:20" ht="25.5" x14ac:dyDescent="0.2">
      <c r="A96" s="346" t="s">
        <v>281</v>
      </c>
      <c r="B96" s="347" t="s">
        <v>135</v>
      </c>
      <c r="C96" s="363" t="s">
        <v>14</v>
      </c>
      <c r="D96" s="369">
        <v>20</v>
      </c>
      <c r="E96" s="353">
        <v>17000</v>
      </c>
      <c r="F96" s="353">
        <f t="shared" si="20"/>
        <v>340000</v>
      </c>
      <c r="G96" s="349">
        <v>8736</v>
      </c>
      <c r="H96" s="353">
        <f t="shared" si="21"/>
        <v>174720</v>
      </c>
      <c r="I96" s="351">
        <f t="shared" si="17"/>
        <v>16536</v>
      </c>
      <c r="J96" s="349">
        <f t="shared" si="18"/>
        <v>330720</v>
      </c>
      <c r="L96" s="340" t="s">
        <v>791</v>
      </c>
      <c r="M96" s="423"/>
      <c r="N96" s="1592">
        <f>+'Contrato 041'!E103</f>
        <v>15132</v>
      </c>
      <c r="O96" s="1593">
        <f t="shared" si="16"/>
        <v>16536</v>
      </c>
      <c r="Q96" s="263">
        <f>ROUND(15132*1.0928,0)</f>
        <v>16536</v>
      </c>
      <c r="S96" s="408">
        <f t="shared" si="22"/>
        <v>0</v>
      </c>
    </row>
    <row r="97" spans="1:19" x14ac:dyDescent="0.2">
      <c r="A97" s="346" t="s">
        <v>282</v>
      </c>
      <c r="B97" s="397" t="s">
        <v>137</v>
      </c>
      <c r="C97" s="363" t="s">
        <v>6</v>
      </c>
      <c r="D97" s="369">
        <v>18</v>
      </c>
      <c r="E97" s="353">
        <v>38000</v>
      </c>
      <c r="F97" s="353">
        <f t="shared" si="20"/>
        <v>684000</v>
      </c>
      <c r="G97" s="349">
        <v>12948</v>
      </c>
      <c r="H97" s="353">
        <f t="shared" si="21"/>
        <v>233064</v>
      </c>
      <c r="I97" s="351">
        <f t="shared" si="17"/>
        <v>34244</v>
      </c>
      <c r="J97" s="349">
        <f t="shared" si="18"/>
        <v>616392</v>
      </c>
      <c r="L97" s="340" t="s">
        <v>791</v>
      </c>
      <c r="M97" s="423"/>
      <c r="N97" s="1592">
        <f>+'contrato 041 con adic'!D140</f>
        <v>31336</v>
      </c>
      <c r="O97" s="1593">
        <f t="shared" si="16"/>
        <v>34244</v>
      </c>
      <c r="Q97" s="282">
        <f>ROUND(31336*1.0928,0)</f>
        <v>34244</v>
      </c>
      <c r="S97" s="408">
        <f t="shared" si="22"/>
        <v>0</v>
      </c>
    </row>
    <row r="98" spans="1:19" x14ac:dyDescent="0.2">
      <c r="A98" s="346" t="s">
        <v>283</v>
      </c>
      <c r="B98" s="397" t="s">
        <v>139</v>
      </c>
      <c r="C98" s="363" t="s">
        <v>6</v>
      </c>
      <c r="D98" s="369">
        <v>3</v>
      </c>
      <c r="E98" s="353">
        <v>48000</v>
      </c>
      <c r="F98" s="353">
        <f t="shared" si="20"/>
        <v>144000</v>
      </c>
      <c r="G98" s="349">
        <v>16848</v>
      </c>
      <c r="H98" s="353">
        <f t="shared" si="21"/>
        <v>50544</v>
      </c>
      <c r="I98" s="351">
        <f t="shared" si="17"/>
        <v>46067</v>
      </c>
      <c r="J98" s="349">
        <f t="shared" si="18"/>
        <v>138201</v>
      </c>
      <c r="L98" s="340" t="s">
        <v>791</v>
      </c>
      <c r="M98" s="423"/>
      <c r="N98" s="1592">
        <f>+'contrato 041 con adic'!D141</f>
        <v>42155</v>
      </c>
      <c r="O98" s="1593">
        <f t="shared" si="16"/>
        <v>46067</v>
      </c>
      <c r="Q98" s="263">
        <f>ROUND(42155*1.0928,0)</f>
        <v>46067</v>
      </c>
      <c r="S98" s="408">
        <f t="shared" si="22"/>
        <v>0</v>
      </c>
    </row>
    <row r="99" spans="1:19" ht="25.5" x14ac:dyDescent="0.2">
      <c r="A99" s="346" t="s">
        <v>284</v>
      </c>
      <c r="B99" s="364" t="s">
        <v>141</v>
      </c>
      <c r="C99" s="363" t="s">
        <v>6</v>
      </c>
      <c r="D99" s="369">
        <v>1</v>
      </c>
      <c r="E99" s="353">
        <v>3500000</v>
      </c>
      <c r="F99" s="353">
        <f t="shared" si="20"/>
        <v>3500000</v>
      </c>
      <c r="G99" s="349">
        <v>2570460</v>
      </c>
      <c r="H99" s="353">
        <f t="shared" si="21"/>
        <v>2570460</v>
      </c>
      <c r="I99" s="351">
        <f t="shared" si="17"/>
        <v>3045320</v>
      </c>
      <c r="J99" s="349">
        <f t="shared" si="18"/>
        <v>3045320</v>
      </c>
      <c r="L99" s="340" t="s">
        <v>791</v>
      </c>
      <c r="M99" s="423"/>
      <c r="N99" s="1592">
        <f>+'Contrato 041'!E107</f>
        <v>2786713</v>
      </c>
      <c r="O99" s="1593">
        <f t="shared" si="16"/>
        <v>3045320</v>
      </c>
      <c r="Q99" s="282">
        <f>ROUND(2786713*1.0298,0)</f>
        <v>2869757</v>
      </c>
      <c r="S99" s="408">
        <f t="shared" si="22"/>
        <v>-175563</v>
      </c>
    </row>
    <row r="100" spans="1:19" x14ac:dyDescent="0.2">
      <c r="A100" s="346" t="s">
        <v>305</v>
      </c>
      <c r="B100" s="358" t="s">
        <v>195</v>
      </c>
      <c r="C100" s="356" t="s">
        <v>19</v>
      </c>
      <c r="D100" s="348">
        <v>1148</v>
      </c>
      <c r="E100" s="353">
        <v>7000</v>
      </c>
      <c r="F100" s="353">
        <f t="shared" si="20"/>
        <v>8036000</v>
      </c>
      <c r="G100" s="349">
        <v>4200</v>
      </c>
      <c r="H100" s="353">
        <f t="shared" si="21"/>
        <v>4821600</v>
      </c>
      <c r="I100" s="351">
        <f t="shared" si="17"/>
        <v>5300</v>
      </c>
      <c r="J100" s="349">
        <f t="shared" si="18"/>
        <v>6084400</v>
      </c>
      <c r="L100" s="340" t="s">
        <v>791</v>
      </c>
      <c r="M100" s="423"/>
      <c r="N100" s="1592">
        <f>+'Contrato 041'!E63</f>
        <v>4850</v>
      </c>
      <c r="O100" s="1593">
        <f t="shared" ref="O100:O126" si="23">ROUND(N100*(1+$N$13),0)</f>
        <v>5300</v>
      </c>
      <c r="Q100" s="263">
        <f>ROUND(4850*1.0928,0)</f>
        <v>5300</v>
      </c>
      <c r="S100" s="408">
        <f t="shared" si="22"/>
        <v>0</v>
      </c>
    </row>
    <row r="101" spans="1:19" ht="25.5" x14ac:dyDescent="0.2">
      <c r="A101" s="346" t="s">
        <v>310</v>
      </c>
      <c r="B101" s="347" t="s">
        <v>43</v>
      </c>
      <c r="C101" s="340" t="s">
        <v>6</v>
      </c>
      <c r="D101" s="348">
        <v>16</v>
      </c>
      <c r="E101" s="353">
        <v>66000</v>
      </c>
      <c r="F101" s="353">
        <f t="shared" si="20"/>
        <v>1056000</v>
      </c>
      <c r="G101" s="350">
        <v>32500</v>
      </c>
      <c r="H101" s="353">
        <f t="shared" si="21"/>
        <v>520000</v>
      </c>
      <c r="I101" s="351">
        <f t="shared" si="17"/>
        <v>64568</v>
      </c>
      <c r="J101" s="349">
        <f t="shared" si="18"/>
        <v>1033088</v>
      </c>
      <c r="L101" s="340" t="s">
        <v>791</v>
      </c>
      <c r="M101" s="423"/>
      <c r="N101" s="1592">
        <f>+'contrato 041 con adic'!D75</f>
        <v>59085</v>
      </c>
      <c r="O101" s="1593">
        <f t="shared" si="23"/>
        <v>64568</v>
      </c>
      <c r="Q101" s="282">
        <f>ROUND(59085*1.0928,0)</f>
        <v>64568</v>
      </c>
      <c r="S101" s="408">
        <f t="shared" si="22"/>
        <v>0</v>
      </c>
    </row>
    <row r="102" spans="1:19" ht="63.75" x14ac:dyDescent="0.2">
      <c r="A102" s="346" t="s">
        <v>311</v>
      </c>
      <c r="B102" s="358" t="s">
        <v>45</v>
      </c>
      <c r="C102" s="361" t="s">
        <v>6</v>
      </c>
      <c r="D102" s="348">
        <v>16</v>
      </c>
      <c r="E102" s="353">
        <v>66000</v>
      </c>
      <c r="F102" s="353">
        <f t="shared" si="20"/>
        <v>1056000</v>
      </c>
      <c r="G102" s="350">
        <v>35581</v>
      </c>
      <c r="H102" s="353">
        <f t="shared" si="21"/>
        <v>569296</v>
      </c>
      <c r="I102" s="351">
        <f t="shared" si="17"/>
        <v>64421</v>
      </c>
      <c r="J102" s="349">
        <f t="shared" si="18"/>
        <v>1030736</v>
      </c>
      <c r="L102" s="340" t="s">
        <v>791</v>
      </c>
      <c r="M102" s="423"/>
      <c r="N102" s="1592">
        <f>+'contrato 041 con adic'!D76</f>
        <v>58950</v>
      </c>
      <c r="O102" s="1593">
        <f t="shared" si="23"/>
        <v>64421</v>
      </c>
      <c r="Q102" s="263">
        <f>ROUND(58950*1.0928,0)</f>
        <v>64421</v>
      </c>
      <c r="S102" s="408">
        <f t="shared" si="22"/>
        <v>0</v>
      </c>
    </row>
    <row r="103" spans="1:19" ht="25.5" x14ac:dyDescent="0.2">
      <c r="A103" s="346" t="s">
        <v>312</v>
      </c>
      <c r="B103" s="347" t="s">
        <v>49</v>
      </c>
      <c r="C103" s="340" t="s">
        <v>14</v>
      </c>
      <c r="D103" s="348">
        <v>116</v>
      </c>
      <c r="E103" s="353">
        <v>110000</v>
      </c>
      <c r="F103" s="353">
        <f t="shared" si="20"/>
        <v>12760000</v>
      </c>
      <c r="G103" s="349">
        <v>132301</v>
      </c>
      <c r="H103" s="353">
        <f t="shared" si="21"/>
        <v>15346916</v>
      </c>
      <c r="I103" s="351">
        <f t="shared" si="17"/>
        <v>106395</v>
      </c>
      <c r="J103" s="349">
        <f t="shared" si="18"/>
        <v>12341820</v>
      </c>
      <c r="L103" s="340" t="s">
        <v>791</v>
      </c>
      <c r="M103" s="423"/>
      <c r="N103" s="1592">
        <f>+'contrato 041 con adic'!D85</f>
        <v>97360</v>
      </c>
      <c r="O103" s="1593">
        <f t="shared" si="23"/>
        <v>106395</v>
      </c>
      <c r="Q103" s="282">
        <f>ROUND(97360*1.0928,0)</f>
        <v>106395</v>
      </c>
      <c r="S103" s="408">
        <f t="shared" si="22"/>
        <v>0</v>
      </c>
    </row>
    <row r="104" spans="1:19" ht="25.5" x14ac:dyDescent="0.2">
      <c r="A104" s="346" t="s">
        <v>313</v>
      </c>
      <c r="B104" s="347" t="s">
        <v>314</v>
      </c>
      <c r="C104" s="340" t="s">
        <v>14</v>
      </c>
      <c r="D104" s="348">
        <v>195</v>
      </c>
      <c r="E104" s="353">
        <v>100000</v>
      </c>
      <c r="F104" s="353">
        <f t="shared" si="20"/>
        <v>19500000</v>
      </c>
      <c r="G104" s="349">
        <v>104000</v>
      </c>
      <c r="H104" s="353">
        <f t="shared" si="21"/>
        <v>20280000</v>
      </c>
      <c r="I104" s="351">
        <f t="shared" ref="I104:I105" si="24">+O104</f>
        <v>97346</v>
      </c>
      <c r="J104" s="349">
        <f t="shared" ref="J104:J105" si="25">+I104*D104</f>
        <v>18982470</v>
      </c>
      <c r="L104" s="340" t="s">
        <v>791</v>
      </c>
      <c r="M104" s="423"/>
      <c r="N104" s="1592">
        <f>+'contrato 041 con adic'!D86</f>
        <v>89079</v>
      </c>
      <c r="O104" s="1593">
        <f t="shared" si="23"/>
        <v>97346</v>
      </c>
      <c r="Q104" s="263">
        <f>ROUND(89079*1.0928,0)</f>
        <v>97346</v>
      </c>
      <c r="S104" s="408">
        <f t="shared" si="22"/>
        <v>0</v>
      </c>
    </row>
    <row r="105" spans="1:19" ht="25.5" x14ac:dyDescent="0.2">
      <c r="A105" s="354" t="s">
        <v>315</v>
      </c>
      <c r="B105" s="347" t="s">
        <v>316</v>
      </c>
      <c r="C105" s="340" t="s">
        <v>19</v>
      </c>
      <c r="D105" s="348">
        <v>201</v>
      </c>
      <c r="E105" s="353">
        <v>80000</v>
      </c>
      <c r="F105" s="353">
        <f t="shared" ref="F105" si="26">+E105*D105</f>
        <v>16080000</v>
      </c>
      <c r="G105" s="349">
        <v>65949</v>
      </c>
      <c r="H105" s="353">
        <f t="shared" ref="H105" si="27">+G105*D105</f>
        <v>13255749</v>
      </c>
      <c r="I105" s="351">
        <f t="shared" si="24"/>
        <v>77917</v>
      </c>
      <c r="J105" s="349">
        <f t="shared" si="25"/>
        <v>15661317</v>
      </c>
      <c r="L105" s="340" t="s">
        <v>791</v>
      </c>
      <c r="M105" s="423"/>
      <c r="N105" s="1592">
        <f>+'contrato 041 con adic'!D78</f>
        <v>71300</v>
      </c>
      <c r="O105" s="1593">
        <f t="shared" si="23"/>
        <v>77917</v>
      </c>
      <c r="Q105" s="282">
        <f>ROUND(71300*1.0928,0)</f>
        <v>77917</v>
      </c>
      <c r="S105" s="408">
        <f t="shared" si="22"/>
        <v>0</v>
      </c>
    </row>
    <row r="106" spans="1:19" ht="38.25" x14ac:dyDescent="0.2">
      <c r="A106" s="346" t="s">
        <v>321</v>
      </c>
      <c r="B106" s="347" t="s">
        <v>222</v>
      </c>
      <c r="C106" s="340" t="s">
        <v>14</v>
      </c>
      <c r="D106" s="348">
        <v>29</v>
      </c>
      <c r="E106" s="353">
        <v>135000</v>
      </c>
      <c r="F106" s="353">
        <f>+E106*D106</f>
        <v>3915000</v>
      </c>
      <c r="G106" s="399">
        <v>0</v>
      </c>
      <c r="H106" s="353">
        <f>+G106*D106</f>
        <v>0</v>
      </c>
      <c r="I106" s="351">
        <f t="shared" ref="I106:I135" si="28">+O106</f>
        <v>226947</v>
      </c>
      <c r="J106" s="350">
        <f t="shared" ref="J106:J135" si="29">+I106*D106</f>
        <v>6581463</v>
      </c>
      <c r="L106" s="340" t="s">
        <v>793</v>
      </c>
      <c r="M106" s="1592">
        <f>+'Contrato 058'!F16</f>
        <v>183588</v>
      </c>
      <c r="N106" s="1592">
        <f t="shared" ref="N106:N107" si="30">+M106*(1+M$13)</f>
        <v>207674.74559999999</v>
      </c>
      <c r="O106" s="1593">
        <f>ROUND(N106*(1+$N$13),0)</f>
        <v>226947</v>
      </c>
      <c r="Q106" s="280">
        <f>ROUND((183588*1.1312)*1.0928,0)</f>
        <v>226947</v>
      </c>
      <c r="S106" s="408">
        <f t="shared" ref="S106:S133" si="31">+Q106-O106</f>
        <v>0</v>
      </c>
    </row>
    <row r="107" spans="1:19" ht="25.5" x14ac:dyDescent="0.2">
      <c r="A107" s="381" t="s">
        <v>322</v>
      </c>
      <c r="B107" s="347" t="s">
        <v>224</v>
      </c>
      <c r="C107" s="340" t="s">
        <v>19</v>
      </c>
      <c r="D107" s="348">
        <v>73</v>
      </c>
      <c r="E107" s="353">
        <v>12500</v>
      </c>
      <c r="F107" s="353">
        <f t="shared" ref="F107:F136" si="32">+E107*D107</f>
        <v>912500</v>
      </c>
      <c r="G107" s="349">
        <v>5000</v>
      </c>
      <c r="H107" s="353">
        <f t="shared" ref="H107:H136" si="33">+G107*D107</f>
        <v>365000</v>
      </c>
      <c r="I107" s="351">
        <f t="shared" si="28"/>
        <v>16681</v>
      </c>
      <c r="J107" s="350">
        <f t="shared" si="29"/>
        <v>1217713</v>
      </c>
      <c r="L107" s="340" t="s">
        <v>793</v>
      </c>
      <c r="M107" s="1592">
        <f>+'Contrato 058'!F17</f>
        <v>13494</v>
      </c>
      <c r="N107" s="1592">
        <f t="shared" si="30"/>
        <v>15264.4128</v>
      </c>
      <c r="O107" s="1593">
        <f t="shared" si="23"/>
        <v>16681</v>
      </c>
      <c r="Q107" s="281">
        <f>ROUND((13494*1.1312)*1.0928,0)</f>
        <v>16681</v>
      </c>
      <c r="S107" s="408">
        <f t="shared" si="31"/>
        <v>0</v>
      </c>
    </row>
    <row r="108" spans="1:19" x14ac:dyDescent="0.2">
      <c r="A108" s="381" t="s">
        <v>328</v>
      </c>
      <c r="B108" s="368" t="s">
        <v>88</v>
      </c>
      <c r="C108" s="367" t="s">
        <v>19</v>
      </c>
      <c r="D108" s="356">
        <v>189</v>
      </c>
      <c r="E108" s="353">
        <v>28000</v>
      </c>
      <c r="F108" s="353">
        <f t="shared" si="32"/>
        <v>5292000</v>
      </c>
      <c r="G108" s="350">
        <v>11700</v>
      </c>
      <c r="H108" s="353">
        <f t="shared" si="33"/>
        <v>2211300</v>
      </c>
      <c r="I108" s="351">
        <f t="shared" si="28"/>
        <v>24610</v>
      </c>
      <c r="J108" s="350">
        <f t="shared" si="29"/>
        <v>4651290</v>
      </c>
      <c r="L108" s="340" t="s">
        <v>791</v>
      </c>
      <c r="M108" s="423"/>
      <c r="N108" s="1592">
        <f>+'Contrato 041'!E141</f>
        <v>22520</v>
      </c>
      <c r="O108" s="1593">
        <f t="shared" si="23"/>
        <v>24610</v>
      </c>
      <c r="Q108" s="282">
        <f>ROUND(22520*1.0928,0)</f>
        <v>24610</v>
      </c>
      <c r="S108" s="408">
        <f t="shared" si="31"/>
        <v>0</v>
      </c>
    </row>
    <row r="109" spans="1:19" x14ac:dyDescent="0.2">
      <c r="A109" s="381" t="s">
        <v>343</v>
      </c>
      <c r="B109" s="347" t="s">
        <v>21</v>
      </c>
      <c r="C109" s="367" t="s">
        <v>19</v>
      </c>
      <c r="D109" s="356">
        <v>14</v>
      </c>
      <c r="E109" s="353">
        <v>20000</v>
      </c>
      <c r="F109" s="353">
        <f t="shared" si="32"/>
        <v>280000</v>
      </c>
      <c r="G109" s="350">
        <v>19500</v>
      </c>
      <c r="H109" s="353">
        <f t="shared" si="33"/>
        <v>273000</v>
      </c>
      <c r="I109" s="351">
        <f t="shared" si="28"/>
        <v>14660</v>
      </c>
      <c r="J109" s="350">
        <f t="shared" si="29"/>
        <v>205240</v>
      </c>
      <c r="L109" s="340" t="s">
        <v>791</v>
      </c>
      <c r="M109" s="423"/>
      <c r="N109" s="1592">
        <f>+'Contrato 041'!E34</f>
        <v>13415</v>
      </c>
      <c r="O109" s="1593">
        <f t="shared" si="23"/>
        <v>14660</v>
      </c>
      <c r="Q109" s="324">
        <f>ROUND(13415*1.0928,0)</f>
        <v>14660</v>
      </c>
      <c r="S109" s="408">
        <f t="shared" si="31"/>
        <v>0</v>
      </c>
    </row>
    <row r="110" spans="1:19" x14ac:dyDescent="0.2">
      <c r="A110" s="367" t="s">
        <v>346</v>
      </c>
      <c r="B110" s="347" t="s">
        <v>206</v>
      </c>
      <c r="C110" s="340" t="s">
        <v>19</v>
      </c>
      <c r="D110" s="356">
        <v>14</v>
      </c>
      <c r="E110" s="353">
        <v>35000</v>
      </c>
      <c r="F110" s="353">
        <f t="shared" si="32"/>
        <v>490000</v>
      </c>
      <c r="G110" s="350">
        <v>3731</v>
      </c>
      <c r="H110" s="353">
        <f t="shared" si="33"/>
        <v>52234</v>
      </c>
      <c r="I110" s="351">
        <f t="shared" si="28"/>
        <v>29150</v>
      </c>
      <c r="J110" s="350">
        <f t="shared" si="29"/>
        <v>408100</v>
      </c>
      <c r="L110" s="340" t="s">
        <v>791</v>
      </c>
      <c r="M110" s="423"/>
      <c r="N110" s="1592">
        <f>+'Contrato 041'!E35</f>
        <v>26675</v>
      </c>
      <c r="O110" s="1593">
        <f t="shared" si="23"/>
        <v>29150</v>
      </c>
      <c r="Q110" s="324">
        <f>ROUND(26675*1.0928,0)</f>
        <v>29150</v>
      </c>
      <c r="S110" s="408">
        <f t="shared" si="31"/>
        <v>0</v>
      </c>
    </row>
    <row r="111" spans="1:19" x14ac:dyDescent="0.2">
      <c r="A111" s="367" t="s">
        <v>355</v>
      </c>
      <c r="B111" s="383" t="s">
        <v>63</v>
      </c>
      <c r="C111" s="361" t="s">
        <v>6</v>
      </c>
      <c r="D111" s="355">
        <v>4</v>
      </c>
      <c r="E111" s="353">
        <v>27000</v>
      </c>
      <c r="F111" s="353">
        <f t="shared" si="32"/>
        <v>108000</v>
      </c>
      <c r="G111" s="350">
        <v>28015</v>
      </c>
      <c r="H111" s="353">
        <f t="shared" si="33"/>
        <v>112060</v>
      </c>
      <c r="I111" s="351">
        <f t="shared" si="28"/>
        <v>26036</v>
      </c>
      <c r="J111" s="350">
        <f t="shared" si="29"/>
        <v>104144</v>
      </c>
      <c r="L111" s="340" t="s">
        <v>791</v>
      </c>
      <c r="M111" s="423"/>
      <c r="N111" s="1592">
        <f>+'contrato 041 con adic'!D83</f>
        <v>23825</v>
      </c>
      <c r="O111" s="1593">
        <f t="shared" si="23"/>
        <v>26036</v>
      </c>
      <c r="Q111" s="282">
        <f>ROUND(3825*1.0928,0)</f>
        <v>4180</v>
      </c>
      <c r="S111" s="408">
        <f t="shared" si="31"/>
        <v>-21856</v>
      </c>
    </row>
    <row r="112" spans="1:19" x14ac:dyDescent="0.2">
      <c r="A112" s="367" t="s">
        <v>359</v>
      </c>
      <c r="B112" s="364" t="s">
        <v>84</v>
      </c>
      <c r="C112" s="367" t="s">
        <v>19</v>
      </c>
      <c r="D112" s="356">
        <v>7</v>
      </c>
      <c r="E112" s="353">
        <v>9000</v>
      </c>
      <c r="F112" s="353">
        <f t="shared" si="32"/>
        <v>63000</v>
      </c>
      <c r="G112" s="350">
        <v>5200</v>
      </c>
      <c r="H112" s="353">
        <f t="shared" si="33"/>
        <v>36400</v>
      </c>
      <c r="I112" s="351">
        <f t="shared" si="28"/>
        <v>6890</v>
      </c>
      <c r="J112" s="350">
        <f t="shared" si="29"/>
        <v>48230</v>
      </c>
      <c r="L112" s="340" t="s">
        <v>791</v>
      </c>
      <c r="M112" s="423"/>
      <c r="N112" s="1592">
        <f>+'Contrato 041'!E140</f>
        <v>6305</v>
      </c>
      <c r="O112" s="1593">
        <f t="shared" si="23"/>
        <v>6890</v>
      </c>
      <c r="Q112" s="263">
        <f>ROUND(6305*1.0928,0)</f>
        <v>6890</v>
      </c>
      <c r="S112" s="408">
        <f t="shared" si="31"/>
        <v>0</v>
      </c>
    </row>
    <row r="113" spans="1:19" ht="38.25" x14ac:dyDescent="0.2">
      <c r="A113" s="367" t="s">
        <v>360</v>
      </c>
      <c r="B113" s="368" t="s">
        <v>86</v>
      </c>
      <c r="C113" s="367" t="s">
        <v>19</v>
      </c>
      <c r="D113" s="356">
        <v>7</v>
      </c>
      <c r="E113" s="353">
        <v>48000</v>
      </c>
      <c r="F113" s="353">
        <f t="shared" si="32"/>
        <v>336000</v>
      </c>
      <c r="G113" s="350">
        <v>45500</v>
      </c>
      <c r="H113" s="353">
        <f t="shared" si="33"/>
        <v>318500</v>
      </c>
      <c r="I113" s="351">
        <f t="shared" si="28"/>
        <v>43614</v>
      </c>
      <c r="J113" s="350">
        <f t="shared" si="29"/>
        <v>305298</v>
      </c>
      <c r="L113" s="340" t="s">
        <v>791</v>
      </c>
      <c r="M113" s="423"/>
      <c r="N113" s="1592">
        <f>+'Contrato 041'!E129</f>
        <v>39910</v>
      </c>
      <c r="O113" s="1593">
        <f t="shared" si="23"/>
        <v>43614</v>
      </c>
      <c r="Q113" s="282">
        <f>ROUND(39910*1.0928,0)</f>
        <v>43614</v>
      </c>
      <c r="S113" s="408">
        <f t="shared" si="31"/>
        <v>0</v>
      </c>
    </row>
    <row r="114" spans="1:19" x14ac:dyDescent="0.2">
      <c r="A114" s="367" t="s">
        <v>361</v>
      </c>
      <c r="B114" s="368" t="s">
        <v>88</v>
      </c>
      <c r="C114" s="367" t="s">
        <v>19</v>
      </c>
      <c r="D114" s="356">
        <v>8</v>
      </c>
      <c r="E114" s="353">
        <v>28000</v>
      </c>
      <c r="F114" s="353">
        <f t="shared" si="32"/>
        <v>224000</v>
      </c>
      <c r="G114" s="350">
        <v>11700</v>
      </c>
      <c r="H114" s="353">
        <f t="shared" si="33"/>
        <v>93600</v>
      </c>
      <c r="I114" s="351">
        <f t="shared" si="28"/>
        <v>24610</v>
      </c>
      <c r="J114" s="350">
        <f t="shared" si="29"/>
        <v>196880</v>
      </c>
      <c r="L114" s="340" t="s">
        <v>791</v>
      </c>
      <c r="M114" s="423"/>
      <c r="N114" s="1592">
        <f>+'Contrato 041'!E141</f>
        <v>22520</v>
      </c>
      <c r="O114" s="1593">
        <f t="shared" si="23"/>
        <v>24610</v>
      </c>
      <c r="Q114" s="263">
        <f>ROUND(22520*1.0928,0)</f>
        <v>24610</v>
      </c>
      <c r="S114" s="408">
        <f t="shared" si="31"/>
        <v>0</v>
      </c>
    </row>
    <row r="115" spans="1:19" x14ac:dyDescent="0.2">
      <c r="A115" s="367" t="s">
        <v>363</v>
      </c>
      <c r="B115" s="368" t="s">
        <v>92</v>
      </c>
      <c r="C115" s="367" t="s">
        <v>19</v>
      </c>
      <c r="D115" s="356">
        <v>2</v>
      </c>
      <c r="E115" s="353">
        <v>18000</v>
      </c>
      <c r="F115" s="353">
        <f t="shared" si="32"/>
        <v>36000</v>
      </c>
      <c r="G115" s="350">
        <v>8710</v>
      </c>
      <c r="H115" s="353">
        <f t="shared" si="33"/>
        <v>17420</v>
      </c>
      <c r="I115" s="351">
        <f t="shared" si="28"/>
        <v>17005</v>
      </c>
      <c r="J115" s="350">
        <f t="shared" si="29"/>
        <v>34010</v>
      </c>
      <c r="L115" s="340" t="s">
        <v>791</v>
      </c>
      <c r="M115" s="423"/>
      <c r="N115" s="1592">
        <f>+'Contrato 041'!E33</f>
        <v>15561</v>
      </c>
      <c r="O115" s="1593">
        <f t="shared" si="23"/>
        <v>17005</v>
      </c>
      <c r="Q115" s="263">
        <f>ROUND(15561*1.0928,0)</f>
        <v>17005</v>
      </c>
      <c r="S115" s="408">
        <f t="shared" si="31"/>
        <v>0</v>
      </c>
    </row>
    <row r="116" spans="1:19" x14ac:dyDescent="0.2">
      <c r="A116" s="367" t="s">
        <v>367</v>
      </c>
      <c r="B116" s="368" t="s">
        <v>88</v>
      </c>
      <c r="C116" s="367" t="s">
        <v>14</v>
      </c>
      <c r="D116" s="356">
        <v>4</v>
      </c>
      <c r="E116" s="353">
        <v>16800</v>
      </c>
      <c r="F116" s="353">
        <f t="shared" si="32"/>
        <v>67200</v>
      </c>
      <c r="G116" s="350">
        <v>11700</v>
      </c>
      <c r="H116" s="353">
        <f t="shared" si="33"/>
        <v>46800</v>
      </c>
      <c r="I116" s="351">
        <f t="shared" si="28"/>
        <v>24610</v>
      </c>
      <c r="J116" s="350">
        <f t="shared" si="29"/>
        <v>98440</v>
      </c>
      <c r="L116" s="340" t="s">
        <v>791</v>
      </c>
      <c r="M116" s="423"/>
      <c r="N116" s="1592">
        <f>+'Contrato 041'!E141</f>
        <v>22520</v>
      </c>
      <c r="O116" s="1593">
        <f t="shared" si="23"/>
        <v>24610</v>
      </c>
      <c r="Q116" s="296">
        <f>ROUND(12295*1.0928,0)</f>
        <v>13436</v>
      </c>
      <c r="S116" s="408">
        <f t="shared" si="31"/>
        <v>-11174</v>
      </c>
    </row>
    <row r="117" spans="1:19" x14ac:dyDescent="0.2">
      <c r="A117" s="346" t="s">
        <v>382</v>
      </c>
      <c r="B117" s="383" t="s">
        <v>59</v>
      </c>
      <c r="C117" s="361" t="s">
        <v>14</v>
      </c>
      <c r="D117" s="346">
        <v>10</v>
      </c>
      <c r="E117" s="353">
        <v>16000</v>
      </c>
      <c r="F117" s="353">
        <f t="shared" si="32"/>
        <v>160000</v>
      </c>
      <c r="G117" s="349">
        <v>16848</v>
      </c>
      <c r="H117" s="353">
        <f t="shared" si="33"/>
        <v>168480</v>
      </c>
      <c r="I117" s="351">
        <f t="shared" si="28"/>
        <v>13382</v>
      </c>
      <c r="J117" s="350">
        <f t="shared" si="29"/>
        <v>133820</v>
      </c>
      <c r="L117" s="340" t="s">
        <v>791</v>
      </c>
      <c r="M117" s="423"/>
      <c r="N117" s="1592">
        <f>+'Contrato 041'!E21</f>
        <v>12246</v>
      </c>
      <c r="O117" s="1593">
        <f t="shared" si="23"/>
        <v>13382</v>
      </c>
      <c r="Q117" s="263">
        <f>ROUND(13500*1.0928,0)</f>
        <v>14753</v>
      </c>
      <c r="S117" s="408">
        <f t="shared" si="31"/>
        <v>1371</v>
      </c>
    </row>
    <row r="118" spans="1:19" x14ac:dyDescent="0.2">
      <c r="A118" s="346" t="s">
        <v>383</v>
      </c>
      <c r="B118" s="383" t="s">
        <v>63</v>
      </c>
      <c r="C118" s="361" t="s">
        <v>6</v>
      </c>
      <c r="D118" s="346">
        <v>2</v>
      </c>
      <c r="E118" s="353">
        <v>27000</v>
      </c>
      <c r="F118" s="353">
        <f t="shared" si="32"/>
        <v>54000</v>
      </c>
      <c r="G118" s="387">
        <v>0</v>
      </c>
      <c r="H118" s="353">
        <f t="shared" si="33"/>
        <v>0</v>
      </c>
      <c r="I118" s="351">
        <f t="shared" si="28"/>
        <v>26036</v>
      </c>
      <c r="J118" s="350">
        <f t="shared" si="29"/>
        <v>52072</v>
      </c>
      <c r="L118" s="340" t="s">
        <v>791</v>
      </c>
      <c r="M118" s="423"/>
      <c r="N118" s="1592">
        <f>+'contrato 041 con adic'!D83</f>
        <v>23825</v>
      </c>
      <c r="O118" s="1593">
        <f t="shared" si="23"/>
        <v>26036</v>
      </c>
      <c r="Q118" s="282">
        <f>ROUND(3825*1.0928,0)</f>
        <v>4180</v>
      </c>
      <c r="S118" s="408">
        <f t="shared" si="31"/>
        <v>-21856</v>
      </c>
    </row>
    <row r="119" spans="1:19" x14ac:dyDescent="0.2">
      <c r="A119" s="346" t="s">
        <v>384</v>
      </c>
      <c r="B119" s="383" t="s">
        <v>65</v>
      </c>
      <c r="C119" s="361" t="s">
        <v>14</v>
      </c>
      <c r="D119" s="346">
        <v>6</v>
      </c>
      <c r="E119" s="353">
        <v>48000</v>
      </c>
      <c r="F119" s="353">
        <f t="shared" si="32"/>
        <v>288000</v>
      </c>
      <c r="G119" s="349">
        <v>36283</v>
      </c>
      <c r="H119" s="353">
        <f t="shared" si="33"/>
        <v>217698</v>
      </c>
      <c r="I119" s="351">
        <f t="shared" si="28"/>
        <v>75401</v>
      </c>
      <c r="J119" s="350">
        <f t="shared" si="29"/>
        <v>452406</v>
      </c>
      <c r="L119" s="340" t="s">
        <v>791</v>
      </c>
      <c r="M119" s="423"/>
      <c r="N119" s="1592">
        <f>+'Contrato 028'!F94</f>
        <v>68997.88</v>
      </c>
      <c r="O119" s="1593">
        <f t="shared" si="23"/>
        <v>75401</v>
      </c>
      <c r="Q119" s="263">
        <f>42270*1.0928</f>
        <v>46192.656000000003</v>
      </c>
      <c r="S119" s="408">
        <f t="shared" si="31"/>
        <v>-29208.343999999997</v>
      </c>
    </row>
    <row r="120" spans="1:19" ht="25.5" x14ac:dyDescent="0.2">
      <c r="A120" s="346" t="s">
        <v>387</v>
      </c>
      <c r="B120" s="358" t="s">
        <v>103</v>
      </c>
      <c r="C120" s="356" t="s">
        <v>19</v>
      </c>
      <c r="D120" s="346">
        <v>10</v>
      </c>
      <c r="E120" s="353">
        <v>130000</v>
      </c>
      <c r="F120" s="353">
        <f t="shared" si="32"/>
        <v>1300000</v>
      </c>
      <c r="G120" s="349">
        <v>122971.77200000001</v>
      </c>
      <c r="H120" s="353">
        <f t="shared" si="33"/>
        <v>1229717.7200000002</v>
      </c>
      <c r="I120" s="351">
        <f t="shared" si="28"/>
        <v>113422</v>
      </c>
      <c r="J120" s="350">
        <f t="shared" si="29"/>
        <v>1134220</v>
      </c>
      <c r="L120" s="340" t="s">
        <v>791</v>
      </c>
      <c r="M120" s="423"/>
      <c r="N120" s="1592">
        <f>+'Contrato 041'!E14</f>
        <v>103790</v>
      </c>
      <c r="O120" s="1593">
        <f t="shared" si="23"/>
        <v>113422</v>
      </c>
      <c r="Q120" s="282">
        <f>ROUND(103790*1.0928,0)</f>
        <v>113422</v>
      </c>
      <c r="S120" s="408">
        <f t="shared" si="31"/>
        <v>0</v>
      </c>
    </row>
    <row r="121" spans="1:19" x14ac:dyDescent="0.2">
      <c r="A121" s="346" t="s">
        <v>388</v>
      </c>
      <c r="B121" s="347" t="s">
        <v>105</v>
      </c>
      <c r="C121" s="356" t="s">
        <v>14</v>
      </c>
      <c r="D121" s="346">
        <v>5</v>
      </c>
      <c r="E121" s="353">
        <v>50000</v>
      </c>
      <c r="F121" s="353">
        <f t="shared" si="32"/>
        <v>250000</v>
      </c>
      <c r="G121" s="349">
        <v>111069.57400000001</v>
      </c>
      <c r="H121" s="353">
        <f t="shared" si="33"/>
        <v>555347.87</v>
      </c>
      <c r="I121" s="351">
        <f t="shared" si="28"/>
        <v>41152</v>
      </c>
      <c r="J121" s="350">
        <f t="shared" si="29"/>
        <v>205760</v>
      </c>
      <c r="L121" s="340" t="s">
        <v>791</v>
      </c>
      <c r="M121" s="423"/>
      <c r="N121" s="1592">
        <f>+'Contrato 041'!E15</f>
        <v>37657</v>
      </c>
      <c r="O121" s="1593">
        <f t="shared" si="23"/>
        <v>41152</v>
      </c>
      <c r="Q121" s="263">
        <f>ROUND(37657*1.0928,0)</f>
        <v>41152</v>
      </c>
      <c r="S121" s="408">
        <f t="shared" si="31"/>
        <v>0</v>
      </c>
    </row>
    <row r="122" spans="1:19" ht="51" x14ac:dyDescent="0.2">
      <c r="A122" s="346" t="s">
        <v>389</v>
      </c>
      <c r="B122" s="358" t="s">
        <v>107</v>
      </c>
      <c r="C122" s="356" t="s">
        <v>14</v>
      </c>
      <c r="D122" s="346">
        <v>5</v>
      </c>
      <c r="E122" s="353">
        <v>78000</v>
      </c>
      <c r="F122" s="353">
        <f t="shared" si="32"/>
        <v>390000</v>
      </c>
      <c r="G122" s="349">
        <v>76011.936000000002</v>
      </c>
      <c r="H122" s="353">
        <f t="shared" si="33"/>
        <v>380059.68</v>
      </c>
      <c r="I122" s="351">
        <f t="shared" si="28"/>
        <v>46346</v>
      </c>
      <c r="J122" s="350">
        <f t="shared" si="29"/>
        <v>231730</v>
      </c>
      <c r="L122" s="340" t="s">
        <v>791</v>
      </c>
      <c r="M122" s="423"/>
      <c r="N122" s="1592">
        <f>+'Contrato 041'!E16</f>
        <v>42410</v>
      </c>
      <c r="O122" s="1593">
        <f t="shared" si="23"/>
        <v>46346</v>
      </c>
      <c r="Q122" s="282">
        <f>ROUND(42410*1.0928,0)</f>
        <v>46346</v>
      </c>
      <c r="S122" s="408">
        <f t="shared" si="31"/>
        <v>0</v>
      </c>
    </row>
    <row r="123" spans="1:19" x14ac:dyDescent="0.2">
      <c r="A123" s="346" t="s">
        <v>390</v>
      </c>
      <c r="B123" s="347" t="s">
        <v>109</v>
      </c>
      <c r="C123" s="356" t="s">
        <v>14</v>
      </c>
      <c r="D123" s="346">
        <v>8</v>
      </c>
      <c r="E123" s="353">
        <v>50000</v>
      </c>
      <c r="F123" s="353">
        <f t="shared" si="32"/>
        <v>400000</v>
      </c>
      <c r="G123" s="349">
        <v>17277</v>
      </c>
      <c r="H123" s="353">
        <f t="shared" si="33"/>
        <v>138216</v>
      </c>
      <c r="I123" s="351">
        <f t="shared" si="28"/>
        <v>37101</v>
      </c>
      <c r="J123" s="350">
        <f t="shared" si="29"/>
        <v>296808</v>
      </c>
      <c r="L123" s="340" t="s">
        <v>791</v>
      </c>
      <c r="M123" s="423"/>
      <c r="N123" s="1592">
        <f>+'Contrato 041'!E88</f>
        <v>33950</v>
      </c>
      <c r="O123" s="1593">
        <f t="shared" si="23"/>
        <v>37101</v>
      </c>
      <c r="Q123" s="263">
        <f>ROUND(33950*1.0928,0)</f>
        <v>37101</v>
      </c>
      <c r="S123" s="408">
        <f t="shared" si="31"/>
        <v>0</v>
      </c>
    </row>
    <row r="124" spans="1:19" ht="51" x14ac:dyDescent="0.2">
      <c r="A124" s="346" t="s">
        <v>391</v>
      </c>
      <c r="B124" s="358" t="s">
        <v>111</v>
      </c>
      <c r="C124" s="363" t="s">
        <v>6</v>
      </c>
      <c r="D124" s="346">
        <v>1</v>
      </c>
      <c r="E124" s="353">
        <v>650000</v>
      </c>
      <c r="F124" s="353">
        <f t="shared" si="32"/>
        <v>650000</v>
      </c>
      <c r="G124" s="349">
        <v>802118.24000000011</v>
      </c>
      <c r="H124" s="353">
        <f t="shared" si="33"/>
        <v>802118.24000000011</v>
      </c>
      <c r="I124" s="351">
        <f t="shared" si="28"/>
        <v>579485</v>
      </c>
      <c r="J124" s="350">
        <f t="shared" si="29"/>
        <v>579485</v>
      </c>
      <c r="L124" s="340" t="s">
        <v>791</v>
      </c>
      <c r="M124" s="423"/>
      <c r="N124" s="1592">
        <f>+'Contrato 041'!E95</f>
        <v>530275</v>
      </c>
      <c r="O124" s="1593">
        <f t="shared" si="23"/>
        <v>579485</v>
      </c>
      <c r="Q124" s="282">
        <f>ROUND(530275*1.0928,0)</f>
        <v>579485</v>
      </c>
      <c r="S124" s="408">
        <f t="shared" si="31"/>
        <v>0</v>
      </c>
    </row>
    <row r="125" spans="1:19" ht="51" x14ac:dyDescent="0.2">
      <c r="A125" s="367" t="s">
        <v>392</v>
      </c>
      <c r="B125" s="347" t="s">
        <v>117</v>
      </c>
      <c r="C125" s="363" t="s">
        <v>14</v>
      </c>
      <c r="D125" s="346">
        <v>12</v>
      </c>
      <c r="E125" s="353">
        <v>75000</v>
      </c>
      <c r="F125" s="353">
        <f t="shared" si="32"/>
        <v>900000</v>
      </c>
      <c r="G125" s="349">
        <v>31265</v>
      </c>
      <c r="H125" s="353">
        <f t="shared" si="33"/>
        <v>375180</v>
      </c>
      <c r="I125" s="351">
        <f t="shared" si="28"/>
        <v>70329</v>
      </c>
      <c r="J125" s="350">
        <f t="shared" si="29"/>
        <v>843948</v>
      </c>
      <c r="L125" s="340" t="s">
        <v>791</v>
      </c>
      <c r="M125" s="423"/>
      <c r="N125" s="1592">
        <f>+'Contrato 041'!E96</f>
        <v>64357</v>
      </c>
      <c r="O125" s="1593">
        <f t="shared" si="23"/>
        <v>70329</v>
      </c>
      <c r="Q125" s="263">
        <f>ROUND(64357*1.0928,0)</f>
        <v>70329</v>
      </c>
      <c r="S125" s="408">
        <f t="shared" si="31"/>
        <v>0</v>
      </c>
    </row>
    <row r="126" spans="1:19" ht="38.25" x14ac:dyDescent="0.2">
      <c r="A126" s="367" t="s">
        <v>393</v>
      </c>
      <c r="B126" s="358" t="s">
        <v>119</v>
      </c>
      <c r="C126" s="363" t="s">
        <v>6</v>
      </c>
      <c r="D126" s="346">
        <v>7</v>
      </c>
      <c r="E126" s="353">
        <v>38000</v>
      </c>
      <c r="F126" s="353">
        <f t="shared" si="32"/>
        <v>266000</v>
      </c>
      <c r="G126" s="349">
        <v>16263</v>
      </c>
      <c r="H126" s="353">
        <f t="shared" si="33"/>
        <v>113841</v>
      </c>
      <c r="I126" s="351">
        <f t="shared" si="28"/>
        <v>31702</v>
      </c>
      <c r="J126" s="350">
        <f t="shared" si="29"/>
        <v>221914</v>
      </c>
      <c r="L126" s="340" t="s">
        <v>791</v>
      </c>
      <c r="M126" s="423"/>
      <c r="N126" s="1592">
        <f>+'Contrato 041'!E97</f>
        <v>29010</v>
      </c>
      <c r="O126" s="1593">
        <f t="shared" si="23"/>
        <v>31702</v>
      </c>
      <c r="Q126" s="282">
        <f>ROUND(29010*1.0928,0)</f>
        <v>31702</v>
      </c>
      <c r="S126" s="408">
        <f t="shared" si="31"/>
        <v>0</v>
      </c>
    </row>
    <row r="127" spans="1:19" ht="25.5" x14ac:dyDescent="0.2">
      <c r="A127" s="367" t="s">
        <v>394</v>
      </c>
      <c r="B127" s="347" t="s">
        <v>121</v>
      </c>
      <c r="C127" s="363" t="s">
        <v>14</v>
      </c>
      <c r="D127" s="346">
        <v>110</v>
      </c>
      <c r="E127" s="353">
        <v>10550</v>
      </c>
      <c r="F127" s="353">
        <f t="shared" si="32"/>
        <v>1160500</v>
      </c>
      <c r="G127" s="349">
        <v>4732</v>
      </c>
      <c r="H127" s="353">
        <f t="shared" si="33"/>
        <v>520520</v>
      </c>
      <c r="I127" s="351">
        <f t="shared" si="28"/>
        <v>10285</v>
      </c>
      <c r="J127" s="350">
        <f t="shared" si="29"/>
        <v>1131350</v>
      </c>
      <c r="L127" s="340" t="s">
        <v>791</v>
      </c>
      <c r="M127" s="423"/>
      <c r="N127" s="1592">
        <f>+'Contrato 041'!E98</f>
        <v>9412</v>
      </c>
      <c r="O127" s="1593">
        <f t="shared" ref="O127:O147" si="34">ROUND(N127*(1+$N$13),0)</f>
        <v>10285</v>
      </c>
      <c r="Q127" s="263">
        <f>ROUND(9412*1.0928,0)</f>
        <v>10285</v>
      </c>
      <c r="S127" s="408">
        <f t="shared" si="31"/>
        <v>0</v>
      </c>
    </row>
    <row r="128" spans="1:19" ht="51" x14ac:dyDescent="0.2">
      <c r="A128" s="367" t="s">
        <v>395</v>
      </c>
      <c r="B128" s="358" t="s">
        <v>123</v>
      </c>
      <c r="C128" s="363" t="s">
        <v>6</v>
      </c>
      <c r="D128" s="346">
        <v>7</v>
      </c>
      <c r="E128" s="353">
        <v>72000</v>
      </c>
      <c r="F128" s="353">
        <f t="shared" si="32"/>
        <v>504000</v>
      </c>
      <c r="G128" s="349">
        <v>112086</v>
      </c>
      <c r="H128" s="353">
        <f t="shared" si="33"/>
        <v>784602</v>
      </c>
      <c r="I128" s="351">
        <f t="shared" si="28"/>
        <v>70740</v>
      </c>
      <c r="J128" s="350">
        <f t="shared" si="29"/>
        <v>495180</v>
      </c>
      <c r="L128" s="340" t="s">
        <v>791</v>
      </c>
      <c r="M128" s="423"/>
      <c r="N128" s="1592">
        <f>+'Contrato 041'!E99</f>
        <v>64733</v>
      </c>
      <c r="O128" s="1593">
        <f t="shared" si="34"/>
        <v>70740</v>
      </c>
      <c r="Q128" s="282">
        <f>ROUND(64733*1.0928,0)</f>
        <v>70740</v>
      </c>
      <c r="S128" s="408">
        <f t="shared" si="31"/>
        <v>0</v>
      </c>
    </row>
    <row r="129" spans="1:19" ht="25.5" x14ac:dyDescent="0.2">
      <c r="A129" s="367" t="s">
        <v>396</v>
      </c>
      <c r="B129" s="347" t="s">
        <v>125</v>
      </c>
      <c r="C129" s="363" t="s">
        <v>6</v>
      </c>
      <c r="D129" s="346">
        <v>7</v>
      </c>
      <c r="E129" s="353">
        <v>20000</v>
      </c>
      <c r="F129" s="353">
        <f t="shared" si="32"/>
        <v>140000</v>
      </c>
      <c r="G129" s="349">
        <v>33267</v>
      </c>
      <c r="H129" s="353">
        <f t="shared" si="33"/>
        <v>232869</v>
      </c>
      <c r="I129" s="351">
        <f t="shared" si="28"/>
        <v>20219</v>
      </c>
      <c r="J129" s="350">
        <f t="shared" si="29"/>
        <v>141533</v>
      </c>
      <c r="L129" s="340" t="s">
        <v>791</v>
      </c>
      <c r="M129" s="423"/>
      <c r="N129" s="1592">
        <f>+'Contrato 041'!E100</f>
        <v>18502</v>
      </c>
      <c r="O129" s="1593">
        <f t="shared" si="34"/>
        <v>20219</v>
      </c>
      <c r="Q129" s="263">
        <f>ROUND(18502*1.0928,0)</f>
        <v>20219</v>
      </c>
      <c r="S129" s="408">
        <f t="shared" si="31"/>
        <v>0</v>
      </c>
    </row>
    <row r="130" spans="1:19" ht="51" x14ac:dyDescent="0.2">
      <c r="A130" s="367" t="s">
        <v>397</v>
      </c>
      <c r="B130" s="358" t="s">
        <v>127</v>
      </c>
      <c r="C130" s="363" t="s">
        <v>6</v>
      </c>
      <c r="D130" s="346">
        <v>7</v>
      </c>
      <c r="E130" s="353">
        <v>120000</v>
      </c>
      <c r="F130" s="353">
        <f t="shared" si="32"/>
        <v>840000</v>
      </c>
      <c r="G130" s="387">
        <v>0</v>
      </c>
      <c r="H130" s="353">
        <f t="shared" si="33"/>
        <v>0</v>
      </c>
      <c r="I130" s="351">
        <f t="shared" si="28"/>
        <v>120233</v>
      </c>
      <c r="J130" s="350">
        <f t="shared" si="29"/>
        <v>841631</v>
      </c>
      <c r="L130" s="340" t="s">
        <v>791</v>
      </c>
      <c r="M130" s="423"/>
      <c r="N130" s="1595">
        <f>+'Contrato 041'!E50</f>
        <v>110023</v>
      </c>
      <c r="O130" s="1593">
        <f t="shared" si="34"/>
        <v>120233</v>
      </c>
      <c r="Q130" s="409">
        <v>110023</v>
      </c>
      <c r="S130" s="408">
        <f t="shared" si="31"/>
        <v>-10210</v>
      </c>
    </row>
    <row r="131" spans="1:19" ht="51" x14ac:dyDescent="0.2">
      <c r="A131" s="367" t="s">
        <v>398</v>
      </c>
      <c r="B131" s="347" t="s">
        <v>129</v>
      </c>
      <c r="C131" s="363" t="s">
        <v>6</v>
      </c>
      <c r="D131" s="346">
        <v>7</v>
      </c>
      <c r="E131" s="353">
        <v>115000</v>
      </c>
      <c r="F131" s="353">
        <f t="shared" si="32"/>
        <v>805000</v>
      </c>
      <c r="G131" s="371">
        <v>0</v>
      </c>
      <c r="H131" s="353">
        <f t="shared" si="33"/>
        <v>0</v>
      </c>
      <c r="I131" s="351">
        <f t="shared" si="28"/>
        <v>123946</v>
      </c>
      <c r="J131" s="350">
        <f t="shared" si="29"/>
        <v>867622</v>
      </c>
      <c r="L131" s="340" t="s">
        <v>791</v>
      </c>
      <c r="M131" s="423"/>
      <c r="N131" s="1592">
        <f>+'Contrato 041'!E102</f>
        <v>113421</v>
      </c>
      <c r="O131" s="1593">
        <f t="shared" si="34"/>
        <v>123946</v>
      </c>
      <c r="Q131" s="263">
        <f>ROUND(113421*1.0928,0)</f>
        <v>123946</v>
      </c>
      <c r="S131" s="408">
        <f t="shared" si="31"/>
        <v>0</v>
      </c>
    </row>
    <row r="132" spans="1:19" ht="25.5" x14ac:dyDescent="0.2">
      <c r="A132" s="367" t="s">
        <v>399</v>
      </c>
      <c r="B132" s="347" t="s">
        <v>279</v>
      </c>
      <c r="C132" s="363" t="s">
        <v>6</v>
      </c>
      <c r="D132" s="346">
        <v>1</v>
      </c>
      <c r="E132" s="353">
        <v>95000</v>
      </c>
      <c r="F132" s="353">
        <f t="shared" si="32"/>
        <v>95000</v>
      </c>
      <c r="G132" s="349">
        <v>22000</v>
      </c>
      <c r="H132" s="353">
        <f t="shared" si="33"/>
        <v>22000</v>
      </c>
      <c r="I132" s="351">
        <f t="shared" si="28"/>
        <v>96760</v>
      </c>
      <c r="J132" s="350">
        <f t="shared" si="29"/>
        <v>96760</v>
      </c>
      <c r="L132" s="340" t="s">
        <v>791</v>
      </c>
      <c r="M132" s="423"/>
      <c r="N132" s="1592">
        <f>'Contrato 041'!E106</f>
        <v>88543</v>
      </c>
      <c r="O132" s="1593">
        <f t="shared" si="34"/>
        <v>96760</v>
      </c>
      <c r="Q132" s="282">
        <f>ROUND(88543*1.0928,0)</f>
        <v>96760</v>
      </c>
      <c r="S132" s="408">
        <f t="shared" si="31"/>
        <v>0</v>
      </c>
    </row>
    <row r="133" spans="1:19" ht="38.25" x14ac:dyDescent="0.2">
      <c r="A133" s="346" t="s">
        <v>400</v>
      </c>
      <c r="B133" s="347" t="s">
        <v>133</v>
      </c>
      <c r="C133" s="363" t="s">
        <v>6</v>
      </c>
      <c r="D133" s="346">
        <v>3</v>
      </c>
      <c r="E133" s="353">
        <v>115000</v>
      </c>
      <c r="F133" s="353">
        <f t="shared" si="32"/>
        <v>345000</v>
      </c>
      <c r="G133" s="349">
        <v>80795</v>
      </c>
      <c r="H133" s="353">
        <f t="shared" si="33"/>
        <v>242385</v>
      </c>
      <c r="I133" s="351">
        <f t="shared" si="28"/>
        <v>142064</v>
      </c>
      <c r="J133" s="350">
        <f t="shared" si="29"/>
        <v>426192</v>
      </c>
      <c r="L133" s="340" t="s">
        <v>790</v>
      </c>
      <c r="M133" s="423"/>
      <c r="N133" s="1592">
        <f>+'Contrato 013'!E39</f>
        <v>130000</v>
      </c>
      <c r="O133" s="1593">
        <f t="shared" si="34"/>
        <v>142064</v>
      </c>
      <c r="Q133" s="263">
        <f>ROUND(130000*1.0928,0)</f>
        <v>142064</v>
      </c>
      <c r="S133" s="408">
        <f t="shared" si="31"/>
        <v>0</v>
      </c>
    </row>
    <row r="134" spans="1:19" x14ac:dyDescent="0.2">
      <c r="A134" s="346" t="s">
        <v>402</v>
      </c>
      <c r="B134" s="397" t="s">
        <v>137</v>
      </c>
      <c r="C134" s="363" t="s">
        <v>6</v>
      </c>
      <c r="D134" s="346">
        <v>7</v>
      </c>
      <c r="E134" s="353">
        <v>38000</v>
      </c>
      <c r="F134" s="353">
        <f t="shared" si="32"/>
        <v>266000</v>
      </c>
      <c r="G134" s="349">
        <v>12948</v>
      </c>
      <c r="H134" s="353">
        <f t="shared" si="33"/>
        <v>90636</v>
      </c>
      <c r="I134" s="351">
        <f t="shared" si="28"/>
        <v>34244</v>
      </c>
      <c r="J134" s="350">
        <f t="shared" si="29"/>
        <v>239708</v>
      </c>
      <c r="L134" s="340" t="s">
        <v>791</v>
      </c>
      <c r="M134" s="423"/>
      <c r="N134" s="1592">
        <f>+'contrato 041 con adic'!D140</f>
        <v>31336</v>
      </c>
      <c r="O134" s="1593">
        <f t="shared" si="34"/>
        <v>34244</v>
      </c>
      <c r="Q134" s="263">
        <f>ROUND(31336*1.0928,0)</f>
        <v>34244</v>
      </c>
      <c r="S134" s="408">
        <f t="shared" ref="S134:S147" si="35">+Q134-O134</f>
        <v>0</v>
      </c>
    </row>
    <row r="135" spans="1:19" x14ac:dyDescent="0.2">
      <c r="A135" s="367" t="s">
        <v>403</v>
      </c>
      <c r="B135" s="397" t="s">
        <v>139</v>
      </c>
      <c r="C135" s="363" t="s">
        <v>6</v>
      </c>
      <c r="D135" s="346">
        <v>1</v>
      </c>
      <c r="E135" s="353">
        <v>48000</v>
      </c>
      <c r="F135" s="353">
        <f t="shared" si="32"/>
        <v>48000</v>
      </c>
      <c r="G135" s="349">
        <v>16848</v>
      </c>
      <c r="H135" s="353">
        <f t="shared" si="33"/>
        <v>16848</v>
      </c>
      <c r="I135" s="351">
        <f t="shared" si="28"/>
        <v>46067</v>
      </c>
      <c r="J135" s="350">
        <f t="shared" si="29"/>
        <v>46067</v>
      </c>
      <c r="L135" s="340" t="s">
        <v>791</v>
      </c>
      <c r="M135" s="423"/>
      <c r="N135" s="1592">
        <f>+'contrato 041 con adic'!D141</f>
        <v>42155</v>
      </c>
      <c r="O135" s="1593">
        <f t="shared" si="34"/>
        <v>46067</v>
      </c>
      <c r="Q135" s="282">
        <f>ROUND(42155*1.0928,0)</f>
        <v>46067</v>
      </c>
      <c r="S135" s="408">
        <f t="shared" si="35"/>
        <v>0</v>
      </c>
    </row>
    <row r="136" spans="1:19" ht="25.5" x14ac:dyDescent="0.2">
      <c r="A136" s="346" t="s">
        <v>404</v>
      </c>
      <c r="B136" s="364" t="s">
        <v>141</v>
      </c>
      <c r="C136" s="363" t="s">
        <v>6</v>
      </c>
      <c r="D136" s="346">
        <v>1</v>
      </c>
      <c r="E136" s="353">
        <v>3500000</v>
      </c>
      <c r="F136" s="353">
        <f t="shared" si="32"/>
        <v>3500000</v>
      </c>
      <c r="G136" s="349">
        <v>2570460</v>
      </c>
      <c r="H136" s="353">
        <f t="shared" si="33"/>
        <v>2570460</v>
      </c>
      <c r="I136" s="351">
        <f t="shared" ref="I136:I139" si="36">+O136</f>
        <v>3045320</v>
      </c>
      <c r="J136" s="350">
        <f t="shared" ref="J136:J139" si="37">+I136*D136</f>
        <v>3045320</v>
      </c>
      <c r="L136" s="340" t="s">
        <v>791</v>
      </c>
      <c r="M136" s="423"/>
      <c r="N136" s="1592">
        <f>+'Contrato 041'!E107</f>
        <v>2786713</v>
      </c>
      <c r="O136" s="1593">
        <f t="shared" si="34"/>
        <v>3045320</v>
      </c>
      <c r="Q136" s="263">
        <f>ROUND(2786713*1.0298,0)</f>
        <v>2869757</v>
      </c>
      <c r="S136" s="408">
        <f t="shared" si="35"/>
        <v>-175563</v>
      </c>
    </row>
    <row r="137" spans="1:19" ht="25.5" x14ac:dyDescent="0.2">
      <c r="A137" s="354" t="s">
        <v>406</v>
      </c>
      <c r="B137" s="358" t="s">
        <v>407</v>
      </c>
      <c r="C137" s="356" t="s">
        <v>6</v>
      </c>
      <c r="D137" s="346">
        <v>1</v>
      </c>
      <c r="E137" s="353">
        <v>1350000</v>
      </c>
      <c r="F137" s="353">
        <f t="shared" ref="F137:F139" si="38">+E137*D137</f>
        <v>1350000</v>
      </c>
      <c r="G137" s="349">
        <v>216309.6</v>
      </c>
      <c r="H137" s="353">
        <f t="shared" ref="H137:H139" si="39">+G137*D137</f>
        <v>216309.6</v>
      </c>
      <c r="I137" s="351">
        <f t="shared" si="36"/>
        <v>1748444</v>
      </c>
      <c r="J137" s="350">
        <f t="shared" si="37"/>
        <v>1748444</v>
      </c>
      <c r="L137" s="340" t="s">
        <v>791</v>
      </c>
      <c r="M137" s="423"/>
      <c r="N137" s="1592">
        <f>+'Contrato 041'!E59</f>
        <v>1599967</v>
      </c>
      <c r="O137" s="1593">
        <f t="shared" si="34"/>
        <v>1748444</v>
      </c>
      <c r="Q137" s="263">
        <f>ROUND(1599967*1.0928,0)</f>
        <v>1748444</v>
      </c>
      <c r="S137" s="408">
        <f t="shared" si="35"/>
        <v>0</v>
      </c>
    </row>
    <row r="138" spans="1:19" ht="38.25" x14ac:dyDescent="0.2">
      <c r="A138" s="367" t="s">
        <v>408</v>
      </c>
      <c r="B138" s="358" t="s">
        <v>409</v>
      </c>
      <c r="C138" s="356" t="s">
        <v>14</v>
      </c>
      <c r="D138" s="346">
        <v>1</v>
      </c>
      <c r="E138" s="353">
        <v>260000</v>
      </c>
      <c r="F138" s="353">
        <f t="shared" si="38"/>
        <v>260000</v>
      </c>
      <c r="G138" s="349">
        <v>700000</v>
      </c>
      <c r="H138" s="353">
        <f t="shared" si="39"/>
        <v>700000</v>
      </c>
      <c r="I138" s="351">
        <f t="shared" si="36"/>
        <v>226541</v>
      </c>
      <c r="J138" s="350">
        <f t="shared" si="37"/>
        <v>226541</v>
      </c>
      <c r="L138" s="340" t="s">
        <v>791</v>
      </c>
      <c r="M138" s="423"/>
      <c r="N138" s="1592">
        <f>+'Contrato 041'!E39</f>
        <v>207303</v>
      </c>
      <c r="O138" s="1593">
        <f t="shared" si="34"/>
        <v>226541</v>
      </c>
      <c r="Q138" s="298">
        <f>207303*1.0928</f>
        <v>226540.71840000001</v>
      </c>
      <c r="S138" s="408">
        <f t="shared" si="35"/>
        <v>-0.28159999998752028</v>
      </c>
    </row>
    <row r="139" spans="1:19" x14ac:dyDescent="0.2">
      <c r="A139" s="346" t="s">
        <v>751</v>
      </c>
      <c r="B139" s="358" t="s">
        <v>195</v>
      </c>
      <c r="C139" s="356" t="s">
        <v>19</v>
      </c>
      <c r="D139" s="346">
        <v>380</v>
      </c>
      <c r="E139" s="353">
        <v>7000</v>
      </c>
      <c r="F139" s="353">
        <f t="shared" si="38"/>
        <v>2660000</v>
      </c>
      <c r="G139" s="349">
        <v>4200</v>
      </c>
      <c r="H139" s="353">
        <f t="shared" si="39"/>
        <v>1596000</v>
      </c>
      <c r="I139" s="351">
        <f t="shared" si="36"/>
        <v>5300</v>
      </c>
      <c r="J139" s="350">
        <f t="shared" si="37"/>
        <v>2014000</v>
      </c>
      <c r="L139" s="340" t="s">
        <v>791</v>
      </c>
      <c r="M139" s="423"/>
      <c r="N139" s="1592">
        <f>+'Contrato 041'!E63</f>
        <v>4850</v>
      </c>
      <c r="O139" s="1593">
        <f t="shared" si="34"/>
        <v>5300</v>
      </c>
      <c r="Q139" s="263">
        <f>ROUND(4850*1.0928,0)</f>
        <v>5300</v>
      </c>
      <c r="S139" s="408">
        <f t="shared" si="35"/>
        <v>0</v>
      </c>
    </row>
    <row r="140" spans="1:19" x14ac:dyDescent="0.2">
      <c r="A140" s="381" t="s">
        <v>445</v>
      </c>
      <c r="B140" s="364" t="s">
        <v>84</v>
      </c>
      <c r="C140" s="367" t="s">
        <v>19</v>
      </c>
      <c r="D140" s="385">
        <v>426</v>
      </c>
      <c r="E140" s="353">
        <v>9000</v>
      </c>
      <c r="F140" s="353">
        <f t="shared" ref="F140:F155" si="40">+E140*D140</f>
        <v>3834000</v>
      </c>
      <c r="G140" s="349">
        <v>5200</v>
      </c>
      <c r="H140" s="353">
        <f t="shared" ref="H140:H151" si="41">+G140*D140</f>
        <v>2215200</v>
      </c>
      <c r="I140" s="351">
        <f t="shared" ref="I140:I151" si="42">+O140</f>
        <v>6890</v>
      </c>
      <c r="J140" s="349">
        <f t="shared" ref="J140:J151" si="43">+I140*D140</f>
        <v>2935140</v>
      </c>
      <c r="L140" s="340" t="s">
        <v>791</v>
      </c>
      <c r="M140" s="423"/>
      <c r="N140" s="1592">
        <f>+'Contrato 041'!E140</f>
        <v>6305</v>
      </c>
      <c r="O140" s="1593">
        <f t="shared" si="34"/>
        <v>6890</v>
      </c>
      <c r="Q140" s="282">
        <f>ROUND(6305*1.0928,0)</f>
        <v>6890</v>
      </c>
      <c r="S140" s="408">
        <f t="shared" si="35"/>
        <v>0</v>
      </c>
    </row>
    <row r="141" spans="1:19" ht="38.25" x14ac:dyDescent="0.2">
      <c r="A141" s="386" t="s">
        <v>446</v>
      </c>
      <c r="B141" s="368" t="s">
        <v>86</v>
      </c>
      <c r="C141" s="367" t="s">
        <v>19</v>
      </c>
      <c r="D141" s="385">
        <v>355</v>
      </c>
      <c r="E141" s="353">
        <v>48000</v>
      </c>
      <c r="F141" s="353">
        <f t="shared" si="40"/>
        <v>17040000</v>
      </c>
      <c r="G141" s="349">
        <v>45500</v>
      </c>
      <c r="H141" s="353">
        <f t="shared" si="41"/>
        <v>16152500</v>
      </c>
      <c r="I141" s="351">
        <f t="shared" si="42"/>
        <v>43614</v>
      </c>
      <c r="J141" s="349">
        <f t="shared" si="43"/>
        <v>15482970</v>
      </c>
      <c r="L141" s="340" t="s">
        <v>791</v>
      </c>
      <c r="M141" s="423"/>
      <c r="N141" s="1592">
        <f>+'Contrato 041'!E129</f>
        <v>39910</v>
      </c>
      <c r="O141" s="1593">
        <f t="shared" si="34"/>
        <v>43614</v>
      </c>
      <c r="Q141" s="263">
        <f>ROUND(39910*1.0928,0)</f>
        <v>43614</v>
      </c>
      <c r="S141" s="408">
        <f t="shared" si="35"/>
        <v>0</v>
      </c>
    </row>
    <row r="142" spans="1:19" x14ac:dyDescent="0.2">
      <c r="A142" s="386" t="s">
        <v>447</v>
      </c>
      <c r="B142" s="368" t="s">
        <v>88</v>
      </c>
      <c r="C142" s="367" t="s">
        <v>19</v>
      </c>
      <c r="D142" s="385">
        <v>568</v>
      </c>
      <c r="E142" s="353">
        <v>28000</v>
      </c>
      <c r="F142" s="353">
        <f t="shared" si="40"/>
        <v>15904000</v>
      </c>
      <c r="G142" s="349">
        <v>11700</v>
      </c>
      <c r="H142" s="353">
        <f t="shared" si="41"/>
        <v>6645600</v>
      </c>
      <c r="I142" s="351">
        <f t="shared" si="42"/>
        <v>24610</v>
      </c>
      <c r="J142" s="349">
        <f t="shared" si="43"/>
        <v>13978480</v>
      </c>
      <c r="L142" s="340" t="s">
        <v>791</v>
      </c>
      <c r="M142" s="423"/>
      <c r="N142" s="1592">
        <f>+'Contrato 041'!E141</f>
        <v>22520</v>
      </c>
      <c r="O142" s="1593">
        <f t="shared" si="34"/>
        <v>24610</v>
      </c>
      <c r="Q142" s="282">
        <f>ROUND(22520*1.0928,0)</f>
        <v>24610</v>
      </c>
      <c r="S142" s="408">
        <f t="shared" si="35"/>
        <v>0</v>
      </c>
    </row>
    <row r="143" spans="1:19" x14ac:dyDescent="0.2">
      <c r="A143" s="386" t="s">
        <v>449</v>
      </c>
      <c r="B143" s="368" t="s">
        <v>92</v>
      </c>
      <c r="C143" s="367" t="s">
        <v>19</v>
      </c>
      <c r="D143" s="385">
        <v>497</v>
      </c>
      <c r="E143" s="353">
        <v>18000</v>
      </c>
      <c r="F143" s="353">
        <f t="shared" si="40"/>
        <v>8946000</v>
      </c>
      <c r="G143" s="349">
        <v>8710</v>
      </c>
      <c r="H143" s="353">
        <f t="shared" si="41"/>
        <v>4328870</v>
      </c>
      <c r="I143" s="351">
        <f t="shared" si="42"/>
        <v>17005</v>
      </c>
      <c r="J143" s="349">
        <f t="shared" si="43"/>
        <v>8451485</v>
      </c>
      <c r="L143" s="340" t="s">
        <v>791</v>
      </c>
      <c r="M143" s="423"/>
      <c r="N143" s="1592">
        <f>+'Contrato 041'!E33</f>
        <v>15561</v>
      </c>
      <c r="O143" s="1593">
        <f t="shared" si="34"/>
        <v>17005</v>
      </c>
      <c r="Q143" s="282">
        <f>ROUND(15561*1.0928,0)</f>
        <v>17005</v>
      </c>
      <c r="S143" s="408">
        <f t="shared" si="35"/>
        <v>0</v>
      </c>
    </row>
    <row r="144" spans="1:19" x14ac:dyDescent="0.2">
      <c r="A144" s="367" t="s">
        <v>453</v>
      </c>
      <c r="B144" s="368" t="s">
        <v>88</v>
      </c>
      <c r="C144" s="367" t="s">
        <v>14</v>
      </c>
      <c r="D144" s="385">
        <v>351</v>
      </c>
      <c r="E144" s="353">
        <v>16800</v>
      </c>
      <c r="F144" s="353">
        <f t="shared" si="40"/>
        <v>5896800</v>
      </c>
      <c r="G144" s="349">
        <v>11700</v>
      </c>
      <c r="H144" s="353">
        <f t="shared" si="41"/>
        <v>4106700</v>
      </c>
      <c r="I144" s="351">
        <f t="shared" si="42"/>
        <v>24610</v>
      </c>
      <c r="J144" s="349">
        <f t="shared" si="43"/>
        <v>8638110</v>
      </c>
      <c r="L144" s="340" t="s">
        <v>791</v>
      </c>
      <c r="M144" s="423"/>
      <c r="N144" s="1592">
        <f>+'Contrato 041'!E141</f>
        <v>22520</v>
      </c>
      <c r="O144" s="1593">
        <f t="shared" si="34"/>
        <v>24610</v>
      </c>
      <c r="Q144" s="327">
        <f>ROUND(12295*1.0928,0)</f>
        <v>13436</v>
      </c>
      <c r="S144" s="408">
        <f t="shared" si="35"/>
        <v>-11174</v>
      </c>
    </row>
    <row r="145" spans="1:19" x14ac:dyDescent="0.2">
      <c r="A145" s="354" t="s">
        <v>466</v>
      </c>
      <c r="B145" s="368" t="s">
        <v>467</v>
      </c>
      <c r="C145" s="340" t="s">
        <v>14</v>
      </c>
      <c r="D145" s="385">
        <v>16</v>
      </c>
      <c r="E145" s="353">
        <v>16000</v>
      </c>
      <c r="F145" s="353">
        <f t="shared" si="40"/>
        <v>256000</v>
      </c>
      <c r="G145" s="349">
        <v>23000</v>
      </c>
      <c r="H145" s="353">
        <f t="shared" si="41"/>
        <v>368000</v>
      </c>
      <c r="I145" s="351">
        <f t="shared" si="42"/>
        <v>13382</v>
      </c>
      <c r="J145" s="349">
        <f t="shared" si="43"/>
        <v>214112</v>
      </c>
      <c r="L145" s="340" t="s">
        <v>791</v>
      </c>
      <c r="M145" s="423"/>
      <c r="N145" s="1592">
        <f>+'Contrato 041'!E21</f>
        <v>12246</v>
      </c>
      <c r="O145" s="1593">
        <f t="shared" si="34"/>
        <v>13382</v>
      </c>
      <c r="Q145" s="282">
        <f>ROUND(12246*1.0298,0)</f>
        <v>12611</v>
      </c>
      <c r="S145" s="408">
        <f t="shared" si="35"/>
        <v>-771</v>
      </c>
    </row>
    <row r="146" spans="1:19" ht="38.25" x14ac:dyDescent="0.2">
      <c r="A146" s="354" t="s">
        <v>475</v>
      </c>
      <c r="B146" s="347" t="s">
        <v>476</v>
      </c>
      <c r="C146" s="340" t="s">
        <v>14</v>
      </c>
      <c r="D146" s="385">
        <v>30</v>
      </c>
      <c r="E146" s="353">
        <v>48000</v>
      </c>
      <c r="F146" s="353">
        <f t="shared" si="40"/>
        <v>1440000</v>
      </c>
      <c r="G146" s="349">
        <v>36276.5</v>
      </c>
      <c r="H146" s="353">
        <f t="shared" si="41"/>
        <v>1088295</v>
      </c>
      <c r="I146" s="351">
        <f t="shared" si="42"/>
        <v>75401</v>
      </c>
      <c r="J146" s="349">
        <f t="shared" si="43"/>
        <v>2262030</v>
      </c>
      <c r="L146" s="340" t="s">
        <v>791</v>
      </c>
      <c r="M146" s="423"/>
      <c r="N146" s="1592">
        <f>+'Contrato 028'!F94</f>
        <v>68997.88</v>
      </c>
      <c r="O146" s="1593">
        <f t="shared" si="34"/>
        <v>75401</v>
      </c>
      <c r="Q146" s="282">
        <f>ROUND(42270*1.0928,0)</f>
        <v>46193</v>
      </c>
      <c r="S146" s="408">
        <f t="shared" si="35"/>
        <v>-29208</v>
      </c>
    </row>
    <row r="147" spans="1:19" ht="25.5" x14ac:dyDescent="0.2">
      <c r="A147" s="354" t="s">
        <v>479</v>
      </c>
      <c r="B147" s="347" t="s">
        <v>480</v>
      </c>
      <c r="C147" s="340" t="s">
        <v>6</v>
      </c>
      <c r="D147" s="385">
        <v>5</v>
      </c>
      <c r="E147" s="353">
        <v>600000</v>
      </c>
      <c r="F147" s="353">
        <f t="shared" si="40"/>
        <v>3000000</v>
      </c>
      <c r="G147" s="349">
        <v>312000</v>
      </c>
      <c r="H147" s="353">
        <f t="shared" si="41"/>
        <v>1560000</v>
      </c>
      <c r="I147" s="351">
        <f t="shared" si="42"/>
        <v>177946</v>
      </c>
      <c r="J147" s="349">
        <f t="shared" si="43"/>
        <v>889730</v>
      </c>
      <c r="L147" s="340" t="s">
        <v>791</v>
      </c>
      <c r="M147" s="423"/>
      <c r="N147" s="1592">
        <f>+'Contrato 041'!E41</f>
        <v>162835</v>
      </c>
      <c r="O147" s="1593">
        <f t="shared" si="34"/>
        <v>177946</v>
      </c>
      <c r="Q147" s="409">
        <v>162835</v>
      </c>
      <c r="S147" s="408">
        <f t="shared" si="35"/>
        <v>-15111</v>
      </c>
    </row>
    <row r="148" spans="1:19" x14ac:dyDescent="0.2">
      <c r="A148" s="386" t="s">
        <v>496</v>
      </c>
      <c r="B148" s="347" t="s">
        <v>195</v>
      </c>
      <c r="C148" s="340" t="s">
        <v>19</v>
      </c>
      <c r="D148" s="385">
        <v>816</v>
      </c>
      <c r="E148" s="353">
        <v>7000</v>
      </c>
      <c r="F148" s="353">
        <f t="shared" si="40"/>
        <v>5712000</v>
      </c>
      <c r="G148" s="349">
        <v>4200</v>
      </c>
      <c r="H148" s="353">
        <f t="shared" si="41"/>
        <v>3427200</v>
      </c>
      <c r="I148" s="351">
        <f t="shared" si="42"/>
        <v>5300</v>
      </c>
      <c r="J148" s="349">
        <f t="shared" si="43"/>
        <v>4324800</v>
      </c>
      <c r="L148" s="340" t="s">
        <v>791</v>
      </c>
      <c r="M148" s="423"/>
      <c r="N148" s="1592">
        <f>+'Contrato 041'!E63</f>
        <v>4850</v>
      </c>
      <c r="O148" s="1593">
        <f t="shared" ref="O148:O169" si="44">ROUND(N148*(1+$N$13),0)</f>
        <v>5300</v>
      </c>
      <c r="Q148" s="282">
        <f>ROUND(4850*1.0928,0)</f>
        <v>5300</v>
      </c>
      <c r="S148" s="408">
        <f t="shared" ref="S148:S166" si="45">+Q148-O148</f>
        <v>0</v>
      </c>
    </row>
    <row r="149" spans="1:19" x14ac:dyDescent="0.2">
      <c r="A149" s="386" t="s">
        <v>508</v>
      </c>
      <c r="B149" s="347" t="s">
        <v>173</v>
      </c>
      <c r="C149" s="356" t="s">
        <v>14</v>
      </c>
      <c r="D149" s="385">
        <v>172</v>
      </c>
      <c r="E149" s="353">
        <v>25000</v>
      </c>
      <c r="F149" s="353">
        <f t="shared" si="40"/>
        <v>4300000</v>
      </c>
      <c r="G149" s="349">
        <v>7969</v>
      </c>
      <c r="H149" s="353">
        <f t="shared" si="41"/>
        <v>1370668</v>
      </c>
      <c r="I149" s="351">
        <f t="shared" si="42"/>
        <v>26415</v>
      </c>
      <c r="J149" s="349">
        <f t="shared" si="43"/>
        <v>4543380</v>
      </c>
      <c r="L149" s="340" t="s">
        <v>791</v>
      </c>
      <c r="M149" s="423"/>
      <c r="N149" s="1592">
        <f>+'Contrato 041'!E23</f>
        <v>24172</v>
      </c>
      <c r="O149" s="1593">
        <f t="shared" si="44"/>
        <v>26415</v>
      </c>
      <c r="Q149" s="282">
        <f>ROUND(24172*1.0928,0)</f>
        <v>26415</v>
      </c>
      <c r="S149" s="408">
        <f t="shared" si="45"/>
        <v>0</v>
      </c>
    </row>
    <row r="150" spans="1:19" ht="25.5" x14ac:dyDescent="0.2">
      <c r="A150" s="386" t="s">
        <v>509</v>
      </c>
      <c r="B150" s="347" t="s">
        <v>23</v>
      </c>
      <c r="C150" s="340" t="s">
        <v>19</v>
      </c>
      <c r="D150" s="385">
        <v>97</v>
      </c>
      <c r="E150" s="353">
        <v>35000</v>
      </c>
      <c r="F150" s="353">
        <f t="shared" si="40"/>
        <v>3395000</v>
      </c>
      <c r="G150" s="349">
        <v>3731</v>
      </c>
      <c r="H150" s="353">
        <f t="shared" si="41"/>
        <v>361907</v>
      </c>
      <c r="I150" s="351">
        <f t="shared" si="42"/>
        <v>29150</v>
      </c>
      <c r="J150" s="349">
        <f t="shared" si="43"/>
        <v>2827550</v>
      </c>
      <c r="L150" s="340" t="s">
        <v>791</v>
      </c>
      <c r="M150" s="423"/>
      <c r="N150" s="1592">
        <f>+'Contrato 041'!E35</f>
        <v>26675</v>
      </c>
      <c r="O150" s="1593">
        <f t="shared" si="44"/>
        <v>29150</v>
      </c>
      <c r="Q150" s="290">
        <f>ROUND(26675*1.0928,0)</f>
        <v>29150</v>
      </c>
      <c r="S150" s="408">
        <f t="shared" si="45"/>
        <v>0</v>
      </c>
    </row>
    <row r="151" spans="1:19" ht="25.5" x14ac:dyDescent="0.2">
      <c r="A151" s="386" t="s">
        <v>516</v>
      </c>
      <c r="B151" s="347" t="s">
        <v>37</v>
      </c>
      <c r="C151" s="356" t="s">
        <v>14</v>
      </c>
      <c r="D151" s="385">
        <v>26</v>
      </c>
      <c r="E151" s="353">
        <v>35000</v>
      </c>
      <c r="F151" s="353">
        <f t="shared" si="40"/>
        <v>910000</v>
      </c>
      <c r="G151" s="349">
        <v>18746</v>
      </c>
      <c r="H151" s="353">
        <f t="shared" si="41"/>
        <v>487396</v>
      </c>
      <c r="I151" s="351">
        <f t="shared" si="42"/>
        <v>21193</v>
      </c>
      <c r="J151" s="349">
        <f t="shared" si="43"/>
        <v>551018</v>
      </c>
      <c r="L151" s="340" t="s">
        <v>790</v>
      </c>
      <c r="M151" s="423"/>
      <c r="N151" s="1592">
        <f>+'Contrato 013'!E20</f>
        <v>19393</v>
      </c>
      <c r="O151" s="1593">
        <f t="shared" si="44"/>
        <v>21193</v>
      </c>
      <c r="Q151" s="328">
        <f>ROUND(19393*1.0928,0)</f>
        <v>21193</v>
      </c>
      <c r="S151" s="408">
        <f t="shared" si="45"/>
        <v>0</v>
      </c>
    </row>
    <row r="152" spans="1:19" ht="25.5" x14ac:dyDescent="0.2">
      <c r="A152" s="346" t="s">
        <v>519</v>
      </c>
      <c r="B152" s="358" t="s">
        <v>103</v>
      </c>
      <c r="C152" s="356" t="s">
        <v>19</v>
      </c>
      <c r="D152" s="346">
        <v>10</v>
      </c>
      <c r="E152" s="353">
        <v>130000</v>
      </c>
      <c r="F152" s="353">
        <f t="shared" si="40"/>
        <v>1300000</v>
      </c>
      <c r="G152" s="349">
        <v>122971.77200000001</v>
      </c>
      <c r="H152" s="353">
        <f t="shared" ref="H152:H156" si="46">+G152*D152</f>
        <v>1229717.7200000002</v>
      </c>
      <c r="I152" s="351">
        <f t="shared" ref="I152:I156" si="47">+O152</f>
        <v>113422</v>
      </c>
      <c r="J152" s="349">
        <f t="shared" ref="J152:J156" si="48">+I152*D152</f>
        <v>1134220</v>
      </c>
      <c r="L152" s="340" t="s">
        <v>791</v>
      </c>
      <c r="M152" s="423"/>
      <c r="N152" s="1592">
        <f>+'Contrato 041'!E14</f>
        <v>103790</v>
      </c>
      <c r="O152" s="1593">
        <f t="shared" si="44"/>
        <v>113422</v>
      </c>
      <c r="Q152" s="263">
        <f>ROUND(103790*1.0928,0)</f>
        <v>113422</v>
      </c>
      <c r="S152" s="408">
        <f t="shared" si="45"/>
        <v>0</v>
      </c>
    </row>
    <row r="153" spans="1:19" x14ac:dyDescent="0.2">
      <c r="A153" s="346" t="s">
        <v>520</v>
      </c>
      <c r="B153" s="347" t="s">
        <v>105</v>
      </c>
      <c r="C153" s="356" t="s">
        <v>14</v>
      </c>
      <c r="D153" s="346">
        <v>5</v>
      </c>
      <c r="E153" s="353">
        <v>50000</v>
      </c>
      <c r="F153" s="353">
        <f t="shared" si="40"/>
        <v>250000</v>
      </c>
      <c r="G153" s="349">
        <v>111069.57400000001</v>
      </c>
      <c r="H153" s="353">
        <f t="shared" si="46"/>
        <v>555347.87</v>
      </c>
      <c r="I153" s="351">
        <f t="shared" si="47"/>
        <v>41152</v>
      </c>
      <c r="J153" s="349">
        <f t="shared" si="48"/>
        <v>205760</v>
      </c>
      <c r="L153" s="340" t="s">
        <v>791</v>
      </c>
      <c r="M153" s="423"/>
      <c r="N153" s="1592">
        <f>+'Contrato 041'!E15</f>
        <v>37657</v>
      </c>
      <c r="O153" s="1593">
        <f t="shared" si="44"/>
        <v>41152</v>
      </c>
      <c r="Q153" s="282">
        <f>ROUND(37657*1.0928,0)</f>
        <v>41152</v>
      </c>
      <c r="S153" s="408">
        <f t="shared" si="45"/>
        <v>0</v>
      </c>
    </row>
    <row r="154" spans="1:19" ht="51" x14ac:dyDescent="0.2">
      <c r="A154" s="346" t="s">
        <v>521</v>
      </c>
      <c r="B154" s="358" t="s">
        <v>107</v>
      </c>
      <c r="C154" s="356" t="s">
        <v>14</v>
      </c>
      <c r="D154" s="346">
        <v>5</v>
      </c>
      <c r="E154" s="353">
        <v>78000</v>
      </c>
      <c r="F154" s="353">
        <f t="shared" si="40"/>
        <v>390000</v>
      </c>
      <c r="G154" s="349">
        <v>76011.936000000002</v>
      </c>
      <c r="H154" s="353">
        <f t="shared" si="46"/>
        <v>380059.68</v>
      </c>
      <c r="I154" s="351">
        <f t="shared" si="47"/>
        <v>46346</v>
      </c>
      <c r="J154" s="349">
        <f t="shared" si="48"/>
        <v>231730</v>
      </c>
      <c r="L154" s="340" t="s">
        <v>791</v>
      </c>
      <c r="M154" s="423"/>
      <c r="N154" s="1592">
        <f>+'Contrato 041'!E16</f>
        <v>42410</v>
      </c>
      <c r="O154" s="1593">
        <f t="shared" si="44"/>
        <v>46346</v>
      </c>
      <c r="Q154" s="263">
        <f>ROUND(42410*1.0928,0)</f>
        <v>46346</v>
      </c>
      <c r="S154" s="408">
        <f t="shared" si="45"/>
        <v>0</v>
      </c>
    </row>
    <row r="155" spans="1:19" x14ac:dyDescent="0.2">
      <c r="A155" s="346" t="s">
        <v>522</v>
      </c>
      <c r="B155" s="347" t="s">
        <v>109</v>
      </c>
      <c r="C155" s="356" t="s">
        <v>14</v>
      </c>
      <c r="D155" s="346">
        <v>8</v>
      </c>
      <c r="E155" s="353">
        <v>50000</v>
      </c>
      <c r="F155" s="353">
        <f t="shared" si="40"/>
        <v>400000</v>
      </c>
      <c r="G155" s="349">
        <v>17277</v>
      </c>
      <c r="H155" s="353">
        <f t="shared" si="46"/>
        <v>138216</v>
      </c>
      <c r="I155" s="351">
        <f t="shared" si="47"/>
        <v>37101</v>
      </c>
      <c r="J155" s="349">
        <f t="shared" si="48"/>
        <v>296808</v>
      </c>
      <c r="L155" s="340" t="s">
        <v>791</v>
      </c>
      <c r="M155" s="423"/>
      <c r="N155" s="1592">
        <f>+'Contrato 041'!E88</f>
        <v>33950</v>
      </c>
      <c r="O155" s="1593">
        <f t="shared" si="44"/>
        <v>37101</v>
      </c>
      <c r="Q155" s="282">
        <f>ROUND(33950*1.0928,0)</f>
        <v>37101</v>
      </c>
      <c r="S155" s="408">
        <f t="shared" si="45"/>
        <v>0</v>
      </c>
    </row>
    <row r="156" spans="1:19" ht="51" x14ac:dyDescent="0.2">
      <c r="A156" s="346" t="s">
        <v>523</v>
      </c>
      <c r="B156" s="358" t="s">
        <v>111</v>
      </c>
      <c r="C156" s="363" t="s">
        <v>6</v>
      </c>
      <c r="D156" s="346">
        <v>1</v>
      </c>
      <c r="E156" s="353">
        <v>650000</v>
      </c>
      <c r="F156" s="353">
        <f t="shared" ref="F156" si="49">+E156*D156</f>
        <v>650000</v>
      </c>
      <c r="G156" s="349">
        <v>802118.24000000011</v>
      </c>
      <c r="H156" s="353">
        <f t="shared" si="46"/>
        <v>802118.24000000011</v>
      </c>
      <c r="I156" s="351">
        <f t="shared" si="47"/>
        <v>579485</v>
      </c>
      <c r="J156" s="349">
        <f t="shared" si="48"/>
        <v>579485</v>
      </c>
      <c r="L156" s="340" t="s">
        <v>791</v>
      </c>
      <c r="M156" s="423"/>
      <c r="N156" s="1592">
        <f>+'Contrato 041'!E95</f>
        <v>530275</v>
      </c>
      <c r="O156" s="1593">
        <f t="shared" si="44"/>
        <v>579485</v>
      </c>
      <c r="Q156" s="298">
        <f>ROUND(530275*1.0928,0)</f>
        <v>579485</v>
      </c>
      <c r="S156" s="408">
        <f t="shared" si="45"/>
        <v>0</v>
      </c>
    </row>
    <row r="157" spans="1:19" ht="25.5" x14ac:dyDescent="0.2">
      <c r="A157" s="354" t="s">
        <v>528</v>
      </c>
      <c r="B157" s="358" t="s">
        <v>529</v>
      </c>
      <c r="C157" s="356" t="s">
        <v>19</v>
      </c>
      <c r="D157" s="346">
        <v>22</v>
      </c>
      <c r="E157" s="353">
        <v>12500</v>
      </c>
      <c r="F157" s="353">
        <f>+E157*D157</f>
        <v>275000</v>
      </c>
      <c r="G157" s="387">
        <v>0</v>
      </c>
      <c r="H157" s="387">
        <f>+G157*D157</f>
        <v>0</v>
      </c>
      <c r="I157" s="351">
        <f t="shared" ref="I157:I166" si="50">+O157</f>
        <v>226947</v>
      </c>
      <c r="J157" s="349">
        <f t="shared" ref="J157:J166" si="51">+I157*D157</f>
        <v>4992834</v>
      </c>
      <c r="L157" s="340" t="s">
        <v>793</v>
      </c>
      <c r="M157" s="1592">
        <f>+'Contrato 058'!F16</f>
        <v>183588</v>
      </c>
      <c r="N157" s="1592">
        <f t="shared" ref="N157" si="52">+M157*(1+M$13)</f>
        <v>207674.74559999999</v>
      </c>
      <c r="O157" s="1593">
        <f t="shared" si="44"/>
        <v>226947</v>
      </c>
      <c r="Q157" s="329">
        <f>(ROUND(183588*1.1312,0))*1.0928</f>
        <v>226947.24</v>
      </c>
      <c r="S157" s="408">
        <f t="shared" si="45"/>
        <v>0.23999999999068677</v>
      </c>
    </row>
    <row r="158" spans="1:19" x14ac:dyDescent="0.2">
      <c r="A158" s="354" t="s">
        <v>532</v>
      </c>
      <c r="B158" s="358" t="s">
        <v>533</v>
      </c>
      <c r="C158" s="356" t="s">
        <v>19</v>
      </c>
      <c r="D158" s="355">
        <v>245</v>
      </c>
      <c r="E158" s="353">
        <v>9000</v>
      </c>
      <c r="F158" s="353">
        <f t="shared" ref="F158:F166" si="53">+E158*D158</f>
        <v>2205000</v>
      </c>
      <c r="G158" s="349">
        <v>4000</v>
      </c>
      <c r="H158" s="412">
        <f t="shared" ref="H158:H166" si="54">+G158*D158</f>
        <v>980000</v>
      </c>
      <c r="I158" s="351">
        <f t="shared" si="50"/>
        <v>6890</v>
      </c>
      <c r="J158" s="349">
        <f t="shared" si="51"/>
        <v>1688050</v>
      </c>
      <c r="L158" s="340" t="s">
        <v>791</v>
      </c>
      <c r="M158" s="423"/>
      <c r="N158" s="1592">
        <f>+'Contrato 041'!E140</f>
        <v>6305</v>
      </c>
      <c r="O158" s="1593">
        <f t="shared" si="44"/>
        <v>6890</v>
      </c>
      <c r="Q158" s="282">
        <f>ROUND(6305*1.0928,0)</f>
        <v>6890</v>
      </c>
      <c r="S158" s="408">
        <f t="shared" si="45"/>
        <v>0</v>
      </c>
    </row>
    <row r="159" spans="1:19" ht="38.25" x14ac:dyDescent="0.2">
      <c r="A159" s="386" t="s">
        <v>534</v>
      </c>
      <c r="B159" s="358" t="s">
        <v>86</v>
      </c>
      <c r="C159" s="356" t="s">
        <v>19</v>
      </c>
      <c r="D159" s="355">
        <v>245</v>
      </c>
      <c r="E159" s="353">
        <v>48000</v>
      </c>
      <c r="F159" s="353">
        <f t="shared" si="53"/>
        <v>11760000</v>
      </c>
      <c r="G159" s="349">
        <v>45500</v>
      </c>
      <c r="H159" s="412">
        <f t="shared" si="54"/>
        <v>11147500</v>
      </c>
      <c r="I159" s="351">
        <f t="shared" si="50"/>
        <v>43614</v>
      </c>
      <c r="J159" s="349">
        <f t="shared" si="51"/>
        <v>10685430</v>
      </c>
      <c r="L159" s="340" t="s">
        <v>791</v>
      </c>
      <c r="M159" s="423"/>
      <c r="N159" s="1592">
        <f>+'Contrato 041'!E129</f>
        <v>39910</v>
      </c>
      <c r="O159" s="1593">
        <f t="shared" si="44"/>
        <v>43614</v>
      </c>
      <c r="Q159" s="263">
        <f>ROUND(39910*1.0928,0)</f>
        <v>43614</v>
      </c>
      <c r="S159" s="408">
        <f t="shared" si="45"/>
        <v>0</v>
      </c>
    </row>
    <row r="160" spans="1:19" x14ac:dyDescent="0.2">
      <c r="A160" s="354" t="s">
        <v>552</v>
      </c>
      <c r="B160" s="364" t="s">
        <v>84</v>
      </c>
      <c r="C160" s="367" t="s">
        <v>19</v>
      </c>
      <c r="D160" s="346">
        <v>191</v>
      </c>
      <c r="E160" s="353">
        <v>9000</v>
      </c>
      <c r="F160" s="353">
        <f t="shared" si="53"/>
        <v>1719000</v>
      </c>
      <c r="G160" s="349">
        <v>5200</v>
      </c>
      <c r="H160" s="412">
        <f t="shared" si="54"/>
        <v>993200</v>
      </c>
      <c r="I160" s="351">
        <f t="shared" si="50"/>
        <v>6890</v>
      </c>
      <c r="J160" s="349">
        <f t="shared" si="51"/>
        <v>1315990</v>
      </c>
      <c r="L160" s="340" t="s">
        <v>791</v>
      </c>
      <c r="M160" s="423"/>
      <c r="N160" s="1592">
        <f>+'Contrato 041'!E140</f>
        <v>6305</v>
      </c>
      <c r="O160" s="1593">
        <f t="shared" si="44"/>
        <v>6890</v>
      </c>
      <c r="Q160" s="263">
        <f>ROUND(6305*1.0928,0)</f>
        <v>6890</v>
      </c>
      <c r="S160" s="408">
        <f t="shared" si="45"/>
        <v>0</v>
      </c>
    </row>
    <row r="161" spans="1:19" ht="38.25" x14ac:dyDescent="0.2">
      <c r="A161" s="386" t="s">
        <v>553</v>
      </c>
      <c r="B161" s="368" t="s">
        <v>86</v>
      </c>
      <c r="C161" s="367" t="s">
        <v>19</v>
      </c>
      <c r="D161" s="346">
        <v>191</v>
      </c>
      <c r="E161" s="353">
        <v>48000</v>
      </c>
      <c r="F161" s="353">
        <f t="shared" si="53"/>
        <v>9168000</v>
      </c>
      <c r="G161" s="349">
        <v>45500</v>
      </c>
      <c r="H161" s="412">
        <f t="shared" si="54"/>
        <v>8690500</v>
      </c>
      <c r="I161" s="351">
        <f t="shared" si="50"/>
        <v>43614</v>
      </c>
      <c r="J161" s="349">
        <f t="shared" si="51"/>
        <v>8330274</v>
      </c>
      <c r="L161" s="340" t="s">
        <v>791</v>
      </c>
      <c r="M161" s="423"/>
      <c r="N161" s="1592">
        <f>+'Contrato 041'!E129</f>
        <v>39910</v>
      </c>
      <c r="O161" s="1593">
        <f t="shared" si="44"/>
        <v>43614</v>
      </c>
      <c r="Q161" s="282">
        <f>ROUND(39910*1.0928,0)</f>
        <v>43614</v>
      </c>
      <c r="S161" s="408">
        <f t="shared" si="45"/>
        <v>0</v>
      </c>
    </row>
    <row r="162" spans="1:19" x14ac:dyDescent="0.2">
      <c r="A162" s="354" t="s">
        <v>554</v>
      </c>
      <c r="B162" s="368" t="s">
        <v>88</v>
      </c>
      <c r="C162" s="367" t="s">
        <v>19</v>
      </c>
      <c r="D162" s="346">
        <v>239</v>
      </c>
      <c r="E162" s="353">
        <v>28000</v>
      </c>
      <c r="F162" s="353">
        <f t="shared" si="53"/>
        <v>6692000</v>
      </c>
      <c r="G162" s="349">
        <v>11700</v>
      </c>
      <c r="H162" s="412">
        <f t="shared" si="54"/>
        <v>2796300</v>
      </c>
      <c r="I162" s="351">
        <f t="shared" si="50"/>
        <v>24610</v>
      </c>
      <c r="J162" s="349">
        <f t="shared" si="51"/>
        <v>5881790</v>
      </c>
      <c r="L162" s="340" t="s">
        <v>791</v>
      </c>
      <c r="M162" s="423"/>
      <c r="N162" s="1592">
        <f>+'Contrato 041'!E141</f>
        <v>22520</v>
      </c>
      <c r="O162" s="1593">
        <f t="shared" si="44"/>
        <v>24610</v>
      </c>
      <c r="Q162" s="263">
        <f>ROUND(22520*1.0928,0)</f>
        <v>24610</v>
      </c>
      <c r="S162" s="408">
        <f t="shared" si="45"/>
        <v>0</v>
      </c>
    </row>
    <row r="163" spans="1:19" x14ac:dyDescent="0.2">
      <c r="A163" s="354" t="s">
        <v>556</v>
      </c>
      <c r="B163" s="368" t="s">
        <v>92</v>
      </c>
      <c r="C163" s="367" t="s">
        <v>19</v>
      </c>
      <c r="D163" s="346">
        <v>167</v>
      </c>
      <c r="E163" s="353">
        <v>18000</v>
      </c>
      <c r="F163" s="353">
        <f t="shared" si="53"/>
        <v>3006000</v>
      </c>
      <c r="G163" s="349">
        <v>8710</v>
      </c>
      <c r="H163" s="412">
        <f t="shared" si="54"/>
        <v>1454570</v>
      </c>
      <c r="I163" s="351">
        <f t="shared" si="50"/>
        <v>17005</v>
      </c>
      <c r="J163" s="349">
        <f t="shared" si="51"/>
        <v>2839835</v>
      </c>
      <c r="L163" s="340" t="s">
        <v>791</v>
      </c>
      <c r="M163" s="423"/>
      <c r="N163" s="1592">
        <f>+'Contrato 041'!E33</f>
        <v>15561</v>
      </c>
      <c r="O163" s="1593">
        <f t="shared" si="44"/>
        <v>17005</v>
      </c>
      <c r="Q163" s="263">
        <f>ROUND(15561*1.0928,0)</f>
        <v>17005</v>
      </c>
      <c r="S163" s="408">
        <f t="shared" si="45"/>
        <v>0</v>
      </c>
    </row>
    <row r="164" spans="1:19" x14ac:dyDescent="0.2">
      <c r="A164" s="354" t="s">
        <v>560</v>
      </c>
      <c r="B164" s="368" t="s">
        <v>88</v>
      </c>
      <c r="C164" s="367" t="s">
        <v>14</v>
      </c>
      <c r="D164" s="346">
        <v>10</v>
      </c>
      <c r="E164" s="353">
        <v>16800</v>
      </c>
      <c r="F164" s="353">
        <f t="shared" si="53"/>
        <v>168000</v>
      </c>
      <c r="G164" s="349">
        <v>11700</v>
      </c>
      <c r="H164" s="412">
        <f t="shared" si="54"/>
        <v>117000</v>
      </c>
      <c r="I164" s="351">
        <f t="shared" si="50"/>
        <v>24610</v>
      </c>
      <c r="J164" s="349">
        <f t="shared" si="51"/>
        <v>246100</v>
      </c>
      <c r="L164" s="340" t="s">
        <v>791</v>
      </c>
      <c r="M164" s="423"/>
      <c r="N164" s="1592">
        <f>+'Contrato 041'!E141</f>
        <v>22520</v>
      </c>
      <c r="O164" s="1593">
        <f t="shared" si="44"/>
        <v>24610</v>
      </c>
      <c r="Q164" s="296">
        <f>ROUND(12295*1.0928,0)</f>
        <v>13436</v>
      </c>
      <c r="S164" s="408">
        <f t="shared" si="45"/>
        <v>-11174</v>
      </c>
    </row>
    <row r="165" spans="1:19" ht="25.5" x14ac:dyDescent="0.2">
      <c r="A165" s="386" t="s">
        <v>567</v>
      </c>
      <c r="B165" s="368" t="s">
        <v>568</v>
      </c>
      <c r="C165" s="363" t="s">
        <v>14</v>
      </c>
      <c r="D165" s="346">
        <v>60</v>
      </c>
      <c r="E165" s="353">
        <v>60000</v>
      </c>
      <c r="F165" s="353">
        <f t="shared" si="53"/>
        <v>3600000</v>
      </c>
      <c r="G165" s="387">
        <v>0</v>
      </c>
      <c r="H165" s="412">
        <f t="shared" si="54"/>
        <v>0</v>
      </c>
      <c r="I165" s="351">
        <f t="shared" si="50"/>
        <v>55754</v>
      </c>
      <c r="J165" s="349">
        <f t="shared" si="51"/>
        <v>3345240</v>
      </c>
      <c r="L165" s="340" t="s">
        <v>791</v>
      </c>
      <c r="M165" s="423"/>
      <c r="N165" s="1592">
        <f>+'Contrato 041'!E158</f>
        <v>51019</v>
      </c>
      <c r="O165" s="1593">
        <f t="shared" si="44"/>
        <v>55754</v>
      </c>
      <c r="Q165" s="282">
        <f>ROUND(51019*1.0928,0)</f>
        <v>55754</v>
      </c>
      <c r="S165" s="408">
        <f t="shared" si="45"/>
        <v>0</v>
      </c>
    </row>
    <row r="166" spans="1:19" x14ac:dyDescent="0.2">
      <c r="A166" s="386" t="s">
        <v>571</v>
      </c>
      <c r="B166" s="358" t="s">
        <v>195</v>
      </c>
      <c r="C166" s="356" t="s">
        <v>19</v>
      </c>
      <c r="D166" s="346">
        <v>570</v>
      </c>
      <c r="E166" s="353">
        <v>7000</v>
      </c>
      <c r="F166" s="353">
        <f t="shared" si="53"/>
        <v>3990000</v>
      </c>
      <c r="G166" s="349">
        <v>4200</v>
      </c>
      <c r="H166" s="412">
        <f t="shared" si="54"/>
        <v>2394000</v>
      </c>
      <c r="I166" s="351">
        <f t="shared" si="50"/>
        <v>5300</v>
      </c>
      <c r="J166" s="349">
        <f t="shared" si="51"/>
        <v>3021000</v>
      </c>
      <c r="L166" s="340" t="s">
        <v>791</v>
      </c>
      <c r="M166" s="423"/>
      <c r="N166" s="1592">
        <f>+'Contrato 041'!E63</f>
        <v>4850</v>
      </c>
      <c r="O166" s="1593">
        <f t="shared" si="44"/>
        <v>5300</v>
      </c>
      <c r="Q166" s="263">
        <f>ROUND(4850*1.0928,0)</f>
        <v>5300</v>
      </c>
      <c r="S166" s="408">
        <f t="shared" si="45"/>
        <v>0</v>
      </c>
    </row>
    <row r="167" spans="1:19" ht="25.5" x14ac:dyDescent="0.2">
      <c r="A167" s="386" t="s">
        <v>579</v>
      </c>
      <c r="B167" s="358" t="s">
        <v>529</v>
      </c>
      <c r="C167" s="356" t="s">
        <v>19</v>
      </c>
      <c r="D167" s="346">
        <v>33</v>
      </c>
      <c r="E167" s="353">
        <v>12500</v>
      </c>
      <c r="F167" s="376">
        <f>+E167*D167</f>
        <v>412500</v>
      </c>
      <c r="G167" s="387">
        <v>0</v>
      </c>
      <c r="H167" s="349">
        <f>+G167*D167</f>
        <v>0</v>
      </c>
      <c r="I167" s="351">
        <f t="shared" ref="I167:I179" si="55">+O167</f>
        <v>226947</v>
      </c>
      <c r="J167" s="349">
        <f t="shared" ref="J167:J179" si="56">+I167*D167</f>
        <v>7489251</v>
      </c>
      <c r="L167" s="340" t="s">
        <v>793</v>
      </c>
      <c r="M167" s="1592">
        <f>+'Contrato 058'!F16</f>
        <v>183588</v>
      </c>
      <c r="N167" s="1592">
        <f t="shared" ref="N167" si="57">+M167*(1+M$13)</f>
        <v>207674.74559999999</v>
      </c>
      <c r="O167" s="1593">
        <f t="shared" si="44"/>
        <v>226947</v>
      </c>
      <c r="Q167" s="329">
        <f>(ROUND(183588*1.1312,0))*1.0928</f>
        <v>226947.24</v>
      </c>
      <c r="S167" s="408">
        <f t="shared" ref="S167:S184" si="58">+Q167-O167</f>
        <v>0.23999999999068677</v>
      </c>
    </row>
    <row r="168" spans="1:19" x14ac:dyDescent="0.2">
      <c r="A168" s="354" t="s">
        <v>583</v>
      </c>
      <c r="B168" s="358" t="s">
        <v>533</v>
      </c>
      <c r="C168" s="356" t="s">
        <v>19</v>
      </c>
      <c r="D168" s="346">
        <v>20</v>
      </c>
      <c r="E168" s="353">
        <v>9000</v>
      </c>
      <c r="F168" s="376">
        <f t="shared" ref="F168:F179" si="59">+E168*D168</f>
        <v>180000</v>
      </c>
      <c r="G168" s="349">
        <v>4000</v>
      </c>
      <c r="H168" s="349">
        <f t="shared" ref="H168:H179" si="60">+G168*D168</f>
        <v>80000</v>
      </c>
      <c r="I168" s="351">
        <f t="shared" si="55"/>
        <v>6890</v>
      </c>
      <c r="J168" s="349">
        <f t="shared" si="56"/>
        <v>137800</v>
      </c>
      <c r="L168" s="340" t="s">
        <v>791</v>
      </c>
      <c r="M168" s="423"/>
      <c r="N168" s="1592">
        <f>+'Contrato 041'!E140</f>
        <v>6305</v>
      </c>
      <c r="O168" s="1593">
        <f t="shared" si="44"/>
        <v>6890</v>
      </c>
      <c r="Q168" s="263">
        <f>ROUND(6305*1.0928,0)</f>
        <v>6890</v>
      </c>
      <c r="S168" s="408">
        <f t="shared" si="58"/>
        <v>0</v>
      </c>
    </row>
    <row r="169" spans="1:19" ht="38.25" x14ac:dyDescent="0.2">
      <c r="A169" s="354" t="s">
        <v>588</v>
      </c>
      <c r="B169" s="358" t="s">
        <v>86</v>
      </c>
      <c r="C169" s="356" t="s">
        <v>19</v>
      </c>
      <c r="D169" s="346">
        <v>20</v>
      </c>
      <c r="E169" s="353">
        <v>48000</v>
      </c>
      <c r="F169" s="376">
        <f t="shared" si="59"/>
        <v>960000</v>
      </c>
      <c r="G169" s="349">
        <v>45500</v>
      </c>
      <c r="H169" s="349">
        <f t="shared" si="60"/>
        <v>910000</v>
      </c>
      <c r="I169" s="351">
        <f t="shared" si="55"/>
        <v>43614</v>
      </c>
      <c r="J169" s="349">
        <f t="shared" si="56"/>
        <v>872280</v>
      </c>
      <c r="L169" s="340" t="s">
        <v>791</v>
      </c>
      <c r="M169" s="423"/>
      <c r="N169" s="1592">
        <f>+'Contrato 041'!E129</f>
        <v>39910</v>
      </c>
      <c r="O169" s="1593">
        <f t="shared" si="44"/>
        <v>43614</v>
      </c>
      <c r="Q169" s="282">
        <f>ROUND(39910*1.0928,0)</f>
        <v>43614</v>
      </c>
      <c r="S169" s="408">
        <f t="shared" si="58"/>
        <v>0</v>
      </c>
    </row>
    <row r="170" spans="1:19" x14ac:dyDescent="0.2">
      <c r="A170" s="386" t="s">
        <v>593</v>
      </c>
      <c r="B170" s="364" t="s">
        <v>84</v>
      </c>
      <c r="C170" s="367" t="s">
        <v>19</v>
      </c>
      <c r="D170" s="346">
        <v>50</v>
      </c>
      <c r="E170" s="353">
        <v>9000</v>
      </c>
      <c r="F170" s="376">
        <f t="shared" si="59"/>
        <v>450000</v>
      </c>
      <c r="G170" s="349">
        <v>5200</v>
      </c>
      <c r="H170" s="349">
        <f t="shared" si="60"/>
        <v>260000</v>
      </c>
      <c r="I170" s="351">
        <f t="shared" si="55"/>
        <v>6890</v>
      </c>
      <c r="J170" s="349">
        <f t="shared" si="56"/>
        <v>344500</v>
      </c>
      <c r="L170" s="340" t="s">
        <v>791</v>
      </c>
      <c r="M170" s="423"/>
      <c r="N170" s="1592">
        <f>+'Contrato 041'!E140</f>
        <v>6305</v>
      </c>
      <c r="O170" s="1593">
        <f t="shared" ref="O170:O188" si="61">ROUND(N170*(1+$N$13),0)</f>
        <v>6890</v>
      </c>
      <c r="Q170" s="263">
        <f>ROUND(6305*1.0928,0)</f>
        <v>6890</v>
      </c>
      <c r="S170" s="408">
        <f t="shared" si="58"/>
        <v>0</v>
      </c>
    </row>
    <row r="171" spans="1:19" ht="38.25" x14ac:dyDescent="0.2">
      <c r="A171" s="386" t="s">
        <v>594</v>
      </c>
      <c r="B171" s="358" t="s">
        <v>86</v>
      </c>
      <c r="C171" s="356" t="s">
        <v>19</v>
      </c>
      <c r="D171" s="346">
        <v>50</v>
      </c>
      <c r="E171" s="353">
        <v>48000</v>
      </c>
      <c r="F171" s="376">
        <f t="shared" si="59"/>
        <v>2400000</v>
      </c>
      <c r="G171" s="349">
        <v>45500</v>
      </c>
      <c r="H171" s="349">
        <f t="shared" si="60"/>
        <v>2275000</v>
      </c>
      <c r="I171" s="351">
        <f t="shared" si="55"/>
        <v>43614</v>
      </c>
      <c r="J171" s="349">
        <f t="shared" si="56"/>
        <v>2180700</v>
      </c>
      <c r="L171" s="340" t="s">
        <v>791</v>
      </c>
      <c r="M171" s="423"/>
      <c r="N171" s="1592">
        <f>+'Contrato 041'!E129</f>
        <v>39910</v>
      </c>
      <c r="O171" s="1593">
        <f t="shared" si="61"/>
        <v>43614</v>
      </c>
      <c r="Q171" s="282">
        <f>ROUND(39910*1.0928,0)</f>
        <v>43614</v>
      </c>
      <c r="S171" s="408">
        <f t="shared" si="58"/>
        <v>0</v>
      </c>
    </row>
    <row r="172" spans="1:19" x14ac:dyDescent="0.2">
      <c r="A172" s="386" t="s">
        <v>595</v>
      </c>
      <c r="B172" s="358" t="s">
        <v>88</v>
      </c>
      <c r="C172" s="356" t="s">
        <v>19</v>
      </c>
      <c r="D172" s="346">
        <v>80</v>
      </c>
      <c r="E172" s="353">
        <v>28000</v>
      </c>
      <c r="F172" s="376">
        <f t="shared" si="59"/>
        <v>2240000</v>
      </c>
      <c r="G172" s="349">
        <v>11700</v>
      </c>
      <c r="H172" s="349">
        <f t="shared" si="60"/>
        <v>936000</v>
      </c>
      <c r="I172" s="351">
        <f t="shared" si="55"/>
        <v>24610</v>
      </c>
      <c r="J172" s="349">
        <f t="shared" si="56"/>
        <v>1968800</v>
      </c>
      <c r="L172" s="340" t="s">
        <v>791</v>
      </c>
      <c r="M172" s="423"/>
      <c r="N172" s="1592">
        <f>+'Contrato 041'!E141</f>
        <v>22520</v>
      </c>
      <c r="O172" s="1593">
        <f t="shared" si="61"/>
        <v>24610</v>
      </c>
      <c r="Q172" s="263">
        <f>ROUND(22520*1.0928,0)</f>
        <v>24610</v>
      </c>
      <c r="S172" s="408">
        <f t="shared" si="58"/>
        <v>0</v>
      </c>
    </row>
    <row r="173" spans="1:19" x14ac:dyDescent="0.2">
      <c r="A173" s="386" t="s">
        <v>597</v>
      </c>
      <c r="B173" s="358" t="s">
        <v>92</v>
      </c>
      <c r="C173" s="356" t="s">
        <v>19</v>
      </c>
      <c r="D173" s="346">
        <v>23</v>
      </c>
      <c r="E173" s="353">
        <v>18000</v>
      </c>
      <c r="F173" s="376">
        <f t="shared" si="59"/>
        <v>414000</v>
      </c>
      <c r="G173" s="349">
        <v>8710</v>
      </c>
      <c r="H173" s="349">
        <f t="shared" si="60"/>
        <v>200330</v>
      </c>
      <c r="I173" s="351">
        <f t="shared" si="55"/>
        <v>17005</v>
      </c>
      <c r="J173" s="349">
        <f t="shared" si="56"/>
        <v>391115</v>
      </c>
      <c r="L173" s="340" t="s">
        <v>791</v>
      </c>
      <c r="M173" s="423"/>
      <c r="N173" s="1592">
        <f>+'Contrato 041'!E33</f>
        <v>15561</v>
      </c>
      <c r="O173" s="1593">
        <f t="shared" si="61"/>
        <v>17005</v>
      </c>
      <c r="Q173" s="263">
        <f>ROUND(15561*1.0928,0)</f>
        <v>17005</v>
      </c>
      <c r="S173" s="408">
        <f t="shared" si="58"/>
        <v>0</v>
      </c>
    </row>
    <row r="174" spans="1:19" x14ac:dyDescent="0.2">
      <c r="A174" s="386" t="s">
        <v>601</v>
      </c>
      <c r="B174" s="358" t="s">
        <v>88</v>
      </c>
      <c r="C174" s="356" t="s">
        <v>14</v>
      </c>
      <c r="D174" s="346">
        <v>3</v>
      </c>
      <c r="E174" s="353">
        <v>16800</v>
      </c>
      <c r="F174" s="376">
        <f t="shared" si="59"/>
        <v>50400</v>
      </c>
      <c r="G174" s="349">
        <v>11700</v>
      </c>
      <c r="H174" s="349">
        <f t="shared" si="60"/>
        <v>35100</v>
      </c>
      <c r="I174" s="351">
        <f t="shared" si="55"/>
        <v>24610</v>
      </c>
      <c r="J174" s="349">
        <f t="shared" si="56"/>
        <v>73830</v>
      </c>
      <c r="L174" s="340" t="s">
        <v>791</v>
      </c>
      <c r="M174" s="423"/>
      <c r="N174" s="1592">
        <f>+'Contrato 041'!E141</f>
        <v>22520</v>
      </c>
      <c r="O174" s="1593">
        <f t="shared" si="61"/>
        <v>24610</v>
      </c>
      <c r="Q174" s="296">
        <f>ROUND(12295*1.0928,0)</f>
        <v>13436</v>
      </c>
      <c r="S174" s="408">
        <f t="shared" si="58"/>
        <v>-11174</v>
      </c>
    </row>
    <row r="175" spans="1:19" x14ac:dyDescent="0.2">
      <c r="A175" s="386" t="s">
        <v>606</v>
      </c>
      <c r="B175" s="388" t="s">
        <v>607</v>
      </c>
      <c r="C175" s="389" t="s">
        <v>19</v>
      </c>
      <c r="D175" s="346">
        <v>30</v>
      </c>
      <c r="E175" s="353">
        <v>9000</v>
      </c>
      <c r="F175" s="376">
        <f t="shared" si="59"/>
        <v>270000</v>
      </c>
      <c r="G175" s="349">
        <v>7000</v>
      </c>
      <c r="H175" s="349">
        <f t="shared" si="60"/>
        <v>210000</v>
      </c>
      <c r="I175" s="351">
        <f t="shared" si="55"/>
        <v>9646</v>
      </c>
      <c r="J175" s="349">
        <f t="shared" si="56"/>
        <v>289380</v>
      </c>
      <c r="L175" s="340" t="s">
        <v>790</v>
      </c>
      <c r="M175" s="423"/>
      <c r="N175" s="1592">
        <f>+'Contrato 013'!E61</f>
        <v>8827</v>
      </c>
      <c r="O175" s="1593">
        <f t="shared" si="61"/>
        <v>9646</v>
      </c>
      <c r="Q175" s="330">
        <f>ROUND(8827*1.0928,0)</f>
        <v>9646</v>
      </c>
      <c r="S175" s="408">
        <f t="shared" si="58"/>
        <v>0</v>
      </c>
    </row>
    <row r="176" spans="1:19" ht="25.5" x14ac:dyDescent="0.2">
      <c r="A176" s="386" t="s">
        <v>608</v>
      </c>
      <c r="B176" s="388" t="s">
        <v>609</v>
      </c>
      <c r="C176" s="389" t="s">
        <v>19</v>
      </c>
      <c r="D176" s="346">
        <v>30</v>
      </c>
      <c r="E176" s="353">
        <v>80000</v>
      </c>
      <c r="F176" s="376">
        <f t="shared" si="59"/>
        <v>2400000</v>
      </c>
      <c r="G176" s="349">
        <v>45000</v>
      </c>
      <c r="H176" s="349">
        <f t="shared" si="60"/>
        <v>1350000</v>
      </c>
      <c r="I176" s="351">
        <f t="shared" si="55"/>
        <v>60213</v>
      </c>
      <c r="J176" s="349">
        <f t="shared" si="56"/>
        <v>1806390</v>
      </c>
      <c r="L176" s="340" t="s">
        <v>790</v>
      </c>
      <c r="M176" s="423"/>
      <c r="N176" s="1592">
        <f>+'Contrato 013'!E62</f>
        <v>55100</v>
      </c>
      <c r="O176" s="1593">
        <f t="shared" si="61"/>
        <v>60213</v>
      </c>
      <c r="Q176" s="330">
        <f>ROUND(55100*1.0928,0)</f>
        <v>60213</v>
      </c>
      <c r="S176" s="408">
        <f t="shared" si="58"/>
        <v>0</v>
      </c>
    </row>
    <row r="177" spans="1:19" x14ac:dyDescent="0.2">
      <c r="A177" s="386" t="s">
        <v>610</v>
      </c>
      <c r="B177" s="383" t="s">
        <v>59</v>
      </c>
      <c r="C177" s="403" t="s">
        <v>14</v>
      </c>
      <c r="D177" s="386">
        <v>23</v>
      </c>
      <c r="E177" s="353">
        <v>16000</v>
      </c>
      <c r="F177" s="376">
        <f t="shared" si="59"/>
        <v>368000</v>
      </c>
      <c r="G177" s="349">
        <v>16848</v>
      </c>
      <c r="H177" s="349">
        <f t="shared" si="60"/>
        <v>387504</v>
      </c>
      <c r="I177" s="351">
        <f t="shared" si="55"/>
        <v>13382</v>
      </c>
      <c r="J177" s="349">
        <f t="shared" si="56"/>
        <v>307786</v>
      </c>
      <c r="L177" s="340" t="s">
        <v>791</v>
      </c>
      <c r="M177" s="423"/>
      <c r="N177" s="1592">
        <f>+'Contrato 041'!E21</f>
        <v>12246</v>
      </c>
      <c r="O177" s="1593">
        <f t="shared" si="61"/>
        <v>13382</v>
      </c>
      <c r="Q177" s="263">
        <f>ROUND(13500*1.0928,0)</f>
        <v>14753</v>
      </c>
      <c r="S177" s="408">
        <f t="shared" si="58"/>
        <v>1371</v>
      </c>
    </row>
    <row r="178" spans="1:19" x14ac:dyDescent="0.2">
      <c r="A178" s="386" t="s">
        <v>613</v>
      </c>
      <c r="B178" s="358" t="s">
        <v>614</v>
      </c>
      <c r="C178" s="389" t="s">
        <v>19</v>
      </c>
      <c r="D178" s="385">
        <v>30</v>
      </c>
      <c r="E178" s="353">
        <v>110000</v>
      </c>
      <c r="F178" s="376">
        <f t="shared" si="59"/>
        <v>3300000</v>
      </c>
      <c r="G178" s="349">
        <v>38000</v>
      </c>
      <c r="H178" s="349">
        <f t="shared" si="60"/>
        <v>1140000</v>
      </c>
      <c r="I178" s="351">
        <f t="shared" si="55"/>
        <v>56170</v>
      </c>
      <c r="J178" s="349">
        <f t="shared" si="56"/>
        <v>1685100</v>
      </c>
      <c r="L178" s="340" t="s">
        <v>790</v>
      </c>
      <c r="M178" s="423"/>
      <c r="N178" s="1592">
        <f>+'Contrato 013'!E81</f>
        <v>51400</v>
      </c>
      <c r="O178" s="1593">
        <f t="shared" si="61"/>
        <v>56170</v>
      </c>
      <c r="Q178" s="331">
        <f>ROUND(51400*1.0928,0)</f>
        <v>56170</v>
      </c>
      <c r="S178" s="408">
        <f t="shared" si="58"/>
        <v>0</v>
      </c>
    </row>
    <row r="179" spans="1:19" x14ac:dyDescent="0.2">
      <c r="A179" s="386" t="s">
        <v>615</v>
      </c>
      <c r="B179" s="358" t="s">
        <v>195</v>
      </c>
      <c r="C179" s="389" t="s">
        <v>19</v>
      </c>
      <c r="D179" s="385">
        <v>30</v>
      </c>
      <c r="E179" s="353">
        <v>70000</v>
      </c>
      <c r="F179" s="376">
        <f t="shared" si="59"/>
        <v>2100000</v>
      </c>
      <c r="G179" s="349">
        <v>4200</v>
      </c>
      <c r="H179" s="349">
        <f t="shared" si="60"/>
        <v>126000</v>
      </c>
      <c r="I179" s="351">
        <f t="shared" si="55"/>
        <v>5300</v>
      </c>
      <c r="J179" s="349">
        <f t="shared" si="56"/>
        <v>159000</v>
      </c>
      <c r="L179" s="340" t="s">
        <v>791</v>
      </c>
      <c r="M179" s="423"/>
      <c r="N179" s="1592">
        <f>+'Contrato 041'!E63</f>
        <v>4850</v>
      </c>
      <c r="O179" s="1593">
        <f t="shared" si="61"/>
        <v>5300</v>
      </c>
      <c r="Q179" s="263">
        <f>ROUND(4850*1.0928,0)</f>
        <v>5300</v>
      </c>
      <c r="S179" s="408">
        <f t="shared" si="58"/>
        <v>0</v>
      </c>
    </row>
    <row r="180" spans="1:19" ht="38.25" x14ac:dyDescent="0.2">
      <c r="A180" s="346" t="s">
        <v>622</v>
      </c>
      <c r="B180" s="360" t="s">
        <v>86</v>
      </c>
      <c r="C180" s="389" t="s">
        <v>19</v>
      </c>
      <c r="D180" s="346">
        <v>10</v>
      </c>
      <c r="E180" s="353">
        <v>48000</v>
      </c>
      <c r="F180" s="353">
        <f t="shared" ref="F180:F185" si="62">+E180*D180</f>
        <v>480000</v>
      </c>
      <c r="G180" s="349">
        <v>45500</v>
      </c>
      <c r="H180" s="349">
        <f t="shared" ref="H180:H185" si="63">+G180*D180</f>
        <v>455000</v>
      </c>
      <c r="I180" s="351">
        <f t="shared" ref="I180:I185" si="64">+O180</f>
        <v>43614</v>
      </c>
      <c r="J180" s="349">
        <f t="shared" ref="J180:J185" si="65">+I180*D180</f>
        <v>436140</v>
      </c>
      <c r="L180" s="340" t="s">
        <v>791</v>
      </c>
      <c r="M180" s="423"/>
      <c r="N180" s="1592">
        <f>+'Contrato 041'!E129</f>
        <v>39910</v>
      </c>
      <c r="O180" s="1593">
        <f t="shared" si="61"/>
        <v>43614</v>
      </c>
      <c r="Q180" s="263">
        <f>ROUND(39910*1.0928,0)</f>
        <v>43614</v>
      </c>
      <c r="S180" s="408">
        <f t="shared" si="58"/>
        <v>0</v>
      </c>
    </row>
    <row r="181" spans="1:19" x14ac:dyDescent="0.2">
      <c r="A181" s="346" t="s">
        <v>623</v>
      </c>
      <c r="B181" s="358" t="s">
        <v>533</v>
      </c>
      <c r="C181" s="356" t="s">
        <v>19</v>
      </c>
      <c r="D181" s="346">
        <v>10</v>
      </c>
      <c r="E181" s="353">
        <v>9000</v>
      </c>
      <c r="F181" s="353">
        <f t="shared" si="62"/>
        <v>90000</v>
      </c>
      <c r="G181" s="349">
        <v>4000</v>
      </c>
      <c r="H181" s="349">
        <f t="shared" si="63"/>
        <v>40000</v>
      </c>
      <c r="I181" s="351">
        <f t="shared" si="64"/>
        <v>6890</v>
      </c>
      <c r="J181" s="349">
        <f t="shared" si="65"/>
        <v>68900</v>
      </c>
      <c r="L181" s="340" t="s">
        <v>791</v>
      </c>
      <c r="M181" s="423"/>
      <c r="N181" s="1592">
        <f>+'Contrato 041'!E140</f>
        <v>6305</v>
      </c>
      <c r="O181" s="1593">
        <f t="shared" si="61"/>
        <v>6890</v>
      </c>
      <c r="Q181" s="282">
        <f>ROUND(6305*1.0928,0)</f>
        <v>6890</v>
      </c>
      <c r="S181" s="408">
        <f t="shared" si="58"/>
        <v>0</v>
      </c>
    </row>
    <row r="182" spans="1:19" x14ac:dyDescent="0.2">
      <c r="A182" s="386" t="s">
        <v>628</v>
      </c>
      <c r="B182" s="364" t="s">
        <v>84</v>
      </c>
      <c r="C182" s="367" t="s">
        <v>19</v>
      </c>
      <c r="D182" s="385">
        <v>192</v>
      </c>
      <c r="E182" s="353">
        <v>9000</v>
      </c>
      <c r="F182" s="353">
        <f t="shared" si="62"/>
        <v>1728000</v>
      </c>
      <c r="G182" s="349">
        <v>5200</v>
      </c>
      <c r="H182" s="349">
        <f t="shared" si="63"/>
        <v>998400</v>
      </c>
      <c r="I182" s="351">
        <f t="shared" si="64"/>
        <v>6890</v>
      </c>
      <c r="J182" s="349">
        <f t="shared" si="65"/>
        <v>1322880</v>
      </c>
      <c r="L182" s="340" t="s">
        <v>791</v>
      </c>
      <c r="M182" s="423"/>
      <c r="N182" s="1592">
        <f>+'Contrato 041'!E140</f>
        <v>6305</v>
      </c>
      <c r="O182" s="1593">
        <f t="shared" si="61"/>
        <v>6890</v>
      </c>
      <c r="Q182" s="282">
        <f>ROUND(6305*1.0928,0)</f>
        <v>6890</v>
      </c>
      <c r="S182" s="408">
        <f t="shared" si="58"/>
        <v>0</v>
      </c>
    </row>
    <row r="183" spans="1:19" ht="38.25" x14ac:dyDescent="0.2">
      <c r="A183" s="386" t="s">
        <v>629</v>
      </c>
      <c r="B183" s="368" t="s">
        <v>86</v>
      </c>
      <c r="C183" s="367" t="s">
        <v>19</v>
      </c>
      <c r="D183" s="385">
        <v>192</v>
      </c>
      <c r="E183" s="353">
        <v>48000</v>
      </c>
      <c r="F183" s="353">
        <f t="shared" si="62"/>
        <v>9216000</v>
      </c>
      <c r="G183" s="349">
        <v>45500</v>
      </c>
      <c r="H183" s="349">
        <f t="shared" si="63"/>
        <v>8736000</v>
      </c>
      <c r="I183" s="351">
        <f t="shared" si="64"/>
        <v>43614</v>
      </c>
      <c r="J183" s="349">
        <f t="shared" si="65"/>
        <v>8373888</v>
      </c>
      <c r="L183" s="340" t="s">
        <v>791</v>
      </c>
      <c r="M183" s="423"/>
      <c r="N183" s="1592">
        <f>+'Contrato 041'!E129</f>
        <v>39910</v>
      </c>
      <c r="O183" s="1593">
        <f t="shared" si="61"/>
        <v>43614</v>
      </c>
      <c r="Q183" s="263">
        <f>ROUND(39910*1.0928,0)</f>
        <v>43614</v>
      </c>
      <c r="S183" s="408">
        <f t="shared" si="58"/>
        <v>0</v>
      </c>
    </row>
    <row r="184" spans="1:19" x14ac:dyDescent="0.2">
      <c r="A184" s="386" t="s">
        <v>630</v>
      </c>
      <c r="B184" s="368" t="s">
        <v>88</v>
      </c>
      <c r="C184" s="367" t="s">
        <v>19</v>
      </c>
      <c r="D184" s="385">
        <v>274</v>
      </c>
      <c r="E184" s="353">
        <v>28000</v>
      </c>
      <c r="F184" s="353">
        <f t="shared" si="62"/>
        <v>7672000</v>
      </c>
      <c r="G184" s="349">
        <v>11700</v>
      </c>
      <c r="H184" s="349">
        <f t="shared" si="63"/>
        <v>3205800</v>
      </c>
      <c r="I184" s="351">
        <f t="shared" si="64"/>
        <v>24610</v>
      </c>
      <c r="J184" s="349">
        <f t="shared" si="65"/>
        <v>6743140</v>
      </c>
      <c r="L184" s="340" t="s">
        <v>791</v>
      </c>
      <c r="M184" s="423"/>
      <c r="N184" s="1592">
        <f>+'Contrato 041'!E141</f>
        <v>22520</v>
      </c>
      <c r="O184" s="1593">
        <f t="shared" si="61"/>
        <v>24610</v>
      </c>
      <c r="Q184" s="282">
        <f>ROUND(22520*1.0928,0)</f>
        <v>24610</v>
      </c>
      <c r="S184" s="408">
        <f t="shared" si="58"/>
        <v>0</v>
      </c>
    </row>
    <row r="185" spans="1:19" x14ac:dyDescent="0.2">
      <c r="A185" s="354" t="s">
        <v>659</v>
      </c>
      <c r="B185" s="393" t="s">
        <v>195</v>
      </c>
      <c r="C185" s="363" t="s">
        <v>19</v>
      </c>
      <c r="D185" s="385">
        <v>165</v>
      </c>
      <c r="E185" s="353">
        <v>7000</v>
      </c>
      <c r="F185" s="353">
        <f t="shared" si="62"/>
        <v>1155000</v>
      </c>
      <c r="G185" s="349">
        <v>4200</v>
      </c>
      <c r="H185" s="349">
        <f t="shared" si="63"/>
        <v>693000</v>
      </c>
      <c r="I185" s="351">
        <f t="shared" si="64"/>
        <v>5300</v>
      </c>
      <c r="J185" s="349">
        <f t="shared" si="65"/>
        <v>874500</v>
      </c>
      <c r="L185" s="340" t="s">
        <v>791</v>
      </c>
      <c r="M185" s="423"/>
      <c r="N185" s="1592">
        <f>+'Contrato 041'!E63</f>
        <v>4850</v>
      </c>
      <c r="O185" s="1593">
        <f t="shared" si="61"/>
        <v>5300</v>
      </c>
      <c r="Q185" s="263">
        <f>ROUND(4850*1.0928,0)</f>
        <v>5300</v>
      </c>
      <c r="S185" s="408">
        <f t="shared" ref="S185:S196" si="66">+Q185-O185</f>
        <v>0</v>
      </c>
    </row>
    <row r="186" spans="1:19" x14ac:dyDescent="0.2">
      <c r="A186" s="386" t="s">
        <v>691</v>
      </c>
      <c r="B186" s="364" t="s">
        <v>84</v>
      </c>
      <c r="C186" s="367" t="s">
        <v>19</v>
      </c>
      <c r="D186" s="385">
        <v>320</v>
      </c>
      <c r="E186" s="353">
        <v>9000</v>
      </c>
      <c r="F186" s="353">
        <f t="shared" ref="F186:F196" si="67">+E186*D186</f>
        <v>2880000</v>
      </c>
      <c r="G186" s="349">
        <v>5200</v>
      </c>
      <c r="H186" s="349">
        <f t="shared" ref="H186:H196" si="68">+G186*D186</f>
        <v>1664000</v>
      </c>
      <c r="I186" s="351">
        <f t="shared" ref="I186:I196" si="69">+O186</f>
        <v>6890</v>
      </c>
      <c r="J186" s="349">
        <f t="shared" ref="J186:J196" si="70">+I186*D186</f>
        <v>2204800</v>
      </c>
      <c r="L186" s="340" t="s">
        <v>791</v>
      </c>
      <c r="M186" s="423"/>
      <c r="N186" s="1592">
        <f>+'Contrato 041'!E140</f>
        <v>6305</v>
      </c>
      <c r="O186" s="1593">
        <f t="shared" si="61"/>
        <v>6890</v>
      </c>
      <c r="Q186" s="282">
        <f>ROUND(6305*1.0928,0)</f>
        <v>6890</v>
      </c>
      <c r="S186" s="408">
        <f t="shared" si="66"/>
        <v>0</v>
      </c>
    </row>
    <row r="187" spans="1:19" ht="38.25" x14ac:dyDescent="0.2">
      <c r="A187" s="386" t="s">
        <v>692</v>
      </c>
      <c r="B187" s="368" t="s">
        <v>86</v>
      </c>
      <c r="C187" s="367" t="s">
        <v>19</v>
      </c>
      <c r="D187" s="385">
        <v>320</v>
      </c>
      <c r="E187" s="353">
        <v>48000</v>
      </c>
      <c r="F187" s="353">
        <f t="shared" si="67"/>
        <v>15360000</v>
      </c>
      <c r="G187" s="349">
        <v>45500</v>
      </c>
      <c r="H187" s="349">
        <f t="shared" si="68"/>
        <v>14560000</v>
      </c>
      <c r="I187" s="351">
        <f t="shared" si="69"/>
        <v>43614</v>
      </c>
      <c r="J187" s="349">
        <f t="shared" si="70"/>
        <v>13956480</v>
      </c>
      <c r="L187" s="340" t="s">
        <v>791</v>
      </c>
      <c r="M187" s="423"/>
      <c r="N187" s="1592">
        <f>+'Contrato 041'!E129</f>
        <v>39910</v>
      </c>
      <c r="O187" s="1593">
        <f t="shared" si="61"/>
        <v>43614</v>
      </c>
      <c r="Q187" s="263">
        <f>ROUND(39910*1.0928,0)</f>
        <v>43614</v>
      </c>
      <c r="S187" s="408">
        <f t="shared" si="66"/>
        <v>0</v>
      </c>
    </row>
    <row r="188" spans="1:19" x14ac:dyDescent="0.2">
      <c r="A188" s="386" t="s">
        <v>693</v>
      </c>
      <c r="B188" s="368" t="s">
        <v>88</v>
      </c>
      <c r="C188" s="367" t="s">
        <v>19</v>
      </c>
      <c r="D188" s="385">
        <v>448</v>
      </c>
      <c r="E188" s="353">
        <v>28000</v>
      </c>
      <c r="F188" s="353">
        <f t="shared" si="67"/>
        <v>12544000</v>
      </c>
      <c r="G188" s="349">
        <v>11700</v>
      </c>
      <c r="H188" s="349">
        <f t="shared" si="68"/>
        <v>5241600</v>
      </c>
      <c r="I188" s="351">
        <f t="shared" si="69"/>
        <v>24610</v>
      </c>
      <c r="J188" s="349">
        <f t="shared" si="70"/>
        <v>11025280</v>
      </c>
      <c r="L188" s="340" t="s">
        <v>791</v>
      </c>
      <c r="M188" s="423"/>
      <c r="N188" s="1592">
        <f>+'Contrato 041'!E141</f>
        <v>22520</v>
      </c>
      <c r="O188" s="1593">
        <f t="shared" si="61"/>
        <v>24610</v>
      </c>
      <c r="Q188" s="282">
        <f>ROUND(22520*1.0928,0)</f>
        <v>24610</v>
      </c>
      <c r="S188" s="408">
        <f t="shared" si="66"/>
        <v>0</v>
      </c>
    </row>
    <row r="189" spans="1:19" x14ac:dyDescent="0.2">
      <c r="A189" s="386" t="s">
        <v>695</v>
      </c>
      <c r="B189" s="368" t="s">
        <v>92</v>
      </c>
      <c r="C189" s="367" t="s">
        <v>19</v>
      </c>
      <c r="D189" s="385">
        <v>128</v>
      </c>
      <c r="E189" s="353">
        <v>18000</v>
      </c>
      <c r="F189" s="353">
        <f t="shared" si="67"/>
        <v>2304000</v>
      </c>
      <c r="G189" s="349">
        <v>8710</v>
      </c>
      <c r="H189" s="349">
        <f t="shared" si="68"/>
        <v>1114880</v>
      </c>
      <c r="I189" s="351">
        <f t="shared" si="69"/>
        <v>17005</v>
      </c>
      <c r="J189" s="349">
        <f t="shared" si="70"/>
        <v>2176640</v>
      </c>
      <c r="L189" s="340" t="s">
        <v>791</v>
      </c>
      <c r="M189" s="423"/>
      <c r="N189" s="1592">
        <f>+'Contrato 041'!E33</f>
        <v>15561</v>
      </c>
      <c r="O189" s="1593">
        <f t="shared" ref="O189:O197" si="71">ROUND(N189*(1+$N$13),0)</f>
        <v>17005</v>
      </c>
      <c r="Q189" s="282">
        <f>ROUND(15561*1.0928,0)</f>
        <v>17005</v>
      </c>
      <c r="S189" s="408">
        <f t="shared" si="66"/>
        <v>0</v>
      </c>
    </row>
    <row r="190" spans="1:19" ht="38.25" x14ac:dyDescent="0.2">
      <c r="A190" s="386" t="s">
        <v>708</v>
      </c>
      <c r="B190" s="368" t="s">
        <v>709</v>
      </c>
      <c r="C190" s="367" t="s">
        <v>19</v>
      </c>
      <c r="D190" s="385">
        <v>3</v>
      </c>
      <c r="E190" s="353">
        <v>20000</v>
      </c>
      <c r="F190" s="353">
        <f t="shared" si="67"/>
        <v>60000</v>
      </c>
      <c r="G190" s="349">
        <v>18700</v>
      </c>
      <c r="H190" s="349">
        <f t="shared" si="68"/>
        <v>56100</v>
      </c>
      <c r="I190" s="351">
        <f t="shared" si="69"/>
        <v>17183</v>
      </c>
      <c r="J190" s="349">
        <f t="shared" si="70"/>
        <v>51549</v>
      </c>
      <c r="L190" s="1283" t="s">
        <v>792</v>
      </c>
      <c r="M190" s="423"/>
      <c r="N190" s="1592">
        <f>+'Contrato 028'!F20</f>
        <v>15724.1</v>
      </c>
      <c r="O190" s="1593">
        <f t="shared" si="71"/>
        <v>17183</v>
      </c>
      <c r="Q190" s="282">
        <f>ROUND(15724.1*1.0928,0)</f>
        <v>17183</v>
      </c>
      <c r="S190" s="408">
        <f t="shared" si="66"/>
        <v>0</v>
      </c>
    </row>
    <row r="191" spans="1:19" x14ac:dyDescent="0.2">
      <c r="A191" s="386" t="s">
        <v>710</v>
      </c>
      <c r="B191" s="368" t="s">
        <v>711</v>
      </c>
      <c r="C191" s="367" t="s">
        <v>14</v>
      </c>
      <c r="D191" s="385">
        <v>5</v>
      </c>
      <c r="E191" s="353">
        <v>25000</v>
      </c>
      <c r="F191" s="353">
        <f t="shared" si="67"/>
        <v>125000</v>
      </c>
      <c r="G191" s="349">
        <v>29810.000000000004</v>
      </c>
      <c r="H191" s="349">
        <f t="shared" si="68"/>
        <v>149050.00000000003</v>
      </c>
      <c r="I191" s="351">
        <f t="shared" si="69"/>
        <v>28983</v>
      </c>
      <c r="J191" s="349">
        <f t="shared" si="70"/>
        <v>144915</v>
      </c>
      <c r="L191" s="1283" t="s">
        <v>792</v>
      </c>
      <c r="M191" s="423"/>
      <c r="N191" s="1592">
        <f>+'Contrato 028'!F21</f>
        <v>26521.739999999998</v>
      </c>
      <c r="O191" s="1593">
        <f t="shared" si="71"/>
        <v>28983</v>
      </c>
      <c r="Q191" s="263">
        <f>ROUND(26521.74*1.0928,0)</f>
        <v>28983</v>
      </c>
      <c r="S191" s="408">
        <f t="shared" si="66"/>
        <v>0</v>
      </c>
    </row>
    <row r="192" spans="1:19" ht="25.5" x14ac:dyDescent="0.2">
      <c r="A192" s="354" t="s">
        <v>712</v>
      </c>
      <c r="B192" s="368" t="s">
        <v>713</v>
      </c>
      <c r="C192" s="367" t="s">
        <v>19</v>
      </c>
      <c r="D192" s="385">
        <v>3</v>
      </c>
      <c r="E192" s="353">
        <v>40000</v>
      </c>
      <c r="F192" s="353">
        <f t="shared" si="67"/>
        <v>120000</v>
      </c>
      <c r="G192" s="349">
        <v>40700</v>
      </c>
      <c r="H192" s="349">
        <f t="shared" si="68"/>
        <v>122100</v>
      </c>
      <c r="I192" s="351">
        <f t="shared" si="69"/>
        <v>36498</v>
      </c>
      <c r="J192" s="349">
        <f t="shared" si="70"/>
        <v>109494</v>
      </c>
      <c r="L192" s="1283" t="s">
        <v>792</v>
      </c>
      <c r="M192" s="423"/>
      <c r="N192" s="1592">
        <f>+'Contrato 028'!F22</f>
        <v>33398.400000000001</v>
      </c>
      <c r="O192" s="1593">
        <f t="shared" si="71"/>
        <v>36498</v>
      </c>
      <c r="Q192" s="282">
        <f>ROUND(33398.4*1.0928,0)</f>
        <v>36498</v>
      </c>
      <c r="S192" s="408">
        <f t="shared" si="66"/>
        <v>0</v>
      </c>
    </row>
    <row r="193" spans="1:19" x14ac:dyDescent="0.2">
      <c r="A193" s="386" t="s">
        <v>714</v>
      </c>
      <c r="B193" s="368" t="s">
        <v>715</v>
      </c>
      <c r="C193" s="367" t="s">
        <v>19</v>
      </c>
      <c r="D193" s="385">
        <v>3</v>
      </c>
      <c r="E193" s="353">
        <v>35000</v>
      </c>
      <c r="F193" s="353">
        <f t="shared" si="67"/>
        <v>105000</v>
      </c>
      <c r="G193" s="349">
        <v>46200.000000000007</v>
      </c>
      <c r="H193" s="349">
        <f t="shared" si="68"/>
        <v>138600.00000000003</v>
      </c>
      <c r="I193" s="351">
        <f t="shared" si="69"/>
        <v>41917</v>
      </c>
      <c r="J193" s="349">
        <f t="shared" si="70"/>
        <v>125751</v>
      </c>
      <c r="L193" s="1283" t="s">
        <v>792</v>
      </c>
      <c r="M193" s="423"/>
      <c r="N193" s="1592">
        <f>+'Contrato 028'!F23</f>
        <v>38357.199999999997</v>
      </c>
      <c r="O193" s="1593">
        <f t="shared" si="71"/>
        <v>41917</v>
      </c>
      <c r="Q193" s="263">
        <f>ROUND(38357.2*1.0928,0)</f>
        <v>41917</v>
      </c>
      <c r="S193" s="408">
        <f t="shared" si="66"/>
        <v>0</v>
      </c>
    </row>
    <row r="194" spans="1:19" ht="25.5" x14ac:dyDescent="0.2">
      <c r="A194" s="386" t="s">
        <v>721</v>
      </c>
      <c r="B194" s="388" t="s">
        <v>722</v>
      </c>
      <c r="C194" s="389" t="s">
        <v>6</v>
      </c>
      <c r="D194" s="385">
        <v>6</v>
      </c>
      <c r="E194" s="353">
        <v>350000</v>
      </c>
      <c r="F194" s="353">
        <f t="shared" si="67"/>
        <v>2100000</v>
      </c>
      <c r="G194" s="349">
        <v>480870</v>
      </c>
      <c r="H194" s="349">
        <f t="shared" si="68"/>
        <v>2885220</v>
      </c>
      <c r="I194" s="351">
        <f t="shared" si="69"/>
        <v>93544</v>
      </c>
      <c r="J194" s="349">
        <f t="shared" si="70"/>
        <v>561264</v>
      </c>
      <c r="L194" s="340" t="s">
        <v>790</v>
      </c>
      <c r="M194" s="423"/>
      <c r="N194" s="1592">
        <f>+'Contrato 013'!E85</f>
        <v>85600</v>
      </c>
      <c r="O194" s="1593">
        <f t="shared" si="71"/>
        <v>93544</v>
      </c>
      <c r="Q194" s="263">
        <f>ROUND(85600*1.0928,0)</f>
        <v>93544</v>
      </c>
      <c r="S194" s="408">
        <f t="shared" si="66"/>
        <v>0</v>
      </c>
    </row>
    <row r="195" spans="1:19" x14ac:dyDescent="0.2">
      <c r="A195" s="386" t="s">
        <v>732</v>
      </c>
      <c r="B195" s="358" t="s">
        <v>195</v>
      </c>
      <c r="C195" s="356" t="s">
        <v>19</v>
      </c>
      <c r="D195" s="385">
        <v>390</v>
      </c>
      <c r="E195" s="353">
        <v>7000</v>
      </c>
      <c r="F195" s="353">
        <f t="shared" si="67"/>
        <v>2730000</v>
      </c>
      <c r="G195" s="349">
        <v>4200</v>
      </c>
      <c r="H195" s="349">
        <f t="shared" si="68"/>
        <v>1638000</v>
      </c>
      <c r="I195" s="351">
        <f t="shared" si="69"/>
        <v>5300</v>
      </c>
      <c r="J195" s="349">
        <f t="shared" si="70"/>
        <v>2067000</v>
      </c>
      <c r="L195" s="340" t="s">
        <v>791</v>
      </c>
      <c r="M195" s="423"/>
      <c r="N195" s="1592">
        <f>+'Contrato 041'!E63</f>
        <v>4850</v>
      </c>
      <c r="O195" s="1593">
        <f t="shared" si="71"/>
        <v>5300</v>
      </c>
      <c r="Q195" s="263">
        <f>ROUND(4850*1.0928,0)</f>
        <v>5300</v>
      </c>
      <c r="S195" s="408">
        <f t="shared" si="66"/>
        <v>0</v>
      </c>
    </row>
    <row r="196" spans="1:19" ht="25.5" x14ac:dyDescent="0.2">
      <c r="A196" s="354" t="s">
        <v>739</v>
      </c>
      <c r="B196" s="358" t="s">
        <v>740</v>
      </c>
      <c r="C196" s="356" t="s">
        <v>19</v>
      </c>
      <c r="D196" s="385">
        <v>80</v>
      </c>
      <c r="E196" s="353">
        <v>20000</v>
      </c>
      <c r="F196" s="353">
        <f t="shared" si="67"/>
        <v>1600000</v>
      </c>
      <c r="G196" s="387">
        <v>0</v>
      </c>
      <c r="H196" s="349">
        <f t="shared" si="68"/>
        <v>0</v>
      </c>
      <c r="I196" s="351">
        <f t="shared" si="69"/>
        <v>17652</v>
      </c>
      <c r="J196" s="349">
        <f t="shared" si="70"/>
        <v>1412160</v>
      </c>
      <c r="L196" s="340" t="s">
        <v>790</v>
      </c>
      <c r="M196" s="423"/>
      <c r="N196" s="1592">
        <f>+'Contrato 013'!E18</f>
        <v>16153</v>
      </c>
      <c r="O196" s="1593">
        <f t="shared" si="71"/>
        <v>17652</v>
      </c>
      <c r="Q196" s="263">
        <f>ROUND(16153*1.0928,0)</f>
        <v>17652</v>
      </c>
      <c r="S196" s="408">
        <f t="shared" si="66"/>
        <v>0</v>
      </c>
    </row>
    <row r="197" spans="1:19" x14ac:dyDescent="0.2">
      <c r="A197" s="386" t="s">
        <v>752</v>
      </c>
      <c r="B197" s="406" t="s">
        <v>195</v>
      </c>
      <c r="C197" s="394" t="s">
        <v>19</v>
      </c>
      <c r="D197" s="385">
        <v>156</v>
      </c>
      <c r="E197" s="353">
        <v>7000</v>
      </c>
      <c r="F197" s="353">
        <v>1092000</v>
      </c>
      <c r="G197" s="349">
        <v>4200</v>
      </c>
      <c r="H197" s="349">
        <v>655200</v>
      </c>
      <c r="I197" s="352">
        <v>5300</v>
      </c>
      <c r="J197" s="349">
        <v>826800</v>
      </c>
      <c r="L197" s="340" t="s">
        <v>791</v>
      </c>
      <c r="M197" s="423"/>
      <c r="N197" s="1592">
        <f>+'Contrato 041'!E63</f>
        <v>4850</v>
      </c>
      <c r="O197" s="1593">
        <f t="shared" si="71"/>
        <v>5300</v>
      </c>
      <c r="Q197" s="263">
        <f>ROUND(4850*1.0928,0)</f>
        <v>5300</v>
      </c>
      <c r="S197" s="408">
        <f t="shared" ref="S197" si="72">+Q197-O197</f>
        <v>0</v>
      </c>
    </row>
    <row r="198" spans="1:19" ht="25.5" x14ac:dyDescent="0.2">
      <c r="A198" s="386" t="str">
        <f>+'estudio inicial precios'!A217</f>
        <v>C. 7,5</v>
      </c>
      <c r="B198" s="406" t="str">
        <f>+'estudio inicial precios'!B217</f>
        <v xml:space="preserve">Suministro e instalación de tubería sanitaria de 2" incluye accesorios para su correcta instalación y elementos de fijación </v>
      </c>
      <c r="F198" s="380">
        <f>+'entrega abogada'!F538</f>
        <v>2486675184.0069995</v>
      </c>
      <c r="H198" s="380">
        <f>+'entrega abogada'!H538</f>
        <v>1443320070.19929</v>
      </c>
      <c r="J198" s="380">
        <f>+'Piedad Lorena'!F534</f>
        <v>570795235.20000005</v>
      </c>
      <c r="L198" s="340" t="s">
        <v>792</v>
      </c>
      <c r="M198" s="423"/>
      <c r="N198" s="1592">
        <f>+'Contrato 028'!F56</f>
        <v>38658.06</v>
      </c>
      <c r="O198" s="1593">
        <f t="shared" ref="O198:O200" si="73">ROUND(N198*(1+$N$13),0)</f>
        <v>42246</v>
      </c>
    </row>
    <row r="199" spans="1:19" ht="25.5" x14ac:dyDescent="0.2">
      <c r="A199" s="386" t="str">
        <f>+'estudio inicial precios'!A296</f>
        <v>D. 5,15</v>
      </c>
      <c r="B199" s="406" t="str">
        <f>+'estudio inicial precios'!B296</f>
        <v>Suministro e instalación de cable trenzado 3#12 AWG para circuito normal o regulado</v>
      </c>
      <c r="D199" s="336" t="s">
        <v>801</v>
      </c>
      <c r="F199" s="380" t="e">
        <f>+F198-#REF!</f>
        <v>#REF!</v>
      </c>
      <c r="H199" s="380" t="e">
        <f>+H198-#REF!</f>
        <v>#REF!</v>
      </c>
      <c r="J199" s="380" t="e">
        <f>+J198-#REF!</f>
        <v>#REF!</v>
      </c>
      <c r="L199" s="340" t="s">
        <v>790</v>
      </c>
      <c r="M199" s="423"/>
      <c r="N199" s="1592">
        <f>+'Contrato 013'!E37</f>
        <v>14000</v>
      </c>
      <c r="O199" s="1593">
        <f t="shared" si="73"/>
        <v>15299</v>
      </c>
    </row>
    <row r="200" spans="1:19" x14ac:dyDescent="0.2">
      <c r="A200" s="386" t="str">
        <f>+'estudio inicial precios'!A113</f>
        <v>A. 6,6</v>
      </c>
      <c r="B200" s="406" t="str">
        <f>+'estudio inicial precios'!B113</f>
        <v>excavación tierra  a mano 30 cm</v>
      </c>
      <c r="F200" s="380"/>
      <c r="H200" s="380"/>
      <c r="J200" s="380"/>
      <c r="L200" s="340" t="s">
        <v>793</v>
      </c>
      <c r="M200" s="1592">
        <f>+'Contrato 058'!F44</f>
        <v>27110</v>
      </c>
      <c r="N200" s="1592">
        <f t="shared" ref="N200" si="74">+M200*(1+M$13)</f>
        <v>30666.831999999999</v>
      </c>
      <c r="O200" s="1593">
        <f t="shared" si="73"/>
        <v>33513</v>
      </c>
      <c r="Q200" s="282">
        <f>ROUND((13494*1.1312)*1.0928,0)</f>
        <v>16681</v>
      </c>
      <c r="S200" s="408">
        <f t="shared" ref="S200" si="75">+Q200-O200</f>
        <v>-16832</v>
      </c>
    </row>
    <row r="201" spans="1:19" ht="38.25" x14ac:dyDescent="0.2">
      <c r="A201" s="1549" t="str">
        <f>+'estudio inicial precios'!A106</f>
        <v>A. 5,26</v>
      </c>
      <c r="B201" s="1550" t="str">
        <f>+'estudio inicial precios'!B106</f>
        <v>Suministro e instalación mesón o cubierta en aglomerado RH de 30mm, ancho de 50cm, incluye soportes de fijación (color miel hacer  aprobar)</v>
      </c>
      <c r="F201" s="380"/>
      <c r="H201" s="380"/>
      <c r="J201" s="380"/>
      <c r="L201" s="340" t="s">
        <v>791</v>
      </c>
      <c r="M201" s="423"/>
      <c r="N201" s="1552">
        <f>+'contrato 041 con adic'!D39</f>
        <v>207303</v>
      </c>
      <c r="O201" s="1593">
        <f t="shared" ref="O201:O204" si="76">ROUND(N201*(1+$N$13),0)</f>
        <v>226541</v>
      </c>
    </row>
    <row r="202" spans="1:19" x14ac:dyDescent="0.2">
      <c r="A202" s="386"/>
      <c r="B202" s="406"/>
      <c r="F202" s="380"/>
      <c r="H202" s="380"/>
      <c r="J202" s="380"/>
      <c r="L202" s="340"/>
      <c r="M202" s="423"/>
      <c r="N202" s="1552"/>
      <c r="O202" s="1593">
        <f t="shared" si="76"/>
        <v>0</v>
      </c>
    </row>
    <row r="203" spans="1:19" x14ac:dyDescent="0.2">
      <c r="A203" s="386"/>
      <c r="B203" s="406"/>
      <c r="E203" s="336" t="s">
        <v>802</v>
      </c>
      <c r="F203" s="380"/>
      <c r="H203" s="380"/>
      <c r="J203" s="380"/>
      <c r="L203" s="340"/>
      <c r="M203" s="423"/>
      <c r="N203" s="1552"/>
      <c r="O203" s="1593">
        <f t="shared" si="76"/>
        <v>0</v>
      </c>
    </row>
    <row r="204" spans="1:19" x14ac:dyDescent="0.2">
      <c r="A204" s="386"/>
      <c r="B204" s="406"/>
      <c r="F204" s="380"/>
      <c r="H204" s="380"/>
      <c r="J204" s="380"/>
      <c r="L204" s="340"/>
      <c r="M204" s="423"/>
      <c r="N204" s="1552"/>
      <c r="O204" s="1593">
        <f t="shared" si="76"/>
        <v>0</v>
      </c>
    </row>
    <row r="205" spans="1:19" x14ac:dyDescent="0.2">
      <c r="D205" s="414"/>
      <c r="E205" s="336" t="s">
        <v>803</v>
      </c>
    </row>
    <row r="206" spans="1:19" x14ac:dyDescent="0.2">
      <c r="I206" s="336">
        <f>+'entrega abogada'!H129</f>
        <v>2428239.8969999999</v>
      </c>
    </row>
    <row r="207" spans="1:19" x14ac:dyDescent="0.2">
      <c r="B207" s="425"/>
    </row>
    <row r="216" spans="8:10" x14ac:dyDescent="0.2">
      <c r="H216" s="380"/>
    </row>
    <row r="222" spans="8:10" x14ac:dyDescent="0.2">
      <c r="H222" s="380"/>
      <c r="J222" s="380"/>
    </row>
    <row r="223" spans="8:10" x14ac:dyDescent="0.2">
      <c r="H223" s="380"/>
      <c r="J223" s="380"/>
    </row>
    <row r="224" spans="8:10" x14ac:dyDescent="0.2">
      <c r="H224" s="380"/>
      <c r="J224" s="380"/>
    </row>
    <row r="225" spans="8:10" x14ac:dyDescent="0.2">
      <c r="H225" s="380"/>
      <c r="J225" s="380"/>
    </row>
    <row r="226" spans="8:10" x14ac:dyDescent="0.2">
      <c r="H226" s="380"/>
      <c r="J226" s="380"/>
    </row>
    <row r="227" spans="8:10" x14ac:dyDescent="0.2">
      <c r="H227" s="380"/>
      <c r="J227" s="380"/>
    </row>
    <row r="228" spans="8:10" x14ac:dyDescent="0.2">
      <c r="H228" s="380"/>
      <c r="J228" s="380"/>
    </row>
    <row r="229" spans="8:10" x14ac:dyDescent="0.2">
      <c r="H229" s="380"/>
      <c r="J229" s="380"/>
    </row>
    <row r="230" spans="8:10" x14ac:dyDescent="0.2">
      <c r="H230" s="380"/>
      <c r="J230" s="380"/>
    </row>
    <row r="231" spans="8:10" x14ac:dyDescent="0.2">
      <c r="H231" s="380"/>
      <c r="J231" s="380"/>
    </row>
  </sheetData>
  <autoFilter ref="L13:O197" xr:uid="{00000000-0009-0000-0000-000007000000}"/>
  <mergeCells count="16">
    <mergeCell ref="L3:O3"/>
    <mergeCell ref="L4:O4"/>
    <mergeCell ref="L5:O5"/>
    <mergeCell ref="L6:O6"/>
    <mergeCell ref="L7:O7"/>
    <mergeCell ref="L10:L13"/>
    <mergeCell ref="M12:O12"/>
    <mergeCell ref="C4:J4"/>
    <mergeCell ref="A7:J7"/>
    <mergeCell ref="A8:J9"/>
    <mergeCell ref="A10:B10"/>
    <mergeCell ref="M10:O10"/>
    <mergeCell ref="B11:D11"/>
    <mergeCell ref="E11:F11"/>
    <mergeCell ref="G11:H11"/>
    <mergeCell ref="I11:J11"/>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C150"/>
  <sheetViews>
    <sheetView showGridLines="0" zoomScale="85" zoomScaleNormal="85" workbookViewId="0">
      <selection activeCell="H23" sqref="H23"/>
    </sheetView>
  </sheetViews>
  <sheetFormatPr baseColWidth="10" defaultRowHeight="15" x14ac:dyDescent="0.25"/>
  <cols>
    <col min="1" max="1" width="24.42578125" bestFit="1" customWidth="1"/>
    <col min="2" max="2" width="15.5703125" bestFit="1" customWidth="1"/>
    <col min="3" max="3" width="10.5703125" bestFit="1" customWidth="1"/>
    <col min="5" max="5" width="34" style="1645" customWidth="1"/>
    <col min="6" max="6" width="11.28515625" style="1298" customWidth="1"/>
    <col min="7" max="7" width="15.5703125" style="1645" bestFit="1" customWidth="1"/>
    <col min="8" max="8" width="16.7109375" bestFit="1" customWidth="1"/>
    <col min="9" max="12" width="11" bestFit="1" customWidth="1"/>
    <col min="13" max="13" width="11" style="1645" bestFit="1" customWidth="1"/>
    <col min="14" max="14" width="8.140625" style="1648" bestFit="1" customWidth="1"/>
    <col min="21" max="21" width="19.85546875" customWidth="1"/>
    <col min="23" max="23" width="20.5703125" bestFit="1" customWidth="1"/>
    <col min="24" max="24" width="11.42578125" bestFit="1" customWidth="1"/>
    <col min="25" max="25" width="24.5703125" bestFit="1" customWidth="1"/>
    <col min="26" max="26" width="25" bestFit="1" customWidth="1"/>
    <col min="27" max="27" width="15.28515625" bestFit="1" customWidth="1"/>
    <col min="28" max="28" width="23" bestFit="1" customWidth="1"/>
  </cols>
  <sheetData>
    <row r="1" spans="1:29" ht="38.25" x14ac:dyDescent="0.25">
      <c r="A1" s="1295" t="str">
        <f>POE!H3</f>
        <v>grupos</v>
      </c>
      <c r="B1" s="1619" t="s">
        <v>1606</v>
      </c>
      <c r="C1" s="1295" t="str">
        <f>POE!I3</f>
        <v>No meses</v>
      </c>
      <c r="E1" s="1615" t="s">
        <v>1619</v>
      </c>
      <c r="F1" s="1525" t="s">
        <v>1625</v>
      </c>
      <c r="G1" s="1615" t="s">
        <v>1624</v>
      </c>
      <c r="H1" s="1694">
        <v>1</v>
      </c>
      <c r="I1" s="1694">
        <v>2</v>
      </c>
      <c r="J1" s="1694">
        <v>3</v>
      </c>
      <c r="K1" s="1694">
        <v>4</v>
      </c>
      <c r="L1" s="1694">
        <v>5</v>
      </c>
      <c r="M1" s="1695" t="s">
        <v>1559</v>
      </c>
      <c r="N1" s="1696" t="s">
        <v>1620</v>
      </c>
      <c r="U1" s="1633" t="str">
        <f>+E2</f>
        <v>Palacio de Justicia de Cali "PEDRO ELIAS SERRANO ABADIA</v>
      </c>
      <c r="V1" s="1645"/>
      <c r="W1" s="1645"/>
      <c r="X1" s="1645"/>
      <c r="Y1" s="1645"/>
      <c r="Z1" s="1645"/>
      <c r="AA1" s="1645"/>
      <c r="AB1" s="1645"/>
      <c r="AC1" s="1645"/>
    </row>
    <row r="2" spans="1:29" ht="25.5" x14ac:dyDescent="0.25">
      <c r="A2" s="1633" t="str">
        <f>POE!G4</f>
        <v>Cali</v>
      </c>
      <c r="B2" s="1637">
        <f>POE!H4</f>
        <v>458587652</v>
      </c>
      <c r="C2" s="1640">
        <v>3</v>
      </c>
      <c r="E2" s="1633" t="str">
        <f>+POE!B5</f>
        <v>Palacio de Justicia de Cali "PEDRO ELIAS SERRANO ABADIA</v>
      </c>
      <c r="F2" s="1688">
        <v>4</v>
      </c>
      <c r="G2" s="1684">
        <f>+POE!O5</f>
        <v>458587652</v>
      </c>
      <c r="H2" s="1693">
        <f>IFERROR(VLOOKUP(H1,$U$9:$Y$14,5,FALSE),"")</f>
        <v>81.248821264459735</v>
      </c>
      <c r="I2" s="1693">
        <f t="shared" ref="I2:L2" si="0">IFERROR(VLOOKUP(I1,$U$9:$Y$14,5,FALSE),"")</f>
        <v>148.04500473554026</v>
      </c>
      <c r="J2" s="1693">
        <f t="shared" si="0"/>
        <v>148.04500473554026</v>
      </c>
      <c r="K2" s="1693">
        <f t="shared" si="0"/>
        <v>81.248821264459735</v>
      </c>
      <c r="L2" s="1693" t="str">
        <f t="shared" si="0"/>
        <v/>
      </c>
      <c r="M2" s="1656">
        <f>SUM(H2:L2)</f>
        <v>458.58765199999993</v>
      </c>
      <c r="N2" s="1673">
        <f>+M2/$M$11</f>
        <v>0.35433612247412505</v>
      </c>
      <c r="U2" s="1645" t="s">
        <v>1607</v>
      </c>
      <c r="V2" s="1645"/>
      <c r="W2" s="1649">
        <f>+F2</f>
        <v>4</v>
      </c>
      <c r="X2" s="1645"/>
      <c r="Y2" s="1645" t="s">
        <v>1608</v>
      </c>
      <c r="Z2" s="1645">
        <f>AVERAGE(U9:U14)</f>
        <v>2.5</v>
      </c>
      <c r="AA2" s="1645"/>
      <c r="AB2" s="1645" t="s">
        <v>1609</v>
      </c>
      <c r="AC2" s="1649">
        <v>2</v>
      </c>
    </row>
    <row r="3" spans="1:29" ht="25.5" x14ac:dyDescent="0.25">
      <c r="A3" s="1634" t="str">
        <f>POE!G5</f>
        <v>El Dovio, Obando, San Jose</v>
      </c>
      <c r="B3" s="1637">
        <f>POE!H5</f>
        <v>92690320</v>
      </c>
      <c r="C3" s="1640">
        <v>1</v>
      </c>
      <c r="E3" s="1634" t="str">
        <f>+POE!B6</f>
        <v>Juzgado Promiscuo Municipal de el Dovio -</v>
      </c>
      <c r="F3" s="1689">
        <f>+C3</f>
        <v>1</v>
      </c>
      <c r="G3" s="1685">
        <f>+POE!O6</f>
        <v>4769876</v>
      </c>
      <c r="H3" s="1693">
        <f>IF(F3=1,G3/1000000,IFERROR(VLOOKUP(H1,$U$27:$Y$32,5,FALSE),""))</f>
        <v>4.769876</v>
      </c>
      <c r="I3" s="1693" t="str">
        <f t="shared" ref="I3:L3" si="1">IF(G3=1,H3/1000000,IFERROR(VLOOKUP(I1,$U$27:$Y$32,5,FALSE),""))</f>
        <v/>
      </c>
      <c r="J3" s="1693" t="str">
        <f t="shared" si="1"/>
        <v/>
      </c>
      <c r="K3" s="1693" t="str">
        <f t="shared" si="1"/>
        <v/>
      </c>
      <c r="L3" s="1693" t="str">
        <f t="shared" si="1"/>
        <v/>
      </c>
      <c r="M3" s="1656">
        <f t="shared" ref="M3:M10" si="2">SUM(H3:L3)</f>
        <v>4.769876</v>
      </c>
      <c r="N3" s="1673">
        <f>+M3/$M$11</f>
        <v>3.6855317825312704E-3</v>
      </c>
      <c r="U3" s="1645" t="s">
        <v>1610</v>
      </c>
      <c r="V3" s="1645"/>
      <c r="W3" s="1644">
        <f>+G2/1000000</f>
        <v>458.58765199999999</v>
      </c>
      <c r="X3" s="1645"/>
      <c r="Y3" s="1645" t="s">
        <v>1611</v>
      </c>
      <c r="Z3" s="1645">
        <f>_xlfn.STDEV.S(U9:U14)</f>
        <v>1.2909944487358056</v>
      </c>
      <c r="AA3" s="1645"/>
      <c r="AB3" s="1645"/>
      <c r="AC3" s="1645"/>
    </row>
    <row r="4" spans="1:29" ht="25.5" x14ac:dyDescent="0.25">
      <c r="A4" s="1636" t="str">
        <f>POE!G6</f>
        <v>Buenaventura</v>
      </c>
      <c r="B4" s="1637">
        <f>POE!H6</f>
        <v>335792733</v>
      </c>
      <c r="C4" s="1640">
        <v>2</v>
      </c>
      <c r="E4" s="1635" t="str">
        <f>+POE!B7</f>
        <v>Palacio de Justicia "SIMON DAVID CARREJO BEJARANO" Palmira</v>
      </c>
      <c r="F4" s="1690">
        <f>+C5</f>
        <v>3</v>
      </c>
      <c r="G4" s="1686">
        <f>+POE!O7</f>
        <v>310164975</v>
      </c>
      <c r="H4" s="1693">
        <f>IF(F4=1,G4/1000000,IFERROR(VLOOKUP(H1,$U$43:$Y$48,5,FALSE),""))</f>
        <v>85.006486379400698</v>
      </c>
      <c r="I4" s="1693">
        <f t="shared" ref="I4:L4" si="3">IF(G4=1,H4/1000000,IFERROR(VLOOKUP(I1,$U$43:$Y$48,5,FALSE),""))</f>
        <v>140.15200224119863</v>
      </c>
      <c r="J4" s="1693">
        <f t="shared" si="3"/>
        <v>85.006486379400698</v>
      </c>
      <c r="K4" s="1693" t="str">
        <f t="shared" si="3"/>
        <v/>
      </c>
      <c r="L4" s="1693" t="str">
        <f t="shared" si="3"/>
        <v/>
      </c>
      <c r="M4" s="1656">
        <f t="shared" si="2"/>
        <v>310.16497500000003</v>
      </c>
      <c r="N4" s="1673">
        <f>+M4/$M$11</f>
        <v>0.2396546311037262</v>
      </c>
      <c r="U4" s="1645" t="s">
        <v>1612</v>
      </c>
      <c r="V4" s="1645"/>
      <c r="W4" s="1642">
        <f>+'[1]Pref. consolidada'!T23</f>
        <v>0</v>
      </c>
      <c r="X4" s="1645"/>
      <c r="Y4" s="1645"/>
      <c r="Z4" s="1645"/>
      <c r="AA4" s="1645"/>
      <c r="AB4" s="1645"/>
      <c r="AC4" s="1645"/>
    </row>
    <row r="5" spans="1:29" x14ac:dyDescent="0.25">
      <c r="A5" s="1635" t="str">
        <f>POE!G7</f>
        <v>Palmira / Tulua</v>
      </c>
      <c r="B5" s="1637">
        <f>POE!H7</f>
        <v>407145783</v>
      </c>
      <c r="C5" s="1640">
        <f>+C2</f>
        <v>3</v>
      </c>
      <c r="E5" s="1635" t="str">
        <f>+POE!B8</f>
        <v>Sede de Familia de Palmira</v>
      </c>
      <c r="F5" s="1690">
        <v>1</v>
      </c>
      <c r="G5" s="1686">
        <f>+POE!O8</f>
        <v>72572695</v>
      </c>
      <c r="H5" s="1693">
        <f>IF(F5=1,G5/1000000,IFERROR(VLOOKUP(H1,$U$59:$Y$64,5,FALSE),""))</f>
        <v>72.572694999999996</v>
      </c>
      <c r="I5" s="1693" t="str">
        <f>IF(G5=1,H5/1000000,IFERROR(VLOOKUP(I1,$U$59:$Y$64,5,FALSE),""))</f>
        <v/>
      </c>
      <c r="J5" s="1693" t="str">
        <f t="shared" ref="J5" si="4">IF(H5=1,I5/1000000,IFERROR(VLOOKUP(J1,$U$59:$Y$64,5,FALSE),""))</f>
        <v/>
      </c>
      <c r="K5" s="1693" t="str">
        <f t="shared" ref="K5:L5" si="5">IF(I5=1,J5/1000000,IFERROR(VLOOKUP(K1,$U$59:$Y$64,5,FALSE),""))</f>
        <v/>
      </c>
      <c r="L5" s="1693" t="str">
        <f t="shared" si="5"/>
        <v/>
      </c>
      <c r="M5" s="1656">
        <f t="shared" si="2"/>
        <v>72.572694999999996</v>
      </c>
      <c r="N5" s="1673">
        <f>+M5/$M$11</f>
        <v>5.6074617865631775E-2</v>
      </c>
      <c r="U5" s="1645" t="s">
        <v>1613</v>
      </c>
      <c r="V5" s="1645"/>
      <c r="W5" s="1649">
        <v>1</v>
      </c>
      <c r="X5" s="1645"/>
      <c r="Y5" s="1645"/>
      <c r="Z5" s="1645"/>
      <c r="AA5" s="1645"/>
      <c r="AB5" s="1645"/>
      <c r="AC5" s="1645"/>
    </row>
    <row r="6" spans="1:29" x14ac:dyDescent="0.25">
      <c r="A6" s="1638" t="str">
        <f>POE!G8</f>
        <v>total</v>
      </c>
      <c r="B6" s="1639">
        <f>SUM(B2:B5)</f>
        <v>1294216488</v>
      </c>
      <c r="C6" s="1295">
        <f>SUM(C2:C5)</f>
        <v>9</v>
      </c>
      <c r="E6" s="1636" t="str">
        <f>+POE!B9</f>
        <v>Palacio Nacional de Buenaventura</v>
      </c>
      <c r="F6" s="1691">
        <f>+C4</f>
        <v>2</v>
      </c>
      <c r="G6" s="1687">
        <f>+POE!O9</f>
        <v>231401103</v>
      </c>
      <c r="H6" s="1693">
        <f>IF(F6=1,G6/1000000,IFERROR(VLOOKUP(H1,$U$76:$Y$81,5,FALSE),""))</f>
        <v>115.7005515</v>
      </c>
      <c r="I6" s="1693">
        <f>IF(G6=1,H6/1000000,IFERROR(VLOOKUP(I1,$U$76:$Y$81,5,FALSE),""))</f>
        <v>115.7005515</v>
      </c>
      <c r="J6" s="1693" t="str">
        <f t="shared" ref="J6:L6" si="6">IF(H6=1,I6/1000000,IFERROR(VLOOKUP(J1,$U$76:$Y$81,5,FALSE),""))</f>
        <v/>
      </c>
      <c r="K6" s="1693" t="str">
        <f t="shared" si="6"/>
        <v/>
      </c>
      <c r="L6" s="1693" t="str">
        <f t="shared" si="6"/>
        <v/>
      </c>
      <c r="M6" s="1656">
        <f t="shared" si="2"/>
        <v>231.40110300000001</v>
      </c>
      <c r="N6" s="1673">
        <f t="shared" ref="N6:N10" si="7">+M6/$M$11</f>
        <v>0.17879628728698443</v>
      </c>
      <c r="O6" s="1645"/>
      <c r="U6" s="1645" t="s">
        <v>1614</v>
      </c>
      <c r="V6" s="1645"/>
      <c r="W6" s="1641">
        <f>IFERROR(NOMINAL(W4,12)/12,0)</f>
        <v>0</v>
      </c>
      <c r="X6" s="1641">
        <f>(1+W4)^(1/12)-1</f>
        <v>0</v>
      </c>
      <c r="Y6" s="1645"/>
      <c r="Z6" s="1645"/>
      <c r="AA6" s="1645"/>
      <c r="AB6" s="1645"/>
      <c r="AC6" s="1645"/>
    </row>
    <row r="7" spans="1:29" x14ac:dyDescent="0.25">
      <c r="E7" s="1636" t="str">
        <f>+POE!B10</f>
        <v>Edificio de Transferencia de Buenaventura</v>
      </c>
      <c r="F7" s="1691">
        <v>1</v>
      </c>
      <c r="G7" s="1687">
        <f>+POE!O10</f>
        <v>104391630</v>
      </c>
      <c r="H7" s="1693">
        <f>IF(F7=1,G7/1000000,IFERROR(VLOOKUP(H1,$U$93:$Y$98,5,FALSE),""))</f>
        <v>104.39163000000001</v>
      </c>
      <c r="I7" s="1693" t="str">
        <f t="shared" ref="I7:L7" si="8">IF(G7=1,H7/1000000,IFERROR(VLOOKUP(I1,$U$93:$Y$98,5,FALSE),""))</f>
        <v/>
      </c>
      <c r="J7" s="1693" t="str">
        <f t="shared" si="8"/>
        <v/>
      </c>
      <c r="K7" s="1693" t="str">
        <f t="shared" si="8"/>
        <v/>
      </c>
      <c r="L7" s="1693" t="str">
        <f t="shared" si="8"/>
        <v/>
      </c>
      <c r="M7" s="1656">
        <f t="shared" si="2"/>
        <v>104.39163000000001</v>
      </c>
      <c r="N7" s="1673">
        <f t="shared" si="7"/>
        <v>8.0660098961743421E-2</v>
      </c>
      <c r="O7" s="1645"/>
      <c r="U7" s="1645"/>
      <c r="V7" s="1645"/>
      <c r="W7" s="1645"/>
      <c r="X7" s="1645"/>
      <c r="Y7" s="1645"/>
      <c r="Z7" s="1645"/>
      <c r="AA7" s="1645"/>
      <c r="AB7" s="1645"/>
      <c r="AC7" s="1645"/>
    </row>
    <row r="8" spans="1:29" ht="25.5" x14ac:dyDescent="0.25">
      <c r="E8" s="1634" t="str">
        <f>+POE!B11</f>
        <v xml:space="preserve">Juzgado Promiscuo Municipal de Obando </v>
      </c>
      <c r="F8" s="1689">
        <f>+C3</f>
        <v>1</v>
      </c>
      <c r="G8" s="1685">
        <f>+POE!O11</f>
        <v>22815097</v>
      </c>
      <c r="H8" s="1693">
        <f>IF(F8=1,G8/1000000,IFERROR(VLOOKUP(H1,$U$110:$Y$115,5,FALSE),""))</f>
        <v>22.815097000000002</v>
      </c>
      <c r="I8" s="1693" t="str">
        <f t="shared" ref="I8:L8" si="9">IF(G8=1,H8/1000000,IFERROR(VLOOKUP(I1,$U$110:$Y$115,5,FALSE),""))</f>
        <v/>
      </c>
      <c r="J8" s="1693" t="str">
        <f t="shared" si="9"/>
        <v/>
      </c>
      <c r="K8" s="1693" t="str">
        <f t="shared" si="9"/>
        <v/>
      </c>
      <c r="L8" s="1693" t="str">
        <f t="shared" si="9"/>
        <v/>
      </c>
      <c r="M8" s="1656">
        <f t="shared" si="2"/>
        <v>22.815097000000002</v>
      </c>
      <c r="N8" s="1673">
        <f t="shared" si="7"/>
        <v>1.7628501268174234E-2</v>
      </c>
      <c r="O8" s="1645"/>
      <c r="U8" s="1650" t="s">
        <v>1558</v>
      </c>
      <c r="V8" s="1650"/>
      <c r="W8" s="1645"/>
      <c r="X8" s="1645"/>
      <c r="Y8" s="1651" t="s">
        <v>1615</v>
      </c>
      <c r="Z8" s="1651" t="s">
        <v>1616</v>
      </c>
      <c r="AA8" s="1646" t="s">
        <v>1617</v>
      </c>
      <c r="AB8" s="1646" t="s">
        <v>1618</v>
      </c>
      <c r="AC8" s="1645"/>
    </row>
    <row r="9" spans="1:29" ht="25.5" x14ac:dyDescent="0.25">
      <c r="E9" s="1634" t="str">
        <f>+POE!B12</f>
        <v>Juzgado Promiscuo Municipal de San José del Palmar</v>
      </c>
      <c r="F9" s="1689">
        <f>+C3</f>
        <v>1</v>
      </c>
      <c r="G9" s="1685">
        <f>+POE!O12</f>
        <v>65105347</v>
      </c>
      <c r="H9" s="1693">
        <f>IF(F9=1,G9/1000000,IFERROR(VLOOKUP(H1,$U$127:$Y$132,5,FALSE),""))</f>
        <v>65.105346999999995</v>
      </c>
      <c r="I9" s="1693" t="str">
        <f t="shared" ref="I9:L9" si="10">IF(G9=1,H9/1000000,IFERROR(VLOOKUP(I1,$U$127:$Y$132,5,FALSE),""))</f>
        <v/>
      </c>
      <c r="J9" s="1693" t="str">
        <f t="shared" si="10"/>
        <v/>
      </c>
      <c r="K9" s="1693" t="str">
        <f t="shared" si="10"/>
        <v/>
      </c>
      <c r="L9" s="1693" t="str">
        <f t="shared" si="10"/>
        <v/>
      </c>
      <c r="M9" s="1656">
        <f t="shared" si="2"/>
        <v>65.105346999999995</v>
      </c>
      <c r="N9" s="1673">
        <f t="shared" si="7"/>
        <v>5.030483509030987E-2</v>
      </c>
      <c r="O9" s="1645"/>
      <c r="U9" s="1652">
        <v>1</v>
      </c>
      <c r="V9" s="1652">
        <f>+W5</f>
        <v>1</v>
      </c>
      <c r="W9" s="1653">
        <f t="shared" ref="W9:W14" si="11">IFERROR(_xlfn.NORM.DIST(U9,$Z$2,$Z$3,FALSE),"")</f>
        <v>0.15733919206013164</v>
      </c>
      <c r="X9" s="1648">
        <f t="shared" ref="X9:X14" si="12">IFERROR(W9*100%/SUM($W$9:$W$14),"")</f>
        <v>0.17717184688710227</v>
      </c>
      <c r="Y9" s="1597">
        <f t="shared" ref="Y9:Y14" si="13">IFERROR(X9*$W$3,0)</f>
        <v>81.248821264459735</v>
      </c>
      <c r="Z9" s="1597">
        <f>+Y9</f>
        <v>81.248821264459735</v>
      </c>
      <c r="AA9" s="1654">
        <f t="shared" ref="AA9:AA14" si="14">IFERROR(((($W$6+1)^V9))-1,"")</f>
        <v>0</v>
      </c>
      <c r="AB9" s="1597">
        <f>IFERROR(AA9*Y9,"")</f>
        <v>0</v>
      </c>
      <c r="AC9" s="1645"/>
    </row>
    <row r="10" spans="1:29" x14ac:dyDescent="0.25">
      <c r="E10" s="1635" t="str">
        <f>+POE!B13</f>
        <v>Palacio de Justicia de Tuluá</v>
      </c>
      <c r="F10" s="1690">
        <v>1</v>
      </c>
      <c r="G10" s="1686">
        <f>+POE!O13</f>
        <v>24408113</v>
      </c>
      <c r="H10" s="1693">
        <f>IF(F10=1,G10/1000000,IFERROR(VLOOKUP(H1,$U$144:$Y$149,5,FALSE),""))</f>
        <v>24.408113</v>
      </c>
      <c r="I10" s="1693" t="str">
        <f t="shared" ref="I10:L10" si="15">IF(G10=1,H10/1000000,IFERROR(VLOOKUP(I1,$U$144:$Y$149,5,FALSE),""))</f>
        <v/>
      </c>
      <c r="J10" s="1693" t="str">
        <f t="shared" si="15"/>
        <v/>
      </c>
      <c r="K10" s="1693" t="str">
        <f t="shared" si="15"/>
        <v/>
      </c>
      <c r="L10" s="1693" t="str">
        <f t="shared" si="15"/>
        <v/>
      </c>
      <c r="M10" s="1656">
        <f t="shared" si="2"/>
        <v>24.408113</v>
      </c>
      <c r="N10" s="1673">
        <f t="shared" si="7"/>
        <v>1.8859374166773871E-2</v>
      </c>
      <c r="O10" s="1645"/>
      <c r="U10" s="1652">
        <f>IFERROR(IF(U9+1&gt;$W$2,"",U9+1),"")</f>
        <v>2</v>
      </c>
      <c r="V10" s="1652">
        <f t="shared" ref="V10:V14" si="16">IF(U10="","",V9+1)</f>
        <v>2</v>
      </c>
      <c r="W10" s="1653">
        <f t="shared" si="11"/>
        <v>0.28669069989101897</v>
      </c>
      <c r="X10" s="1648">
        <f t="shared" si="12"/>
        <v>0.32282815311289775</v>
      </c>
      <c r="Y10" s="1597">
        <f t="shared" si="13"/>
        <v>148.04500473554026</v>
      </c>
      <c r="Z10" s="1597">
        <f>IFERROR(Z9+Y10,"")</f>
        <v>229.293826</v>
      </c>
      <c r="AA10" s="1654">
        <f t="shared" si="14"/>
        <v>0</v>
      </c>
      <c r="AB10" s="1597">
        <f t="shared" ref="AB10:AB14" si="17">IFERROR(AA10*Y10,"")</f>
        <v>0</v>
      </c>
      <c r="AC10" s="1645"/>
    </row>
    <row r="11" spans="1:29" x14ac:dyDescent="0.25">
      <c r="E11" s="1658" t="str">
        <f>+A6</f>
        <v>total</v>
      </c>
      <c r="F11" s="1692"/>
      <c r="G11" s="1682">
        <f>SUM(G2:G10)</f>
        <v>1294216488</v>
      </c>
      <c r="H11" s="1657">
        <f>SUM(H2:H10)</f>
        <v>576.01861714386041</v>
      </c>
      <c r="I11" s="1657">
        <f t="shared" ref="I11:L11" si="18">SUM(I2:I10)</f>
        <v>403.89755847673888</v>
      </c>
      <c r="J11" s="1657">
        <f t="shared" si="18"/>
        <v>233.05149111494097</v>
      </c>
      <c r="K11" s="1657">
        <f t="shared" si="18"/>
        <v>81.248821264459735</v>
      </c>
      <c r="L11" s="1657">
        <f t="shared" si="18"/>
        <v>0</v>
      </c>
      <c r="M11" s="1657">
        <f>SUM(M2:M10)</f>
        <v>1294.2164879999998</v>
      </c>
      <c r="N11" s="1660">
        <f>+M11/$M$11</f>
        <v>1</v>
      </c>
      <c r="U11" s="1652">
        <f t="shared" ref="U11:U13" si="19">IFERROR(IF(U10+1&gt;$W$2,"",U10+1),"")</f>
        <v>3</v>
      </c>
      <c r="V11" s="1652">
        <f t="shared" si="16"/>
        <v>3</v>
      </c>
      <c r="W11" s="1653">
        <f t="shared" si="11"/>
        <v>0.28669069989101897</v>
      </c>
      <c r="X11" s="1648">
        <f t="shared" si="12"/>
        <v>0.32282815311289775</v>
      </c>
      <c r="Y11" s="1597">
        <f t="shared" si="13"/>
        <v>148.04500473554026</v>
      </c>
      <c r="Z11" s="1597">
        <f t="shared" ref="Z11:Z14" si="20">IFERROR(Z10+Y11,"")</f>
        <v>377.33883073554023</v>
      </c>
      <c r="AA11" s="1654">
        <f t="shared" si="14"/>
        <v>0</v>
      </c>
      <c r="AB11" s="1597">
        <f t="shared" si="17"/>
        <v>0</v>
      </c>
      <c r="AC11" s="1645"/>
    </row>
    <row r="12" spans="1:29" x14ac:dyDescent="0.25">
      <c r="E12" s="1659" t="s">
        <v>1620</v>
      </c>
      <c r="F12" s="1659"/>
      <c r="G12" s="1683"/>
      <c r="H12" s="1659">
        <f t="shared" ref="H12:M12" si="21">+H11/$M$11</f>
        <v>0.44507130181443066</v>
      </c>
      <c r="I12" s="1659">
        <f t="shared" si="21"/>
        <v>0.31207882315028806</v>
      </c>
      <c r="J12" s="1659">
        <f t="shared" si="21"/>
        <v>0.18007148979772619</v>
      </c>
      <c r="K12" s="1659">
        <f t="shared" si="21"/>
        <v>6.2778385237555204E-2</v>
      </c>
      <c r="L12" s="1659">
        <f t="shared" si="21"/>
        <v>0</v>
      </c>
      <c r="M12" s="1659">
        <f t="shared" si="21"/>
        <v>1</v>
      </c>
      <c r="N12" s="1674"/>
      <c r="U12" s="1652">
        <f t="shared" si="19"/>
        <v>4</v>
      </c>
      <c r="V12" s="1652">
        <f t="shared" si="16"/>
        <v>4</v>
      </c>
      <c r="W12" s="1653">
        <f t="shared" si="11"/>
        <v>0.15733919206013164</v>
      </c>
      <c r="X12" s="1648">
        <f t="shared" si="12"/>
        <v>0.17717184688710227</v>
      </c>
      <c r="Y12" s="1597">
        <f t="shared" si="13"/>
        <v>81.248821264459735</v>
      </c>
      <c r="Z12" s="1597">
        <f t="shared" si="20"/>
        <v>458.58765199999993</v>
      </c>
      <c r="AA12" s="1654">
        <f t="shared" si="14"/>
        <v>0</v>
      </c>
      <c r="AB12" s="1597">
        <f t="shared" si="17"/>
        <v>0</v>
      </c>
      <c r="AC12" s="1645"/>
    </row>
    <row r="13" spans="1:29" x14ac:dyDescent="0.25">
      <c r="U13" s="1652" t="str">
        <f t="shared" si="19"/>
        <v/>
      </c>
      <c r="V13" s="1652" t="str">
        <f t="shared" si="16"/>
        <v/>
      </c>
      <c r="W13" s="1653" t="str">
        <f t="shared" si="11"/>
        <v/>
      </c>
      <c r="X13" s="1648" t="str">
        <f t="shared" si="12"/>
        <v/>
      </c>
      <c r="Y13" s="1597">
        <f t="shared" si="13"/>
        <v>0</v>
      </c>
      <c r="Z13" s="1597">
        <f t="shared" si="20"/>
        <v>458.58765199999993</v>
      </c>
      <c r="AA13" s="1654" t="str">
        <f t="shared" si="14"/>
        <v/>
      </c>
      <c r="AB13" s="1597" t="str">
        <f t="shared" si="17"/>
        <v/>
      </c>
      <c r="AC13" s="1645"/>
    </row>
    <row r="14" spans="1:29" x14ac:dyDescent="0.25">
      <c r="U14" s="1652" t="str">
        <f t="shared" ref="U14" si="22">IFERROR(IF(U13+1&gt;$C$2,"",U13+1),"")</f>
        <v/>
      </c>
      <c r="V14" s="1652" t="str">
        <f t="shared" si="16"/>
        <v/>
      </c>
      <c r="W14" s="1653" t="str">
        <f t="shared" si="11"/>
        <v/>
      </c>
      <c r="X14" s="1648" t="str">
        <f t="shared" si="12"/>
        <v/>
      </c>
      <c r="Y14" s="1597">
        <f t="shared" si="13"/>
        <v>0</v>
      </c>
      <c r="Z14" s="1597">
        <f t="shared" si="20"/>
        <v>458.58765199999993</v>
      </c>
      <c r="AA14" s="1654" t="str">
        <f t="shared" si="14"/>
        <v/>
      </c>
      <c r="AB14" s="1597" t="str">
        <f t="shared" si="17"/>
        <v/>
      </c>
      <c r="AC14" s="1645"/>
    </row>
    <row r="15" spans="1:29" x14ac:dyDescent="0.25">
      <c r="E15" s="1658" t="s">
        <v>1621</v>
      </c>
      <c r="F15" s="1692"/>
      <c r="G15" s="1658"/>
      <c r="H15" s="1657">
        <f>+H11</f>
        <v>576.01861714386041</v>
      </c>
      <c r="I15" s="1657">
        <f>+I11+H15</f>
        <v>979.91617562059923</v>
      </c>
      <c r="J15" s="1657">
        <f t="shared" ref="J15:L15" si="23">+J11+I15</f>
        <v>1212.9676667355402</v>
      </c>
      <c r="K15" s="1657">
        <f t="shared" si="23"/>
        <v>1294.216488</v>
      </c>
      <c r="L15" s="1657">
        <f t="shared" si="23"/>
        <v>1294.216488</v>
      </c>
      <c r="U15" s="1652"/>
      <c r="V15" s="1652"/>
      <c r="W15" s="1645"/>
      <c r="X15" s="1655">
        <f>SUM(X9:X14)</f>
        <v>1</v>
      </c>
      <c r="Y15" s="1643">
        <f>SUM(Y9:Y14)</f>
        <v>458.58765199999993</v>
      </c>
      <c r="Z15" s="1645"/>
      <c r="AA15" s="1643"/>
      <c r="AB15" s="1643">
        <f>SUM(AB9:AB14)</f>
        <v>0</v>
      </c>
      <c r="AC15" s="1645"/>
    </row>
    <row r="16" spans="1:29" x14ac:dyDescent="0.25">
      <c r="E16" s="1659" t="s">
        <v>1620</v>
      </c>
      <c r="F16" s="1659"/>
      <c r="G16" s="1659"/>
      <c r="H16" s="1659">
        <f>+H15/$M$11</f>
        <v>0.44507130181443066</v>
      </c>
      <c r="I16" s="1659">
        <f>+I15/$M$11</f>
        <v>0.75715012496471867</v>
      </c>
      <c r="J16" s="1659">
        <f>+J15/$M$11</f>
        <v>0.93722161476244492</v>
      </c>
      <c r="K16" s="1659">
        <f>+K15/$M$11</f>
        <v>1.0000000000000002</v>
      </c>
      <c r="L16" s="1659">
        <f>+L15/$M$11</f>
        <v>1.0000000000000002</v>
      </c>
      <c r="AC16" s="1645"/>
    </row>
    <row r="17" spans="21:29" x14ac:dyDescent="0.25">
      <c r="AC17" s="1645"/>
    </row>
    <row r="18" spans="21:29" x14ac:dyDescent="0.25">
      <c r="AC18" s="1645"/>
    </row>
    <row r="19" spans="21:29" ht="25.5" x14ac:dyDescent="0.25">
      <c r="U19" s="1634" t="str">
        <f>+E3</f>
        <v>Juzgado Promiscuo Municipal de el Dovio -</v>
      </c>
      <c r="V19" s="1645"/>
      <c r="W19" s="1645"/>
      <c r="X19" s="1645"/>
      <c r="Y19" s="1645"/>
      <c r="Z19" s="1645"/>
      <c r="AA19" s="1645"/>
      <c r="AB19" s="1645"/>
      <c r="AC19" s="1645"/>
    </row>
    <row r="20" spans="21:29" x14ac:dyDescent="0.25">
      <c r="U20" s="1645" t="s">
        <v>1607</v>
      </c>
      <c r="V20" s="1645"/>
      <c r="W20" s="1649">
        <f>+C3</f>
        <v>1</v>
      </c>
      <c r="X20" s="1645"/>
      <c r="Y20" s="1645" t="s">
        <v>1608</v>
      </c>
      <c r="Z20" s="1645">
        <f>AVERAGE(U27:U32)</f>
        <v>1</v>
      </c>
      <c r="AA20" s="1645"/>
      <c r="AB20" s="1645" t="s">
        <v>1609</v>
      </c>
      <c r="AC20" s="1649">
        <v>2</v>
      </c>
    </row>
    <row r="21" spans="21:29" x14ac:dyDescent="0.25">
      <c r="U21" s="1645" t="s">
        <v>1610</v>
      </c>
      <c r="V21" s="1645"/>
      <c r="W21" s="1644">
        <f>+G3/1000000</f>
        <v>4.769876</v>
      </c>
      <c r="X21" s="1645"/>
      <c r="Y21" s="1645" t="s">
        <v>1611</v>
      </c>
      <c r="Z21" s="1645" t="e">
        <f>_xlfn.STDEV.S(U27:U32)</f>
        <v>#DIV/0!</v>
      </c>
      <c r="AA21" s="1645"/>
      <c r="AB21" s="1645"/>
      <c r="AC21" s="1645"/>
    </row>
    <row r="22" spans="21:29" x14ac:dyDescent="0.25">
      <c r="U22" s="1645" t="s">
        <v>1612</v>
      </c>
      <c r="V22" s="1645"/>
      <c r="W22" s="1642">
        <f>+'[1]Pref. consolidada'!T41</f>
        <v>0</v>
      </c>
      <c r="X22" s="1645"/>
      <c r="Y22" s="1645"/>
      <c r="Z22" s="1645"/>
      <c r="AA22" s="1645"/>
      <c r="AB22" s="1645"/>
      <c r="AC22" s="1645"/>
    </row>
    <row r="23" spans="21:29" x14ac:dyDescent="0.25">
      <c r="U23" s="1645" t="s">
        <v>1613</v>
      </c>
      <c r="V23" s="1645"/>
      <c r="W23" s="1649">
        <v>1</v>
      </c>
      <c r="X23" s="1645"/>
      <c r="Y23" s="1645"/>
      <c r="Z23" s="1645"/>
      <c r="AA23" s="1645"/>
      <c r="AB23" s="1645"/>
      <c r="AC23" s="1645"/>
    </row>
    <row r="24" spans="21:29" x14ac:dyDescent="0.25">
      <c r="U24" s="1645" t="s">
        <v>1614</v>
      </c>
      <c r="V24" s="1645"/>
      <c r="W24" s="1641">
        <f>IFERROR(NOMINAL(W22,12)/12,0)</f>
        <v>0</v>
      </c>
      <c r="X24" s="1641">
        <f>(1+W22)^(1/12)-1</f>
        <v>0</v>
      </c>
      <c r="Y24" s="1645"/>
      <c r="Z24" s="1645"/>
      <c r="AA24" s="1645"/>
      <c r="AB24" s="1645"/>
      <c r="AC24" s="1645"/>
    </row>
    <row r="25" spans="21:29" x14ac:dyDescent="0.25">
      <c r="U25" s="1645"/>
      <c r="V25" s="1645"/>
      <c r="W25" s="1645"/>
      <c r="X25" s="1645"/>
      <c r="Y25" s="1645"/>
      <c r="Z25" s="1645"/>
      <c r="AA25" s="1645"/>
      <c r="AB25" s="1645"/>
      <c r="AC25" s="1645"/>
    </row>
    <row r="26" spans="21:29" x14ac:dyDescent="0.25">
      <c r="U26" s="1650" t="s">
        <v>1558</v>
      </c>
      <c r="V26" s="1650"/>
      <c r="W26" s="1645"/>
      <c r="X26" s="1645"/>
      <c r="Y26" s="1651" t="s">
        <v>1615</v>
      </c>
      <c r="Z26" s="1651" t="s">
        <v>1616</v>
      </c>
      <c r="AA26" s="1646" t="s">
        <v>1617</v>
      </c>
      <c r="AB26" s="1646" t="s">
        <v>1618</v>
      </c>
      <c r="AC26" s="1645"/>
    </row>
    <row r="27" spans="21:29" x14ac:dyDescent="0.25">
      <c r="U27" s="1652">
        <v>1</v>
      </c>
      <c r="V27" s="1652">
        <f>+W23</f>
        <v>1</v>
      </c>
      <c r="W27" s="1653" t="str">
        <f>IFERROR(_xlfn.NORM.DIST(U27,$Z$20,$Z$21,FALSE),"")</f>
        <v/>
      </c>
      <c r="X27" s="1648" t="str">
        <f>IFERROR(W27*100%/SUM($W$27:$W$32),"")</f>
        <v/>
      </c>
      <c r="Y27" s="1597">
        <f>IFERROR(X27*$W$21,0)</f>
        <v>0</v>
      </c>
      <c r="Z27" s="1597">
        <f>+Y27</f>
        <v>0</v>
      </c>
      <c r="AA27" s="1654">
        <f>IFERROR(((($W$6+1)^V27))-1,"")</f>
        <v>0</v>
      </c>
      <c r="AB27" s="1597">
        <f>IFERROR(AA27*Y27,"")</f>
        <v>0</v>
      </c>
      <c r="AC27" s="1645"/>
    </row>
    <row r="28" spans="21:29" x14ac:dyDescent="0.25">
      <c r="U28" s="1652" t="str">
        <f>IFERROR(IF(U27+1&gt;$C$3,"",U27+1),"")</f>
        <v/>
      </c>
      <c r="V28" s="1652" t="str">
        <f t="shared" ref="V28:V32" si="24">IF(U28="","",V27+1)</f>
        <v/>
      </c>
      <c r="W28" s="1653" t="str">
        <f t="shared" ref="W28:W32" si="25">IFERROR(_xlfn.NORM.DIST(U28,$Z$20,$Z$21,FALSE),"")</f>
        <v/>
      </c>
      <c r="X28" s="1648" t="str">
        <f t="shared" ref="X28:X32" si="26">IFERROR(W28*100%/SUM($W$27:$W$32),"")</f>
        <v/>
      </c>
      <c r="Y28" s="1597">
        <f t="shared" ref="Y28:Y32" si="27">IFERROR(X28*$W$21,0)</f>
        <v>0</v>
      </c>
      <c r="Z28" s="1597">
        <f>IFERROR(Z27+Y28,"")</f>
        <v>0</v>
      </c>
      <c r="AA28" s="1654" t="str">
        <f t="shared" ref="AA28:AA32" si="28">IFERROR(((($W$6+1)^V28))-1,"")</f>
        <v/>
      </c>
      <c r="AB28" s="1597" t="str">
        <f t="shared" ref="AB28:AB32" si="29">IFERROR(AA28*Y28,"")</f>
        <v/>
      </c>
      <c r="AC28" s="1645"/>
    </row>
    <row r="29" spans="21:29" x14ac:dyDescent="0.25">
      <c r="U29" s="1652" t="str">
        <f t="shared" ref="U29:U31" si="30">IFERROR(IF(U28+1&gt;$C$3,"",U28+1),"")</f>
        <v/>
      </c>
      <c r="V29" s="1652" t="str">
        <f t="shared" si="24"/>
        <v/>
      </c>
      <c r="W29" s="1653" t="str">
        <f t="shared" si="25"/>
        <v/>
      </c>
      <c r="X29" s="1648" t="str">
        <f t="shared" si="26"/>
        <v/>
      </c>
      <c r="Y29" s="1597">
        <f t="shared" si="27"/>
        <v>0</v>
      </c>
      <c r="Z29" s="1597">
        <f t="shared" ref="Z29:Z32" si="31">IFERROR(Z28+Y29,"")</f>
        <v>0</v>
      </c>
      <c r="AA29" s="1654" t="str">
        <f t="shared" si="28"/>
        <v/>
      </c>
      <c r="AB29" s="1597" t="str">
        <f t="shared" si="29"/>
        <v/>
      </c>
      <c r="AC29" s="1645"/>
    </row>
    <row r="30" spans="21:29" x14ac:dyDescent="0.25">
      <c r="U30" s="1652" t="str">
        <f t="shared" si="30"/>
        <v/>
      </c>
      <c r="V30" s="1652" t="str">
        <f t="shared" si="24"/>
        <v/>
      </c>
      <c r="W30" s="1653" t="str">
        <f t="shared" si="25"/>
        <v/>
      </c>
      <c r="X30" s="1648" t="str">
        <f t="shared" si="26"/>
        <v/>
      </c>
      <c r="Y30" s="1597">
        <f t="shared" si="27"/>
        <v>0</v>
      </c>
      <c r="Z30" s="1597">
        <f t="shared" si="31"/>
        <v>0</v>
      </c>
      <c r="AA30" s="1654" t="str">
        <f t="shared" si="28"/>
        <v/>
      </c>
      <c r="AB30" s="1597" t="str">
        <f t="shared" si="29"/>
        <v/>
      </c>
      <c r="AC30" s="1645"/>
    </row>
    <row r="31" spans="21:29" x14ac:dyDescent="0.25">
      <c r="U31" s="1652" t="str">
        <f t="shared" si="30"/>
        <v/>
      </c>
      <c r="V31" s="1652" t="str">
        <f t="shared" si="24"/>
        <v/>
      </c>
      <c r="W31" s="1653" t="str">
        <f t="shared" si="25"/>
        <v/>
      </c>
      <c r="X31" s="1648" t="str">
        <f t="shared" si="26"/>
        <v/>
      </c>
      <c r="Y31" s="1597">
        <f t="shared" si="27"/>
        <v>0</v>
      </c>
      <c r="Z31" s="1597">
        <f t="shared" si="31"/>
        <v>0</v>
      </c>
      <c r="AA31" s="1654" t="str">
        <f t="shared" si="28"/>
        <v/>
      </c>
      <c r="AB31" s="1597" t="str">
        <f t="shared" si="29"/>
        <v/>
      </c>
      <c r="AC31" s="1645"/>
    </row>
    <row r="32" spans="21:29" x14ac:dyDescent="0.25">
      <c r="U32" s="1652" t="str">
        <f t="shared" ref="U32" si="32">IFERROR(IF(U31+1&gt;$C$2,"",U31+1),"")</f>
        <v/>
      </c>
      <c r="V32" s="1652" t="str">
        <f t="shared" si="24"/>
        <v/>
      </c>
      <c r="W32" s="1653" t="str">
        <f t="shared" si="25"/>
        <v/>
      </c>
      <c r="X32" s="1648" t="str">
        <f t="shared" si="26"/>
        <v/>
      </c>
      <c r="Y32" s="1597">
        <f t="shared" si="27"/>
        <v>0</v>
      </c>
      <c r="Z32" s="1597">
        <f t="shared" si="31"/>
        <v>0</v>
      </c>
      <c r="AA32" s="1654" t="str">
        <f t="shared" si="28"/>
        <v/>
      </c>
      <c r="AB32" s="1597" t="str">
        <f t="shared" si="29"/>
        <v/>
      </c>
      <c r="AC32" s="1645"/>
    </row>
    <row r="33" spans="21:29" x14ac:dyDescent="0.25">
      <c r="U33" s="1652"/>
      <c r="V33" s="1652"/>
      <c r="W33" s="1645"/>
      <c r="X33" s="1655">
        <f>SUM(X27:X32)</f>
        <v>0</v>
      </c>
      <c r="Y33" s="1643">
        <f>SUM(Y27:Y32)</f>
        <v>0</v>
      </c>
      <c r="Z33" s="1645"/>
      <c r="AA33" s="1643"/>
      <c r="AB33" s="1643">
        <f>SUM(AB27:AB32)</f>
        <v>0</v>
      </c>
      <c r="AC33" s="1645"/>
    </row>
    <row r="34" spans="21:29" x14ac:dyDescent="0.25">
      <c r="AC34" s="1645"/>
    </row>
    <row r="35" spans="21:29" x14ac:dyDescent="0.25">
      <c r="U35" s="1636" t="str">
        <f>+E4</f>
        <v>Palacio de Justicia "SIMON DAVID CARREJO BEJARANO" Palmira</v>
      </c>
      <c r="V35" s="1645"/>
      <c r="W35" s="1645"/>
      <c r="X35" s="1645"/>
      <c r="Y35" s="1645"/>
      <c r="Z35" s="1645"/>
      <c r="AA35" s="1645"/>
      <c r="AB35" s="1645"/>
      <c r="AC35" s="1645"/>
    </row>
    <row r="36" spans="21:29" x14ac:dyDescent="0.25">
      <c r="U36" s="1645" t="s">
        <v>1607</v>
      </c>
      <c r="V36" s="1645"/>
      <c r="W36" s="1649">
        <f>+F4</f>
        <v>3</v>
      </c>
      <c r="X36" s="1645"/>
      <c r="Y36" s="1645" t="s">
        <v>1608</v>
      </c>
      <c r="Z36" s="1645">
        <f>AVERAGE(U43:U48)</f>
        <v>2</v>
      </c>
      <c r="AA36" s="1645"/>
      <c r="AB36" s="1645" t="s">
        <v>1609</v>
      </c>
      <c r="AC36" s="1649">
        <v>2</v>
      </c>
    </row>
    <row r="37" spans="21:29" x14ac:dyDescent="0.25">
      <c r="U37" s="1645" t="s">
        <v>1610</v>
      </c>
      <c r="V37" s="1645"/>
      <c r="W37" s="1644">
        <f>+G4/1000000</f>
        <v>310.16497500000003</v>
      </c>
      <c r="X37" s="1645"/>
      <c r="Y37" s="1645" t="s">
        <v>1611</v>
      </c>
      <c r="Z37" s="1645">
        <f>_xlfn.STDEV.S(U43:U48)</f>
        <v>1</v>
      </c>
      <c r="AA37" s="1645"/>
      <c r="AB37" s="1645"/>
      <c r="AC37" s="1645"/>
    </row>
    <row r="38" spans="21:29" x14ac:dyDescent="0.25">
      <c r="U38" s="1645" t="s">
        <v>1612</v>
      </c>
      <c r="V38" s="1645"/>
      <c r="W38" s="1642">
        <v>0</v>
      </c>
      <c r="X38" s="1645"/>
      <c r="Y38" s="1645"/>
      <c r="Z38" s="1645"/>
      <c r="AA38" s="1645"/>
      <c r="AB38" s="1645"/>
      <c r="AC38" s="1645"/>
    </row>
    <row r="39" spans="21:29" x14ac:dyDescent="0.25">
      <c r="U39" s="1645" t="s">
        <v>1613</v>
      </c>
      <c r="V39" s="1645"/>
      <c r="W39" s="1649">
        <v>1</v>
      </c>
      <c r="X39" s="1645"/>
      <c r="Y39" s="1645"/>
      <c r="Z39" s="1645"/>
      <c r="AA39" s="1645"/>
      <c r="AB39" s="1645"/>
      <c r="AC39" s="1645"/>
    </row>
    <row r="40" spans="21:29" x14ac:dyDescent="0.25">
      <c r="U40" s="1645" t="s">
        <v>1614</v>
      </c>
      <c r="V40" s="1645"/>
      <c r="W40" s="1641">
        <f>IFERROR(NOMINAL(W38,12)/12,0)</f>
        <v>0</v>
      </c>
      <c r="X40" s="1641">
        <f>(1+W38)^(1/12)-1</f>
        <v>0</v>
      </c>
      <c r="Y40" s="1645"/>
      <c r="Z40" s="1645"/>
      <c r="AA40" s="1645"/>
      <c r="AB40" s="1645"/>
      <c r="AC40" s="1645"/>
    </row>
    <row r="41" spans="21:29" x14ac:dyDescent="0.25">
      <c r="U41" s="1645"/>
      <c r="V41" s="1645"/>
      <c r="W41" s="1645"/>
      <c r="X41" s="1645"/>
      <c r="Y41" s="1645"/>
      <c r="Z41" s="1645"/>
      <c r="AA41" s="1645"/>
      <c r="AB41" s="1645"/>
      <c r="AC41" s="1645"/>
    </row>
    <row r="42" spans="21:29" x14ac:dyDescent="0.25">
      <c r="U42" s="1650" t="s">
        <v>1558</v>
      </c>
      <c r="V42" s="1650"/>
      <c r="W42" s="1645"/>
      <c r="X42" s="1645"/>
      <c r="Y42" s="1651" t="s">
        <v>1615</v>
      </c>
      <c r="Z42" s="1651" t="s">
        <v>1616</v>
      </c>
      <c r="AA42" s="1646" t="s">
        <v>1617</v>
      </c>
      <c r="AB42" s="1646" t="s">
        <v>1618</v>
      </c>
      <c r="AC42" s="1645"/>
    </row>
    <row r="43" spans="21:29" x14ac:dyDescent="0.25">
      <c r="U43" s="1652">
        <v>1</v>
      </c>
      <c r="V43" s="1652">
        <f>+W39</f>
        <v>1</v>
      </c>
      <c r="W43" s="1653">
        <f>IFERROR(_xlfn.NORM.DIST(U43,$Z$36,$Z$37,FALSE),"")</f>
        <v>0.24197072451914337</v>
      </c>
      <c r="X43" s="1648">
        <f>IFERROR(W43*100%/SUM($W$43:$W$48),"")</f>
        <v>0.27406861906119701</v>
      </c>
      <c r="Y43" s="1597">
        <f>IFERROR(X43*$W$37,0)</f>
        <v>85.006486379400698</v>
      </c>
      <c r="Z43" s="1597">
        <f>+Y43</f>
        <v>85.006486379400698</v>
      </c>
      <c r="AA43" s="1654">
        <f>IFERROR(((($W$6+1)^V43))-1,"")</f>
        <v>0</v>
      </c>
      <c r="AB43" s="1597">
        <f>IFERROR(AA43*Y43,"")</f>
        <v>0</v>
      </c>
      <c r="AC43" s="1645"/>
    </row>
    <row r="44" spans="21:29" x14ac:dyDescent="0.25">
      <c r="U44" s="1652">
        <f>IFERROR(IF(U43+1&gt;$W$36,"",U43+1),"")</f>
        <v>2</v>
      </c>
      <c r="V44" s="1652">
        <f t="shared" ref="V44:V48" si="33">IF(U44="","",V43+1)</f>
        <v>2</v>
      </c>
      <c r="W44" s="1653">
        <f t="shared" ref="W44:W48" si="34">IFERROR(_xlfn.NORM.DIST(U44,$Z$36,$Z$37,FALSE),"")</f>
        <v>0.3989422804014327</v>
      </c>
      <c r="X44" s="1648">
        <f t="shared" ref="X44:X48" si="35">IFERROR(W44*100%/SUM($W$43:$W$48),"")</f>
        <v>0.45186276187760605</v>
      </c>
      <c r="Y44" s="1597">
        <f t="shared" ref="Y44:Y48" si="36">IFERROR(X44*$W$37,0)</f>
        <v>140.15200224119863</v>
      </c>
      <c r="Z44" s="1597">
        <f>IFERROR(Z43+Y44,"")</f>
        <v>225.15848862059931</v>
      </c>
      <c r="AA44" s="1654">
        <f t="shared" ref="AA44:AA48" si="37">IFERROR(((($W$6+1)^V44))-1,"")</f>
        <v>0</v>
      </c>
      <c r="AB44" s="1597">
        <f t="shared" ref="AB44:AB48" si="38">IFERROR(AA44*Y44,"")</f>
        <v>0</v>
      </c>
      <c r="AC44" s="1645"/>
    </row>
    <row r="45" spans="21:29" x14ac:dyDescent="0.25">
      <c r="U45" s="1652">
        <f t="shared" ref="U45:U46" si="39">IFERROR(IF(U44+1&gt;$W$36,"",U44+1),"")</f>
        <v>3</v>
      </c>
      <c r="V45" s="1652">
        <f t="shared" si="33"/>
        <v>3</v>
      </c>
      <c r="W45" s="1653">
        <f t="shared" si="34"/>
        <v>0.24197072451914337</v>
      </c>
      <c r="X45" s="1648">
        <f t="shared" si="35"/>
        <v>0.27406861906119701</v>
      </c>
      <c r="Y45" s="1597">
        <f t="shared" si="36"/>
        <v>85.006486379400698</v>
      </c>
      <c r="Z45" s="1597">
        <f t="shared" ref="Z45:Z48" si="40">IFERROR(Z44+Y45,"")</f>
        <v>310.16497500000003</v>
      </c>
      <c r="AA45" s="1654">
        <f t="shared" si="37"/>
        <v>0</v>
      </c>
      <c r="AB45" s="1597">
        <f t="shared" si="38"/>
        <v>0</v>
      </c>
      <c r="AC45" s="1645"/>
    </row>
    <row r="46" spans="21:29" x14ac:dyDescent="0.25">
      <c r="U46" s="1652" t="str">
        <f t="shared" si="39"/>
        <v/>
      </c>
      <c r="V46" s="1652" t="str">
        <f t="shared" si="33"/>
        <v/>
      </c>
      <c r="W46" s="1653" t="str">
        <f t="shared" si="34"/>
        <v/>
      </c>
      <c r="X46" s="1648" t="str">
        <f t="shared" si="35"/>
        <v/>
      </c>
      <c r="Y46" s="1597">
        <f t="shared" si="36"/>
        <v>0</v>
      </c>
      <c r="Z46" s="1597">
        <f t="shared" si="40"/>
        <v>310.16497500000003</v>
      </c>
      <c r="AA46" s="1654" t="str">
        <f t="shared" si="37"/>
        <v/>
      </c>
      <c r="AB46" s="1597" t="str">
        <f t="shared" si="38"/>
        <v/>
      </c>
      <c r="AC46" s="1645"/>
    </row>
    <row r="47" spans="21:29" x14ac:dyDescent="0.25">
      <c r="U47" s="1652" t="str">
        <f t="shared" ref="U47:U48" si="41">IFERROR(IF(U46+1&gt;$C$4,"",U46+1),"")</f>
        <v/>
      </c>
      <c r="V47" s="1652" t="str">
        <f t="shared" si="33"/>
        <v/>
      </c>
      <c r="W47" s="1653" t="str">
        <f t="shared" si="34"/>
        <v/>
      </c>
      <c r="X47" s="1648" t="str">
        <f t="shared" si="35"/>
        <v/>
      </c>
      <c r="Y47" s="1597">
        <f t="shared" si="36"/>
        <v>0</v>
      </c>
      <c r="Z47" s="1597">
        <f t="shared" si="40"/>
        <v>310.16497500000003</v>
      </c>
      <c r="AA47" s="1654" t="str">
        <f t="shared" si="37"/>
        <v/>
      </c>
      <c r="AB47" s="1597" t="str">
        <f t="shared" si="38"/>
        <v/>
      </c>
      <c r="AC47" s="1645"/>
    </row>
    <row r="48" spans="21:29" x14ac:dyDescent="0.25">
      <c r="U48" s="1652" t="str">
        <f t="shared" si="41"/>
        <v/>
      </c>
      <c r="V48" s="1652" t="str">
        <f t="shared" si="33"/>
        <v/>
      </c>
      <c r="W48" s="1653" t="str">
        <f t="shared" si="34"/>
        <v/>
      </c>
      <c r="X48" s="1648" t="str">
        <f t="shared" si="35"/>
        <v/>
      </c>
      <c r="Y48" s="1597">
        <f t="shared" si="36"/>
        <v>0</v>
      </c>
      <c r="Z48" s="1597">
        <f t="shared" si="40"/>
        <v>310.16497500000003</v>
      </c>
      <c r="AA48" s="1654" t="str">
        <f t="shared" si="37"/>
        <v/>
      </c>
      <c r="AB48" s="1597" t="str">
        <f t="shared" si="38"/>
        <v/>
      </c>
      <c r="AC48" s="1645"/>
    </row>
    <row r="49" spans="21:29" x14ac:dyDescent="0.25">
      <c r="U49" s="1652"/>
      <c r="V49" s="1652"/>
      <c r="W49" s="1645"/>
      <c r="X49" s="1655">
        <f>SUM(X43:X48)</f>
        <v>1</v>
      </c>
      <c r="Y49" s="1643">
        <f>SUM(Y43:Y48)</f>
        <v>310.16497500000003</v>
      </c>
      <c r="Z49" s="1645"/>
      <c r="AA49" s="1643"/>
      <c r="AB49" s="1643">
        <f>SUM(AB43:AB48)</f>
        <v>0</v>
      </c>
      <c r="AC49" s="1645"/>
    </row>
    <row r="51" spans="21:29" ht="25.5" x14ac:dyDescent="0.25">
      <c r="U51" s="1686" t="str">
        <f>+E5</f>
        <v>Sede de Familia de Palmira</v>
      </c>
      <c r="V51" s="1645"/>
      <c r="W51" s="1645"/>
      <c r="X51" s="1645"/>
      <c r="Y51" s="1645"/>
      <c r="Z51" s="1645"/>
      <c r="AA51" s="1645"/>
      <c r="AB51" s="1645"/>
      <c r="AC51" s="1645"/>
    </row>
    <row r="52" spans="21:29" x14ac:dyDescent="0.25">
      <c r="U52" s="1645" t="s">
        <v>1607</v>
      </c>
      <c r="V52" s="1645"/>
      <c r="W52" s="1649">
        <f>+F5</f>
        <v>1</v>
      </c>
      <c r="X52" s="1645"/>
      <c r="Y52" s="1645" t="s">
        <v>1608</v>
      </c>
      <c r="Z52" s="1645">
        <f>AVERAGE(U59:U64)</f>
        <v>1</v>
      </c>
      <c r="AA52" s="1645"/>
      <c r="AB52" s="1645" t="s">
        <v>1609</v>
      </c>
      <c r="AC52" s="1649">
        <v>2</v>
      </c>
    </row>
    <row r="53" spans="21:29" x14ac:dyDescent="0.25">
      <c r="U53" s="1645" t="s">
        <v>1610</v>
      </c>
      <c r="V53" s="1645"/>
      <c r="W53" s="1644">
        <f>+G5/1000000</f>
        <v>72.572694999999996</v>
      </c>
      <c r="X53" s="1645"/>
      <c r="Y53" s="1645" t="s">
        <v>1611</v>
      </c>
      <c r="Z53" s="1645" t="e">
        <f>_xlfn.STDEV.S(U59:U64)</f>
        <v>#DIV/0!</v>
      </c>
      <c r="AA53" s="1645"/>
      <c r="AB53" s="1645"/>
      <c r="AC53" s="1645"/>
    </row>
    <row r="54" spans="21:29" x14ac:dyDescent="0.25">
      <c r="U54" s="1645" t="s">
        <v>1612</v>
      </c>
      <c r="V54" s="1645"/>
      <c r="W54" s="1642">
        <v>0</v>
      </c>
      <c r="X54" s="1645"/>
      <c r="Y54" s="1645"/>
      <c r="Z54" s="1645"/>
      <c r="AA54" s="1645"/>
      <c r="AB54" s="1645"/>
      <c r="AC54" s="1645"/>
    </row>
    <row r="55" spans="21:29" x14ac:dyDescent="0.25">
      <c r="U55" s="1645" t="s">
        <v>1613</v>
      </c>
      <c r="V55" s="1645"/>
      <c r="W55" s="1649">
        <v>1</v>
      </c>
      <c r="X55" s="1645"/>
      <c r="Y55" s="1645"/>
      <c r="Z55" s="1645"/>
      <c r="AA55" s="1645"/>
      <c r="AB55" s="1645"/>
      <c r="AC55" s="1645"/>
    </row>
    <row r="56" spans="21:29" x14ac:dyDescent="0.25">
      <c r="U56" s="1645" t="s">
        <v>1614</v>
      </c>
      <c r="V56" s="1645"/>
      <c r="W56" s="1641">
        <f>IFERROR(NOMINAL(W54,12)/12,0)</f>
        <v>0</v>
      </c>
      <c r="X56" s="1641">
        <f>(1+W54)^(1/12)-1</f>
        <v>0</v>
      </c>
      <c r="Y56" s="1645"/>
      <c r="Z56" s="1645"/>
      <c r="AA56" s="1645"/>
      <c r="AB56" s="1645"/>
      <c r="AC56" s="1645"/>
    </row>
    <row r="57" spans="21:29" x14ac:dyDescent="0.25">
      <c r="U57" s="1645"/>
      <c r="V57" s="1645"/>
      <c r="W57" s="1645"/>
      <c r="X57" s="1645"/>
      <c r="Y57" s="1645"/>
      <c r="Z57" s="1645"/>
      <c r="AA57" s="1645"/>
      <c r="AB57" s="1645"/>
      <c r="AC57" s="1645"/>
    </row>
    <row r="58" spans="21:29" x14ac:dyDescent="0.25">
      <c r="U58" s="1650" t="s">
        <v>1558</v>
      </c>
      <c r="V58" s="1650"/>
      <c r="W58" s="1645"/>
      <c r="X58" s="1645"/>
      <c r="Y58" s="1651" t="s">
        <v>1615</v>
      </c>
      <c r="Z58" s="1651" t="s">
        <v>1616</v>
      </c>
      <c r="AA58" s="1646" t="s">
        <v>1617</v>
      </c>
      <c r="AB58" s="1646" t="s">
        <v>1618</v>
      </c>
      <c r="AC58" s="1645"/>
    </row>
    <row r="59" spans="21:29" x14ac:dyDescent="0.25">
      <c r="U59" s="1652">
        <v>1</v>
      </c>
      <c r="V59" s="1652">
        <f>+W55</f>
        <v>1</v>
      </c>
      <c r="W59" s="1653" t="str">
        <f>IFERROR(_xlfn.NORM.DIST(U59,$Z$52,$Z$53,FALSE),"")</f>
        <v/>
      </c>
      <c r="X59" s="1648" t="str">
        <f>IFERROR(W59*100%/SUM($W$59:$W$64),"")</f>
        <v/>
      </c>
      <c r="Y59" s="1597">
        <f>IFERROR(X59*$W$53,0)</f>
        <v>0</v>
      </c>
      <c r="Z59" s="1597">
        <f>+Y59</f>
        <v>0</v>
      </c>
      <c r="AA59" s="1654">
        <f>IFERROR(((($W$6+1)^V59))-1,"")</f>
        <v>0</v>
      </c>
      <c r="AB59" s="1597">
        <f>IFERROR(AA59*Y59,"")</f>
        <v>0</v>
      </c>
      <c r="AC59" s="1645"/>
    </row>
    <row r="60" spans="21:29" x14ac:dyDescent="0.25">
      <c r="U60" s="1652" t="str">
        <f>IFERROR(IF(U59+1&gt;$W$52,"",U59+1),"")</f>
        <v/>
      </c>
      <c r="V60" s="1652" t="str">
        <f t="shared" ref="V60:V64" si="42">IF(U60="","",V59+1)</f>
        <v/>
      </c>
      <c r="W60" s="1653" t="str">
        <f t="shared" ref="W60:W63" si="43">IFERROR(_xlfn.NORM.DIST(U60,$Z$52,$Z$53,FALSE),"")</f>
        <v/>
      </c>
      <c r="X60" s="1648" t="str">
        <f t="shared" ref="X60:X63" si="44">IFERROR(W60*100%/SUM($W$59:$W$64),"")</f>
        <v/>
      </c>
      <c r="Y60" s="1597">
        <f t="shared" ref="Y60:Y64" si="45">IFERROR(X60*$W$53,0)</f>
        <v>0</v>
      </c>
      <c r="Z60" s="1597">
        <f>IFERROR(Z59+Y60,"")</f>
        <v>0</v>
      </c>
      <c r="AA60" s="1654" t="str">
        <f t="shared" ref="AA60:AA64" si="46">IFERROR(((($W$6+1)^V60))-1,"")</f>
        <v/>
      </c>
      <c r="AB60" s="1597" t="str">
        <f t="shared" ref="AB60:AB64" si="47">IFERROR(AA60*Y60,"")</f>
        <v/>
      </c>
      <c r="AC60" s="1645"/>
    </row>
    <row r="61" spans="21:29" x14ac:dyDescent="0.25">
      <c r="U61" s="1652" t="str">
        <f t="shared" ref="U61:U64" si="48">IFERROR(IF(U60+1&gt;$W$52,"",U60+1),"")</f>
        <v/>
      </c>
      <c r="V61" s="1652" t="str">
        <f t="shared" si="42"/>
        <v/>
      </c>
      <c r="W61" s="1653" t="str">
        <f t="shared" si="43"/>
        <v/>
      </c>
      <c r="X61" s="1648" t="str">
        <f t="shared" si="44"/>
        <v/>
      </c>
      <c r="Y61" s="1597">
        <f t="shared" si="45"/>
        <v>0</v>
      </c>
      <c r="Z61" s="1597">
        <f t="shared" ref="Z61:Z64" si="49">IFERROR(Z60+Y61,"")</f>
        <v>0</v>
      </c>
      <c r="AA61" s="1654" t="str">
        <f t="shared" si="46"/>
        <v/>
      </c>
      <c r="AB61" s="1597" t="str">
        <f t="shared" si="47"/>
        <v/>
      </c>
      <c r="AC61" s="1645"/>
    </row>
    <row r="62" spans="21:29" x14ac:dyDescent="0.25">
      <c r="U62" s="1652" t="str">
        <f t="shared" si="48"/>
        <v/>
      </c>
      <c r="V62" s="1652" t="str">
        <f t="shared" si="42"/>
        <v/>
      </c>
      <c r="W62" s="1653" t="str">
        <f t="shared" si="43"/>
        <v/>
      </c>
      <c r="X62" s="1648" t="str">
        <f t="shared" si="44"/>
        <v/>
      </c>
      <c r="Y62" s="1597">
        <f t="shared" si="45"/>
        <v>0</v>
      </c>
      <c r="Z62" s="1597">
        <f t="shared" si="49"/>
        <v>0</v>
      </c>
      <c r="AA62" s="1654" t="str">
        <f t="shared" si="46"/>
        <v/>
      </c>
      <c r="AB62" s="1597" t="str">
        <f t="shared" si="47"/>
        <v/>
      </c>
      <c r="AC62" s="1645"/>
    </row>
    <row r="63" spans="21:29" x14ac:dyDescent="0.25">
      <c r="U63" s="1652" t="str">
        <f t="shared" si="48"/>
        <v/>
      </c>
      <c r="V63" s="1652" t="str">
        <f t="shared" si="42"/>
        <v/>
      </c>
      <c r="W63" s="1653" t="str">
        <f t="shared" si="43"/>
        <v/>
      </c>
      <c r="X63" s="1648" t="str">
        <f t="shared" si="44"/>
        <v/>
      </c>
      <c r="Y63" s="1597">
        <f t="shared" si="45"/>
        <v>0</v>
      </c>
      <c r="Z63" s="1597">
        <f t="shared" si="49"/>
        <v>0</v>
      </c>
      <c r="AA63" s="1654" t="str">
        <f t="shared" si="46"/>
        <v/>
      </c>
      <c r="AB63" s="1597" t="str">
        <f t="shared" si="47"/>
        <v/>
      </c>
      <c r="AC63" s="1645"/>
    </row>
    <row r="64" spans="21:29" x14ac:dyDescent="0.25">
      <c r="U64" s="1652" t="str">
        <f t="shared" si="48"/>
        <v/>
      </c>
      <c r="V64" s="1652" t="str">
        <f t="shared" si="42"/>
        <v/>
      </c>
      <c r="W64" s="1653" t="str">
        <f t="shared" ref="W64" si="50">IFERROR(_xlfn.NORM.DIST(U64,$Z$2,$Z$3,FALSE),"")</f>
        <v/>
      </c>
      <c r="X64" s="1648" t="str">
        <f>IFERROR(W64*100%/SUM($W$59:$W$64),"")</f>
        <v/>
      </c>
      <c r="Y64" s="1597">
        <f t="shared" si="45"/>
        <v>0</v>
      </c>
      <c r="Z64" s="1597">
        <f t="shared" si="49"/>
        <v>0</v>
      </c>
      <c r="AA64" s="1654" t="str">
        <f t="shared" si="46"/>
        <v/>
      </c>
      <c r="AB64" s="1597" t="str">
        <f t="shared" si="47"/>
        <v/>
      </c>
      <c r="AC64" s="1645"/>
    </row>
    <row r="65" spans="21:29" x14ac:dyDescent="0.25">
      <c r="U65" s="1652"/>
      <c r="V65" s="1652"/>
      <c r="W65" s="1645"/>
      <c r="X65" s="1655">
        <f>SUM(X59:X64)</f>
        <v>0</v>
      </c>
      <c r="Y65" s="1643">
        <f>SUM(Y59:Y64)</f>
        <v>0</v>
      </c>
      <c r="Z65" s="1645"/>
      <c r="AA65" s="1643"/>
      <c r="AB65" s="1643">
        <f>SUM(AB59:AB64)</f>
        <v>0</v>
      </c>
      <c r="AC65" s="1645"/>
    </row>
    <row r="68" spans="21:29" ht="25.5" x14ac:dyDescent="0.25">
      <c r="U68" s="1686" t="str">
        <f>+E6</f>
        <v>Palacio Nacional de Buenaventura</v>
      </c>
      <c r="V68" s="1645"/>
      <c r="W68" s="1645"/>
      <c r="X68" s="1645"/>
      <c r="Y68" s="1645"/>
      <c r="Z68" s="1645"/>
      <c r="AA68" s="1645"/>
      <c r="AB68" s="1645"/>
      <c r="AC68" s="1645"/>
    </row>
    <row r="69" spans="21:29" x14ac:dyDescent="0.25">
      <c r="U69" s="1645" t="s">
        <v>1607</v>
      </c>
      <c r="V69" s="1645"/>
      <c r="W69" s="1649">
        <f>+F6</f>
        <v>2</v>
      </c>
      <c r="X69" s="1645"/>
      <c r="Y69" s="1645" t="s">
        <v>1608</v>
      </c>
      <c r="Z69" s="1645">
        <f>AVERAGE(U76:U81)</f>
        <v>1.5</v>
      </c>
      <c r="AA69" s="1645"/>
      <c r="AB69" s="1645" t="s">
        <v>1609</v>
      </c>
      <c r="AC69" s="1649">
        <v>2</v>
      </c>
    </row>
    <row r="70" spans="21:29" x14ac:dyDescent="0.25">
      <c r="U70" s="1645" t="s">
        <v>1610</v>
      </c>
      <c r="V70" s="1645"/>
      <c r="W70" s="1644">
        <f>+G6/1000000</f>
        <v>231.40110300000001</v>
      </c>
      <c r="X70" s="1645"/>
      <c r="Y70" s="1645" t="s">
        <v>1611</v>
      </c>
      <c r="Z70" s="1645">
        <f>_xlfn.STDEV.S(U76:U81)</f>
        <v>0.70710678118654757</v>
      </c>
      <c r="AA70" s="1645"/>
      <c r="AB70" s="1645"/>
      <c r="AC70" s="1645"/>
    </row>
    <row r="71" spans="21:29" x14ac:dyDescent="0.25">
      <c r="U71" s="1645" t="s">
        <v>1612</v>
      </c>
      <c r="V71" s="1645"/>
      <c r="W71" s="1642">
        <v>0</v>
      </c>
      <c r="X71" s="1645"/>
      <c r="Y71" s="1645"/>
      <c r="Z71" s="1645"/>
      <c r="AA71" s="1645"/>
      <c r="AB71" s="1645"/>
      <c r="AC71" s="1645"/>
    </row>
    <row r="72" spans="21:29" x14ac:dyDescent="0.25">
      <c r="U72" s="1645" t="s">
        <v>1613</v>
      </c>
      <c r="V72" s="1645"/>
      <c r="W72" s="1649">
        <v>1</v>
      </c>
      <c r="X72" s="1645"/>
      <c r="Y72" s="1645"/>
      <c r="Z72" s="1645"/>
      <c r="AA72" s="1645"/>
      <c r="AB72" s="1645"/>
      <c r="AC72" s="1645"/>
    </row>
    <row r="73" spans="21:29" x14ac:dyDescent="0.25">
      <c r="U73" s="1645" t="s">
        <v>1614</v>
      </c>
      <c r="V73" s="1645"/>
      <c r="W73" s="1641">
        <f>IFERROR(NOMINAL(W71,12)/12,0)</f>
        <v>0</v>
      </c>
      <c r="X73" s="1641">
        <f>(1+W71)^(1/12)-1</f>
        <v>0</v>
      </c>
      <c r="Y73" s="1645"/>
      <c r="Z73" s="1645"/>
      <c r="AA73" s="1645"/>
      <c r="AB73" s="1645"/>
      <c r="AC73" s="1645"/>
    </row>
    <row r="74" spans="21:29" x14ac:dyDescent="0.25">
      <c r="U74" s="1645"/>
      <c r="V74" s="1645"/>
      <c r="W74" s="1645"/>
      <c r="X74" s="1645"/>
      <c r="Y74" s="1645"/>
      <c r="Z74" s="1645"/>
      <c r="AA74" s="1645"/>
      <c r="AB74" s="1645"/>
      <c r="AC74" s="1645"/>
    </row>
    <row r="75" spans="21:29" x14ac:dyDescent="0.25">
      <c r="U75" s="1650" t="s">
        <v>1558</v>
      </c>
      <c r="V75" s="1650"/>
      <c r="W75" s="1645"/>
      <c r="X75" s="1645"/>
      <c r="Y75" s="1651" t="s">
        <v>1615</v>
      </c>
      <c r="Z75" s="1651" t="s">
        <v>1616</v>
      </c>
      <c r="AA75" s="1646" t="s">
        <v>1617</v>
      </c>
      <c r="AB75" s="1646" t="s">
        <v>1618</v>
      </c>
      <c r="AC75" s="1645"/>
    </row>
    <row r="76" spans="21:29" x14ac:dyDescent="0.25">
      <c r="U76" s="1652">
        <v>1</v>
      </c>
      <c r="V76" s="1652">
        <f>+W72</f>
        <v>1</v>
      </c>
      <c r="W76" s="1653">
        <f>IFERROR(_xlfn.NORM.DIST(U76,$Z$69,$Z$70,FALSE),"")</f>
        <v>0.43939128946772238</v>
      </c>
      <c r="X76" s="1648">
        <f>IFERROR(W76*100%/SUM($W$76:$W$81),"")</f>
        <v>0.5</v>
      </c>
      <c r="Y76" s="1597">
        <f>IFERROR(X76*$W$70,0)</f>
        <v>115.7005515</v>
      </c>
      <c r="Z76" s="1597">
        <f>+Y76</f>
        <v>115.7005515</v>
      </c>
      <c r="AA76" s="1654">
        <f>IFERROR(((($W$6+1)^V76))-1,"")</f>
        <v>0</v>
      </c>
      <c r="AB76" s="1597">
        <f>IFERROR(AA76*Y76,"")</f>
        <v>0</v>
      </c>
      <c r="AC76" s="1645"/>
    </row>
    <row r="77" spans="21:29" x14ac:dyDescent="0.25">
      <c r="U77" s="1652">
        <f>IFERROR(IF(U76+1&gt;$W$69,"",U76+1),"")</f>
        <v>2</v>
      </c>
      <c r="V77" s="1652">
        <f t="shared" ref="V77:V81" si="51">IF(U77="","",V76+1)</f>
        <v>2</v>
      </c>
      <c r="W77" s="1653">
        <f t="shared" ref="W77:W78" si="52">IFERROR(_xlfn.NORM.DIST(U77,$Z$69,$Z$70,FALSE),"")</f>
        <v>0.43939128946772238</v>
      </c>
      <c r="X77" s="1648">
        <f>IFERROR(W77*100%/SUM($W$76:$W$81),"")</f>
        <v>0.5</v>
      </c>
      <c r="Y77" s="1597">
        <f t="shared" ref="Y77:Y81" si="53">IFERROR(X77*$W$70,0)</f>
        <v>115.7005515</v>
      </c>
      <c r="Z77" s="1597">
        <f>IFERROR(Z76+Y77,"")</f>
        <v>231.40110300000001</v>
      </c>
      <c r="AA77" s="1654">
        <f t="shared" ref="AA77:AA81" si="54">IFERROR(((($W$6+1)^V77))-1,"")</f>
        <v>0</v>
      </c>
      <c r="AB77" s="1597">
        <f t="shared" ref="AB77:AB81" si="55">IFERROR(AA77*Y77,"")</f>
        <v>0</v>
      </c>
      <c r="AC77" s="1645"/>
    </row>
    <row r="78" spans="21:29" x14ac:dyDescent="0.25">
      <c r="U78" s="1652" t="str">
        <f t="shared" ref="U78:U81" si="56">IFERROR(IF(U77+1&gt;$W$69,"",U77+1),"")</f>
        <v/>
      </c>
      <c r="V78" s="1652" t="str">
        <f t="shared" si="51"/>
        <v/>
      </c>
      <c r="W78" s="1653" t="str">
        <f t="shared" si="52"/>
        <v/>
      </c>
      <c r="X78" s="1648" t="str">
        <f t="shared" ref="X78:X80" si="57">IFERROR(W78*100%/SUM($W$59:$W$64),"")</f>
        <v/>
      </c>
      <c r="Y78" s="1597">
        <f t="shared" si="53"/>
        <v>0</v>
      </c>
      <c r="Z78" s="1597">
        <f t="shared" ref="Z78:Z81" si="58">IFERROR(Z77+Y78,"")</f>
        <v>231.40110300000001</v>
      </c>
      <c r="AA78" s="1654" t="str">
        <f t="shared" si="54"/>
        <v/>
      </c>
      <c r="AB78" s="1597" t="str">
        <f t="shared" si="55"/>
        <v/>
      </c>
      <c r="AC78" s="1645"/>
    </row>
    <row r="79" spans="21:29" x14ac:dyDescent="0.25">
      <c r="U79" s="1652" t="str">
        <f t="shared" si="56"/>
        <v/>
      </c>
      <c r="V79" s="1652" t="str">
        <f t="shared" si="51"/>
        <v/>
      </c>
      <c r="W79" s="1653" t="str">
        <f t="shared" ref="W79:W80" si="59">IFERROR(_xlfn.NORM.DIST(U79,$Z$52,$Z$53,FALSE),"")</f>
        <v/>
      </c>
      <c r="X79" s="1648" t="str">
        <f t="shared" si="57"/>
        <v/>
      </c>
      <c r="Y79" s="1597">
        <f t="shared" si="53"/>
        <v>0</v>
      </c>
      <c r="Z79" s="1597">
        <f t="shared" si="58"/>
        <v>231.40110300000001</v>
      </c>
      <c r="AA79" s="1654" t="str">
        <f t="shared" si="54"/>
        <v/>
      </c>
      <c r="AB79" s="1597" t="str">
        <f t="shared" si="55"/>
        <v/>
      </c>
      <c r="AC79" s="1645"/>
    </row>
    <row r="80" spans="21:29" x14ac:dyDescent="0.25">
      <c r="U80" s="1652" t="str">
        <f t="shared" si="56"/>
        <v/>
      </c>
      <c r="V80" s="1652" t="str">
        <f t="shared" si="51"/>
        <v/>
      </c>
      <c r="W80" s="1653" t="str">
        <f t="shared" si="59"/>
        <v/>
      </c>
      <c r="X80" s="1648" t="str">
        <f t="shared" si="57"/>
        <v/>
      </c>
      <c r="Y80" s="1597">
        <f t="shared" si="53"/>
        <v>0</v>
      </c>
      <c r="Z80" s="1597">
        <f t="shared" si="58"/>
        <v>231.40110300000001</v>
      </c>
      <c r="AA80" s="1654" t="str">
        <f t="shared" si="54"/>
        <v/>
      </c>
      <c r="AB80" s="1597" t="str">
        <f t="shared" si="55"/>
        <v/>
      </c>
      <c r="AC80" s="1645"/>
    </row>
    <row r="81" spans="21:29" x14ac:dyDescent="0.25">
      <c r="U81" s="1652" t="str">
        <f t="shared" si="56"/>
        <v/>
      </c>
      <c r="V81" s="1652" t="str">
        <f t="shared" si="51"/>
        <v/>
      </c>
      <c r="W81" s="1653" t="str">
        <f t="shared" ref="W81" si="60">IFERROR(_xlfn.NORM.DIST(U81,$Z$2,$Z$3,FALSE),"")</f>
        <v/>
      </c>
      <c r="X81" s="1648" t="str">
        <f>IFERROR(W81*100%/SUM($W$59:$W$64),"")</f>
        <v/>
      </c>
      <c r="Y81" s="1597">
        <f t="shared" si="53"/>
        <v>0</v>
      </c>
      <c r="Z81" s="1597">
        <f t="shared" si="58"/>
        <v>231.40110300000001</v>
      </c>
      <c r="AA81" s="1654" t="str">
        <f t="shared" si="54"/>
        <v/>
      </c>
      <c r="AB81" s="1597" t="str">
        <f t="shared" si="55"/>
        <v/>
      </c>
      <c r="AC81" s="1645"/>
    </row>
    <row r="82" spans="21:29" x14ac:dyDescent="0.25">
      <c r="U82" s="1652"/>
      <c r="V82" s="1652"/>
      <c r="W82" s="1645"/>
      <c r="X82" s="1655">
        <f>SUM(X76:X81)</f>
        <v>1</v>
      </c>
      <c r="Y82" s="1643">
        <f>SUM(Y76:Y81)</f>
        <v>231.40110300000001</v>
      </c>
      <c r="Z82" s="1645"/>
      <c r="AA82" s="1643"/>
      <c r="AB82" s="1643">
        <f>SUM(AB76:AB81)</f>
        <v>0</v>
      </c>
      <c r="AC82" s="1645"/>
    </row>
    <row r="83" spans="21:29" x14ac:dyDescent="0.25">
      <c r="U83" s="1645"/>
      <c r="V83" s="1645"/>
      <c r="W83" s="1645"/>
      <c r="X83" s="1645"/>
      <c r="Y83" s="1645"/>
      <c r="Z83" s="1645"/>
      <c r="AA83" s="1645"/>
      <c r="AB83" s="1645"/>
      <c r="AC83" s="1645"/>
    </row>
    <row r="85" spans="21:29" ht="38.25" x14ac:dyDescent="0.25">
      <c r="U85" s="1686" t="str">
        <f>+E7</f>
        <v>Edificio de Transferencia de Buenaventura</v>
      </c>
      <c r="V85" s="1645"/>
      <c r="W85" s="1645"/>
      <c r="X85" s="1645"/>
      <c r="Y85" s="1645"/>
      <c r="Z85" s="1645"/>
      <c r="AA85" s="1645"/>
      <c r="AB85" s="1645"/>
      <c r="AC85" s="1645"/>
    </row>
    <row r="86" spans="21:29" x14ac:dyDescent="0.25">
      <c r="U86" s="1645" t="s">
        <v>1607</v>
      </c>
      <c r="V86" s="1645"/>
      <c r="W86" s="1649">
        <f>+F7</f>
        <v>1</v>
      </c>
      <c r="X86" s="1645"/>
      <c r="Y86" s="1645" t="s">
        <v>1608</v>
      </c>
      <c r="Z86" s="1645">
        <f>AVERAGE(U93:U98)</f>
        <v>1</v>
      </c>
      <c r="AA86" s="1645"/>
      <c r="AB86" s="1645" t="s">
        <v>1609</v>
      </c>
      <c r="AC86" s="1649">
        <v>2</v>
      </c>
    </row>
    <row r="87" spans="21:29" x14ac:dyDescent="0.25">
      <c r="U87" s="1645" t="s">
        <v>1610</v>
      </c>
      <c r="V87" s="1645"/>
      <c r="W87" s="1644">
        <f>+G7/1000000</f>
        <v>104.39163000000001</v>
      </c>
      <c r="X87" s="1645"/>
      <c r="Y87" s="1645" t="s">
        <v>1611</v>
      </c>
      <c r="Z87" s="1645" t="e">
        <f>_xlfn.STDEV.S(U93:U98)</f>
        <v>#DIV/0!</v>
      </c>
      <c r="AA87" s="1645"/>
      <c r="AB87" s="1645"/>
      <c r="AC87" s="1645"/>
    </row>
    <row r="88" spans="21:29" x14ac:dyDescent="0.25">
      <c r="U88" s="1645" t="s">
        <v>1612</v>
      </c>
      <c r="V88" s="1645"/>
      <c r="W88" s="1642">
        <v>0</v>
      </c>
      <c r="X88" s="1645"/>
      <c r="Y88" s="1645"/>
      <c r="Z88" s="1645"/>
      <c r="AA88" s="1645"/>
      <c r="AB88" s="1645"/>
      <c r="AC88" s="1645"/>
    </row>
    <row r="89" spans="21:29" x14ac:dyDescent="0.25">
      <c r="U89" s="1645" t="s">
        <v>1613</v>
      </c>
      <c r="V89" s="1645"/>
      <c r="W89" s="1649">
        <v>1</v>
      </c>
      <c r="X89" s="1645"/>
      <c r="Y89" s="1645"/>
      <c r="Z89" s="1645"/>
      <c r="AA89" s="1645"/>
      <c r="AB89" s="1645"/>
      <c r="AC89" s="1645"/>
    </row>
    <row r="90" spans="21:29" x14ac:dyDescent="0.25">
      <c r="U90" s="1645" t="s">
        <v>1614</v>
      </c>
      <c r="V90" s="1645"/>
      <c r="W90" s="1641">
        <f>IFERROR(NOMINAL(W88,12)/12,0)</f>
        <v>0</v>
      </c>
      <c r="X90" s="1641">
        <f>(1+W88)^(1/12)-1</f>
        <v>0</v>
      </c>
      <c r="Y90" s="1645"/>
      <c r="Z90" s="1645"/>
      <c r="AA90" s="1645"/>
      <c r="AB90" s="1645"/>
      <c r="AC90" s="1645"/>
    </row>
    <row r="91" spans="21:29" x14ac:dyDescent="0.25">
      <c r="U91" s="1645"/>
      <c r="V91" s="1645"/>
      <c r="W91" s="1645"/>
      <c r="X91" s="1645"/>
      <c r="Y91" s="1645"/>
      <c r="Z91" s="1645"/>
      <c r="AA91" s="1645"/>
      <c r="AB91" s="1645"/>
      <c r="AC91" s="1645"/>
    </row>
    <row r="92" spans="21:29" x14ac:dyDescent="0.25">
      <c r="U92" s="1650" t="s">
        <v>1558</v>
      </c>
      <c r="V92" s="1650"/>
      <c r="W92" s="1645"/>
      <c r="X92" s="1645"/>
      <c r="Y92" s="1651" t="s">
        <v>1615</v>
      </c>
      <c r="Z92" s="1651" t="s">
        <v>1616</v>
      </c>
      <c r="AA92" s="1646" t="s">
        <v>1617</v>
      </c>
      <c r="AB92" s="1646" t="s">
        <v>1618</v>
      </c>
      <c r="AC92" s="1645"/>
    </row>
    <row r="93" spans="21:29" x14ac:dyDescent="0.25">
      <c r="U93" s="1652">
        <v>1</v>
      </c>
      <c r="V93" s="1652">
        <f>+W89</f>
        <v>1</v>
      </c>
      <c r="W93" s="1653" t="str">
        <f>IFERROR(_xlfn.NORM.DIST(U93,$Z$86,$Z$87,FALSE),"")</f>
        <v/>
      </c>
      <c r="X93" s="1648" t="str">
        <f>IFERROR(W93*100%/SUM($W$93:$W$98),"")</f>
        <v/>
      </c>
      <c r="Y93" s="1597">
        <f>IFERROR(X93*$W$87,0)</f>
        <v>0</v>
      </c>
      <c r="Z93" s="1597">
        <f>+Y93</f>
        <v>0</v>
      </c>
      <c r="AA93" s="1654">
        <f>IFERROR(((($W$6+1)^V93))-1,"")</f>
        <v>0</v>
      </c>
      <c r="AB93" s="1597">
        <f>IFERROR(AA93*Y93,"")</f>
        <v>0</v>
      </c>
      <c r="AC93" s="1645"/>
    </row>
    <row r="94" spans="21:29" x14ac:dyDescent="0.25">
      <c r="U94" s="1652" t="str">
        <f>IFERROR(IF(U93+1&gt;$W$86,"",U93+1),"")</f>
        <v/>
      </c>
      <c r="V94" s="1652" t="str">
        <f t="shared" ref="V94:V98" si="61">IF(U94="","",V93+1)</f>
        <v/>
      </c>
      <c r="W94" s="1653" t="str">
        <f t="shared" ref="W94:W98" si="62">IFERROR(_xlfn.NORM.DIST(U94,$Z$86,$Z$87,FALSE),"")</f>
        <v/>
      </c>
      <c r="X94" s="1648" t="str">
        <f t="shared" ref="X94:X98" si="63">IFERROR(W94*100%/SUM($W$93:$W$98),"")</f>
        <v/>
      </c>
      <c r="Y94" s="1597">
        <f t="shared" ref="Y94:Y98" si="64">IFERROR(X94*$W$87,0)</f>
        <v>0</v>
      </c>
      <c r="Z94" s="1597">
        <f>IFERROR(Z93+Y94,"")</f>
        <v>0</v>
      </c>
      <c r="AA94" s="1654" t="str">
        <f t="shared" ref="AA94:AA98" si="65">IFERROR(((($W$6+1)^V94))-1,"")</f>
        <v/>
      </c>
      <c r="AB94" s="1597" t="str">
        <f t="shared" ref="AB94:AB98" si="66">IFERROR(AA94*Y94,"")</f>
        <v/>
      </c>
      <c r="AC94" s="1645"/>
    </row>
    <row r="95" spans="21:29" x14ac:dyDescent="0.25">
      <c r="U95" s="1652" t="str">
        <f t="shared" ref="U95:U97" si="67">IFERROR(IF(U94+1&gt;$W$86,"",U94+1),"")</f>
        <v/>
      </c>
      <c r="V95" s="1652" t="str">
        <f t="shared" si="61"/>
        <v/>
      </c>
      <c r="W95" s="1653" t="str">
        <f t="shared" si="62"/>
        <v/>
      </c>
      <c r="X95" s="1648" t="str">
        <f t="shared" si="63"/>
        <v/>
      </c>
      <c r="Y95" s="1597">
        <f t="shared" si="64"/>
        <v>0</v>
      </c>
      <c r="Z95" s="1597">
        <f t="shared" ref="Z95:Z98" si="68">IFERROR(Z94+Y95,"")</f>
        <v>0</v>
      </c>
      <c r="AA95" s="1654" t="str">
        <f t="shared" si="65"/>
        <v/>
      </c>
      <c r="AB95" s="1597" t="str">
        <f t="shared" si="66"/>
        <v/>
      </c>
      <c r="AC95" s="1645"/>
    </row>
    <row r="96" spans="21:29" x14ac:dyDescent="0.25">
      <c r="U96" s="1652" t="str">
        <f t="shared" si="67"/>
        <v/>
      </c>
      <c r="V96" s="1652" t="str">
        <f t="shared" si="61"/>
        <v/>
      </c>
      <c r="W96" s="1653" t="str">
        <f t="shared" si="62"/>
        <v/>
      </c>
      <c r="X96" s="1648" t="str">
        <f t="shared" si="63"/>
        <v/>
      </c>
      <c r="Y96" s="1597">
        <f t="shared" si="64"/>
        <v>0</v>
      </c>
      <c r="Z96" s="1597">
        <f t="shared" si="68"/>
        <v>0</v>
      </c>
      <c r="AA96" s="1654" t="str">
        <f t="shared" si="65"/>
        <v/>
      </c>
      <c r="AB96" s="1597" t="str">
        <f t="shared" si="66"/>
        <v/>
      </c>
      <c r="AC96" s="1645"/>
    </row>
    <row r="97" spans="21:29" x14ac:dyDescent="0.25">
      <c r="U97" s="1652" t="str">
        <f t="shared" si="67"/>
        <v/>
      </c>
      <c r="V97" s="1652" t="str">
        <f t="shared" si="61"/>
        <v/>
      </c>
      <c r="W97" s="1653" t="str">
        <f t="shared" si="62"/>
        <v/>
      </c>
      <c r="X97" s="1648" t="str">
        <f t="shared" si="63"/>
        <v/>
      </c>
      <c r="Y97" s="1597">
        <f t="shared" si="64"/>
        <v>0</v>
      </c>
      <c r="Z97" s="1597">
        <f t="shared" si="68"/>
        <v>0</v>
      </c>
      <c r="AA97" s="1654" t="str">
        <f t="shared" si="65"/>
        <v/>
      </c>
      <c r="AB97" s="1597" t="str">
        <f t="shared" si="66"/>
        <v/>
      </c>
      <c r="AC97" s="1645"/>
    </row>
    <row r="98" spans="21:29" x14ac:dyDescent="0.25">
      <c r="U98" s="1652" t="str">
        <f t="shared" ref="U98" si="69">IFERROR(IF(U97+1&gt;$C$5,"",U97+1),"")</f>
        <v/>
      </c>
      <c r="V98" s="1652" t="str">
        <f t="shared" si="61"/>
        <v/>
      </c>
      <c r="W98" s="1653" t="str">
        <f t="shared" si="62"/>
        <v/>
      </c>
      <c r="X98" s="1648" t="str">
        <f t="shared" si="63"/>
        <v/>
      </c>
      <c r="Y98" s="1597">
        <f t="shared" si="64"/>
        <v>0</v>
      </c>
      <c r="Z98" s="1597">
        <f t="shared" si="68"/>
        <v>0</v>
      </c>
      <c r="AA98" s="1654" t="str">
        <f t="shared" si="65"/>
        <v/>
      </c>
      <c r="AB98" s="1597" t="str">
        <f t="shared" si="66"/>
        <v/>
      </c>
      <c r="AC98" s="1645"/>
    </row>
    <row r="99" spans="21:29" x14ac:dyDescent="0.25">
      <c r="U99" s="1652"/>
      <c r="V99" s="1652"/>
      <c r="W99" s="1645"/>
      <c r="X99" s="1655">
        <f>SUM(X93:X98)</f>
        <v>0</v>
      </c>
      <c r="Y99" s="1643">
        <f>SUM(Y93:Y98)</f>
        <v>0</v>
      </c>
      <c r="Z99" s="1645"/>
      <c r="AA99" s="1643"/>
      <c r="AB99" s="1643">
        <f>SUM(AB93:AB98)</f>
        <v>0</v>
      </c>
      <c r="AC99" s="1645"/>
    </row>
    <row r="102" spans="21:29" ht="25.5" x14ac:dyDescent="0.25">
      <c r="U102" s="1686" t="str">
        <f>+E8</f>
        <v xml:space="preserve">Juzgado Promiscuo Municipal de Obando </v>
      </c>
      <c r="V102" s="1645"/>
      <c r="W102" s="1645"/>
      <c r="X102" s="1645"/>
      <c r="Y102" s="1645"/>
      <c r="Z102" s="1645"/>
      <c r="AA102" s="1645"/>
      <c r="AB102" s="1645"/>
      <c r="AC102" s="1645"/>
    </row>
    <row r="103" spans="21:29" x14ac:dyDescent="0.25">
      <c r="U103" s="1645" t="s">
        <v>1607</v>
      </c>
      <c r="V103" s="1645"/>
      <c r="W103" s="1649">
        <f>+F8</f>
        <v>1</v>
      </c>
      <c r="X103" s="1645"/>
      <c r="Y103" s="1645" t="s">
        <v>1608</v>
      </c>
      <c r="Z103" s="1645">
        <f>AVERAGE(U110:U115)</f>
        <v>1</v>
      </c>
      <c r="AA103" s="1645"/>
      <c r="AB103" s="1645" t="s">
        <v>1609</v>
      </c>
      <c r="AC103" s="1649">
        <v>2</v>
      </c>
    </row>
    <row r="104" spans="21:29" x14ac:dyDescent="0.25">
      <c r="U104" s="1645" t="s">
        <v>1610</v>
      </c>
      <c r="V104" s="1645"/>
      <c r="W104" s="1644">
        <f>+G8/1000000</f>
        <v>22.815097000000002</v>
      </c>
      <c r="X104" s="1645"/>
      <c r="Y104" s="1645" t="s">
        <v>1611</v>
      </c>
      <c r="Z104" s="1645" t="e">
        <f>_xlfn.STDEV.S(U110:U115)</f>
        <v>#DIV/0!</v>
      </c>
      <c r="AA104" s="1645"/>
      <c r="AB104" s="1645"/>
      <c r="AC104" s="1645"/>
    </row>
    <row r="105" spans="21:29" x14ac:dyDescent="0.25">
      <c r="U105" s="1645" t="s">
        <v>1612</v>
      </c>
      <c r="V105" s="1645"/>
      <c r="W105" s="1642">
        <v>0</v>
      </c>
      <c r="X105" s="1645"/>
      <c r="Y105" s="1645"/>
      <c r="Z105" s="1645"/>
      <c r="AA105" s="1645"/>
      <c r="AB105" s="1645"/>
      <c r="AC105" s="1645"/>
    </row>
    <row r="106" spans="21:29" x14ac:dyDescent="0.25">
      <c r="U106" s="1645" t="s">
        <v>1613</v>
      </c>
      <c r="V106" s="1645"/>
      <c r="W106" s="1649">
        <v>1</v>
      </c>
      <c r="X106" s="1645"/>
      <c r="Y106" s="1645"/>
      <c r="Z106" s="1645"/>
      <c r="AA106" s="1645"/>
      <c r="AB106" s="1645"/>
      <c r="AC106" s="1645"/>
    </row>
    <row r="107" spans="21:29" x14ac:dyDescent="0.25">
      <c r="U107" s="1645" t="s">
        <v>1614</v>
      </c>
      <c r="V107" s="1645"/>
      <c r="W107" s="1641">
        <f>IFERROR(NOMINAL(W105,12)/12,0)</f>
        <v>0</v>
      </c>
      <c r="X107" s="1641">
        <f>(1+W105)^(1/12)-1</f>
        <v>0</v>
      </c>
      <c r="Y107" s="1645"/>
      <c r="Z107" s="1645"/>
      <c r="AA107" s="1645"/>
      <c r="AB107" s="1645"/>
      <c r="AC107" s="1645"/>
    </row>
    <row r="108" spans="21:29" x14ac:dyDescent="0.25">
      <c r="U108" s="1645"/>
      <c r="V108" s="1645"/>
      <c r="W108" s="1645"/>
      <c r="X108" s="1645"/>
      <c r="Y108" s="1645"/>
      <c r="Z108" s="1645"/>
      <c r="AA108" s="1645"/>
      <c r="AB108" s="1645"/>
      <c r="AC108" s="1645"/>
    </row>
    <row r="109" spans="21:29" x14ac:dyDescent="0.25">
      <c r="U109" s="1650" t="s">
        <v>1558</v>
      </c>
      <c r="V109" s="1650"/>
      <c r="W109" s="1645"/>
      <c r="X109" s="1645"/>
      <c r="Y109" s="1651" t="s">
        <v>1615</v>
      </c>
      <c r="Z109" s="1651" t="s">
        <v>1616</v>
      </c>
      <c r="AA109" s="1646" t="s">
        <v>1617</v>
      </c>
      <c r="AB109" s="1646" t="s">
        <v>1618</v>
      </c>
      <c r="AC109" s="1645"/>
    </row>
    <row r="110" spans="21:29" x14ac:dyDescent="0.25">
      <c r="U110" s="1652">
        <v>1</v>
      </c>
      <c r="V110" s="1652">
        <f>+W106</f>
        <v>1</v>
      </c>
      <c r="W110" s="1653" t="str">
        <f>IFERROR(_xlfn.NORM.DIST(U110,$Z$103,$Z$104,FALSE),"")</f>
        <v/>
      </c>
      <c r="X110" s="1648" t="str">
        <f>IFERROR(W110*100%/SUM($W$59:$W$64),"")</f>
        <v/>
      </c>
      <c r="Y110" s="1597">
        <f>IFERROR(X110*$W$104,0)</f>
        <v>0</v>
      </c>
      <c r="Z110" s="1597">
        <f>+Y110</f>
        <v>0</v>
      </c>
      <c r="AA110" s="1654">
        <f>IFERROR(((($W$6+1)^V110))-1,"")</f>
        <v>0</v>
      </c>
      <c r="AB110" s="1597">
        <f>IFERROR(AA110*Y110,"")</f>
        <v>0</v>
      </c>
      <c r="AC110" s="1645"/>
    </row>
    <row r="111" spans="21:29" x14ac:dyDescent="0.25">
      <c r="U111" s="1652" t="str">
        <f>IFERROR(IF(U110+1&gt;$W$103,"",U110+1),"")</f>
        <v/>
      </c>
      <c r="V111" s="1652" t="str">
        <f t="shared" ref="V111:V115" si="70">IF(U111="","",V110+1)</f>
        <v/>
      </c>
      <c r="W111" s="1653" t="str">
        <f t="shared" ref="W111:W114" si="71">IFERROR(_xlfn.NORM.DIST(U111,$Z$52,$Z$53,FALSE),"")</f>
        <v/>
      </c>
      <c r="X111" s="1648" t="str">
        <f t="shared" ref="X111:X114" si="72">IFERROR(W111*100%/SUM($W$59:$W$64),"")</f>
        <v/>
      </c>
      <c r="Y111" s="1597">
        <f t="shared" ref="Y111:Y115" si="73">IFERROR(X111*$W$104,0)</f>
        <v>0</v>
      </c>
      <c r="Z111" s="1597">
        <f>IFERROR(Z110+Y111,"")</f>
        <v>0</v>
      </c>
      <c r="AA111" s="1654" t="str">
        <f t="shared" ref="AA111:AA115" si="74">IFERROR(((($W$6+1)^V111))-1,"")</f>
        <v/>
      </c>
      <c r="AB111" s="1597" t="str">
        <f t="shared" ref="AB111:AB115" si="75">IFERROR(AA111*Y111,"")</f>
        <v/>
      </c>
      <c r="AC111" s="1645"/>
    </row>
    <row r="112" spans="21:29" x14ac:dyDescent="0.25">
      <c r="U112" s="1652" t="str">
        <f t="shared" ref="U112:U115" si="76">IFERROR(IF(U111+1&gt;$W$103,"",U111+1),"")</f>
        <v/>
      </c>
      <c r="V112" s="1652" t="str">
        <f t="shared" si="70"/>
        <v/>
      </c>
      <c r="W112" s="1653" t="str">
        <f t="shared" si="71"/>
        <v/>
      </c>
      <c r="X112" s="1648" t="str">
        <f t="shared" si="72"/>
        <v/>
      </c>
      <c r="Y112" s="1597">
        <f t="shared" si="73"/>
        <v>0</v>
      </c>
      <c r="Z112" s="1597">
        <f t="shared" ref="Z112:Z115" si="77">IFERROR(Z111+Y112,"")</f>
        <v>0</v>
      </c>
      <c r="AA112" s="1654" t="str">
        <f t="shared" si="74"/>
        <v/>
      </c>
      <c r="AB112" s="1597" t="str">
        <f t="shared" si="75"/>
        <v/>
      </c>
      <c r="AC112" s="1645"/>
    </row>
    <row r="113" spans="21:29" x14ac:dyDescent="0.25">
      <c r="U113" s="1652" t="str">
        <f t="shared" si="76"/>
        <v/>
      </c>
      <c r="V113" s="1652" t="str">
        <f t="shared" si="70"/>
        <v/>
      </c>
      <c r="W113" s="1653" t="str">
        <f t="shared" si="71"/>
        <v/>
      </c>
      <c r="X113" s="1648" t="str">
        <f t="shared" si="72"/>
        <v/>
      </c>
      <c r="Y113" s="1597">
        <f t="shared" si="73"/>
        <v>0</v>
      </c>
      <c r="Z113" s="1597">
        <f t="shared" si="77"/>
        <v>0</v>
      </c>
      <c r="AA113" s="1654" t="str">
        <f t="shared" si="74"/>
        <v/>
      </c>
      <c r="AB113" s="1597" t="str">
        <f t="shared" si="75"/>
        <v/>
      </c>
      <c r="AC113" s="1645"/>
    </row>
    <row r="114" spans="21:29" x14ac:dyDescent="0.25">
      <c r="U114" s="1652" t="str">
        <f t="shared" si="76"/>
        <v/>
      </c>
      <c r="V114" s="1652" t="str">
        <f t="shared" si="70"/>
        <v/>
      </c>
      <c r="W114" s="1653" t="str">
        <f t="shared" si="71"/>
        <v/>
      </c>
      <c r="X114" s="1648" t="str">
        <f t="shared" si="72"/>
        <v/>
      </c>
      <c r="Y114" s="1597">
        <f t="shared" si="73"/>
        <v>0</v>
      </c>
      <c r="Z114" s="1597">
        <f t="shared" si="77"/>
        <v>0</v>
      </c>
      <c r="AA114" s="1654" t="str">
        <f t="shared" si="74"/>
        <v/>
      </c>
      <c r="AB114" s="1597" t="str">
        <f t="shared" si="75"/>
        <v/>
      </c>
      <c r="AC114" s="1645"/>
    </row>
    <row r="115" spans="21:29" x14ac:dyDescent="0.25">
      <c r="U115" s="1652" t="str">
        <f t="shared" si="76"/>
        <v/>
      </c>
      <c r="V115" s="1652" t="str">
        <f t="shared" si="70"/>
        <v/>
      </c>
      <c r="W115" s="1653" t="str">
        <f t="shared" ref="W115" si="78">IFERROR(_xlfn.NORM.DIST(U115,$Z$2,$Z$3,FALSE),"")</f>
        <v/>
      </c>
      <c r="X115" s="1648" t="str">
        <f>IFERROR(W115*100%/SUM($W$59:$W$64),"")</f>
        <v/>
      </c>
      <c r="Y115" s="1597">
        <f t="shared" si="73"/>
        <v>0</v>
      </c>
      <c r="Z115" s="1597">
        <f t="shared" si="77"/>
        <v>0</v>
      </c>
      <c r="AA115" s="1654" t="str">
        <f t="shared" si="74"/>
        <v/>
      </c>
      <c r="AB115" s="1597" t="str">
        <f t="shared" si="75"/>
        <v/>
      </c>
      <c r="AC115" s="1645"/>
    </row>
    <row r="116" spans="21:29" x14ac:dyDescent="0.25">
      <c r="U116" s="1652"/>
      <c r="V116" s="1652"/>
      <c r="W116" s="1645"/>
      <c r="X116" s="1655">
        <f>SUM(X110:X115)</f>
        <v>0</v>
      </c>
      <c r="Y116" s="1643">
        <f>SUM(Y110:Y115)</f>
        <v>0</v>
      </c>
      <c r="Z116" s="1645"/>
      <c r="AA116" s="1643"/>
      <c r="AB116" s="1643">
        <f>SUM(AB110:AB115)</f>
        <v>0</v>
      </c>
      <c r="AC116" s="1645"/>
    </row>
    <row r="119" spans="21:29" ht="38.25" x14ac:dyDescent="0.25">
      <c r="U119" s="1686" t="str">
        <f>+E9</f>
        <v>Juzgado Promiscuo Municipal de San José del Palmar</v>
      </c>
      <c r="V119" s="1645"/>
      <c r="W119" s="1645"/>
      <c r="X119" s="1645"/>
      <c r="Y119" s="1645"/>
      <c r="Z119" s="1645"/>
      <c r="AA119" s="1645"/>
      <c r="AB119" s="1645"/>
      <c r="AC119" s="1645"/>
    </row>
    <row r="120" spans="21:29" x14ac:dyDescent="0.25">
      <c r="U120" s="1645" t="s">
        <v>1607</v>
      </c>
      <c r="V120" s="1645"/>
      <c r="W120" s="1649">
        <f>+F9</f>
        <v>1</v>
      </c>
      <c r="X120" s="1645"/>
      <c r="Y120" s="1645" t="s">
        <v>1608</v>
      </c>
      <c r="Z120" s="1645">
        <f>AVERAGE(U127:U132)</f>
        <v>1</v>
      </c>
      <c r="AA120" s="1645"/>
      <c r="AB120" s="1645" t="s">
        <v>1609</v>
      </c>
      <c r="AC120" s="1649">
        <v>2</v>
      </c>
    </row>
    <row r="121" spans="21:29" x14ac:dyDescent="0.25">
      <c r="U121" s="1645" t="s">
        <v>1610</v>
      </c>
      <c r="V121" s="1645"/>
      <c r="W121" s="1644">
        <f>+G9/1000000</f>
        <v>65.105346999999995</v>
      </c>
      <c r="X121" s="1645"/>
      <c r="Y121" s="1645" t="s">
        <v>1611</v>
      </c>
      <c r="Z121" s="1645" t="e">
        <f>_xlfn.STDEV.S(U127:U132)</f>
        <v>#DIV/0!</v>
      </c>
      <c r="AA121" s="1645"/>
      <c r="AB121" s="1645"/>
      <c r="AC121" s="1645"/>
    </row>
    <row r="122" spans="21:29" x14ac:dyDescent="0.25">
      <c r="U122" s="1645" t="s">
        <v>1612</v>
      </c>
      <c r="V122" s="1645"/>
      <c r="W122" s="1642">
        <v>0</v>
      </c>
      <c r="X122" s="1645"/>
      <c r="Y122" s="1645"/>
      <c r="Z122" s="1645"/>
      <c r="AA122" s="1645"/>
      <c r="AB122" s="1645"/>
      <c r="AC122" s="1645"/>
    </row>
    <row r="123" spans="21:29" x14ac:dyDescent="0.25">
      <c r="U123" s="1645" t="s">
        <v>1613</v>
      </c>
      <c r="V123" s="1645"/>
      <c r="W123" s="1649">
        <v>1</v>
      </c>
      <c r="X123" s="1645"/>
      <c r="Y123" s="1645"/>
      <c r="Z123" s="1645"/>
      <c r="AA123" s="1645"/>
      <c r="AB123" s="1645"/>
      <c r="AC123" s="1645"/>
    </row>
    <row r="124" spans="21:29" x14ac:dyDescent="0.25">
      <c r="U124" s="1645" t="s">
        <v>1614</v>
      </c>
      <c r="V124" s="1645"/>
      <c r="W124" s="1641">
        <f>IFERROR(NOMINAL(W122,12)/12,0)</f>
        <v>0</v>
      </c>
      <c r="X124" s="1641">
        <f>(1+W122)^(1/12)-1</f>
        <v>0</v>
      </c>
      <c r="Y124" s="1645"/>
      <c r="Z124" s="1645"/>
      <c r="AA124" s="1645"/>
      <c r="AB124" s="1645"/>
      <c r="AC124" s="1645"/>
    </row>
    <row r="125" spans="21:29" x14ac:dyDescent="0.25">
      <c r="U125" s="1645"/>
      <c r="V125" s="1645"/>
      <c r="W125" s="1645"/>
      <c r="X125" s="1645"/>
      <c r="Y125" s="1645"/>
      <c r="Z125" s="1645"/>
      <c r="AA125" s="1645"/>
      <c r="AB125" s="1645"/>
      <c r="AC125" s="1645"/>
    </row>
    <row r="126" spans="21:29" x14ac:dyDescent="0.25">
      <c r="U126" s="1650" t="s">
        <v>1558</v>
      </c>
      <c r="V126" s="1650"/>
      <c r="W126" s="1645"/>
      <c r="X126" s="1645"/>
      <c r="Y126" s="1651" t="s">
        <v>1615</v>
      </c>
      <c r="Z126" s="1651" t="s">
        <v>1616</v>
      </c>
      <c r="AA126" s="1646" t="s">
        <v>1617</v>
      </c>
      <c r="AB126" s="1646" t="s">
        <v>1618</v>
      </c>
      <c r="AC126" s="1645"/>
    </row>
    <row r="127" spans="21:29" x14ac:dyDescent="0.25">
      <c r="U127" s="1652">
        <v>1</v>
      </c>
      <c r="V127" s="1652">
        <f>+W123</f>
        <v>1</v>
      </c>
      <c r="W127" s="1653" t="str">
        <f>IFERROR(_xlfn.NORM.DIST(U127,$Z$120,$Z$121,FALSE),"")</f>
        <v/>
      </c>
      <c r="X127" s="1648" t="str">
        <f>IFERROR(W127*100%/SUM($W$127:$W$132),"")</f>
        <v/>
      </c>
      <c r="Y127" s="1597">
        <f>IFERROR(X127*$W$121,0)</f>
        <v>0</v>
      </c>
      <c r="Z127" s="1597">
        <f>+Y127</f>
        <v>0</v>
      </c>
      <c r="AA127" s="1654">
        <f>IFERROR(((($W$6+1)^V127))-1,"")</f>
        <v>0</v>
      </c>
      <c r="AB127" s="1597">
        <f>IFERROR(AA127*Y127,"")</f>
        <v>0</v>
      </c>
      <c r="AC127" s="1645"/>
    </row>
    <row r="128" spans="21:29" x14ac:dyDescent="0.25">
      <c r="U128" s="1652" t="str">
        <f>IFERROR(IF(U127+1&gt;$W$120,"",U127+1),"")</f>
        <v/>
      </c>
      <c r="V128" s="1652" t="str">
        <f t="shared" ref="V128:V132" si="79">IF(U128="","",V127+1)</f>
        <v/>
      </c>
      <c r="W128" s="1653" t="str">
        <f t="shared" ref="W128:W132" si="80">IFERROR(_xlfn.NORM.DIST(U128,$Z$120,$Z$121,FALSE),"")</f>
        <v/>
      </c>
      <c r="X128" s="1648" t="str">
        <f t="shared" ref="X128:X132" si="81">IFERROR(W128*100%/SUM($W$127:$W$132),"")</f>
        <v/>
      </c>
      <c r="Y128" s="1597">
        <f t="shared" ref="Y128:Y132" si="82">IFERROR(X128*$W$121,0)</f>
        <v>0</v>
      </c>
      <c r="Z128" s="1597">
        <f>IFERROR(Z127+Y128,"")</f>
        <v>0</v>
      </c>
      <c r="AA128" s="1654" t="str">
        <f t="shared" ref="AA128:AA132" si="83">IFERROR(((($W$6+1)^V128))-1,"")</f>
        <v/>
      </c>
      <c r="AB128" s="1597" t="str">
        <f t="shared" ref="AB128:AB132" si="84">IFERROR(AA128*Y128,"")</f>
        <v/>
      </c>
      <c r="AC128" s="1645"/>
    </row>
    <row r="129" spans="21:29" x14ac:dyDescent="0.25">
      <c r="U129" s="1652" t="str">
        <f t="shared" ref="U129:U133" si="85">IFERROR(IF(U128+1&gt;$W$120,"",U128+1),"")</f>
        <v/>
      </c>
      <c r="V129" s="1652" t="str">
        <f t="shared" si="79"/>
        <v/>
      </c>
      <c r="W129" s="1653" t="str">
        <f t="shared" si="80"/>
        <v/>
      </c>
      <c r="X129" s="1648" t="str">
        <f t="shared" si="81"/>
        <v/>
      </c>
      <c r="Y129" s="1597">
        <f t="shared" si="82"/>
        <v>0</v>
      </c>
      <c r="Z129" s="1597">
        <f t="shared" ref="Z129:Z132" si="86">IFERROR(Z128+Y129,"")</f>
        <v>0</v>
      </c>
      <c r="AA129" s="1654" t="str">
        <f t="shared" si="83"/>
        <v/>
      </c>
      <c r="AB129" s="1597" t="str">
        <f t="shared" si="84"/>
        <v/>
      </c>
      <c r="AC129" s="1645"/>
    </row>
    <row r="130" spans="21:29" x14ac:dyDescent="0.25">
      <c r="U130" s="1652" t="str">
        <f t="shared" si="85"/>
        <v/>
      </c>
      <c r="V130" s="1652" t="str">
        <f t="shared" si="79"/>
        <v/>
      </c>
      <c r="W130" s="1653" t="str">
        <f t="shared" si="80"/>
        <v/>
      </c>
      <c r="X130" s="1648" t="str">
        <f t="shared" si="81"/>
        <v/>
      </c>
      <c r="Y130" s="1597">
        <f t="shared" si="82"/>
        <v>0</v>
      </c>
      <c r="Z130" s="1597">
        <f t="shared" si="86"/>
        <v>0</v>
      </c>
      <c r="AA130" s="1654" t="str">
        <f t="shared" si="83"/>
        <v/>
      </c>
      <c r="AB130" s="1597" t="str">
        <f t="shared" si="84"/>
        <v/>
      </c>
      <c r="AC130" s="1645"/>
    </row>
    <row r="131" spans="21:29" x14ac:dyDescent="0.25">
      <c r="U131" s="1652" t="str">
        <f t="shared" si="85"/>
        <v/>
      </c>
      <c r="V131" s="1652" t="str">
        <f t="shared" si="79"/>
        <v/>
      </c>
      <c r="W131" s="1653" t="str">
        <f t="shared" si="80"/>
        <v/>
      </c>
      <c r="X131" s="1648" t="str">
        <f t="shared" si="81"/>
        <v/>
      </c>
      <c r="Y131" s="1597">
        <f t="shared" si="82"/>
        <v>0</v>
      </c>
      <c r="Z131" s="1597">
        <f t="shared" si="86"/>
        <v>0</v>
      </c>
      <c r="AA131" s="1654" t="str">
        <f t="shared" si="83"/>
        <v/>
      </c>
      <c r="AB131" s="1597" t="str">
        <f t="shared" si="84"/>
        <v/>
      </c>
      <c r="AC131" s="1645"/>
    </row>
    <row r="132" spans="21:29" x14ac:dyDescent="0.25">
      <c r="U132" s="1652" t="str">
        <f t="shared" si="85"/>
        <v/>
      </c>
      <c r="V132" s="1652" t="str">
        <f t="shared" si="79"/>
        <v/>
      </c>
      <c r="W132" s="1653" t="str">
        <f t="shared" si="80"/>
        <v/>
      </c>
      <c r="X132" s="1648" t="str">
        <f t="shared" si="81"/>
        <v/>
      </c>
      <c r="Y132" s="1597">
        <f t="shared" si="82"/>
        <v>0</v>
      </c>
      <c r="Z132" s="1597">
        <f t="shared" si="86"/>
        <v>0</v>
      </c>
      <c r="AA132" s="1654" t="str">
        <f t="shared" si="83"/>
        <v/>
      </c>
      <c r="AB132" s="1597" t="str">
        <f t="shared" si="84"/>
        <v/>
      </c>
      <c r="AC132" s="1645"/>
    </row>
    <row r="133" spans="21:29" x14ac:dyDescent="0.25">
      <c r="U133" s="1652" t="str">
        <f t="shared" si="85"/>
        <v/>
      </c>
      <c r="V133" s="1652"/>
      <c r="W133" s="1645"/>
      <c r="X133" s="1655">
        <f>SUM(X127:X132)</f>
        <v>0</v>
      </c>
      <c r="Y133" s="1643">
        <f>SUM(Y127:Y132)</f>
        <v>0</v>
      </c>
      <c r="Z133" s="1645"/>
      <c r="AA133" s="1643"/>
      <c r="AB133" s="1643">
        <f>SUM(AB127:AB132)</f>
        <v>0</v>
      </c>
      <c r="AC133" s="1645"/>
    </row>
    <row r="136" spans="21:29" ht="25.5" x14ac:dyDescent="0.25">
      <c r="U136" s="1686" t="str">
        <f>+E10</f>
        <v>Palacio de Justicia de Tuluá</v>
      </c>
      <c r="V136" s="1645"/>
      <c r="W136" s="1645"/>
      <c r="X136" s="1645"/>
      <c r="Y136" s="1645"/>
      <c r="Z136" s="1645"/>
      <c r="AA136" s="1645"/>
      <c r="AB136" s="1645"/>
      <c r="AC136" s="1645"/>
    </row>
    <row r="137" spans="21:29" x14ac:dyDescent="0.25">
      <c r="U137" s="1645" t="s">
        <v>1607</v>
      </c>
      <c r="V137" s="1645"/>
      <c r="W137" s="1649">
        <f>+F10</f>
        <v>1</v>
      </c>
      <c r="X137" s="1645"/>
      <c r="Y137" s="1645" t="s">
        <v>1608</v>
      </c>
      <c r="Z137" s="1645">
        <f>AVERAGE(U144:U149)</f>
        <v>1</v>
      </c>
      <c r="AA137" s="1645"/>
      <c r="AB137" s="1645" t="s">
        <v>1609</v>
      </c>
      <c r="AC137" s="1649">
        <v>2</v>
      </c>
    </row>
    <row r="138" spans="21:29" x14ac:dyDescent="0.25">
      <c r="U138" s="1645" t="s">
        <v>1610</v>
      </c>
      <c r="V138" s="1645"/>
      <c r="W138" s="1644">
        <f>+G10/1000000</f>
        <v>24.408113</v>
      </c>
      <c r="X138" s="1645"/>
      <c r="Y138" s="1645" t="s">
        <v>1611</v>
      </c>
      <c r="Z138" s="1645" t="e">
        <f>_xlfn.STDEV.S(U144:U149)</f>
        <v>#DIV/0!</v>
      </c>
      <c r="AA138" s="1645"/>
      <c r="AB138" s="1645"/>
      <c r="AC138" s="1645"/>
    </row>
    <row r="139" spans="21:29" x14ac:dyDescent="0.25">
      <c r="U139" s="1645" t="s">
        <v>1612</v>
      </c>
      <c r="V139" s="1645"/>
      <c r="W139" s="1642">
        <v>0</v>
      </c>
      <c r="X139" s="1645"/>
      <c r="Y139" s="1645"/>
      <c r="Z139" s="1645"/>
      <c r="AA139" s="1645"/>
      <c r="AB139" s="1645"/>
      <c r="AC139" s="1645"/>
    </row>
    <row r="140" spans="21:29" x14ac:dyDescent="0.25">
      <c r="U140" s="1645" t="s">
        <v>1613</v>
      </c>
      <c r="V140" s="1645"/>
      <c r="W140" s="1649">
        <v>1</v>
      </c>
      <c r="X140" s="1645"/>
      <c r="Y140" s="1645"/>
      <c r="Z140" s="1645"/>
      <c r="AA140" s="1645"/>
      <c r="AB140" s="1645"/>
      <c r="AC140" s="1645"/>
    </row>
    <row r="141" spans="21:29" x14ac:dyDescent="0.25">
      <c r="U141" s="1645" t="s">
        <v>1614</v>
      </c>
      <c r="V141" s="1645"/>
      <c r="W141" s="1641">
        <f>IFERROR(NOMINAL(W139,12)/12,0)</f>
        <v>0</v>
      </c>
      <c r="X141" s="1641">
        <f>(1+W139)^(1/12)-1</f>
        <v>0</v>
      </c>
      <c r="Y141" s="1645"/>
      <c r="Z141" s="1645"/>
      <c r="AA141" s="1645"/>
      <c r="AB141" s="1645"/>
      <c r="AC141" s="1645"/>
    </row>
    <row r="142" spans="21:29" x14ac:dyDescent="0.25">
      <c r="U142" s="1645"/>
      <c r="V142" s="1645"/>
      <c r="W142" s="1645"/>
      <c r="X142" s="1645"/>
      <c r="Y142" s="1645"/>
      <c r="Z142" s="1645"/>
      <c r="AA142" s="1645"/>
      <c r="AB142" s="1645"/>
      <c r="AC142" s="1645"/>
    </row>
    <row r="143" spans="21:29" x14ac:dyDescent="0.25">
      <c r="U143" s="1650" t="s">
        <v>1558</v>
      </c>
      <c r="V143" s="1650"/>
      <c r="W143" s="1645"/>
      <c r="X143" s="1645"/>
      <c r="Y143" s="1651" t="s">
        <v>1615</v>
      </c>
      <c r="Z143" s="1651" t="s">
        <v>1616</v>
      </c>
      <c r="AA143" s="1646" t="s">
        <v>1617</v>
      </c>
      <c r="AB143" s="1646" t="s">
        <v>1618</v>
      </c>
      <c r="AC143" s="1645"/>
    </row>
    <row r="144" spans="21:29" x14ac:dyDescent="0.25">
      <c r="U144" s="1652">
        <v>1</v>
      </c>
      <c r="V144" s="1652">
        <f>+W140</f>
        <v>1</v>
      </c>
      <c r="W144" s="1653" t="str">
        <f>IFERROR(_xlfn.NORM.DIST(U144,$Z$137,$Z$138,FALSE),"")</f>
        <v/>
      </c>
      <c r="X144" s="1648" t="str">
        <f>IFERROR(W144*100%/SUM($W$59:$W$64),"")</f>
        <v/>
      </c>
      <c r="Y144" s="1597">
        <f>IFERROR(X144*$W$138,0)</f>
        <v>0</v>
      </c>
      <c r="Z144" s="1597">
        <f>+Y144</f>
        <v>0</v>
      </c>
      <c r="AA144" s="1654">
        <f>IFERROR(((($W$6+1)^V144))-1,"")</f>
        <v>0</v>
      </c>
      <c r="AB144" s="1597">
        <f>IFERROR(AA144*Y144,"")</f>
        <v>0</v>
      </c>
      <c r="AC144" s="1645"/>
    </row>
    <row r="145" spans="21:29" x14ac:dyDescent="0.25">
      <c r="U145" s="1652" t="str">
        <f>IFERROR(IF(U144+1&gt;$W$137,"",U144+1),"")</f>
        <v/>
      </c>
      <c r="V145" s="1652" t="str">
        <f t="shared" ref="V145:V149" si="87">IF(U145="","",V144+1)</f>
        <v/>
      </c>
      <c r="W145" s="1653" t="str">
        <f t="shared" ref="W145:W148" si="88">IFERROR(_xlfn.NORM.DIST(U145,$Z$52,$Z$53,FALSE),"")</f>
        <v/>
      </c>
      <c r="X145" s="1648" t="str">
        <f t="shared" ref="X145:X148" si="89">IFERROR(W145*100%/SUM($W$59:$W$64),"")</f>
        <v/>
      </c>
      <c r="Y145" s="1597">
        <f t="shared" ref="Y145:Y149" si="90">IFERROR(X145*$W$138,0)</f>
        <v>0</v>
      </c>
      <c r="Z145" s="1597">
        <f>IFERROR(Z144+Y145,"")</f>
        <v>0</v>
      </c>
      <c r="AA145" s="1654" t="str">
        <f t="shared" ref="AA145:AA149" si="91">IFERROR(((($W$6+1)^V145))-1,"")</f>
        <v/>
      </c>
      <c r="AB145" s="1597" t="str">
        <f t="shared" ref="AB145:AB149" si="92">IFERROR(AA145*Y145,"")</f>
        <v/>
      </c>
      <c r="AC145" s="1645"/>
    </row>
    <row r="146" spans="21:29" x14ac:dyDescent="0.25">
      <c r="U146" s="1652" t="str">
        <f t="shared" ref="U146:U148" si="93">IFERROR(IF(U145+1&gt;$W$137,"",U145+1),"")</f>
        <v/>
      </c>
      <c r="V146" s="1652" t="str">
        <f t="shared" si="87"/>
        <v/>
      </c>
      <c r="W146" s="1653" t="str">
        <f t="shared" si="88"/>
        <v/>
      </c>
      <c r="X146" s="1648" t="str">
        <f t="shared" si="89"/>
        <v/>
      </c>
      <c r="Y146" s="1597">
        <f t="shared" si="90"/>
        <v>0</v>
      </c>
      <c r="Z146" s="1597">
        <f t="shared" ref="Z146:Z149" si="94">IFERROR(Z145+Y146,"")</f>
        <v>0</v>
      </c>
      <c r="AA146" s="1654" t="str">
        <f t="shared" si="91"/>
        <v/>
      </c>
      <c r="AB146" s="1597" t="str">
        <f t="shared" si="92"/>
        <v/>
      </c>
      <c r="AC146" s="1645"/>
    </row>
    <row r="147" spans="21:29" x14ac:dyDescent="0.25">
      <c r="U147" s="1652" t="str">
        <f t="shared" si="93"/>
        <v/>
      </c>
      <c r="V147" s="1652" t="str">
        <f t="shared" si="87"/>
        <v/>
      </c>
      <c r="W147" s="1653" t="str">
        <f t="shared" si="88"/>
        <v/>
      </c>
      <c r="X147" s="1648" t="str">
        <f t="shared" si="89"/>
        <v/>
      </c>
      <c r="Y147" s="1597">
        <f t="shared" si="90"/>
        <v>0</v>
      </c>
      <c r="Z147" s="1597">
        <f t="shared" si="94"/>
        <v>0</v>
      </c>
      <c r="AA147" s="1654" t="str">
        <f t="shared" si="91"/>
        <v/>
      </c>
      <c r="AB147" s="1597" t="str">
        <f t="shared" si="92"/>
        <v/>
      </c>
      <c r="AC147" s="1645"/>
    </row>
    <row r="148" spans="21:29" x14ac:dyDescent="0.25">
      <c r="U148" s="1652" t="str">
        <f t="shared" si="93"/>
        <v/>
      </c>
      <c r="V148" s="1652" t="str">
        <f t="shared" si="87"/>
        <v/>
      </c>
      <c r="W148" s="1653" t="str">
        <f t="shared" si="88"/>
        <v/>
      </c>
      <c r="X148" s="1648" t="str">
        <f t="shared" si="89"/>
        <v/>
      </c>
      <c r="Y148" s="1597">
        <f t="shared" si="90"/>
        <v>0</v>
      </c>
      <c r="Z148" s="1597">
        <f t="shared" si="94"/>
        <v>0</v>
      </c>
      <c r="AA148" s="1654" t="str">
        <f t="shared" si="91"/>
        <v/>
      </c>
      <c r="AB148" s="1597" t="str">
        <f t="shared" si="92"/>
        <v/>
      </c>
      <c r="AC148" s="1645"/>
    </row>
    <row r="149" spans="21:29" x14ac:dyDescent="0.25">
      <c r="U149" s="1652" t="str">
        <f>IFERROR(IF(U148+1&gt;$W$137,"",U148+1),"")</f>
        <v/>
      </c>
      <c r="V149" s="1652" t="str">
        <f t="shared" si="87"/>
        <v/>
      </c>
      <c r="W149" s="1653" t="str">
        <f t="shared" ref="W149" si="95">IFERROR(_xlfn.NORM.DIST(U149,$Z$2,$Z$3,FALSE),"")</f>
        <v/>
      </c>
      <c r="X149" s="1648" t="str">
        <f>IFERROR(W149*100%/SUM($W$59:$W$64),"")</f>
        <v/>
      </c>
      <c r="Y149" s="1597">
        <f t="shared" si="90"/>
        <v>0</v>
      </c>
      <c r="Z149" s="1597">
        <f t="shared" si="94"/>
        <v>0</v>
      </c>
      <c r="AA149" s="1654" t="str">
        <f t="shared" si="91"/>
        <v/>
      </c>
      <c r="AB149" s="1597" t="str">
        <f t="shared" si="92"/>
        <v/>
      </c>
      <c r="AC149" s="1645"/>
    </row>
    <row r="150" spans="21:29" x14ac:dyDescent="0.25">
      <c r="U150" s="1652"/>
      <c r="V150" s="1652"/>
      <c r="W150" s="1645"/>
      <c r="X150" s="1655">
        <f>SUM(X144:X149)</f>
        <v>0</v>
      </c>
      <c r="Y150" s="1643">
        <f>SUM(Y144:Y149)</f>
        <v>0</v>
      </c>
      <c r="Z150" s="1645"/>
      <c r="AA150" s="1643"/>
      <c r="AB150" s="1643">
        <f>SUM(AB144:AB149)</f>
        <v>0</v>
      </c>
      <c r="AC150" s="1645"/>
    </row>
  </sheetData>
  <dataValidations disablePrompts="1" count="1">
    <dataValidation type="list" allowBlank="1" showInputMessage="1" showErrorMessage="1" sqref="AC2 AC20 AC36 AC52 AC69 AC86 AC103 AC120 AC137" xr:uid="{00000000-0002-0000-0800-000000000000}">
      <formula1>"1,2"</formula1>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6">
    <tabColor rgb="FFFFFF00"/>
  </sheetPr>
  <dimension ref="A1:S66"/>
  <sheetViews>
    <sheetView showGridLines="0" zoomScaleNormal="100" workbookViewId="0">
      <selection activeCell="F18" sqref="F18"/>
    </sheetView>
  </sheetViews>
  <sheetFormatPr baseColWidth="10" defaultRowHeight="15" x14ac:dyDescent="0.25"/>
  <cols>
    <col min="1" max="1" width="41.7109375" customWidth="1"/>
    <col min="2" max="2" width="20.42578125" customWidth="1"/>
    <col min="3" max="3" width="18.28515625" bestFit="1" customWidth="1"/>
    <col min="4" max="4" width="14.5703125" bestFit="1" customWidth="1"/>
    <col min="5" max="5" width="16.7109375" bestFit="1" customWidth="1"/>
    <col min="6" max="6" width="12" bestFit="1" customWidth="1"/>
    <col min="7" max="7" width="28.140625" bestFit="1" customWidth="1"/>
    <col min="8" max="8" width="18.7109375" bestFit="1" customWidth="1"/>
    <col min="9" max="9" width="17.85546875" style="1678" customWidth="1"/>
    <col min="10" max="10" width="18.140625" bestFit="1" customWidth="1"/>
    <col min="12" max="12" width="34.140625" customWidth="1"/>
    <col min="13" max="13" width="37.28515625" bestFit="1" customWidth="1"/>
    <col min="14" max="14" width="14.5703125" bestFit="1" customWidth="1"/>
    <col min="15" max="15" width="14.5703125" style="1298" bestFit="1" customWidth="1"/>
    <col min="16" max="16" width="16.7109375" style="1604" bestFit="1" customWidth="1"/>
    <col min="17" max="17" width="14.5703125" bestFit="1" customWidth="1"/>
    <col min="18" max="18" width="6.85546875" bestFit="1" customWidth="1"/>
    <col min="19" max="19" width="16.7109375" style="1298" bestFit="1" customWidth="1"/>
    <col min="20" max="20" width="16.7109375" bestFit="1" customWidth="1"/>
  </cols>
  <sheetData>
    <row r="1" spans="1:19" ht="23.25" x14ac:dyDescent="0.35">
      <c r="A1" s="1589" t="s">
        <v>1552</v>
      </c>
    </row>
    <row r="3" spans="1:19" x14ac:dyDescent="0.25">
      <c r="B3" s="1902" t="s">
        <v>1537</v>
      </c>
      <c r="C3" s="1910"/>
      <c r="D3" s="1910"/>
      <c r="E3" s="1903"/>
      <c r="F3" s="1911" t="s">
        <v>1458</v>
      </c>
      <c r="H3" s="1902" t="s">
        <v>1538</v>
      </c>
      <c r="I3" s="1903"/>
      <c r="N3" s="1298"/>
      <c r="O3" s="1604"/>
      <c r="P3"/>
      <c r="R3" s="1298"/>
      <c r="S3"/>
    </row>
    <row r="4" spans="1:19" ht="30" x14ac:dyDescent="0.25">
      <c r="A4" s="1525" t="s">
        <v>1456</v>
      </c>
      <c r="B4" s="1525" t="s">
        <v>1457</v>
      </c>
      <c r="C4" s="1525" t="s">
        <v>1459</v>
      </c>
      <c r="D4" s="1525" t="s">
        <v>1530</v>
      </c>
      <c r="E4" s="1525" t="s">
        <v>1460</v>
      </c>
      <c r="F4" s="1912"/>
      <c r="H4" s="1525" t="str">
        <f>+'estudio inicial precios'!E32</f>
        <v xml:space="preserve">COTIZACIÓN 1 - </v>
      </c>
      <c r="I4" s="1525" t="str">
        <f>+'estudio inicial precios'!G32</f>
        <v xml:space="preserve">COTIZACIÓN 2 - </v>
      </c>
      <c r="N4" s="1298"/>
      <c r="O4" s="1604"/>
      <c r="P4"/>
      <c r="R4" s="1298"/>
      <c r="S4"/>
    </row>
    <row r="5" spans="1:19" x14ac:dyDescent="0.25">
      <c r="A5" s="1310" t="str">
        <f>+'Contrato 013'!C98</f>
        <v>ADMINISTRACION</v>
      </c>
      <c r="B5" s="1294">
        <f>+'Contrato 013'!J98</f>
        <v>0.17</v>
      </c>
      <c r="C5" s="1294">
        <f>+'Contrato 028'!F163</f>
        <v>0.219</v>
      </c>
      <c r="D5" s="1294">
        <f>+'Contrato 041'!D163</f>
        <v>0.18</v>
      </c>
      <c r="E5" s="1294">
        <f>+'Contrato 058'!F153</f>
        <v>0.17</v>
      </c>
      <c r="F5" s="1305">
        <f>ROUND(AVERAGE(B5:E5),3)</f>
        <v>0.185</v>
      </c>
      <c r="H5" s="1294">
        <f>+'estudio inicial precios'!E567</f>
        <v>0.35</v>
      </c>
      <c r="I5" s="1294">
        <f>+'estudio inicial precios'!G567</f>
        <v>0.24</v>
      </c>
      <c r="N5" s="1298"/>
      <c r="O5" s="1604"/>
      <c r="P5"/>
      <c r="R5" s="1298"/>
      <c r="S5"/>
    </row>
    <row r="6" spans="1:19" x14ac:dyDescent="0.25">
      <c r="A6" s="1310" t="str">
        <f>+'Contrato 013'!C99</f>
        <v xml:space="preserve">IMPREVISTO </v>
      </c>
      <c r="B6" s="1294">
        <f>+'Contrato 013'!J99</f>
        <v>0.03</v>
      </c>
      <c r="C6" s="1294">
        <f>+'Contrato 028'!F164</f>
        <v>1E-3</v>
      </c>
      <c r="D6" s="1294">
        <f>+'Contrato 041'!D164</f>
        <v>0.02</v>
      </c>
      <c r="E6" s="1294">
        <f>+'Contrato 058'!F154</f>
        <v>0.03</v>
      </c>
      <c r="F6" s="1305">
        <f t="shared" ref="F6:F8" si="0">ROUND(AVERAGE(B6:E6),3)</f>
        <v>0.02</v>
      </c>
      <c r="H6" s="1294">
        <f>+'estudio inicial precios'!E568</f>
        <v>0.02</v>
      </c>
      <c r="I6" s="1294">
        <f>+'estudio inicial precios'!G568</f>
        <v>0.01</v>
      </c>
      <c r="N6" s="1298"/>
      <c r="O6" s="1604"/>
      <c r="P6"/>
      <c r="R6" s="1298"/>
      <c r="S6"/>
    </row>
    <row r="7" spans="1:19" x14ac:dyDescent="0.25">
      <c r="A7" s="1310" t="str">
        <f>+'Contrato 013'!C100</f>
        <v>UTILIDAD</v>
      </c>
      <c r="B7" s="1294">
        <f>+'Contrato 013'!J100</f>
        <v>0.05</v>
      </c>
      <c r="C7" s="1294">
        <f>+'Contrato 028'!F165</f>
        <v>0.03</v>
      </c>
      <c r="D7" s="1294">
        <f>+'Contrato 041'!D165</f>
        <v>0.05</v>
      </c>
      <c r="E7" s="1294">
        <f>+'Contrato 058'!F155</f>
        <v>0.05</v>
      </c>
      <c r="F7" s="1305">
        <f t="shared" si="0"/>
        <v>4.4999999999999998E-2</v>
      </c>
      <c r="H7" s="1294">
        <f>+'estudio inicial precios'!E569</f>
        <v>0.05</v>
      </c>
      <c r="I7" s="1294">
        <f>+'estudio inicial precios'!G569</f>
        <v>0.05</v>
      </c>
      <c r="N7" s="1298"/>
      <c r="O7" s="1604"/>
      <c r="P7"/>
      <c r="R7" s="1298"/>
      <c r="S7"/>
    </row>
    <row r="8" spans="1:19" x14ac:dyDescent="0.25">
      <c r="A8" s="1310" t="str">
        <f>+'Contrato 013'!C101</f>
        <v>IVA SOBRE UTILIDAD</v>
      </c>
      <c r="B8" s="1294">
        <f>+'Contrato 013'!J101</f>
        <v>0.19</v>
      </c>
      <c r="C8" s="1294">
        <f>+'Contrato 028'!F166</f>
        <v>0.19</v>
      </c>
      <c r="D8" s="1294">
        <f>+'Contrato 041'!D166</f>
        <v>0.19</v>
      </c>
      <c r="E8" s="1294">
        <f>+'Contrato 058'!F156</f>
        <v>0.19</v>
      </c>
      <c r="F8" s="1305">
        <f t="shared" si="0"/>
        <v>0.19</v>
      </c>
      <c r="H8" s="1294">
        <f>+'estudio inicial precios'!E570</f>
        <v>0.19</v>
      </c>
      <c r="I8" s="1294">
        <f>+'estudio inicial precios'!G570</f>
        <v>0.19</v>
      </c>
      <c r="N8" s="1298"/>
      <c r="O8" s="1604"/>
      <c r="P8"/>
      <c r="R8" s="1298"/>
      <c r="S8"/>
    </row>
    <row r="9" spans="1:19" x14ac:dyDescent="0.25">
      <c r="H9" s="1645"/>
      <c r="I9" s="1645"/>
      <c r="N9" s="1298"/>
      <c r="O9" s="1604"/>
      <c r="P9"/>
      <c r="R9" s="1298"/>
      <c r="S9"/>
    </row>
    <row r="10" spans="1:19" x14ac:dyDescent="0.25">
      <c r="A10" s="1311" t="s">
        <v>1453</v>
      </c>
      <c r="B10" s="1534">
        <f>SUM(B5:B7)</f>
        <v>0.25</v>
      </c>
      <c r="C10" s="1534">
        <f t="shared" ref="C10:F10" si="1">SUM(C5:C7)</f>
        <v>0.25</v>
      </c>
      <c r="D10" s="1534">
        <f t="shared" si="1"/>
        <v>0.25</v>
      </c>
      <c r="E10" s="1534">
        <f t="shared" si="1"/>
        <v>0.25</v>
      </c>
      <c r="F10" s="1534">
        <f t="shared" si="1"/>
        <v>0.25</v>
      </c>
      <c r="H10" s="1534">
        <f>SUM(H5:H7)</f>
        <v>0.42</v>
      </c>
      <c r="I10" s="1534">
        <f>SUM(I5:I7)</f>
        <v>0.3</v>
      </c>
      <c r="N10" s="1298"/>
      <c r="O10" s="1604"/>
      <c r="P10"/>
      <c r="R10" s="1298"/>
      <c r="S10"/>
    </row>
    <row r="11" spans="1:19" x14ac:dyDescent="0.25">
      <c r="A11" s="1311" t="s">
        <v>1454</v>
      </c>
      <c r="B11" s="1534">
        <f>+(B8*B7)+B10</f>
        <v>0.25950000000000001</v>
      </c>
      <c r="C11" s="1534">
        <f t="shared" ref="C11:F11" si="2">+(C8*C7)+C10</f>
        <v>0.25569999999999998</v>
      </c>
      <c r="D11" s="1534">
        <f t="shared" si="2"/>
        <v>0.25950000000000001</v>
      </c>
      <c r="E11" s="1534">
        <f t="shared" si="2"/>
        <v>0.25950000000000001</v>
      </c>
      <c r="F11" s="1534">
        <f t="shared" si="2"/>
        <v>0.25855</v>
      </c>
      <c r="H11" s="1534">
        <f>+(H8*H7)+H10</f>
        <v>0.42949999999999999</v>
      </c>
      <c r="I11" s="1534">
        <f>+(I8*I7)+I10</f>
        <v>0.3095</v>
      </c>
      <c r="N11" s="1298"/>
      <c r="O11" s="1604"/>
      <c r="P11"/>
      <c r="R11" s="1298"/>
      <c r="S11"/>
    </row>
    <row r="12" spans="1:19" x14ac:dyDescent="0.25">
      <c r="H12" s="1780" t="s">
        <v>1536</v>
      </c>
      <c r="I12" s="1780"/>
      <c r="N12" s="1298"/>
      <c r="O12" s="1604"/>
      <c r="P12"/>
      <c r="R12" s="1298"/>
      <c r="S12"/>
    </row>
    <row r="13" spans="1:19" x14ac:dyDescent="0.25">
      <c r="H13" s="1645"/>
      <c r="I13" s="1645"/>
      <c r="N13" s="1298"/>
      <c r="O13" s="1604"/>
      <c r="P13"/>
      <c r="R13" s="1298"/>
      <c r="S13"/>
    </row>
    <row r="14" spans="1:19" x14ac:dyDescent="0.25">
      <c r="G14" s="1575" t="s">
        <v>1539</v>
      </c>
      <c r="H14" s="1534">
        <f>+H11-$F$11</f>
        <v>0.17094999999999999</v>
      </c>
      <c r="I14" s="1534">
        <f>+I11-$F$11</f>
        <v>5.0949999999999995E-2</v>
      </c>
      <c r="N14" s="1298"/>
      <c r="O14" s="1604"/>
      <c r="P14"/>
      <c r="R14" s="1298"/>
      <c r="S14"/>
    </row>
    <row r="15" spans="1:19" x14ac:dyDescent="0.25">
      <c r="G15" s="1575" t="s">
        <v>1540</v>
      </c>
      <c r="H15" s="1607">
        <f>+H14/F11</f>
        <v>0.66118739122026682</v>
      </c>
      <c r="I15" s="1607">
        <f>+I14/F11</f>
        <v>0.19706052987816669</v>
      </c>
      <c r="N15" s="1298"/>
      <c r="O15" s="1604"/>
      <c r="P15"/>
      <c r="R15" s="1298"/>
      <c r="S15"/>
    </row>
    <row r="16" spans="1:19" s="1627" customFormat="1" ht="15.75" thickBot="1" x14ac:dyDescent="0.3">
      <c r="G16" s="1628"/>
      <c r="H16" s="1629"/>
      <c r="I16" s="1629"/>
      <c r="N16" s="1630"/>
      <c r="O16" s="1631"/>
      <c r="R16" s="1630"/>
    </row>
    <row r="17" spans="1:19" x14ac:dyDescent="0.25">
      <c r="G17" s="1575"/>
      <c r="H17" s="1626"/>
      <c r="I17" s="1626"/>
      <c r="N17" s="1298"/>
      <c r="O17" s="1604"/>
      <c r="P17"/>
      <c r="R17" s="1298"/>
      <c r="S17"/>
    </row>
    <row r="18" spans="1:19" x14ac:dyDescent="0.25">
      <c r="G18" s="1575"/>
      <c r="H18" s="1626"/>
      <c r="I18" s="1679"/>
      <c r="J18" s="1626"/>
    </row>
    <row r="19" spans="1:19" x14ac:dyDescent="0.25">
      <c r="G19" s="1575"/>
      <c r="H19" s="1626"/>
      <c r="I19" s="1679"/>
      <c r="J19" s="1626"/>
    </row>
    <row r="20" spans="1:19" x14ac:dyDescent="0.25">
      <c r="A20" s="1600" t="s">
        <v>196</v>
      </c>
      <c r="B20" s="1598">
        <f>+POE!Q117+POE!Q136+POE!Q204+POE!Q276+POE!Q341+POE!Q380+POE!Q417+POE!Q457+POE!Q470</f>
        <v>1028339346</v>
      </c>
      <c r="C20" s="1781">
        <f>+B20/$B$20</f>
        <v>1</v>
      </c>
    </row>
    <row r="21" spans="1:19" x14ac:dyDescent="0.25">
      <c r="A21" s="1310" t="s">
        <v>197</v>
      </c>
      <c r="B21" s="1783">
        <f>+POE!Q118+POE!Q137+POE!Q205+POE!Q277+POE!Q342+POE!Q381+POE!Q418+POE!Q458+POE!Q471</f>
        <v>190242780</v>
      </c>
      <c r="C21" s="1607">
        <f>+B21/$B$20</f>
        <v>0.18500000096271724</v>
      </c>
    </row>
    <row r="22" spans="1:19" x14ac:dyDescent="0.25">
      <c r="A22" s="1310" t="s">
        <v>1366</v>
      </c>
      <c r="B22" s="1783">
        <f>+POE!Q119+POE!Q138+POE!Q206+POE!Q278+POE!Q343+POE!Q382+POE!Q419+POE!Q459+POE!Q472</f>
        <v>20566789</v>
      </c>
      <c r="C22" s="1607">
        <f t="shared" ref="C22:C25" si="3">+B22/$B$20</f>
        <v>2.0000002022678612E-2</v>
      </c>
    </row>
    <row r="23" spans="1:19" x14ac:dyDescent="0.25">
      <c r="A23" s="1310" t="s">
        <v>199</v>
      </c>
      <c r="B23" s="1783">
        <f>+POE!Q120+POE!Q139+POE!Q207+POE!Q279+POE!Q344+POE!Q383+POE!Q420+POE!Q460+POE!Q473</f>
        <v>46275272</v>
      </c>
      <c r="C23" s="1607">
        <f t="shared" si="3"/>
        <v>4.5000001390591543E-2</v>
      </c>
    </row>
    <row r="24" spans="1:19" x14ac:dyDescent="0.25">
      <c r="A24" s="1310" t="s">
        <v>200</v>
      </c>
      <c r="B24" s="1783">
        <f>+POE!Q121+POE!Q140+POE!Q208+POE!Q280+POE!Q345+POE!Q384+POE!Q421+POE!Q461+POE!Q474</f>
        <v>8792301</v>
      </c>
      <c r="C24" s="1607">
        <f t="shared" si="3"/>
        <v>8.549999602952078E-3</v>
      </c>
    </row>
    <row r="25" spans="1:19" x14ac:dyDescent="0.25">
      <c r="A25" s="1617" t="s">
        <v>1597</v>
      </c>
      <c r="B25" s="1610">
        <f>SUM(B20:B24)</f>
        <v>1294216488</v>
      </c>
      <c r="C25" s="1782">
        <f t="shared" si="3"/>
        <v>1.2585500039789395</v>
      </c>
    </row>
    <row r="30" spans="1:19" x14ac:dyDescent="0.25">
      <c r="A30" s="1600" t="s">
        <v>1598</v>
      </c>
      <c r="B30" s="1605">
        <f>+B21</f>
        <v>190242780</v>
      </c>
      <c r="C30" s="1618">
        <f>+C21</f>
        <v>0.18500000096271724</v>
      </c>
    </row>
    <row r="31" spans="1:19" x14ac:dyDescent="0.25">
      <c r="C31" s="1298"/>
      <c r="D31" s="1604"/>
      <c r="G31" s="1298"/>
    </row>
    <row r="32" spans="1:19" ht="15.75" x14ac:dyDescent="0.25">
      <c r="A32" s="1621" t="s">
        <v>1594</v>
      </c>
      <c r="B32" s="1620" t="s">
        <v>1568</v>
      </c>
      <c r="C32" s="1602">
        <v>1300000</v>
      </c>
      <c r="D32" s="1604"/>
      <c r="E32" s="1622">
        <v>0.57999999999999996</v>
      </c>
      <c r="G32" s="1298"/>
    </row>
    <row r="33" spans="1:10" x14ac:dyDescent="0.25">
      <c r="A33" s="1615" t="s">
        <v>1580</v>
      </c>
      <c r="B33" s="1615" t="s">
        <v>1555</v>
      </c>
      <c r="C33" s="1615" t="s">
        <v>1556</v>
      </c>
      <c r="D33" s="1616" t="s">
        <v>1557</v>
      </c>
      <c r="E33" s="1615" t="s">
        <v>1566</v>
      </c>
      <c r="F33" s="1615" t="s">
        <v>1567</v>
      </c>
      <c r="G33" s="1615" t="s">
        <v>1558</v>
      </c>
      <c r="H33" s="1615" t="s">
        <v>1559</v>
      </c>
      <c r="I33" s="1676"/>
    </row>
    <row r="34" spans="1:10" x14ac:dyDescent="0.25">
      <c r="A34" s="1609" t="s">
        <v>1581</v>
      </c>
      <c r="B34" s="1609" t="s">
        <v>1554</v>
      </c>
      <c r="C34" s="1599">
        <v>1</v>
      </c>
      <c r="D34" s="1668">
        <v>5000000</v>
      </c>
      <c r="E34" s="1669">
        <f>+D34*$E$32</f>
        <v>2900000</v>
      </c>
      <c r="F34" s="1669">
        <f>+E34+D34</f>
        <v>7900000</v>
      </c>
      <c r="G34" s="1599">
        <v>4</v>
      </c>
      <c r="H34" s="1669">
        <f>+G34*F34*C34</f>
        <v>31600000</v>
      </c>
      <c r="I34" s="1677">
        <f>+H34/$B$30</f>
        <v>0.16610354411347436</v>
      </c>
    </row>
    <row r="35" spans="1:10" ht="30" x14ac:dyDescent="0.25">
      <c r="A35" s="1609" t="s">
        <v>1582</v>
      </c>
      <c r="B35" s="1609" t="s">
        <v>1579</v>
      </c>
      <c r="C35" s="1599">
        <v>1</v>
      </c>
      <c r="D35" s="1668">
        <v>2500000</v>
      </c>
      <c r="E35" s="1669">
        <f t="shared" ref="E35:E41" si="4">+D35*$E$32</f>
        <v>1450000</v>
      </c>
      <c r="F35" s="1669">
        <f t="shared" ref="F35:F41" si="5">+E35+D35</f>
        <v>3950000</v>
      </c>
      <c r="G35" s="1599">
        <f>+ejecución!C6</f>
        <v>9</v>
      </c>
      <c r="H35" s="1669">
        <f>+G35*F35*C35</f>
        <v>35550000</v>
      </c>
      <c r="I35" s="1677">
        <f t="shared" ref="I35:I42" si="6">+H35/$B$30</f>
        <v>0.18686648712765866</v>
      </c>
    </row>
    <row r="36" spans="1:10" ht="30" x14ac:dyDescent="0.25">
      <c r="A36" s="1609" t="s">
        <v>1583</v>
      </c>
      <c r="B36" s="1609" t="s">
        <v>1599</v>
      </c>
      <c r="C36" s="1599">
        <v>1</v>
      </c>
      <c r="D36" s="1668">
        <v>1800000</v>
      </c>
      <c r="E36" s="1669">
        <f t="shared" si="4"/>
        <v>1043999.9999999999</v>
      </c>
      <c r="F36" s="1669">
        <f t="shared" si="5"/>
        <v>2844000</v>
      </c>
      <c r="G36" s="1599">
        <f>+ejecución!C6</f>
        <v>9</v>
      </c>
      <c r="H36" s="1669">
        <f>+G36*F36*C36</f>
        <v>25596000</v>
      </c>
      <c r="I36" s="1677">
        <f t="shared" si="6"/>
        <v>0.13454387073191423</v>
      </c>
    </row>
    <row r="37" spans="1:10" x14ac:dyDescent="0.25">
      <c r="A37" s="1609" t="s">
        <v>1584</v>
      </c>
      <c r="B37" s="1609" t="s">
        <v>1560</v>
      </c>
      <c r="C37" s="1599">
        <v>2</v>
      </c>
      <c r="D37" s="1668">
        <f>+D36</f>
        <v>1800000</v>
      </c>
      <c r="E37" s="1669">
        <f t="shared" si="4"/>
        <v>1043999.9999999999</v>
      </c>
      <c r="F37" s="1669">
        <f t="shared" si="5"/>
        <v>2844000</v>
      </c>
      <c r="G37" s="1599">
        <v>2</v>
      </c>
      <c r="H37" s="1669">
        <f>+G37*F37*0</f>
        <v>0</v>
      </c>
      <c r="I37" s="1677">
        <f t="shared" si="6"/>
        <v>0</v>
      </c>
      <c r="J37" s="422" t="s">
        <v>1565</v>
      </c>
    </row>
    <row r="38" spans="1:10" ht="45" x14ac:dyDescent="0.25">
      <c r="A38" s="1609" t="s">
        <v>1585</v>
      </c>
      <c r="B38" s="1609" t="s">
        <v>1561</v>
      </c>
      <c r="C38" s="1599">
        <v>1</v>
      </c>
      <c r="D38" s="1668">
        <v>1800000</v>
      </c>
      <c r="E38" s="1669">
        <f t="shared" si="4"/>
        <v>1043999.9999999999</v>
      </c>
      <c r="F38" s="1669">
        <f t="shared" si="5"/>
        <v>2844000</v>
      </c>
      <c r="G38" s="1599">
        <v>2</v>
      </c>
      <c r="H38" s="1669">
        <f>+G38*F38*0</f>
        <v>0</v>
      </c>
      <c r="I38" s="1677">
        <f t="shared" si="6"/>
        <v>0</v>
      </c>
      <c r="J38" s="422" t="s">
        <v>1565</v>
      </c>
    </row>
    <row r="39" spans="1:10" x14ac:dyDescent="0.25">
      <c r="A39" s="1609" t="s">
        <v>1586</v>
      </c>
      <c r="B39" s="1609" t="s">
        <v>1562</v>
      </c>
      <c r="C39" s="1599">
        <v>2</v>
      </c>
      <c r="D39" s="1668">
        <f>+D41</f>
        <v>1950000</v>
      </c>
      <c r="E39" s="1669">
        <f t="shared" si="4"/>
        <v>1131000</v>
      </c>
      <c r="F39" s="1669">
        <f t="shared" si="5"/>
        <v>3081000</v>
      </c>
      <c r="G39" s="1599">
        <v>2</v>
      </c>
      <c r="H39" s="1669">
        <f>+G39*F39*0</f>
        <v>0</v>
      </c>
      <c r="I39" s="1677">
        <f t="shared" si="6"/>
        <v>0</v>
      </c>
      <c r="J39" s="422" t="s">
        <v>1565</v>
      </c>
    </row>
    <row r="40" spans="1:10" x14ac:dyDescent="0.25">
      <c r="A40" s="1609" t="s">
        <v>1587</v>
      </c>
      <c r="B40" s="1609" t="s">
        <v>1563</v>
      </c>
      <c r="C40" s="1599">
        <v>22</v>
      </c>
      <c r="D40" s="1668">
        <f>+C32</f>
        <v>1300000</v>
      </c>
      <c r="E40" s="1669">
        <f t="shared" si="4"/>
        <v>754000</v>
      </c>
      <c r="F40" s="1669">
        <f t="shared" si="5"/>
        <v>2054000</v>
      </c>
      <c r="G40" s="1599">
        <v>4</v>
      </c>
      <c r="H40" s="1669">
        <f>+G40*F40*0</f>
        <v>0</v>
      </c>
      <c r="I40" s="1677">
        <f t="shared" si="6"/>
        <v>0</v>
      </c>
      <c r="J40" s="422" t="s">
        <v>1565</v>
      </c>
    </row>
    <row r="41" spans="1:10" x14ac:dyDescent="0.25">
      <c r="A41" s="1609" t="s">
        <v>1588</v>
      </c>
      <c r="B41" s="1609" t="s">
        <v>1564</v>
      </c>
      <c r="C41" s="1599">
        <v>5</v>
      </c>
      <c r="D41" s="1668">
        <f>+C32*1.5</f>
        <v>1950000</v>
      </c>
      <c r="E41" s="1669">
        <f t="shared" si="4"/>
        <v>1131000</v>
      </c>
      <c r="F41" s="1669">
        <f t="shared" si="5"/>
        <v>3081000</v>
      </c>
      <c r="G41" s="1599">
        <v>4</v>
      </c>
      <c r="H41" s="1669">
        <f>+G41*F41*0</f>
        <v>0</v>
      </c>
      <c r="I41" s="1677">
        <f t="shared" si="6"/>
        <v>0</v>
      </c>
      <c r="J41" s="422" t="s">
        <v>1565</v>
      </c>
    </row>
    <row r="42" spans="1:10" x14ac:dyDescent="0.25">
      <c r="A42" s="1907" t="s">
        <v>1590</v>
      </c>
      <c r="B42" s="1908"/>
      <c r="C42" s="1908"/>
      <c r="D42" s="1908"/>
      <c r="E42" s="1908"/>
      <c r="F42" s="1908"/>
      <c r="G42" s="1909"/>
      <c r="H42" s="1670">
        <f>SUM(H34:H41)</f>
        <v>92746000</v>
      </c>
      <c r="I42" s="1680">
        <f t="shared" si="6"/>
        <v>0.48751390197304728</v>
      </c>
    </row>
    <row r="43" spans="1:10" x14ac:dyDescent="0.25">
      <c r="C43" s="1298"/>
      <c r="D43" s="1604"/>
      <c r="G43" s="1298"/>
    </row>
    <row r="44" spans="1:10" x14ac:dyDescent="0.25">
      <c r="A44" s="1904" t="s">
        <v>1595</v>
      </c>
      <c r="B44" s="1905"/>
      <c r="C44" s="1905"/>
      <c r="D44" s="1905"/>
      <c r="E44" s="1905"/>
      <c r="F44" s="1906"/>
    </row>
    <row r="45" spans="1:10" x14ac:dyDescent="0.25">
      <c r="A45" s="1600" t="s">
        <v>1456</v>
      </c>
      <c r="B45" s="1601" t="s">
        <v>1574</v>
      </c>
      <c r="C45" s="1602" t="s">
        <v>1573</v>
      </c>
      <c r="D45" s="1601" t="s">
        <v>1575</v>
      </c>
      <c r="E45" s="1600" t="s">
        <v>1559</v>
      </c>
      <c r="F45" s="1677"/>
    </row>
    <row r="46" spans="1:10" x14ac:dyDescent="0.25">
      <c r="A46" s="1310" t="s">
        <v>1572</v>
      </c>
      <c r="B46" s="1311">
        <f>6*4</f>
        <v>24</v>
      </c>
      <c r="C46" s="1603">
        <v>60000</v>
      </c>
      <c r="D46" s="1311">
        <v>5</v>
      </c>
      <c r="E46" s="1606">
        <f>+D46*C46*B46</f>
        <v>7200000</v>
      </c>
      <c r="F46" s="1677">
        <f>+E46/$B$30</f>
        <v>3.7846377139778974E-2</v>
      </c>
      <c r="G46" s="1675">
        <f>+E46/5</f>
        <v>1440000</v>
      </c>
    </row>
    <row r="47" spans="1:10" x14ac:dyDescent="0.25">
      <c r="A47" s="1310" t="s">
        <v>1576</v>
      </c>
      <c r="B47" s="1311">
        <f>+B46</f>
        <v>24</v>
      </c>
      <c r="C47" s="1603">
        <v>35000</v>
      </c>
      <c r="D47" s="1311">
        <v>5</v>
      </c>
      <c r="E47" s="1606">
        <f>+D47*C47*B47*0</f>
        <v>0</v>
      </c>
      <c r="F47" s="1677">
        <f t="shared" ref="F47:F57" si="7">+E47/$B$30</f>
        <v>0</v>
      </c>
    </row>
    <row r="48" spans="1:10" x14ac:dyDescent="0.25">
      <c r="A48" s="1310" t="s">
        <v>1589</v>
      </c>
      <c r="B48" s="1311">
        <f>+B47</f>
        <v>24</v>
      </c>
      <c r="C48" s="1603">
        <v>25000</v>
      </c>
      <c r="D48" s="1311">
        <v>5</v>
      </c>
      <c r="E48" s="1606">
        <f>+D48*C48*B48*0</f>
        <v>0</v>
      </c>
      <c r="F48" s="1677">
        <f t="shared" si="7"/>
        <v>0</v>
      </c>
    </row>
    <row r="49" spans="1:19" x14ac:dyDescent="0.25">
      <c r="A49" s="1310" t="s">
        <v>1593</v>
      </c>
      <c r="B49" s="1311">
        <v>1</v>
      </c>
      <c r="C49" s="1603">
        <v>1200000</v>
      </c>
      <c r="D49" s="1311">
        <v>1</v>
      </c>
      <c r="E49" s="1606">
        <f>+D49*C49*B49</f>
        <v>1200000</v>
      </c>
      <c r="F49" s="1677">
        <f t="shared" si="7"/>
        <v>6.3077295232964953E-3</v>
      </c>
    </row>
    <row r="50" spans="1:19" s="1645" customFormat="1" x14ac:dyDescent="0.25">
      <c r="A50" s="1647" t="s">
        <v>1623</v>
      </c>
      <c r="B50" s="1311">
        <f>+ejecución!C6</f>
        <v>9</v>
      </c>
      <c r="C50" s="1603">
        <v>115000</v>
      </c>
      <c r="D50" s="1311">
        <v>5</v>
      </c>
      <c r="E50" s="1606">
        <f>+D50*C50*B50</f>
        <v>5175000</v>
      </c>
      <c r="F50" s="1677">
        <f t="shared" si="7"/>
        <v>2.7202083569216134E-2</v>
      </c>
      <c r="I50" s="1678"/>
      <c r="O50" s="1298"/>
      <c r="P50" s="1604"/>
      <c r="S50" s="1298"/>
    </row>
    <row r="51" spans="1:19" x14ac:dyDescent="0.25">
      <c r="A51" s="1310" t="s">
        <v>1596</v>
      </c>
      <c r="B51" s="1311">
        <v>1</v>
      </c>
      <c r="C51" s="1603">
        <v>250000</v>
      </c>
      <c r="D51" s="1311">
        <v>5</v>
      </c>
      <c r="E51" s="1606">
        <f>+D51*C51*B51</f>
        <v>1250000</v>
      </c>
      <c r="F51" s="1677">
        <f t="shared" si="7"/>
        <v>6.5705515867671826E-3</v>
      </c>
    </row>
    <row r="52" spans="1:19" x14ac:dyDescent="0.25">
      <c r="A52" s="1310" t="s">
        <v>1569</v>
      </c>
      <c r="B52" s="1607">
        <v>5.0000000000000001E-3</v>
      </c>
      <c r="C52" s="1603">
        <f>+$B$25</f>
        <v>1294216488</v>
      </c>
      <c r="D52" s="1311"/>
      <c r="E52" s="1596">
        <f>+B52*C52</f>
        <v>6471082.4400000004</v>
      </c>
      <c r="F52" s="1677">
        <f t="shared" si="7"/>
        <v>3.4014864795394603E-2</v>
      </c>
    </row>
    <row r="53" spans="1:19" x14ac:dyDescent="0.25">
      <c r="A53" s="1310" t="s">
        <v>1570</v>
      </c>
      <c r="B53" s="1607">
        <f>+B52</f>
        <v>5.0000000000000001E-3</v>
      </c>
      <c r="C53" s="1603">
        <f t="shared" ref="C53:C54" si="8">+$B$25</f>
        <v>1294216488</v>
      </c>
      <c r="D53" s="1311"/>
      <c r="E53" s="1596">
        <f t="shared" ref="E53:E56" si="9">+B53*C53</f>
        <v>6471082.4400000004</v>
      </c>
      <c r="F53" s="1677">
        <f t="shared" si="7"/>
        <v>3.4014864795394603E-2</v>
      </c>
    </row>
    <row r="54" spans="1:19" x14ac:dyDescent="0.25">
      <c r="A54" s="1310" t="s">
        <v>1571</v>
      </c>
      <c r="B54" s="1607">
        <v>0.05</v>
      </c>
      <c r="C54" s="1603">
        <f t="shared" si="8"/>
        <v>1294216488</v>
      </c>
      <c r="D54" s="1311"/>
      <c r="E54" s="1596">
        <f t="shared" si="9"/>
        <v>64710824.400000006</v>
      </c>
      <c r="F54" s="1677">
        <f t="shared" si="7"/>
        <v>0.34014864795394606</v>
      </c>
    </row>
    <row r="55" spans="1:19" x14ac:dyDescent="0.25">
      <c r="A55" s="1310" t="s">
        <v>1577</v>
      </c>
      <c r="B55" s="1607">
        <v>3.3E-3</v>
      </c>
      <c r="C55" s="1667">
        <f>+C54</f>
        <v>1294216488</v>
      </c>
      <c r="D55" s="1311"/>
      <c r="E55" s="1596">
        <f t="shared" si="9"/>
        <v>4270914.4104000004</v>
      </c>
      <c r="F55" s="1677">
        <f t="shared" si="7"/>
        <v>2.2449810764960439E-2</v>
      </c>
    </row>
    <row r="56" spans="1:19" x14ac:dyDescent="0.25">
      <c r="A56" s="1310" t="s">
        <v>1578</v>
      </c>
      <c r="B56" s="1607">
        <f>+B55*15%</f>
        <v>4.95E-4</v>
      </c>
      <c r="C56" s="1667">
        <f>+C55</f>
        <v>1294216488</v>
      </c>
      <c r="D56" s="1311"/>
      <c r="E56" s="1596">
        <f t="shared" si="9"/>
        <v>640637.16156000004</v>
      </c>
      <c r="F56" s="1677">
        <f t="shared" si="7"/>
        <v>3.3674716147440655E-3</v>
      </c>
    </row>
    <row r="57" spans="1:19" x14ac:dyDescent="0.25">
      <c r="A57" s="1611" t="s">
        <v>1591</v>
      </c>
      <c r="B57" s="1612"/>
      <c r="C57" s="1612"/>
      <c r="D57" s="1612"/>
      <c r="E57" s="1610">
        <f>SUM(E46:E56)</f>
        <v>97389540.851960003</v>
      </c>
      <c r="F57" s="1677">
        <f t="shared" si="7"/>
        <v>0.51192240174349846</v>
      </c>
    </row>
    <row r="58" spans="1:19" x14ac:dyDescent="0.25">
      <c r="B58" s="1298"/>
      <c r="C58" s="1604"/>
    </row>
    <row r="59" spans="1:19" x14ac:dyDescent="0.25">
      <c r="A59" s="1613" t="s">
        <v>1592</v>
      </c>
      <c r="B59" s="1614"/>
      <c r="C59" s="1614"/>
      <c r="D59" s="1614"/>
      <c r="E59" s="1608">
        <f>+E57+H42</f>
        <v>190135540.85196</v>
      </c>
      <c r="F59" s="1681">
        <f>+E59/B20</f>
        <v>0.18489571714973552</v>
      </c>
    </row>
    <row r="60" spans="1:19" x14ac:dyDescent="0.25">
      <c r="B60" s="1298"/>
      <c r="C60" s="1604"/>
    </row>
    <row r="61" spans="1:19" x14ac:dyDescent="0.25">
      <c r="A61" s="1623" t="s">
        <v>801</v>
      </c>
      <c r="B61" s="1624"/>
      <c r="C61" s="1624"/>
      <c r="D61" s="1624"/>
      <c r="E61" s="1625">
        <f>+B30-E59</f>
        <v>107239.14803999662</v>
      </c>
    </row>
    <row r="62" spans="1:19" x14ac:dyDescent="0.25">
      <c r="D62" s="1298"/>
      <c r="E62" s="1604"/>
      <c r="H62" s="1298"/>
    </row>
    <row r="63" spans="1:19" x14ac:dyDescent="0.25">
      <c r="D63" s="1298"/>
      <c r="E63" s="1604"/>
      <c r="H63" s="1298"/>
    </row>
    <row r="64" spans="1:19" x14ac:dyDescent="0.25">
      <c r="N64" s="1298"/>
      <c r="O64" s="1604"/>
      <c r="P64"/>
      <c r="R64" s="1298"/>
      <c r="S64"/>
    </row>
    <row r="65" spans="14:19" x14ac:dyDescent="0.25">
      <c r="N65" s="1298"/>
      <c r="O65" s="1604"/>
      <c r="P65"/>
      <c r="R65" s="1298"/>
      <c r="S65"/>
    </row>
    <row r="66" spans="14:19" x14ac:dyDescent="0.25">
      <c r="N66" s="1298"/>
      <c r="O66" s="1604"/>
      <c r="P66"/>
      <c r="R66" s="1298"/>
      <c r="S66"/>
    </row>
  </sheetData>
  <mergeCells count="5">
    <mergeCell ref="H3:I3"/>
    <mergeCell ref="A44:F44"/>
    <mergeCell ref="A42:G42"/>
    <mergeCell ref="B3:E3"/>
    <mergeCell ref="F3:F4"/>
  </mergeCells>
  <conditionalFormatting sqref="B11:F11">
    <cfRule type="colorScale" priority="6">
      <colorScale>
        <cfvo type="min"/>
        <cfvo type="percentile" val="50"/>
        <cfvo type="max"/>
        <color rgb="FF63BE7B"/>
        <color rgb="FFFFEB84"/>
        <color rgb="FFF8696B"/>
      </colorScale>
    </cfRule>
  </conditionalFormatting>
  <conditionalFormatting sqref="H34:H41">
    <cfRule type="colorScale" priority="1">
      <colorScale>
        <cfvo type="min"/>
        <cfvo type="percentile" val="50"/>
        <cfvo type="max"/>
        <color rgb="FF63BE7B"/>
        <color rgb="FFFFEB84"/>
        <color rgb="FFF8696B"/>
      </colorScale>
    </cfRule>
  </conditionalFormatting>
  <conditionalFormatting sqref="E46:E56">
    <cfRule type="colorScale" priority="7">
      <colorScale>
        <cfvo type="min"/>
        <cfvo type="percentile" val="50"/>
        <cfvo type="max"/>
        <color rgb="FF63BE7B"/>
        <color rgb="FFFFEB84"/>
        <color rgb="FFF8696B"/>
      </colorScale>
    </cfRule>
  </conditionalFormatting>
  <conditionalFormatting sqref="H11:I11">
    <cfRule type="colorScale" priority="8">
      <colorScale>
        <cfvo type="min"/>
        <cfvo type="percentile" val="50"/>
        <cfvo type="max"/>
        <color rgb="FF63BE7B"/>
        <color rgb="FFFFEB84"/>
        <color rgb="FFF8696B"/>
      </colorScale>
    </cfRule>
  </conditionalFormatting>
  <pageMargins left="0.7" right="0.7" top="0.75" bottom="0.75" header="0.3" footer="0.3"/>
  <pageSetup paperSize="14"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dimension ref="A1:Q126"/>
  <sheetViews>
    <sheetView topLeftCell="A29" zoomScale="70" zoomScaleNormal="70" workbookViewId="0">
      <selection activeCell="B40" sqref="B40"/>
    </sheetView>
  </sheetViews>
  <sheetFormatPr baseColWidth="10" defaultRowHeight="15" x14ac:dyDescent="0.25"/>
  <cols>
    <col min="1" max="1" width="11.42578125" style="426"/>
    <col min="2" max="2" width="72.140625" style="426" customWidth="1"/>
    <col min="3" max="4" width="11.42578125" style="426"/>
    <col min="5" max="5" width="15.7109375" style="426" customWidth="1"/>
    <col min="6" max="6" width="28.28515625" style="426" customWidth="1"/>
    <col min="7" max="9" width="0" style="426" hidden="1" customWidth="1"/>
    <col min="10" max="10" width="11.42578125" style="426"/>
    <col min="11" max="11" width="20.85546875" style="426" customWidth="1"/>
    <col min="12" max="12" width="19.28515625" style="426" customWidth="1"/>
    <col min="13" max="13" width="20" style="426" customWidth="1"/>
    <col min="14" max="14" width="14.42578125" style="426" customWidth="1"/>
    <col min="15" max="15" width="22.5703125" style="426" bestFit="1" customWidth="1"/>
    <col min="16" max="16" width="18.140625" style="426" customWidth="1"/>
    <col min="17" max="17" width="22" style="426" customWidth="1"/>
    <col min="18" max="16384" width="11.42578125" style="426"/>
  </cols>
  <sheetData>
    <row r="1" spans="1:17" x14ac:dyDescent="0.25">
      <c r="A1" s="1913" t="s">
        <v>810</v>
      </c>
      <c r="B1" s="1914"/>
      <c r="C1" s="1914"/>
      <c r="D1" s="1914"/>
      <c r="E1" s="1914"/>
      <c r="F1" s="1914"/>
      <c r="G1" s="1914"/>
      <c r="H1" s="1914"/>
      <c r="I1" s="1914"/>
      <c r="J1" s="1914"/>
      <c r="K1" s="1914"/>
      <c r="L1" s="1914"/>
      <c r="M1" s="1914"/>
      <c r="N1" s="1914"/>
      <c r="O1" s="1914"/>
      <c r="P1" s="1914"/>
      <c r="Q1" s="1915"/>
    </row>
    <row r="2" spans="1:17" x14ac:dyDescent="0.25">
      <c r="A2" s="1916"/>
      <c r="B2" s="1917"/>
      <c r="C2" s="1917"/>
      <c r="D2" s="1917"/>
      <c r="E2" s="1917"/>
      <c r="F2" s="1917"/>
      <c r="G2" s="1917"/>
      <c r="H2" s="1917"/>
      <c r="I2" s="1917"/>
      <c r="J2" s="1917"/>
      <c r="K2" s="1917"/>
      <c r="L2" s="1917"/>
      <c r="M2" s="1917"/>
      <c r="N2" s="1917"/>
      <c r="O2" s="1917"/>
      <c r="P2" s="1917"/>
      <c r="Q2" s="1918"/>
    </row>
    <row r="3" spans="1:17" x14ac:dyDescent="0.25">
      <c r="A3" s="1916"/>
      <c r="B3" s="1917"/>
      <c r="C3" s="1917"/>
      <c r="D3" s="1917"/>
      <c r="E3" s="1917"/>
      <c r="F3" s="1917"/>
      <c r="G3" s="1917"/>
      <c r="H3" s="1917"/>
      <c r="I3" s="1917"/>
      <c r="J3" s="1917"/>
      <c r="K3" s="1917"/>
      <c r="L3" s="1917"/>
      <c r="M3" s="1917"/>
      <c r="N3" s="1917"/>
      <c r="O3" s="1917"/>
      <c r="P3" s="1917"/>
      <c r="Q3" s="1918"/>
    </row>
    <row r="4" spans="1:17" ht="51.75" customHeight="1" thickBot="1" x14ac:dyDescent="0.3">
      <c r="A4" s="1919"/>
      <c r="B4" s="1920"/>
      <c r="C4" s="1920"/>
      <c r="D4" s="1920"/>
      <c r="E4" s="1920"/>
      <c r="F4" s="1920"/>
      <c r="G4" s="1920"/>
      <c r="H4" s="1920"/>
      <c r="I4" s="1920"/>
      <c r="J4" s="1920"/>
      <c r="K4" s="1920"/>
      <c r="L4" s="1920"/>
      <c r="M4" s="1920"/>
      <c r="N4" s="1920"/>
      <c r="O4" s="1920"/>
      <c r="P4" s="1920"/>
      <c r="Q4" s="1921"/>
    </row>
    <row r="5" spans="1:17" x14ac:dyDescent="0.25">
      <c r="A5" s="1922" t="s">
        <v>811</v>
      </c>
      <c r="B5" s="1923"/>
      <c r="C5" s="1923"/>
      <c r="D5" s="1923"/>
      <c r="E5" s="1923"/>
      <c r="F5" s="1924"/>
      <c r="G5" s="427"/>
      <c r="H5" s="427"/>
      <c r="I5" s="427"/>
      <c r="J5" s="1928" t="s">
        <v>812</v>
      </c>
      <c r="K5" s="1929"/>
      <c r="L5" s="1929"/>
      <c r="M5" s="1929"/>
      <c r="N5" s="1929"/>
      <c r="O5" s="1929"/>
      <c r="P5" s="1929"/>
      <c r="Q5" s="1930"/>
    </row>
    <row r="6" spans="1:17" ht="9" customHeight="1" x14ac:dyDescent="0.25">
      <c r="A6" s="1925"/>
      <c r="B6" s="1926"/>
      <c r="C6" s="1926"/>
      <c r="D6" s="1926"/>
      <c r="E6" s="1926"/>
      <c r="F6" s="1927"/>
      <c r="G6" s="428"/>
      <c r="H6" s="428"/>
      <c r="I6" s="428"/>
      <c r="J6" s="1931" t="s">
        <v>813</v>
      </c>
      <c r="K6" s="1885"/>
      <c r="L6" s="1885"/>
      <c r="M6" s="1885"/>
      <c r="N6" s="1885"/>
      <c r="O6" s="1885"/>
      <c r="P6" s="1885"/>
      <c r="Q6" s="1932"/>
    </row>
    <row r="7" spans="1:17" ht="36.75" customHeight="1" x14ac:dyDescent="0.25">
      <c r="A7" s="429"/>
      <c r="B7" s="430"/>
      <c r="C7" s="1936" t="s">
        <v>936</v>
      </c>
      <c r="D7" s="1937"/>
      <c r="E7" s="1937"/>
      <c r="F7" s="1938"/>
      <c r="G7" s="428"/>
      <c r="H7" s="428"/>
      <c r="I7" s="428"/>
      <c r="J7" s="1933"/>
      <c r="K7" s="1934"/>
      <c r="L7" s="1934"/>
      <c r="M7" s="1934"/>
      <c r="N7" s="1934"/>
      <c r="O7" s="1934"/>
      <c r="P7" s="1934"/>
      <c r="Q7" s="1935"/>
    </row>
    <row r="8" spans="1:17" x14ac:dyDescent="0.25">
      <c r="A8" s="1941" t="s">
        <v>814</v>
      </c>
      <c r="B8" s="1942"/>
      <c r="C8" s="1831"/>
      <c r="D8" s="1832"/>
      <c r="E8" s="1832"/>
      <c r="F8" s="1939"/>
      <c r="G8" s="428"/>
      <c r="H8" s="428"/>
      <c r="I8" s="428"/>
      <c r="J8" s="431"/>
      <c r="K8" s="432" t="s">
        <v>815</v>
      </c>
      <c r="L8" s="1943">
        <v>116000000</v>
      </c>
      <c r="M8" s="1943"/>
      <c r="N8" s="430"/>
      <c r="O8" s="433"/>
      <c r="P8" s="434"/>
      <c r="Q8" s="435"/>
    </row>
    <row r="9" spans="1:17" x14ac:dyDescent="0.25">
      <c r="A9" s="429"/>
      <c r="B9" s="430"/>
      <c r="C9" s="1831"/>
      <c r="D9" s="1832"/>
      <c r="E9" s="1832"/>
      <c r="F9" s="1939"/>
      <c r="G9" s="428"/>
      <c r="H9" s="428"/>
      <c r="I9" s="428"/>
      <c r="J9" s="431"/>
      <c r="K9" s="436" t="s">
        <v>816</v>
      </c>
      <c r="L9" s="1943">
        <v>116000000</v>
      </c>
      <c r="M9" s="1943"/>
      <c r="N9" s="437" t="s">
        <v>817</v>
      </c>
      <c r="O9" s="438">
        <v>0</v>
      </c>
      <c r="P9" s="434"/>
      <c r="Q9" s="435"/>
    </row>
    <row r="10" spans="1:17" x14ac:dyDescent="0.25">
      <c r="A10" s="1941" t="s">
        <v>818</v>
      </c>
      <c r="B10" s="1942"/>
      <c r="C10" s="1899"/>
      <c r="D10" s="1900"/>
      <c r="E10" s="1900"/>
      <c r="F10" s="1940"/>
      <c r="G10" s="428"/>
      <c r="H10" s="428"/>
      <c r="I10" s="428"/>
      <c r="J10" s="431"/>
      <c r="K10" s="436" t="s">
        <v>819</v>
      </c>
      <c r="L10" s="1944"/>
      <c r="M10" s="1944"/>
      <c r="N10" s="437" t="s">
        <v>820</v>
      </c>
      <c r="O10" s="438"/>
      <c r="P10" s="434"/>
      <c r="Q10" s="435"/>
    </row>
    <row r="11" spans="1:17" ht="15.75" thickBot="1" x14ac:dyDescent="0.3">
      <c r="A11" s="1945"/>
      <c r="B11" s="1946"/>
      <c r="C11" s="1947"/>
      <c r="D11" s="1947"/>
      <c r="E11" s="439"/>
      <c r="F11" s="440"/>
      <c r="G11" s="441"/>
      <c r="H11" s="441"/>
      <c r="I11" s="441"/>
      <c r="J11" s="442"/>
      <c r="K11" s="443" t="s">
        <v>821</v>
      </c>
      <c r="L11" s="1948"/>
      <c r="M11" s="1948"/>
      <c r="N11" s="444" t="s">
        <v>822</v>
      </c>
      <c r="O11" s="445"/>
      <c r="P11" s="446"/>
      <c r="Q11" s="447"/>
    </row>
    <row r="12" spans="1:17" x14ac:dyDescent="0.25">
      <c r="A12" s="1949" t="s">
        <v>823</v>
      </c>
      <c r="B12" s="1950"/>
      <c r="C12" s="1950"/>
      <c r="D12" s="1950"/>
      <c r="E12" s="1950"/>
      <c r="F12" s="1951"/>
      <c r="G12" s="1952" t="s">
        <v>824</v>
      </c>
      <c r="H12" s="1953"/>
      <c r="I12" s="1954"/>
      <c r="J12" s="1955" t="s">
        <v>825</v>
      </c>
      <c r="K12" s="1956"/>
      <c r="L12" s="1955" t="s">
        <v>826</v>
      </c>
      <c r="M12" s="1956"/>
      <c r="N12" s="1955" t="s">
        <v>827</v>
      </c>
      <c r="O12" s="1956"/>
      <c r="P12" s="1955" t="s">
        <v>828</v>
      </c>
      <c r="Q12" s="1956"/>
    </row>
    <row r="13" spans="1:17" ht="30" x14ac:dyDescent="0.25">
      <c r="A13" s="448" t="s">
        <v>4</v>
      </c>
      <c r="B13" s="449" t="s">
        <v>829</v>
      </c>
      <c r="C13" s="449" t="s">
        <v>6</v>
      </c>
      <c r="D13" s="450" t="s">
        <v>830</v>
      </c>
      <c r="E13" s="449" t="s">
        <v>831</v>
      </c>
      <c r="F13" s="451" t="s">
        <v>832</v>
      </c>
      <c r="G13" s="1959" t="s">
        <v>833</v>
      </c>
      <c r="H13" s="1960"/>
      <c r="I13" s="452" t="s">
        <v>834</v>
      </c>
      <c r="J13" s="448" t="s">
        <v>830</v>
      </c>
      <c r="K13" s="451" t="s">
        <v>832</v>
      </c>
      <c r="L13" s="453" t="s">
        <v>835</v>
      </c>
      <c r="M13" s="454" t="s">
        <v>836</v>
      </c>
      <c r="N13" s="455" t="s">
        <v>835</v>
      </c>
      <c r="O13" s="456" t="s">
        <v>836</v>
      </c>
      <c r="P13" s="457" t="s">
        <v>837</v>
      </c>
      <c r="Q13" s="458" t="s">
        <v>836</v>
      </c>
    </row>
    <row r="14" spans="1:17" x14ac:dyDescent="0.25">
      <c r="A14" s="459" t="s">
        <v>838</v>
      </c>
      <c r="B14" s="460" t="s">
        <v>839</v>
      </c>
      <c r="C14" s="461"/>
      <c r="D14" s="462"/>
      <c r="E14" s="463"/>
      <c r="F14" s="464"/>
      <c r="G14" s="465"/>
      <c r="H14" s="466"/>
      <c r="I14" s="467"/>
      <c r="J14" s="468"/>
      <c r="K14" s="469"/>
      <c r="L14" s="470"/>
      <c r="M14" s="464"/>
      <c r="N14" s="471"/>
      <c r="O14" s="472"/>
      <c r="P14" s="473"/>
      <c r="Q14" s="474"/>
    </row>
    <row r="15" spans="1:17" x14ac:dyDescent="0.25">
      <c r="A15" s="475">
        <v>1</v>
      </c>
      <c r="B15" s="476" t="s">
        <v>84</v>
      </c>
      <c r="C15" s="477" t="s">
        <v>19</v>
      </c>
      <c r="D15" s="478">
        <v>1</v>
      </c>
      <c r="E15" s="479">
        <v>6000</v>
      </c>
      <c r="F15" s="480">
        <v>6000</v>
      </c>
      <c r="G15" s="481"/>
      <c r="H15" s="482">
        <v>294.15999999999997</v>
      </c>
      <c r="I15" s="483">
        <v>1764959.9999999998</v>
      </c>
      <c r="J15" s="484">
        <v>294.15999999999997</v>
      </c>
      <c r="K15" s="485">
        <v>1764960</v>
      </c>
      <c r="L15" s="486">
        <v>294.15999999999997</v>
      </c>
      <c r="M15" s="480">
        <v>1764960</v>
      </c>
      <c r="N15" s="487">
        <v>0</v>
      </c>
      <c r="O15" s="480">
        <v>0</v>
      </c>
      <c r="P15" s="487">
        <v>0</v>
      </c>
      <c r="Q15" s="488">
        <v>0</v>
      </c>
    </row>
    <row r="16" spans="1:17" x14ac:dyDescent="0.25">
      <c r="A16" s="475">
        <v>2</v>
      </c>
      <c r="B16" s="476" t="s">
        <v>840</v>
      </c>
      <c r="C16" s="477" t="s">
        <v>19</v>
      </c>
      <c r="D16" s="478">
        <v>1</v>
      </c>
      <c r="E16" s="489">
        <v>19973</v>
      </c>
      <c r="F16" s="480">
        <v>19973</v>
      </c>
      <c r="G16" s="481"/>
      <c r="H16" s="482">
        <v>70</v>
      </c>
      <c r="I16" s="483">
        <v>1398110</v>
      </c>
      <c r="J16" s="484">
        <v>70</v>
      </c>
      <c r="K16" s="485">
        <v>1398110</v>
      </c>
      <c r="L16" s="490">
        <v>70</v>
      </c>
      <c r="M16" s="480">
        <v>1398110</v>
      </c>
      <c r="N16" s="487">
        <v>0</v>
      </c>
      <c r="O16" s="480">
        <v>0</v>
      </c>
      <c r="P16" s="487">
        <v>0</v>
      </c>
      <c r="Q16" s="488">
        <v>0</v>
      </c>
    </row>
    <row r="17" spans="1:17" x14ac:dyDescent="0.25">
      <c r="A17" s="475">
        <v>3</v>
      </c>
      <c r="B17" s="476" t="s">
        <v>841</v>
      </c>
      <c r="C17" s="477" t="s">
        <v>19</v>
      </c>
      <c r="D17" s="478">
        <v>1</v>
      </c>
      <c r="E17" s="479">
        <v>19614</v>
      </c>
      <c r="F17" s="480">
        <v>19614</v>
      </c>
      <c r="G17" s="481"/>
      <c r="H17" s="482">
        <v>0</v>
      </c>
      <c r="I17" s="483">
        <v>0</v>
      </c>
      <c r="J17" s="484">
        <v>0</v>
      </c>
      <c r="K17" s="485">
        <v>0</v>
      </c>
      <c r="L17" s="490">
        <v>0</v>
      </c>
      <c r="M17" s="480">
        <v>0</v>
      </c>
      <c r="N17" s="487">
        <v>0</v>
      </c>
      <c r="O17" s="480">
        <v>0</v>
      </c>
      <c r="P17" s="487">
        <v>0</v>
      </c>
      <c r="Q17" s="488">
        <v>0</v>
      </c>
    </row>
    <row r="18" spans="1:17" ht="28.5" x14ac:dyDescent="0.25">
      <c r="A18" s="475">
        <v>4</v>
      </c>
      <c r="B18" s="476" t="s">
        <v>740</v>
      </c>
      <c r="C18" s="477" t="s">
        <v>842</v>
      </c>
      <c r="D18" s="478">
        <v>1</v>
      </c>
      <c r="E18" s="1276">
        <v>16153</v>
      </c>
      <c r="F18" s="480">
        <v>16153</v>
      </c>
      <c r="G18" s="481"/>
      <c r="H18" s="482">
        <v>0</v>
      </c>
      <c r="I18" s="483">
        <v>0</v>
      </c>
      <c r="J18" s="484">
        <v>0</v>
      </c>
      <c r="K18" s="485">
        <v>0</v>
      </c>
      <c r="L18" s="490">
        <v>0</v>
      </c>
      <c r="M18" s="480">
        <v>0</v>
      </c>
      <c r="N18" s="487">
        <v>0</v>
      </c>
      <c r="O18" s="480">
        <v>0</v>
      </c>
      <c r="P18" s="487">
        <v>0</v>
      </c>
      <c r="Q18" s="488">
        <v>0</v>
      </c>
    </row>
    <row r="19" spans="1:17" x14ac:dyDescent="0.25">
      <c r="A19" s="475">
        <v>5</v>
      </c>
      <c r="B19" s="476" t="s">
        <v>843</v>
      </c>
      <c r="C19" s="477" t="s">
        <v>844</v>
      </c>
      <c r="D19" s="478">
        <v>1</v>
      </c>
      <c r="E19" s="489">
        <v>5259</v>
      </c>
      <c r="F19" s="480">
        <v>5259</v>
      </c>
      <c r="G19" s="481"/>
      <c r="H19" s="482">
        <v>0</v>
      </c>
      <c r="I19" s="483">
        <v>0</v>
      </c>
      <c r="J19" s="484">
        <v>0</v>
      </c>
      <c r="K19" s="485">
        <v>0</v>
      </c>
      <c r="L19" s="490">
        <v>0</v>
      </c>
      <c r="M19" s="480">
        <v>0</v>
      </c>
      <c r="N19" s="487">
        <v>0</v>
      </c>
      <c r="O19" s="480">
        <v>0</v>
      </c>
      <c r="P19" s="487">
        <v>0</v>
      </c>
      <c r="Q19" s="488">
        <v>0</v>
      </c>
    </row>
    <row r="20" spans="1:17" ht="28.5" x14ac:dyDescent="0.25">
      <c r="A20" s="475">
        <v>6</v>
      </c>
      <c r="B20" s="476" t="s">
        <v>845</v>
      </c>
      <c r="C20" s="477" t="s">
        <v>844</v>
      </c>
      <c r="D20" s="478">
        <v>1</v>
      </c>
      <c r="E20" s="1276">
        <v>19393</v>
      </c>
      <c r="F20" s="480">
        <v>19393</v>
      </c>
      <c r="G20" s="481"/>
      <c r="H20" s="482">
        <v>0</v>
      </c>
      <c r="I20" s="483">
        <v>0</v>
      </c>
      <c r="J20" s="484">
        <v>0</v>
      </c>
      <c r="K20" s="485">
        <v>0</v>
      </c>
      <c r="L20" s="490">
        <v>0</v>
      </c>
      <c r="M20" s="480">
        <v>0</v>
      </c>
      <c r="N20" s="487">
        <v>0</v>
      </c>
      <c r="O20" s="480">
        <v>0</v>
      </c>
      <c r="P20" s="487">
        <v>0</v>
      </c>
      <c r="Q20" s="488">
        <v>0</v>
      </c>
    </row>
    <row r="21" spans="1:17" x14ac:dyDescent="0.25">
      <c r="A21" s="475">
        <v>7</v>
      </c>
      <c r="B21" s="476" t="s">
        <v>846</v>
      </c>
      <c r="C21" s="477" t="s">
        <v>847</v>
      </c>
      <c r="D21" s="478">
        <v>1</v>
      </c>
      <c r="E21" s="489">
        <v>7202</v>
      </c>
      <c r="F21" s="480">
        <v>7202</v>
      </c>
      <c r="G21" s="481"/>
      <c r="H21" s="482">
        <v>12</v>
      </c>
      <c r="I21" s="483">
        <v>86424</v>
      </c>
      <c r="J21" s="484">
        <v>12</v>
      </c>
      <c r="K21" s="485">
        <v>86424</v>
      </c>
      <c r="L21" s="490">
        <v>12</v>
      </c>
      <c r="M21" s="480">
        <v>86424</v>
      </c>
      <c r="N21" s="487">
        <v>0</v>
      </c>
      <c r="O21" s="480">
        <v>0</v>
      </c>
      <c r="P21" s="487">
        <v>0</v>
      </c>
      <c r="Q21" s="488">
        <v>0</v>
      </c>
    </row>
    <row r="22" spans="1:17" ht="28.5" x14ac:dyDescent="0.25">
      <c r="A22" s="475">
        <v>8</v>
      </c>
      <c r="B22" s="476" t="s">
        <v>304</v>
      </c>
      <c r="C22" s="477" t="s">
        <v>848</v>
      </c>
      <c r="D22" s="478">
        <v>1</v>
      </c>
      <c r="E22" s="479">
        <v>16109</v>
      </c>
      <c r="F22" s="480">
        <v>16109</v>
      </c>
      <c r="G22" s="481"/>
      <c r="H22" s="482">
        <v>0</v>
      </c>
      <c r="I22" s="483">
        <v>0</v>
      </c>
      <c r="J22" s="484">
        <v>0</v>
      </c>
      <c r="K22" s="485">
        <v>0</v>
      </c>
      <c r="L22" s="490">
        <v>0</v>
      </c>
      <c r="M22" s="480">
        <v>0</v>
      </c>
      <c r="N22" s="487">
        <v>0</v>
      </c>
      <c r="O22" s="480">
        <v>0</v>
      </c>
      <c r="P22" s="487">
        <v>0</v>
      </c>
      <c r="Q22" s="488">
        <v>0</v>
      </c>
    </row>
    <row r="23" spans="1:17" ht="28.5" x14ac:dyDescent="0.25">
      <c r="A23" s="475">
        <v>9</v>
      </c>
      <c r="B23" s="476" t="s">
        <v>849</v>
      </c>
      <c r="C23" s="477" t="s">
        <v>842</v>
      </c>
      <c r="D23" s="478">
        <v>1</v>
      </c>
      <c r="E23" s="489">
        <v>50900</v>
      </c>
      <c r="F23" s="480">
        <v>50900</v>
      </c>
      <c r="G23" s="481"/>
      <c r="H23" s="482">
        <v>0</v>
      </c>
      <c r="I23" s="483">
        <v>0</v>
      </c>
      <c r="J23" s="484">
        <v>0</v>
      </c>
      <c r="K23" s="485">
        <v>0</v>
      </c>
      <c r="L23" s="490">
        <v>0</v>
      </c>
      <c r="M23" s="480">
        <v>0</v>
      </c>
      <c r="N23" s="487">
        <v>0</v>
      </c>
      <c r="O23" s="480">
        <v>0</v>
      </c>
      <c r="P23" s="487">
        <v>0</v>
      </c>
      <c r="Q23" s="488">
        <v>0</v>
      </c>
    </row>
    <row r="24" spans="1:17" ht="28.5" x14ac:dyDescent="0.25">
      <c r="A24" s="475">
        <v>10</v>
      </c>
      <c r="B24" s="476" t="s">
        <v>850</v>
      </c>
      <c r="C24" s="477" t="s">
        <v>844</v>
      </c>
      <c r="D24" s="478">
        <v>1</v>
      </c>
      <c r="E24" s="479">
        <v>22364</v>
      </c>
      <c r="F24" s="480">
        <v>22364</v>
      </c>
      <c r="G24" s="481"/>
      <c r="H24" s="482">
        <v>0</v>
      </c>
      <c r="I24" s="483">
        <v>0</v>
      </c>
      <c r="J24" s="484">
        <v>0</v>
      </c>
      <c r="K24" s="485">
        <v>0</v>
      </c>
      <c r="L24" s="490">
        <v>0</v>
      </c>
      <c r="M24" s="480">
        <v>0</v>
      </c>
      <c r="N24" s="487">
        <v>0</v>
      </c>
      <c r="O24" s="480">
        <v>0</v>
      </c>
      <c r="P24" s="487">
        <v>0</v>
      </c>
      <c r="Q24" s="488">
        <v>0</v>
      </c>
    </row>
    <row r="25" spans="1:17" ht="14.25" customHeight="1" x14ac:dyDescent="0.25">
      <c r="A25" s="475">
        <v>11</v>
      </c>
      <c r="B25" s="476" t="s">
        <v>851</v>
      </c>
      <c r="C25" s="477" t="s">
        <v>848</v>
      </c>
      <c r="D25" s="478">
        <v>1</v>
      </c>
      <c r="E25" s="479">
        <v>36026</v>
      </c>
      <c r="F25" s="480">
        <v>36026</v>
      </c>
      <c r="G25" s="481"/>
      <c r="H25" s="482">
        <v>4</v>
      </c>
      <c r="I25" s="483">
        <v>144104</v>
      </c>
      <c r="J25" s="484">
        <v>4</v>
      </c>
      <c r="K25" s="485">
        <v>144104</v>
      </c>
      <c r="L25" s="490">
        <v>4</v>
      </c>
      <c r="M25" s="480">
        <v>144104</v>
      </c>
      <c r="N25" s="487">
        <v>0</v>
      </c>
      <c r="O25" s="480">
        <v>0</v>
      </c>
      <c r="P25" s="487">
        <v>0</v>
      </c>
      <c r="Q25" s="488">
        <v>0</v>
      </c>
    </row>
    <row r="26" spans="1:17" ht="18.75" customHeight="1" x14ac:dyDescent="0.25">
      <c r="A26" s="475">
        <v>12</v>
      </c>
      <c r="B26" s="476" t="s">
        <v>852</v>
      </c>
      <c r="C26" s="477" t="s">
        <v>848</v>
      </c>
      <c r="D26" s="478">
        <v>1</v>
      </c>
      <c r="E26" s="479">
        <v>99800</v>
      </c>
      <c r="F26" s="480">
        <v>99800</v>
      </c>
      <c r="G26" s="481"/>
      <c r="H26" s="482">
        <v>0</v>
      </c>
      <c r="I26" s="483">
        <v>0</v>
      </c>
      <c r="J26" s="484">
        <v>0</v>
      </c>
      <c r="K26" s="485">
        <v>0</v>
      </c>
      <c r="L26" s="490">
        <v>0</v>
      </c>
      <c r="M26" s="480">
        <v>0</v>
      </c>
      <c r="N26" s="487">
        <v>0</v>
      </c>
      <c r="O26" s="480">
        <v>0</v>
      </c>
      <c r="P26" s="487">
        <v>0</v>
      </c>
      <c r="Q26" s="488">
        <v>0</v>
      </c>
    </row>
    <row r="27" spans="1:17" x14ac:dyDescent="0.25">
      <c r="A27" s="475">
        <v>13</v>
      </c>
      <c r="B27" s="476" t="s">
        <v>853</v>
      </c>
      <c r="C27" s="477" t="s">
        <v>842</v>
      </c>
      <c r="D27" s="478">
        <v>1</v>
      </c>
      <c r="E27" s="479">
        <v>50840</v>
      </c>
      <c r="F27" s="480">
        <v>50840</v>
      </c>
      <c r="G27" s="481"/>
      <c r="H27" s="482">
        <v>0</v>
      </c>
      <c r="I27" s="483">
        <v>0</v>
      </c>
      <c r="J27" s="484">
        <v>0</v>
      </c>
      <c r="K27" s="485">
        <v>0</v>
      </c>
      <c r="L27" s="490">
        <v>0</v>
      </c>
      <c r="M27" s="480">
        <v>0</v>
      </c>
      <c r="N27" s="487">
        <v>0</v>
      </c>
      <c r="O27" s="480">
        <v>0</v>
      </c>
      <c r="P27" s="487">
        <v>0</v>
      </c>
      <c r="Q27" s="488">
        <v>0</v>
      </c>
    </row>
    <row r="28" spans="1:17" ht="42.75" x14ac:dyDescent="0.25">
      <c r="A28" s="475">
        <v>14</v>
      </c>
      <c r="B28" s="476" t="s">
        <v>854</v>
      </c>
      <c r="C28" s="477" t="s">
        <v>847</v>
      </c>
      <c r="D28" s="478">
        <v>1</v>
      </c>
      <c r="E28" s="479">
        <v>185000</v>
      </c>
      <c r="F28" s="480">
        <v>185000</v>
      </c>
      <c r="G28" s="481"/>
      <c r="H28" s="482">
        <v>0</v>
      </c>
      <c r="I28" s="483">
        <v>0</v>
      </c>
      <c r="J28" s="484">
        <v>0</v>
      </c>
      <c r="K28" s="485">
        <v>0</v>
      </c>
      <c r="L28" s="490">
        <v>0</v>
      </c>
      <c r="M28" s="480">
        <v>0</v>
      </c>
      <c r="N28" s="487">
        <v>0</v>
      </c>
      <c r="O28" s="480">
        <v>0</v>
      </c>
      <c r="P28" s="487">
        <v>0</v>
      </c>
      <c r="Q28" s="488">
        <v>0</v>
      </c>
    </row>
    <row r="29" spans="1:17" ht="42.75" x14ac:dyDescent="0.25">
      <c r="A29" s="475">
        <v>15</v>
      </c>
      <c r="B29" s="476" t="s">
        <v>855</v>
      </c>
      <c r="C29" s="477" t="s">
        <v>847</v>
      </c>
      <c r="D29" s="478">
        <v>1</v>
      </c>
      <c r="E29" s="479">
        <v>255400</v>
      </c>
      <c r="F29" s="480">
        <v>255400</v>
      </c>
      <c r="G29" s="481"/>
      <c r="H29" s="482">
        <v>0</v>
      </c>
      <c r="I29" s="483">
        <v>0</v>
      </c>
      <c r="J29" s="484">
        <v>0</v>
      </c>
      <c r="K29" s="485">
        <v>0</v>
      </c>
      <c r="L29" s="490">
        <v>0</v>
      </c>
      <c r="M29" s="480">
        <v>0</v>
      </c>
      <c r="N29" s="487">
        <v>0</v>
      </c>
      <c r="O29" s="480">
        <v>0</v>
      </c>
      <c r="P29" s="487">
        <v>0</v>
      </c>
      <c r="Q29" s="488">
        <v>0</v>
      </c>
    </row>
    <row r="30" spans="1:17" ht="57" x14ac:dyDescent="0.25">
      <c r="A30" s="475">
        <v>16</v>
      </c>
      <c r="B30" s="476" t="s">
        <v>117</v>
      </c>
      <c r="C30" s="477" t="s">
        <v>847</v>
      </c>
      <c r="D30" s="478">
        <v>1</v>
      </c>
      <c r="E30" s="479">
        <v>47713</v>
      </c>
      <c r="F30" s="480">
        <v>47713</v>
      </c>
      <c r="G30" s="481"/>
      <c r="H30" s="482">
        <v>54.57</v>
      </c>
      <c r="I30" s="483">
        <v>2603698.41</v>
      </c>
      <c r="J30" s="484">
        <v>54.57</v>
      </c>
      <c r="K30" s="485">
        <v>2603698</v>
      </c>
      <c r="L30" s="490">
        <v>54.57</v>
      </c>
      <c r="M30" s="480">
        <v>2603698</v>
      </c>
      <c r="N30" s="487">
        <v>0</v>
      </c>
      <c r="O30" s="480">
        <v>0</v>
      </c>
      <c r="P30" s="487">
        <v>0</v>
      </c>
      <c r="Q30" s="488">
        <v>0</v>
      </c>
    </row>
    <row r="31" spans="1:17" ht="28.5" x14ac:dyDescent="0.25">
      <c r="A31" s="475">
        <v>17</v>
      </c>
      <c r="B31" s="476" t="s">
        <v>119</v>
      </c>
      <c r="C31" s="477" t="s">
        <v>848</v>
      </c>
      <c r="D31" s="478">
        <v>1</v>
      </c>
      <c r="E31" s="479">
        <v>25186</v>
      </c>
      <c r="F31" s="480">
        <v>25186</v>
      </c>
      <c r="G31" s="481"/>
      <c r="H31" s="482">
        <v>1</v>
      </c>
      <c r="I31" s="483">
        <v>25186</v>
      </c>
      <c r="J31" s="484">
        <v>1</v>
      </c>
      <c r="K31" s="485">
        <v>25186</v>
      </c>
      <c r="L31" s="490">
        <v>1</v>
      </c>
      <c r="M31" s="480">
        <v>25186</v>
      </c>
      <c r="N31" s="487">
        <v>0</v>
      </c>
      <c r="O31" s="480">
        <v>0</v>
      </c>
      <c r="P31" s="487">
        <v>0</v>
      </c>
      <c r="Q31" s="488">
        <v>0</v>
      </c>
    </row>
    <row r="32" spans="1:17" ht="38.25" customHeight="1" x14ac:dyDescent="0.25">
      <c r="A32" s="475">
        <v>18</v>
      </c>
      <c r="B32" s="476" t="s">
        <v>856</v>
      </c>
      <c r="C32" s="477" t="s">
        <v>847</v>
      </c>
      <c r="D32" s="478">
        <v>1</v>
      </c>
      <c r="E32" s="479">
        <v>9900</v>
      </c>
      <c r="F32" s="480">
        <v>9900</v>
      </c>
      <c r="G32" s="481"/>
      <c r="H32" s="482">
        <v>194</v>
      </c>
      <c r="I32" s="483">
        <v>1920600</v>
      </c>
      <c r="J32" s="484">
        <v>194</v>
      </c>
      <c r="K32" s="485">
        <v>1920600</v>
      </c>
      <c r="L32" s="490">
        <v>194</v>
      </c>
      <c r="M32" s="480">
        <v>1920600</v>
      </c>
      <c r="N32" s="487">
        <v>0</v>
      </c>
      <c r="O32" s="480">
        <v>0</v>
      </c>
      <c r="P32" s="487">
        <v>0</v>
      </c>
      <c r="Q32" s="488">
        <v>0</v>
      </c>
    </row>
    <row r="33" spans="1:17" ht="29.25" customHeight="1" x14ac:dyDescent="0.25">
      <c r="A33" s="475">
        <v>19</v>
      </c>
      <c r="B33" s="476" t="s">
        <v>857</v>
      </c>
      <c r="C33" s="477" t="s">
        <v>848</v>
      </c>
      <c r="D33" s="478">
        <v>1</v>
      </c>
      <c r="E33" s="479">
        <v>59494</v>
      </c>
      <c r="F33" s="480">
        <v>59494</v>
      </c>
      <c r="G33" s="481"/>
      <c r="H33" s="482">
        <v>14</v>
      </c>
      <c r="I33" s="483">
        <v>832916</v>
      </c>
      <c r="J33" s="484">
        <v>14</v>
      </c>
      <c r="K33" s="485">
        <v>832916</v>
      </c>
      <c r="L33" s="490">
        <v>14</v>
      </c>
      <c r="M33" s="480">
        <v>832916</v>
      </c>
      <c r="N33" s="487">
        <v>0</v>
      </c>
      <c r="O33" s="480">
        <v>0</v>
      </c>
      <c r="P33" s="487">
        <v>0</v>
      </c>
      <c r="Q33" s="488">
        <v>0</v>
      </c>
    </row>
    <row r="34" spans="1:17" ht="26.25" customHeight="1" x14ac:dyDescent="0.25">
      <c r="A34" s="475">
        <v>20</v>
      </c>
      <c r="B34" s="476" t="s">
        <v>858</v>
      </c>
      <c r="C34" s="477" t="s">
        <v>848</v>
      </c>
      <c r="D34" s="478">
        <v>1</v>
      </c>
      <c r="E34" s="479">
        <v>13147</v>
      </c>
      <c r="F34" s="480">
        <v>13147</v>
      </c>
      <c r="G34" s="481"/>
      <c r="H34" s="482">
        <v>13</v>
      </c>
      <c r="I34" s="483">
        <v>170911</v>
      </c>
      <c r="J34" s="484">
        <v>13</v>
      </c>
      <c r="K34" s="485">
        <v>170911</v>
      </c>
      <c r="L34" s="490">
        <v>13</v>
      </c>
      <c r="M34" s="480">
        <v>170911</v>
      </c>
      <c r="N34" s="487">
        <v>0</v>
      </c>
      <c r="O34" s="480">
        <v>0</v>
      </c>
      <c r="P34" s="487">
        <v>0</v>
      </c>
      <c r="Q34" s="488">
        <v>0</v>
      </c>
    </row>
    <row r="35" spans="1:17" ht="42.75" x14ac:dyDescent="0.25">
      <c r="A35" s="475">
        <v>21</v>
      </c>
      <c r="B35" s="476" t="s">
        <v>859</v>
      </c>
      <c r="C35" s="477" t="s">
        <v>848</v>
      </c>
      <c r="D35" s="478">
        <v>1</v>
      </c>
      <c r="E35" s="479">
        <v>80000</v>
      </c>
      <c r="F35" s="480">
        <v>80000</v>
      </c>
      <c r="G35" s="481"/>
      <c r="H35" s="482">
        <v>11</v>
      </c>
      <c r="I35" s="483">
        <v>880000</v>
      </c>
      <c r="J35" s="484">
        <v>11</v>
      </c>
      <c r="K35" s="485">
        <v>880000</v>
      </c>
      <c r="L35" s="490">
        <v>11</v>
      </c>
      <c r="M35" s="480">
        <v>880000</v>
      </c>
      <c r="N35" s="487">
        <v>0</v>
      </c>
      <c r="O35" s="480">
        <v>0</v>
      </c>
      <c r="P35" s="487">
        <v>0</v>
      </c>
      <c r="Q35" s="488">
        <v>0</v>
      </c>
    </row>
    <row r="36" spans="1:17" ht="42.75" x14ac:dyDescent="0.25">
      <c r="A36" s="475">
        <v>22</v>
      </c>
      <c r="B36" s="476" t="s">
        <v>860</v>
      </c>
      <c r="C36" s="477" t="s">
        <v>848</v>
      </c>
      <c r="D36" s="478">
        <v>1</v>
      </c>
      <c r="E36" s="479">
        <v>80000</v>
      </c>
      <c r="F36" s="480">
        <v>80000</v>
      </c>
      <c r="G36" s="481"/>
      <c r="H36" s="482">
        <v>11</v>
      </c>
      <c r="I36" s="483">
        <v>880000</v>
      </c>
      <c r="J36" s="484">
        <v>11</v>
      </c>
      <c r="K36" s="485">
        <v>880000</v>
      </c>
      <c r="L36" s="490">
        <v>11</v>
      </c>
      <c r="M36" s="480">
        <v>880000</v>
      </c>
      <c r="N36" s="487">
        <v>0</v>
      </c>
      <c r="O36" s="480">
        <v>0</v>
      </c>
      <c r="P36" s="487">
        <v>0</v>
      </c>
      <c r="Q36" s="488">
        <v>0</v>
      </c>
    </row>
    <row r="37" spans="1:17" ht="30" customHeight="1" x14ac:dyDescent="0.25">
      <c r="A37" s="475">
        <v>23</v>
      </c>
      <c r="B37" s="1542" t="s">
        <v>861</v>
      </c>
      <c r="C37" s="477" t="s">
        <v>847</v>
      </c>
      <c r="D37" s="478">
        <v>1</v>
      </c>
      <c r="E37" s="479">
        <v>14000</v>
      </c>
      <c r="F37" s="480">
        <v>14000</v>
      </c>
      <c r="G37" s="481"/>
      <c r="H37" s="482">
        <v>18</v>
      </c>
      <c r="I37" s="483">
        <v>252000</v>
      </c>
      <c r="J37" s="484">
        <v>18</v>
      </c>
      <c r="K37" s="485">
        <v>252000</v>
      </c>
      <c r="L37" s="490">
        <v>18</v>
      </c>
      <c r="M37" s="480">
        <v>252000</v>
      </c>
      <c r="N37" s="487">
        <v>0</v>
      </c>
      <c r="O37" s="480">
        <v>0</v>
      </c>
      <c r="P37" s="487">
        <v>0</v>
      </c>
      <c r="Q37" s="488">
        <v>0</v>
      </c>
    </row>
    <row r="38" spans="1:17" ht="26.25" customHeight="1" x14ac:dyDescent="0.25">
      <c r="A38" s="475">
        <v>24</v>
      </c>
      <c r="B38" s="476" t="s">
        <v>862</v>
      </c>
      <c r="C38" s="477" t="s">
        <v>848</v>
      </c>
      <c r="D38" s="478">
        <v>1</v>
      </c>
      <c r="E38" s="479">
        <v>51200</v>
      </c>
      <c r="F38" s="480">
        <v>51200</v>
      </c>
      <c r="G38" s="481"/>
      <c r="H38" s="482">
        <v>8</v>
      </c>
      <c r="I38" s="483">
        <v>409600</v>
      </c>
      <c r="J38" s="484">
        <v>8</v>
      </c>
      <c r="K38" s="485">
        <v>409600</v>
      </c>
      <c r="L38" s="490">
        <v>8</v>
      </c>
      <c r="M38" s="480">
        <v>409600</v>
      </c>
      <c r="N38" s="487">
        <v>0</v>
      </c>
      <c r="O38" s="480">
        <v>0</v>
      </c>
      <c r="P38" s="487">
        <v>0</v>
      </c>
      <c r="Q38" s="488">
        <v>0</v>
      </c>
    </row>
    <row r="39" spans="1:17" ht="35.25" customHeight="1" x14ac:dyDescent="0.25">
      <c r="A39" s="475">
        <v>25</v>
      </c>
      <c r="B39" s="476" t="s">
        <v>863</v>
      </c>
      <c r="C39" s="477" t="s">
        <v>848</v>
      </c>
      <c r="D39" s="478">
        <v>1</v>
      </c>
      <c r="E39" s="1276">
        <v>130000</v>
      </c>
      <c r="F39" s="480">
        <v>130000</v>
      </c>
      <c r="G39" s="481"/>
      <c r="H39" s="482">
        <v>12</v>
      </c>
      <c r="I39" s="483">
        <v>1560000</v>
      </c>
      <c r="J39" s="484">
        <v>12</v>
      </c>
      <c r="K39" s="485">
        <v>1560000</v>
      </c>
      <c r="L39" s="490">
        <v>12</v>
      </c>
      <c r="M39" s="480">
        <v>1560000</v>
      </c>
      <c r="N39" s="487">
        <v>0</v>
      </c>
      <c r="O39" s="480">
        <v>0</v>
      </c>
      <c r="P39" s="487">
        <v>0</v>
      </c>
      <c r="Q39" s="488">
        <v>0</v>
      </c>
    </row>
    <row r="40" spans="1:17" ht="28.5" x14ac:dyDescent="0.25">
      <c r="A40" s="475">
        <v>26</v>
      </c>
      <c r="B40" s="476" t="s">
        <v>864</v>
      </c>
      <c r="C40" s="477" t="s">
        <v>842</v>
      </c>
      <c r="D40" s="478">
        <v>1</v>
      </c>
      <c r="E40" s="479">
        <v>92500</v>
      </c>
      <c r="F40" s="480">
        <v>92500</v>
      </c>
      <c r="G40" s="481"/>
      <c r="H40" s="482">
        <v>0</v>
      </c>
      <c r="I40" s="483">
        <v>0</v>
      </c>
      <c r="J40" s="484">
        <v>0</v>
      </c>
      <c r="K40" s="485">
        <v>0</v>
      </c>
      <c r="L40" s="490">
        <v>0</v>
      </c>
      <c r="M40" s="480">
        <v>0</v>
      </c>
      <c r="N40" s="487">
        <v>0</v>
      </c>
      <c r="O40" s="480">
        <v>0</v>
      </c>
      <c r="P40" s="487">
        <v>0</v>
      </c>
      <c r="Q40" s="488">
        <v>0</v>
      </c>
    </row>
    <row r="41" spans="1:17" ht="39" customHeight="1" x14ac:dyDescent="0.25">
      <c r="A41" s="475">
        <v>27</v>
      </c>
      <c r="B41" s="476" t="s">
        <v>865</v>
      </c>
      <c r="C41" s="477" t="s">
        <v>842</v>
      </c>
      <c r="D41" s="478">
        <v>1</v>
      </c>
      <c r="E41" s="479">
        <v>92500</v>
      </c>
      <c r="F41" s="480">
        <v>92500</v>
      </c>
      <c r="G41" s="481"/>
      <c r="H41" s="482">
        <v>70.150000000000006</v>
      </c>
      <c r="I41" s="483">
        <v>6488875.0000000009</v>
      </c>
      <c r="J41" s="484">
        <v>70.150000000000006</v>
      </c>
      <c r="K41" s="485">
        <v>6488875</v>
      </c>
      <c r="L41" s="490">
        <v>70.150000000000006</v>
      </c>
      <c r="M41" s="480">
        <v>6488875</v>
      </c>
      <c r="N41" s="487">
        <v>0</v>
      </c>
      <c r="O41" s="480">
        <v>0</v>
      </c>
      <c r="P41" s="487">
        <v>0</v>
      </c>
      <c r="Q41" s="488">
        <v>0</v>
      </c>
    </row>
    <row r="42" spans="1:17" ht="24" customHeight="1" x14ac:dyDescent="0.25">
      <c r="A42" s="475">
        <v>28</v>
      </c>
      <c r="B42" s="476" t="s">
        <v>105</v>
      </c>
      <c r="C42" s="477" t="s">
        <v>847</v>
      </c>
      <c r="D42" s="478">
        <v>1</v>
      </c>
      <c r="E42" s="479">
        <v>35016</v>
      </c>
      <c r="F42" s="480">
        <v>35016</v>
      </c>
      <c r="G42" s="481"/>
      <c r="H42" s="482">
        <v>31</v>
      </c>
      <c r="I42" s="483">
        <v>1085496</v>
      </c>
      <c r="J42" s="484">
        <v>31</v>
      </c>
      <c r="K42" s="485">
        <v>1085496</v>
      </c>
      <c r="L42" s="490">
        <v>31</v>
      </c>
      <c r="M42" s="480">
        <v>1085496</v>
      </c>
      <c r="N42" s="487">
        <v>0</v>
      </c>
      <c r="O42" s="480">
        <v>0</v>
      </c>
      <c r="P42" s="487">
        <v>0</v>
      </c>
      <c r="Q42" s="488">
        <v>0</v>
      </c>
    </row>
    <row r="43" spans="1:17" ht="26.25" customHeight="1" x14ac:dyDescent="0.25">
      <c r="A43" s="475">
        <v>29</v>
      </c>
      <c r="B43" s="476" t="s">
        <v>866</v>
      </c>
      <c r="C43" s="477" t="s">
        <v>847</v>
      </c>
      <c r="D43" s="478">
        <v>1</v>
      </c>
      <c r="E43" s="479">
        <v>21499</v>
      </c>
      <c r="F43" s="480">
        <v>21499</v>
      </c>
      <c r="G43" s="481"/>
      <c r="H43" s="482">
        <v>31</v>
      </c>
      <c r="I43" s="483">
        <v>666469</v>
      </c>
      <c r="J43" s="484">
        <v>31</v>
      </c>
      <c r="K43" s="485">
        <v>666469</v>
      </c>
      <c r="L43" s="490">
        <v>31</v>
      </c>
      <c r="M43" s="480">
        <v>666469</v>
      </c>
      <c r="N43" s="487">
        <v>0</v>
      </c>
      <c r="O43" s="480">
        <v>0</v>
      </c>
      <c r="P43" s="487">
        <v>0</v>
      </c>
      <c r="Q43" s="488">
        <v>0</v>
      </c>
    </row>
    <row r="44" spans="1:17" ht="35.25" customHeight="1" x14ac:dyDescent="0.25">
      <c r="A44" s="475">
        <v>30</v>
      </c>
      <c r="B44" s="476" t="s">
        <v>867</v>
      </c>
      <c r="C44" s="477" t="s">
        <v>842</v>
      </c>
      <c r="D44" s="478">
        <v>1</v>
      </c>
      <c r="E44" s="479">
        <v>15748</v>
      </c>
      <c r="F44" s="480">
        <v>15748</v>
      </c>
      <c r="G44" s="481"/>
      <c r="H44" s="482">
        <v>0</v>
      </c>
      <c r="I44" s="483">
        <v>0</v>
      </c>
      <c r="J44" s="484">
        <v>0</v>
      </c>
      <c r="K44" s="485">
        <v>0</v>
      </c>
      <c r="L44" s="490">
        <v>0</v>
      </c>
      <c r="M44" s="480">
        <v>0</v>
      </c>
      <c r="N44" s="487">
        <v>0</v>
      </c>
      <c r="O44" s="480">
        <v>0</v>
      </c>
      <c r="P44" s="487">
        <v>0</v>
      </c>
      <c r="Q44" s="488">
        <v>0</v>
      </c>
    </row>
    <row r="45" spans="1:17" ht="31.5" customHeight="1" x14ac:dyDescent="0.25">
      <c r="A45" s="475">
        <v>31</v>
      </c>
      <c r="B45" s="476" t="s">
        <v>868</v>
      </c>
      <c r="C45" s="477" t="s">
        <v>847</v>
      </c>
      <c r="D45" s="478">
        <v>1</v>
      </c>
      <c r="E45" s="479">
        <v>15400</v>
      </c>
      <c r="F45" s="480">
        <v>15400</v>
      </c>
      <c r="G45" s="481"/>
      <c r="H45" s="482">
        <v>41</v>
      </c>
      <c r="I45" s="483">
        <v>631400</v>
      </c>
      <c r="J45" s="484">
        <v>41</v>
      </c>
      <c r="K45" s="485">
        <v>631400</v>
      </c>
      <c r="L45" s="490">
        <v>41</v>
      </c>
      <c r="M45" s="480">
        <v>631400</v>
      </c>
      <c r="N45" s="487">
        <v>0</v>
      </c>
      <c r="O45" s="480">
        <v>0</v>
      </c>
      <c r="P45" s="487">
        <v>0</v>
      </c>
      <c r="Q45" s="488">
        <v>0</v>
      </c>
    </row>
    <row r="46" spans="1:17" ht="28.5" x14ac:dyDescent="0.25">
      <c r="A46" s="475">
        <v>32</v>
      </c>
      <c r="B46" s="476" t="s">
        <v>869</v>
      </c>
      <c r="C46" s="477" t="s">
        <v>847</v>
      </c>
      <c r="D46" s="478">
        <v>1</v>
      </c>
      <c r="E46" s="479">
        <v>113909</v>
      </c>
      <c r="F46" s="480">
        <v>113909</v>
      </c>
      <c r="G46" s="481"/>
      <c r="H46" s="482">
        <v>0</v>
      </c>
      <c r="I46" s="483">
        <v>0</v>
      </c>
      <c r="J46" s="484">
        <v>0</v>
      </c>
      <c r="K46" s="485">
        <v>0</v>
      </c>
      <c r="L46" s="490">
        <v>0</v>
      </c>
      <c r="M46" s="480">
        <v>0</v>
      </c>
      <c r="N46" s="487">
        <v>0</v>
      </c>
      <c r="O46" s="480">
        <v>0</v>
      </c>
      <c r="P46" s="487">
        <v>0</v>
      </c>
      <c r="Q46" s="488">
        <v>0</v>
      </c>
    </row>
    <row r="47" spans="1:17" ht="24.75" customHeight="1" x14ac:dyDescent="0.25">
      <c r="A47" s="475">
        <v>33</v>
      </c>
      <c r="B47" s="476" t="s">
        <v>870</v>
      </c>
      <c r="C47" s="477" t="s">
        <v>848</v>
      </c>
      <c r="D47" s="478">
        <v>1</v>
      </c>
      <c r="E47" s="479">
        <v>356000</v>
      </c>
      <c r="F47" s="480">
        <v>356000</v>
      </c>
      <c r="G47" s="481"/>
      <c r="H47" s="482">
        <v>3</v>
      </c>
      <c r="I47" s="483">
        <v>1068000</v>
      </c>
      <c r="J47" s="484">
        <v>3</v>
      </c>
      <c r="K47" s="485">
        <v>1068000</v>
      </c>
      <c r="L47" s="490">
        <v>3</v>
      </c>
      <c r="M47" s="480">
        <v>1068000</v>
      </c>
      <c r="N47" s="487">
        <v>0</v>
      </c>
      <c r="O47" s="480">
        <v>0</v>
      </c>
      <c r="P47" s="487">
        <v>0</v>
      </c>
      <c r="Q47" s="488">
        <v>0</v>
      </c>
    </row>
    <row r="48" spans="1:17" ht="25.5" customHeight="1" x14ac:dyDescent="0.25">
      <c r="A48" s="475">
        <v>34</v>
      </c>
      <c r="B48" s="476" t="s">
        <v>871</v>
      </c>
      <c r="C48" s="477" t="s">
        <v>847</v>
      </c>
      <c r="D48" s="478">
        <v>1</v>
      </c>
      <c r="E48" s="1276">
        <v>15400</v>
      </c>
      <c r="F48" s="480">
        <v>15400</v>
      </c>
      <c r="G48" s="481"/>
      <c r="H48" s="482">
        <v>11.5</v>
      </c>
      <c r="I48" s="483">
        <v>177100</v>
      </c>
      <c r="J48" s="484">
        <v>11.5</v>
      </c>
      <c r="K48" s="485">
        <v>177100</v>
      </c>
      <c r="L48" s="490">
        <v>11.5</v>
      </c>
      <c r="M48" s="480">
        <v>177100</v>
      </c>
      <c r="N48" s="487">
        <v>0</v>
      </c>
      <c r="O48" s="480">
        <v>0</v>
      </c>
      <c r="P48" s="487">
        <v>0</v>
      </c>
      <c r="Q48" s="488">
        <v>0</v>
      </c>
    </row>
    <row r="49" spans="1:17" ht="21.75" customHeight="1" x14ac:dyDescent="0.25">
      <c r="A49" s="475">
        <v>35</v>
      </c>
      <c r="B49" s="476" t="s">
        <v>211</v>
      </c>
      <c r="C49" s="477" t="s">
        <v>842</v>
      </c>
      <c r="D49" s="478">
        <v>1</v>
      </c>
      <c r="E49" s="479">
        <v>5000</v>
      </c>
      <c r="F49" s="480">
        <v>5000</v>
      </c>
      <c r="G49" s="481"/>
      <c r="H49" s="482">
        <v>221.26999999999998</v>
      </c>
      <c r="I49" s="483">
        <v>1106350</v>
      </c>
      <c r="J49" s="484">
        <v>221.26999999999998</v>
      </c>
      <c r="K49" s="485">
        <v>1106350</v>
      </c>
      <c r="L49" s="490">
        <v>221.26999999999998</v>
      </c>
      <c r="M49" s="480">
        <v>1106350</v>
      </c>
      <c r="N49" s="487">
        <v>0</v>
      </c>
      <c r="O49" s="480">
        <v>0</v>
      </c>
      <c r="P49" s="487">
        <v>0</v>
      </c>
      <c r="Q49" s="488">
        <v>0</v>
      </c>
    </row>
    <row r="50" spans="1:17" ht="30.75" customHeight="1" x14ac:dyDescent="0.25">
      <c r="A50" s="475">
        <v>36</v>
      </c>
      <c r="B50" s="476" t="s">
        <v>872</v>
      </c>
      <c r="C50" s="477" t="s">
        <v>842</v>
      </c>
      <c r="D50" s="478">
        <v>1</v>
      </c>
      <c r="E50" s="479">
        <v>29900</v>
      </c>
      <c r="F50" s="480">
        <v>29900</v>
      </c>
      <c r="G50" s="481"/>
      <c r="H50" s="482">
        <v>0</v>
      </c>
      <c r="I50" s="483">
        <v>0</v>
      </c>
      <c r="J50" s="484">
        <v>0</v>
      </c>
      <c r="K50" s="485">
        <v>0</v>
      </c>
      <c r="L50" s="490">
        <v>0</v>
      </c>
      <c r="M50" s="480">
        <v>0</v>
      </c>
      <c r="N50" s="487">
        <v>0</v>
      </c>
      <c r="O50" s="480">
        <v>0</v>
      </c>
      <c r="P50" s="487">
        <v>0</v>
      </c>
      <c r="Q50" s="488">
        <v>0</v>
      </c>
    </row>
    <row r="51" spans="1:17" ht="23.25" customHeight="1" x14ac:dyDescent="0.25">
      <c r="A51" s="475">
        <v>37</v>
      </c>
      <c r="B51" s="476" t="s">
        <v>88</v>
      </c>
      <c r="C51" s="477" t="s">
        <v>842</v>
      </c>
      <c r="D51" s="478">
        <v>1</v>
      </c>
      <c r="E51" s="479">
        <v>19900</v>
      </c>
      <c r="F51" s="480">
        <v>19900</v>
      </c>
      <c r="G51" s="481"/>
      <c r="H51" s="482">
        <v>249.76999999999998</v>
      </c>
      <c r="I51" s="483">
        <v>4970423</v>
      </c>
      <c r="J51" s="484">
        <v>249.76999999999998</v>
      </c>
      <c r="K51" s="485">
        <v>4970423</v>
      </c>
      <c r="L51" s="490">
        <v>249.76999999999998</v>
      </c>
      <c r="M51" s="480">
        <v>4970423</v>
      </c>
      <c r="N51" s="487">
        <v>0</v>
      </c>
      <c r="O51" s="480">
        <v>0</v>
      </c>
      <c r="P51" s="487">
        <v>0</v>
      </c>
      <c r="Q51" s="488">
        <v>0</v>
      </c>
    </row>
    <row r="52" spans="1:17" ht="21" customHeight="1" x14ac:dyDescent="0.25">
      <c r="A52" s="475">
        <v>38</v>
      </c>
      <c r="B52" s="476" t="s">
        <v>873</v>
      </c>
      <c r="C52" s="477" t="s">
        <v>842</v>
      </c>
      <c r="D52" s="478">
        <v>1</v>
      </c>
      <c r="E52" s="479">
        <v>14704</v>
      </c>
      <c r="F52" s="480">
        <v>14704</v>
      </c>
      <c r="G52" s="481"/>
      <c r="H52" s="482">
        <v>4</v>
      </c>
      <c r="I52" s="483">
        <v>58816</v>
      </c>
      <c r="J52" s="484">
        <v>4</v>
      </c>
      <c r="K52" s="485">
        <v>58816</v>
      </c>
      <c r="L52" s="490">
        <v>4</v>
      </c>
      <c r="M52" s="480">
        <v>58816</v>
      </c>
      <c r="N52" s="487">
        <v>0</v>
      </c>
      <c r="O52" s="480">
        <v>0</v>
      </c>
      <c r="P52" s="487">
        <v>0</v>
      </c>
      <c r="Q52" s="488">
        <v>0</v>
      </c>
    </row>
    <row r="53" spans="1:17" ht="24" customHeight="1" x14ac:dyDescent="0.25">
      <c r="A53" s="475">
        <v>39</v>
      </c>
      <c r="B53" s="476" t="s">
        <v>639</v>
      </c>
      <c r="C53" s="477" t="s">
        <v>842</v>
      </c>
      <c r="D53" s="478">
        <v>1</v>
      </c>
      <c r="E53" s="479">
        <v>14100</v>
      </c>
      <c r="F53" s="480">
        <v>14100</v>
      </c>
      <c r="G53" s="481"/>
      <c r="H53" s="482">
        <v>530.72</v>
      </c>
      <c r="I53" s="483">
        <v>7483152</v>
      </c>
      <c r="J53" s="484">
        <v>530.72</v>
      </c>
      <c r="K53" s="485">
        <v>7483152</v>
      </c>
      <c r="L53" s="490">
        <v>530.72</v>
      </c>
      <c r="M53" s="480">
        <v>7483152</v>
      </c>
      <c r="N53" s="487">
        <v>0</v>
      </c>
      <c r="O53" s="480">
        <v>0</v>
      </c>
      <c r="P53" s="487">
        <v>0</v>
      </c>
      <c r="Q53" s="488">
        <v>0</v>
      </c>
    </row>
    <row r="54" spans="1:17" ht="25.5" customHeight="1" x14ac:dyDescent="0.25">
      <c r="A54" s="475">
        <v>40</v>
      </c>
      <c r="B54" s="476" t="s">
        <v>874</v>
      </c>
      <c r="C54" s="477" t="s">
        <v>842</v>
      </c>
      <c r="D54" s="478">
        <v>1</v>
      </c>
      <c r="E54" s="479">
        <v>7568</v>
      </c>
      <c r="F54" s="480">
        <v>7568</v>
      </c>
      <c r="G54" s="481"/>
      <c r="H54" s="482">
        <v>2</v>
      </c>
      <c r="I54" s="483">
        <v>15136</v>
      </c>
      <c r="J54" s="484">
        <v>2</v>
      </c>
      <c r="K54" s="485">
        <v>15136</v>
      </c>
      <c r="L54" s="490">
        <v>2</v>
      </c>
      <c r="M54" s="480">
        <v>15136</v>
      </c>
      <c r="N54" s="487">
        <v>0</v>
      </c>
      <c r="O54" s="480">
        <v>0</v>
      </c>
      <c r="P54" s="487">
        <v>0</v>
      </c>
      <c r="Q54" s="488">
        <v>0</v>
      </c>
    </row>
    <row r="55" spans="1:17" ht="28.5" x14ac:dyDescent="0.25">
      <c r="A55" s="475">
        <v>41</v>
      </c>
      <c r="B55" s="476" t="s">
        <v>875</v>
      </c>
      <c r="C55" s="477" t="s">
        <v>847</v>
      </c>
      <c r="D55" s="478">
        <v>1</v>
      </c>
      <c r="E55" s="479">
        <v>16519</v>
      </c>
      <c r="F55" s="480">
        <v>16519</v>
      </c>
      <c r="G55" s="481"/>
      <c r="H55" s="482">
        <v>0</v>
      </c>
      <c r="I55" s="483">
        <v>0</v>
      </c>
      <c r="J55" s="484">
        <v>0</v>
      </c>
      <c r="K55" s="485">
        <v>0</v>
      </c>
      <c r="L55" s="490">
        <v>0</v>
      </c>
      <c r="M55" s="480">
        <v>0</v>
      </c>
      <c r="N55" s="487">
        <v>0</v>
      </c>
      <c r="O55" s="480">
        <v>0</v>
      </c>
      <c r="P55" s="487">
        <v>0</v>
      </c>
      <c r="Q55" s="488">
        <v>0</v>
      </c>
    </row>
    <row r="56" spans="1:17" x14ac:dyDescent="0.25">
      <c r="A56" s="475">
        <v>42</v>
      </c>
      <c r="B56" s="476" t="s">
        <v>876</v>
      </c>
      <c r="C56" s="477" t="s">
        <v>847</v>
      </c>
      <c r="D56" s="478">
        <v>1</v>
      </c>
      <c r="E56" s="479">
        <v>3756</v>
      </c>
      <c r="F56" s="480">
        <v>3756</v>
      </c>
      <c r="G56" s="481"/>
      <c r="H56" s="482">
        <v>0</v>
      </c>
      <c r="I56" s="483">
        <v>0</v>
      </c>
      <c r="J56" s="484">
        <v>0</v>
      </c>
      <c r="K56" s="485">
        <v>0</v>
      </c>
      <c r="L56" s="490">
        <v>0</v>
      </c>
      <c r="M56" s="480">
        <v>0</v>
      </c>
      <c r="N56" s="487">
        <v>0</v>
      </c>
      <c r="O56" s="480">
        <v>0</v>
      </c>
      <c r="P56" s="487">
        <v>0</v>
      </c>
      <c r="Q56" s="488">
        <v>0</v>
      </c>
    </row>
    <row r="57" spans="1:17" x14ac:dyDescent="0.25">
      <c r="A57" s="475">
        <v>43</v>
      </c>
      <c r="B57" s="476" t="s">
        <v>877</v>
      </c>
      <c r="C57" s="477" t="s">
        <v>847</v>
      </c>
      <c r="D57" s="478">
        <v>1</v>
      </c>
      <c r="E57" s="479">
        <v>9413</v>
      </c>
      <c r="F57" s="480">
        <v>9413</v>
      </c>
      <c r="G57" s="481"/>
      <c r="H57" s="482">
        <v>2</v>
      </c>
      <c r="I57" s="483">
        <v>18826</v>
      </c>
      <c r="J57" s="484">
        <v>2</v>
      </c>
      <c r="K57" s="485">
        <v>18826</v>
      </c>
      <c r="L57" s="490">
        <v>2</v>
      </c>
      <c r="M57" s="480">
        <v>18826</v>
      </c>
      <c r="N57" s="487">
        <v>0</v>
      </c>
      <c r="O57" s="480">
        <v>0</v>
      </c>
      <c r="P57" s="487">
        <v>0</v>
      </c>
      <c r="Q57" s="488">
        <v>0</v>
      </c>
    </row>
    <row r="58" spans="1:17" x14ac:dyDescent="0.25">
      <c r="A58" s="475">
        <v>44</v>
      </c>
      <c r="B58" s="476" t="s">
        <v>878</v>
      </c>
      <c r="C58" s="477" t="s">
        <v>847</v>
      </c>
      <c r="D58" s="478">
        <v>1</v>
      </c>
      <c r="E58" s="479">
        <v>5022</v>
      </c>
      <c r="F58" s="480">
        <v>5022</v>
      </c>
      <c r="G58" s="481"/>
      <c r="H58" s="482">
        <v>0</v>
      </c>
      <c r="I58" s="483">
        <v>0</v>
      </c>
      <c r="J58" s="484">
        <v>0</v>
      </c>
      <c r="K58" s="485">
        <v>0</v>
      </c>
      <c r="L58" s="490">
        <v>0</v>
      </c>
      <c r="M58" s="480">
        <v>0</v>
      </c>
      <c r="N58" s="487">
        <v>0</v>
      </c>
      <c r="O58" s="480">
        <v>0</v>
      </c>
      <c r="P58" s="487">
        <v>0</v>
      </c>
      <c r="Q58" s="488">
        <v>0</v>
      </c>
    </row>
    <row r="59" spans="1:17" x14ac:dyDescent="0.25">
      <c r="A59" s="475">
        <v>45</v>
      </c>
      <c r="B59" s="476" t="s">
        <v>879</v>
      </c>
      <c r="C59" s="477" t="s">
        <v>880</v>
      </c>
      <c r="D59" s="478">
        <v>1</v>
      </c>
      <c r="E59" s="479">
        <v>24100</v>
      </c>
      <c r="F59" s="480">
        <v>24100</v>
      </c>
      <c r="G59" s="481"/>
      <c r="H59" s="482">
        <v>0</v>
      </c>
      <c r="I59" s="483">
        <v>0</v>
      </c>
      <c r="J59" s="484">
        <v>0</v>
      </c>
      <c r="K59" s="485">
        <v>0</v>
      </c>
      <c r="L59" s="490">
        <v>0</v>
      </c>
      <c r="M59" s="480">
        <v>0</v>
      </c>
      <c r="N59" s="487">
        <v>0</v>
      </c>
      <c r="O59" s="480">
        <v>0</v>
      </c>
      <c r="P59" s="487">
        <v>0</v>
      </c>
      <c r="Q59" s="488">
        <v>0</v>
      </c>
    </row>
    <row r="60" spans="1:17" ht="28.5" x14ac:dyDescent="0.25">
      <c r="A60" s="475">
        <v>46</v>
      </c>
      <c r="B60" s="476" t="s">
        <v>881</v>
      </c>
      <c r="C60" s="477" t="s">
        <v>882</v>
      </c>
      <c r="D60" s="478">
        <v>1</v>
      </c>
      <c r="E60" s="479">
        <v>92100</v>
      </c>
      <c r="F60" s="480">
        <v>92100</v>
      </c>
      <c r="G60" s="481"/>
      <c r="H60" s="482">
        <v>0</v>
      </c>
      <c r="I60" s="483">
        <v>0</v>
      </c>
      <c r="J60" s="484">
        <v>0</v>
      </c>
      <c r="K60" s="485">
        <v>0</v>
      </c>
      <c r="L60" s="490">
        <v>0</v>
      </c>
      <c r="M60" s="480">
        <v>0</v>
      </c>
      <c r="N60" s="487">
        <v>0</v>
      </c>
      <c r="O60" s="480">
        <v>0</v>
      </c>
      <c r="P60" s="487">
        <v>0</v>
      </c>
      <c r="Q60" s="488">
        <v>0</v>
      </c>
    </row>
    <row r="61" spans="1:17" x14ac:dyDescent="0.25">
      <c r="A61" s="475">
        <v>47</v>
      </c>
      <c r="B61" s="476" t="s">
        <v>607</v>
      </c>
      <c r="C61" s="477" t="s">
        <v>880</v>
      </c>
      <c r="D61" s="478">
        <v>1</v>
      </c>
      <c r="E61" s="1276">
        <v>8827</v>
      </c>
      <c r="F61" s="480">
        <v>8827</v>
      </c>
      <c r="G61" s="481"/>
      <c r="H61" s="482">
        <v>65</v>
      </c>
      <c r="I61" s="483">
        <v>573755</v>
      </c>
      <c r="J61" s="484">
        <v>65</v>
      </c>
      <c r="K61" s="485">
        <v>573755</v>
      </c>
      <c r="L61" s="490">
        <v>65</v>
      </c>
      <c r="M61" s="480">
        <v>573755</v>
      </c>
      <c r="N61" s="487">
        <v>0</v>
      </c>
      <c r="O61" s="480">
        <v>0</v>
      </c>
      <c r="P61" s="487">
        <v>0</v>
      </c>
      <c r="Q61" s="488">
        <v>0</v>
      </c>
    </row>
    <row r="62" spans="1:17" ht="28.5" x14ac:dyDescent="0.25">
      <c r="A62" s="475">
        <v>48</v>
      </c>
      <c r="B62" s="476" t="s">
        <v>609</v>
      </c>
      <c r="C62" s="477" t="s">
        <v>883</v>
      </c>
      <c r="D62" s="478">
        <v>1</v>
      </c>
      <c r="E62" s="1276">
        <v>55100</v>
      </c>
      <c r="F62" s="480">
        <v>55100</v>
      </c>
      <c r="G62" s="481"/>
      <c r="H62" s="482">
        <v>65</v>
      </c>
      <c r="I62" s="483">
        <v>3581500</v>
      </c>
      <c r="J62" s="484">
        <v>65</v>
      </c>
      <c r="K62" s="485">
        <v>3581500</v>
      </c>
      <c r="L62" s="490">
        <v>65</v>
      </c>
      <c r="M62" s="480">
        <v>3581500</v>
      </c>
      <c r="N62" s="487">
        <v>0</v>
      </c>
      <c r="O62" s="480">
        <v>0</v>
      </c>
      <c r="P62" s="487">
        <v>0</v>
      </c>
      <c r="Q62" s="488">
        <v>0</v>
      </c>
    </row>
    <row r="63" spans="1:17" ht="28.5" x14ac:dyDescent="0.25">
      <c r="A63" s="475">
        <v>49</v>
      </c>
      <c r="B63" s="476" t="s">
        <v>884</v>
      </c>
      <c r="C63" s="477" t="s">
        <v>883</v>
      </c>
      <c r="D63" s="478">
        <v>1</v>
      </c>
      <c r="E63" s="479">
        <v>51626</v>
      </c>
      <c r="F63" s="480">
        <v>51626</v>
      </c>
      <c r="G63" s="481"/>
      <c r="H63" s="482">
        <v>1</v>
      </c>
      <c r="I63" s="483">
        <v>51626</v>
      </c>
      <c r="J63" s="484">
        <v>1</v>
      </c>
      <c r="K63" s="485">
        <v>51626</v>
      </c>
      <c r="L63" s="490">
        <v>1</v>
      </c>
      <c r="M63" s="480">
        <v>51626</v>
      </c>
      <c r="N63" s="487">
        <v>0</v>
      </c>
      <c r="O63" s="480">
        <v>0</v>
      </c>
      <c r="P63" s="487">
        <v>0</v>
      </c>
      <c r="Q63" s="488">
        <v>0</v>
      </c>
    </row>
    <row r="64" spans="1:17" ht="24.75" customHeight="1" x14ac:dyDescent="0.25">
      <c r="A64" s="475">
        <v>50</v>
      </c>
      <c r="B64" s="476" t="s">
        <v>885</v>
      </c>
      <c r="C64" s="477" t="s">
        <v>848</v>
      </c>
      <c r="D64" s="478">
        <v>1</v>
      </c>
      <c r="E64" s="479">
        <v>350000</v>
      </c>
      <c r="F64" s="480">
        <v>350000</v>
      </c>
      <c r="G64" s="481"/>
      <c r="H64" s="482">
        <v>0</v>
      </c>
      <c r="I64" s="483">
        <v>0</v>
      </c>
      <c r="J64" s="484">
        <v>0</v>
      </c>
      <c r="K64" s="485">
        <v>0</v>
      </c>
      <c r="L64" s="490">
        <v>0</v>
      </c>
      <c r="M64" s="480">
        <v>0</v>
      </c>
      <c r="N64" s="487">
        <v>0</v>
      </c>
      <c r="O64" s="480">
        <v>0</v>
      </c>
      <c r="P64" s="487">
        <v>0</v>
      </c>
      <c r="Q64" s="488">
        <v>0</v>
      </c>
    </row>
    <row r="65" spans="1:17" x14ac:dyDescent="0.25">
      <c r="A65" s="475">
        <v>51</v>
      </c>
      <c r="B65" s="476" t="s">
        <v>886</v>
      </c>
      <c r="C65" s="477" t="s">
        <v>848</v>
      </c>
      <c r="D65" s="478">
        <v>1</v>
      </c>
      <c r="E65" s="479">
        <v>15730</v>
      </c>
      <c r="F65" s="480">
        <v>15730</v>
      </c>
      <c r="G65" s="481"/>
      <c r="H65" s="482">
        <v>3</v>
      </c>
      <c r="I65" s="483">
        <v>47190</v>
      </c>
      <c r="J65" s="484">
        <v>3</v>
      </c>
      <c r="K65" s="485">
        <v>47190</v>
      </c>
      <c r="L65" s="490">
        <v>3</v>
      </c>
      <c r="M65" s="480">
        <v>47190</v>
      </c>
      <c r="N65" s="487">
        <v>0</v>
      </c>
      <c r="O65" s="480">
        <v>0</v>
      </c>
      <c r="P65" s="487">
        <v>0</v>
      </c>
      <c r="Q65" s="488">
        <v>0</v>
      </c>
    </row>
    <row r="66" spans="1:17" x14ac:dyDescent="0.25">
      <c r="A66" s="475">
        <v>52</v>
      </c>
      <c r="B66" s="476" t="s">
        <v>887</v>
      </c>
      <c r="C66" s="477" t="s">
        <v>842</v>
      </c>
      <c r="D66" s="478">
        <v>1</v>
      </c>
      <c r="E66" s="479">
        <v>17377</v>
      </c>
      <c r="F66" s="480">
        <v>17377</v>
      </c>
      <c r="G66" s="481"/>
      <c r="H66" s="482">
        <v>1</v>
      </c>
      <c r="I66" s="483">
        <v>17377</v>
      </c>
      <c r="J66" s="484">
        <v>1</v>
      </c>
      <c r="K66" s="485">
        <v>17377</v>
      </c>
      <c r="L66" s="490">
        <v>1</v>
      </c>
      <c r="M66" s="480">
        <v>17377</v>
      </c>
      <c r="N66" s="487">
        <v>0</v>
      </c>
      <c r="O66" s="480">
        <v>0</v>
      </c>
      <c r="P66" s="487">
        <v>0</v>
      </c>
      <c r="Q66" s="488">
        <v>0</v>
      </c>
    </row>
    <row r="67" spans="1:17" ht="24.75" customHeight="1" x14ac:dyDescent="0.25">
      <c r="A67" s="475">
        <v>53</v>
      </c>
      <c r="B67" s="476" t="s">
        <v>888</v>
      </c>
      <c r="C67" s="477" t="s">
        <v>842</v>
      </c>
      <c r="D67" s="478">
        <v>1</v>
      </c>
      <c r="E67" s="479">
        <v>11490</v>
      </c>
      <c r="F67" s="480">
        <v>11490</v>
      </c>
      <c r="G67" s="481"/>
      <c r="H67" s="482">
        <v>45</v>
      </c>
      <c r="I67" s="483">
        <v>517050</v>
      </c>
      <c r="J67" s="484">
        <v>45</v>
      </c>
      <c r="K67" s="485">
        <v>517050</v>
      </c>
      <c r="L67" s="490">
        <v>45</v>
      </c>
      <c r="M67" s="480">
        <v>517050</v>
      </c>
      <c r="N67" s="487">
        <v>0</v>
      </c>
      <c r="O67" s="480">
        <v>0</v>
      </c>
      <c r="P67" s="487">
        <v>0</v>
      </c>
      <c r="Q67" s="488">
        <v>0</v>
      </c>
    </row>
    <row r="68" spans="1:17" ht="28.5" x14ac:dyDescent="0.25">
      <c r="A68" s="475">
        <v>54</v>
      </c>
      <c r="B68" s="476" t="s">
        <v>889</v>
      </c>
      <c r="C68" s="477" t="s">
        <v>847</v>
      </c>
      <c r="D68" s="478">
        <v>1</v>
      </c>
      <c r="E68" s="479">
        <v>34277</v>
      </c>
      <c r="F68" s="480">
        <v>34277</v>
      </c>
      <c r="G68" s="481"/>
      <c r="H68" s="482">
        <v>0</v>
      </c>
      <c r="I68" s="483">
        <v>0</v>
      </c>
      <c r="J68" s="484">
        <v>0</v>
      </c>
      <c r="K68" s="485">
        <v>0</v>
      </c>
      <c r="L68" s="490">
        <v>0</v>
      </c>
      <c r="M68" s="480">
        <v>0</v>
      </c>
      <c r="N68" s="487">
        <v>0</v>
      </c>
      <c r="O68" s="480">
        <v>0</v>
      </c>
      <c r="P68" s="487">
        <v>0</v>
      </c>
      <c r="Q68" s="488">
        <v>0</v>
      </c>
    </row>
    <row r="69" spans="1:17" ht="46.5" customHeight="1" x14ac:dyDescent="0.25">
      <c r="A69" s="475">
        <v>55</v>
      </c>
      <c r="B69" s="476" t="s">
        <v>279</v>
      </c>
      <c r="C69" s="477" t="s">
        <v>848</v>
      </c>
      <c r="D69" s="478">
        <v>1</v>
      </c>
      <c r="E69" s="479">
        <v>99100</v>
      </c>
      <c r="F69" s="480">
        <v>99100</v>
      </c>
      <c r="G69" s="481"/>
      <c r="H69" s="482">
        <v>0</v>
      </c>
      <c r="I69" s="483">
        <v>0</v>
      </c>
      <c r="J69" s="484">
        <v>0</v>
      </c>
      <c r="K69" s="485">
        <v>0</v>
      </c>
      <c r="L69" s="490"/>
      <c r="M69" s="480">
        <v>0</v>
      </c>
      <c r="N69" s="487">
        <v>0</v>
      </c>
      <c r="O69" s="480">
        <v>0</v>
      </c>
      <c r="P69" s="487">
        <v>0</v>
      </c>
      <c r="Q69" s="488">
        <v>0</v>
      </c>
    </row>
    <row r="70" spans="1:17" ht="21" customHeight="1" x14ac:dyDescent="0.25">
      <c r="A70" s="475">
        <v>56</v>
      </c>
      <c r="B70" s="476" t="s">
        <v>890</v>
      </c>
      <c r="C70" s="477" t="s">
        <v>847</v>
      </c>
      <c r="D70" s="478">
        <v>1</v>
      </c>
      <c r="E70" s="479">
        <v>15200</v>
      </c>
      <c r="F70" s="480">
        <v>15200</v>
      </c>
      <c r="G70" s="481"/>
      <c r="H70" s="482">
        <v>128.5</v>
      </c>
      <c r="I70" s="483">
        <v>1953200</v>
      </c>
      <c r="J70" s="484">
        <v>128.5</v>
      </c>
      <c r="K70" s="485">
        <v>1953200</v>
      </c>
      <c r="L70" s="490">
        <v>128.5</v>
      </c>
      <c r="M70" s="480">
        <v>1953200</v>
      </c>
      <c r="N70" s="487">
        <v>0</v>
      </c>
      <c r="O70" s="480">
        <v>0</v>
      </c>
      <c r="P70" s="487">
        <v>0</v>
      </c>
      <c r="Q70" s="488">
        <v>0</v>
      </c>
    </row>
    <row r="71" spans="1:17" ht="28.5" x14ac:dyDescent="0.25">
      <c r="A71" s="475">
        <v>57</v>
      </c>
      <c r="B71" s="476" t="s">
        <v>891</v>
      </c>
      <c r="C71" s="477" t="s">
        <v>847</v>
      </c>
      <c r="D71" s="478">
        <v>40</v>
      </c>
      <c r="E71" s="479">
        <v>16077</v>
      </c>
      <c r="F71" s="480">
        <v>643080</v>
      </c>
      <c r="G71" s="481"/>
      <c r="H71" s="482">
        <v>1</v>
      </c>
      <c r="I71" s="483">
        <v>16077</v>
      </c>
      <c r="J71" s="484">
        <v>1</v>
      </c>
      <c r="K71" s="485">
        <v>16077</v>
      </c>
      <c r="L71" s="490">
        <v>1</v>
      </c>
      <c r="M71" s="480">
        <v>16077</v>
      </c>
      <c r="N71" s="487">
        <v>0</v>
      </c>
      <c r="O71" s="480">
        <v>0</v>
      </c>
      <c r="P71" s="487">
        <v>0</v>
      </c>
      <c r="Q71" s="488">
        <v>0</v>
      </c>
    </row>
    <row r="72" spans="1:17" ht="28.5" x14ac:dyDescent="0.25">
      <c r="A72" s="475">
        <v>58</v>
      </c>
      <c r="B72" s="476" t="s">
        <v>892</v>
      </c>
      <c r="C72" s="477" t="s">
        <v>848</v>
      </c>
      <c r="D72" s="478">
        <v>200</v>
      </c>
      <c r="E72" s="479">
        <v>40635</v>
      </c>
      <c r="F72" s="480">
        <v>8127000</v>
      </c>
      <c r="G72" s="481"/>
      <c r="H72" s="482">
        <v>3</v>
      </c>
      <c r="I72" s="483">
        <v>121905</v>
      </c>
      <c r="J72" s="484">
        <v>3</v>
      </c>
      <c r="K72" s="485">
        <v>121905</v>
      </c>
      <c r="L72" s="490">
        <v>3</v>
      </c>
      <c r="M72" s="480">
        <v>121905</v>
      </c>
      <c r="N72" s="487">
        <v>0</v>
      </c>
      <c r="O72" s="480">
        <v>0</v>
      </c>
      <c r="P72" s="487">
        <v>0</v>
      </c>
      <c r="Q72" s="488">
        <v>0</v>
      </c>
    </row>
    <row r="73" spans="1:17" ht="28.5" x14ac:dyDescent="0.25">
      <c r="A73" s="475">
        <v>59</v>
      </c>
      <c r="B73" s="476" t="s">
        <v>893</v>
      </c>
      <c r="C73" s="477" t="s">
        <v>847</v>
      </c>
      <c r="D73" s="478">
        <v>1</v>
      </c>
      <c r="E73" s="479">
        <v>41930</v>
      </c>
      <c r="F73" s="480">
        <v>41930</v>
      </c>
      <c r="G73" s="481"/>
      <c r="H73" s="482">
        <v>9</v>
      </c>
      <c r="I73" s="483">
        <v>377370</v>
      </c>
      <c r="J73" s="484">
        <v>9</v>
      </c>
      <c r="K73" s="485">
        <v>377370</v>
      </c>
      <c r="L73" s="490">
        <v>9</v>
      </c>
      <c r="M73" s="480">
        <v>377370</v>
      </c>
      <c r="N73" s="487">
        <v>0</v>
      </c>
      <c r="O73" s="480">
        <v>0</v>
      </c>
      <c r="P73" s="487">
        <v>0</v>
      </c>
      <c r="Q73" s="488">
        <v>0</v>
      </c>
    </row>
    <row r="74" spans="1:17" x14ac:dyDescent="0.25">
      <c r="A74" s="475">
        <v>60</v>
      </c>
      <c r="B74" s="476" t="s">
        <v>894</v>
      </c>
      <c r="C74" s="477" t="s">
        <v>848</v>
      </c>
      <c r="D74" s="478">
        <v>1</v>
      </c>
      <c r="E74" s="479">
        <v>31990</v>
      </c>
      <c r="F74" s="480">
        <v>31990</v>
      </c>
      <c r="G74" s="481"/>
      <c r="H74" s="482">
        <v>0</v>
      </c>
      <c r="I74" s="483">
        <v>0</v>
      </c>
      <c r="J74" s="484">
        <v>0</v>
      </c>
      <c r="K74" s="485">
        <v>0</v>
      </c>
      <c r="L74" s="490">
        <v>0</v>
      </c>
      <c r="M74" s="480">
        <v>0</v>
      </c>
      <c r="N74" s="487">
        <v>0</v>
      </c>
      <c r="O74" s="480">
        <v>0</v>
      </c>
      <c r="P74" s="487">
        <v>0</v>
      </c>
      <c r="Q74" s="488">
        <v>0</v>
      </c>
    </row>
    <row r="75" spans="1:17" ht="28.5" x14ac:dyDescent="0.25">
      <c r="A75" s="475">
        <v>61</v>
      </c>
      <c r="B75" s="476" t="s">
        <v>141</v>
      </c>
      <c r="C75" s="477" t="s">
        <v>848</v>
      </c>
      <c r="D75" s="478">
        <v>1</v>
      </c>
      <c r="E75" s="491">
        <v>1250000</v>
      </c>
      <c r="F75" s="480">
        <v>1250000</v>
      </c>
      <c r="G75" s="481"/>
      <c r="H75" s="482">
        <v>0</v>
      </c>
      <c r="I75" s="483">
        <v>0</v>
      </c>
      <c r="J75" s="484">
        <v>0</v>
      </c>
      <c r="K75" s="485">
        <v>0</v>
      </c>
      <c r="L75" s="490">
        <v>0</v>
      </c>
      <c r="M75" s="480">
        <v>0</v>
      </c>
      <c r="N75" s="487">
        <v>0</v>
      </c>
      <c r="O75" s="480">
        <v>0</v>
      </c>
      <c r="P75" s="487">
        <v>0</v>
      </c>
      <c r="Q75" s="488">
        <v>0</v>
      </c>
    </row>
    <row r="76" spans="1:17" ht="28.5" x14ac:dyDescent="0.25">
      <c r="A76" s="475">
        <v>62</v>
      </c>
      <c r="B76" s="476" t="s">
        <v>895</v>
      </c>
      <c r="C76" s="477" t="s">
        <v>848</v>
      </c>
      <c r="D76" s="478">
        <v>1</v>
      </c>
      <c r="E76" s="491">
        <v>381500</v>
      </c>
      <c r="F76" s="480">
        <v>381500</v>
      </c>
      <c r="G76" s="481"/>
      <c r="H76" s="482">
        <v>1</v>
      </c>
      <c r="I76" s="483">
        <v>381500</v>
      </c>
      <c r="J76" s="484">
        <v>1</v>
      </c>
      <c r="K76" s="485">
        <v>381500</v>
      </c>
      <c r="L76" s="490">
        <v>1</v>
      </c>
      <c r="M76" s="480">
        <v>381500</v>
      </c>
      <c r="N76" s="487">
        <v>0</v>
      </c>
      <c r="O76" s="480">
        <v>0</v>
      </c>
      <c r="P76" s="487">
        <v>0</v>
      </c>
      <c r="Q76" s="488">
        <v>0</v>
      </c>
    </row>
    <row r="77" spans="1:17" ht="29.25" customHeight="1" x14ac:dyDescent="0.25">
      <c r="A77" s="475">
        <v>63</v>
      </c>
      <c r="B77" s="476" t="s">
        <v>896</v>
      </c>
      <c r="C77" s="477" t="s">
        <v>847</v>
      </c>
      <c r="D77" s="478">
        <v>1</v>
      </c>
      <c r="E77" s="491">
        <v>48148</v>
      </c>
      <c r="F77" s="480">
        <v>48148</v>
      </c>
      <c r="G77" s="481"/>
      <c r="H77" s="482">
        <v>2</v>
      </c>
      <c r="I77" s="483">
        <v>96296</v>
      </c>
      <c r="J77" s="484">
        <v>2</v>
      </c>
      <c r="K77" s="485">
        <v>96296</v>
      </c>
      <c r="L77" s="490">
        <v>2</v>
      </c>
      <c r="M77" s="480">
        <v>96296</v>
      </c>
      <c r="N77" s="487">
        <v>0</v>
      </c>
      <c r="O77" s="480">
        <v>0</v>
      </c>
      <c r="P77" s="487">
        <v>0</v>
      </c>
      <c r="Q77" s="488">
        <v>0</v>
      </c>
    </row>
    <row r="78" spans="1:17" x14ac:dyDescent="0.25">
      <c r="A78" s="475">
        <v>64</v>
      </c>
      <c r="B78" s="476" t="s">
        <v>897</v>
      </c>
      <c r="C78" s="477" t="s">
        <v>848</v>
      </c>
      <c r="D78" s="478">
        <v>1</v>
      </c>
      <c r="E78" s="491">
        <v>500000</v>
      </c>
      <c r="F78" s="480">
        <v>500000</v>
      </c>
      <c r="G78" s="481"/>
      <c r="H78" s="482">
        <v>0</v>
      </c>
      <c r="I78" s="483">
        <v>0</v>
      </c>
      <c r="J78" s="484">
        <v>0</v>
      </c>
      <c r="K78" s="485">
        <v>0</v>
      </c>
      <c r="L78" s="490">
        <v>0</v>
      </c>
      <c r="M78" s="480">
        <v>0</v>
      </c>
      <c r="N78" s="487">
        <v>0</v>
      </c>
      <c r="O78" s="480">
        <v>0</v>
      </c>
      <c r="P78" s="487">
        <v>0</v>
      </c>
      <c r="Q78" s="488">
        <v>0</v>
      </c>
    </row>
    <row r="79" spans="1:17" x14ac:dyDescent="0.25">
      <c r="A79" s="475">
        <v>65</v>
      </c>
      <c r="B79" s="476" t="s">
        <v>898</v>
      </c>
      <c r="C79" s="477" t="s">
        <v>842</v>
      </c>
      <c r="D79" s="478">
        <v>1</v>
      </c>
      <c r="E79" s="492">
        <v>75200</v>
      </c>
      <c r="F79" s="480">
        <v>75200</v>
      </c>
      <c r="G79" s="481"/>
      <c r="H79" s="482">
        <v>0</v>
      </c>
      <c r="I79" s="483">
        <v>0</v>
      </c>
      <c r="J79" s="484">
        <v>0</v>
      </c>
      <c r="K79" s="485">
        <v>0</v>
      </c>
      <c r="L79" s="490">
        <v>0</v>
      </c>
      <c r="M79" s="480">
        <v>0</v>
      </c>
      <c r="N79" s="487">
        <v>0</v>
      </c>
      <c r="O79" s="480">
        <v>0</v>
      </c>
      <c r="P79" s="487">
        <v>0</v>
      </c>
      <c r="Q79" s="488">
        <v>0</v>
      </c>
    </row>
    <row r="80" spans="1:17" x14ac:dyDescent="0.25">
      <c r="A80" s="475">
        <v>66</v>
      </c>
      <c r="B80" s="476" t="s">
        <v>899</v>
      </c>
      <c r="C80" s="477" t="s">
        <v>842</v>
      </c>
      <c r="D80" s="478">
        <v>1</v>
      </c>
      <c r="E80" s="493">
        <v>79800</v>
      </c>
      <c r="F80" s="480">
        <v>79800</v>
      </c>
      <c r="G80" s="481"/>
      <c r="H80" s="482">
        <v>0</v>
      </c>
      <c r="I80" s="483">
        <v>0</v>
      </c>
      <c r="J80" s="484">
        <v>0</v>
      </c>
      <c r="K80" s="485">
        <v>0</v>
      </c>
      <c r="L80" s="490"/>
      <c r="M80" s="480">
        <v>0</v>
      </c>
      <c r="N80" s="487">
        <v>0</v>
      </c>
      <c r="O80" s="480">
        <v>0</v>
      </c>
      <c r="P80" s="487">
        <v>0</v>
      </c>
      <c r="Q80" s="488">
        <v>0</v>
      </c>
    </row>
    <row r="81" spans="1:17" ht="23.25" customHeight="1" x14ac:dyDescent="0.25">
      <c r="A81" s="475">
        <v>67</v>
      </c>
      <c r="B81" s="476" t="s">
        <v>614</v>
      </c>
      <c r="C81" s="477" t="s">
        <v>842</v>
      </c>
      <c r="D81" s="478">
        <v>1</v>
      </c>
      <c r="E81" s="1277">
        <v>51400</v>
      </c>
      <c r="F81" s="480">
        <v>51400</v>
      </c>
      <c r="G81" s="481"/>
      <c r="H81" s="482">
        <v>34.61</v>
      </c>
      <c r="I81" s="483">
        <v>1778954</v>
      </c>
      <c r="J81" s="484">
        <v>34.61</v>
      </c>
      <c r="K81" s="485">
        <v>1778954</v>
      </c>
      <c r="L81" s="490">
        <v>34.61</v>
      </c>
      <c r="M81" s="480">
        <v>1778954</v>
      </c>
      <c r="N81" s="487">
        <v>0</v>
      </c>
      <c r="O81" s="480">
        <v>0</v>
      </c>
      <c r="P81" s="487">
        <v>0</v>
      </c>
      <c r="Q81" s="488">
        <v>0</v>
      </c>
    </row>
    <row r="82" spans="1:17" x14ac:dyDescent="0.25">
      <c r="A82" s="475">
        <v>68</v>
      </c>
      <c r="B82" s="476" t="s">
        <v>900</v>
      </c>
      <c r="C82" s="477" t="s">
        <v>848</v>
      </c>
      <c r="D82" s="478">
        <v>1</v>
      </c>
      <c r="E82" s="494">
        <v>50000</v>
      </c>
      <c r="F82" s="480">
        <v>50000</v>
      </c>
      <c r="G82" s="481"/>
      <c r="H82" s="482">
        <v>2</v>
      </c>
      <c r="I82" s="483">
        <v>100000</v>
      </c>
      <c r="J82" s="484">
        <v>2</v>
      </c>
      <c r="K82" s="485">
        <v>100000</v>
      </c>
      <c r="L82" s="490">
        <v>2</v>
      </c>
      <c r="M82" s="480">
        <v>100000</v>
      </c>
      <c r="N82" s="487">
        <v>0</v>
      </c>
      <c r="O82" s="480">
        <v>0</v>
      </c>
      <c r="P82" s="487">
        <v>0</v>
      </c>
      <c r="Q82" s="488">
        <v>0</v>
      </c>
    </row>
    <row r="83" spans="1:17" x14ac:dyDescent="0.25">
      <c r="A83" s="475">
        <v>69</v>
      </c>
      <c r="B83" s="476" t="s">
        <v>901</v>
      </c>
      <c r="C83" s="477" t="s">
        <v>848</v>
      </c>
      <c r="D83" s="478">
        <v>1</v>
      </c>
      <c r="E83" s="494">
        <v>347200</v>
      </c>
      <c r="F83" s="480">
        <v>347200</v>
      </c>
      <c r="G83" s="481"/>
      <c r="H83" s="482">
        <v>0</v>
      </c>
      <c r="I83" s="483">
        <v>0</v>
      </c>
      <c r="J83" s="484">
        <v>0</v>
      </c>
      <c r="K83" s="485">
        <v>0</v>
      </c>
      <c r="L83" s="490">
        <v>0</v>
      </c>
      <c r="M83" s="480">
        <v>0</v>
      </c>
      <c r="N83" s="487">
        <v>0</v>
      </c>
      <c r="O83" s="480">
        <v>0</v>
      </c>
      <c r="P83" s="487">
        <v>0</v>
      </c>
      <c r="Q83" s="488">
        <v>0</v>
      </c>
    </row>
    <row r="84" spans="1:17" x14ac:dyDescent="0.25">
      <c r="A84" s="475">
        <v>70</v>
      </c>
      <c r="B84" s="476" t="s">
        <v>902</v>
      </c>
      <c r="C84" s="477" t="s">
        <v>848</v>
      </c>
      <c r="D84" s="478">
        <v>1</v>
      </c>
      <c r="E84" s="494">
        <v>220000</v>
      </c>
      <c r="F84" s="480">
        <v>220000</v>
      </c>
      <c r="G84" s="481"/>
      <c r="H84" s="482">
        <v>0</v>
      </c>
      <c r="I84" s="483">
        <v>0</v>
      </c>
      <c r="J84" s="484">
        <v>0</v>
      </c>
      <c r="K84" s="485">
        <v>0</v>
      </c>
      <c r="L84" s="490">
        <v>0</v>
      </c>
      <c r="M84" s="480">
        <v>0</v>
      </c>
      <c r="N84" s="487">
        <v>0</v>
      </c>
      <c r="O84" s="480">
        <v>0</v>
      </c>
      <c r="P84" s="487">
        <v>0</v>
      </c>
      <c r="Q84" s="488">
        <v>0</v>
      </c>
    </row>
    <row r="85" spans="1:17" ht="28.5" x14ac:dyDescent="0.25">
      <c r="A85" s="475">
        <v>71</v>
      </c>
      <c r="B85" s="476" t="s">
        <v>722</v>
      </c>
      <c r="C85" s="477" t="s">
        <v>848</v>
      </c>
      <c r="D85" s="478">
        <v>1</v>
      </c>
      <c r="E85" s="1284">
        <v>85600</v>
      </c>
      <c r="F85" s="480">
        <v>85600</v>
      </c>
      <c r="G85" s="481"/>
      <c r="H85" s="482">
        <v>0</v>
      </c>
      <c r="I85" s="483">
        <v>0</v>
      </c>
      <c r="J85" s="484">
        <v>0</v>
      </c>
      <c r="K85" s="485">
        <v>0</v>
      </c>
      <c r="L85" s="490">
        <v>0</v>
      </c>
      <c r="M85" s="480">
        <v>0</v>
      </c>
      <c r="N85" s="487">
        <v>0</v>
      </c>
      <c r="O85" s="480">
        <v>0</v>
      </c>
      <c r="P85" s="487">
        <v>0</v>
      </c>
      <c r="Q85" s="488">
        <v>0</v>
      </c>
    </row>
    <row r="86" spans="1:17" ht="24" customHeight="1" x14ac:dyDescent="0.25">
      <c r="A86" s="475">
        <v>72</v>
      </c>
      <c r="B86" s="476" t="s">
        <v>903</v>
      </c>
      <c r="C86" s="477" t="s">
        <v>14</v>
      </c>
      <c r="D86" s="478">
        <v>1</v>
      </c>
      <c r="E86" s="491">
        <v>14070</v>
      </c>
      <c r="F86" s="480">
        <v>14070</v>
      </c>
      <c r="G86" s="481"/>
      <c r="H86" s="482">
        <v>4</v>
      </c>
      <c r="I86" s="483">
        <v>56280</v>
      </c>
      <c r="J86" s="484">
        <v>4</v>
      </c>
      <c r="K86" s="485">
        <v>56280</v>
      </c>
      <c r="L86" s="490">
        <v>4</v>
      </c>
      <c r="M86" s="480">
        <v>56280</v>
      </c>
      <c r="N86" s="487">
        <v>0</v>
      </c>
      <c r="O86" s="480">
        <v>0</v>
      </c>
      <c r="P86" s="487">
        <v>0</v>
      </c>
      <c r="Q86" s="488">
        <v>0</v>
      </c>
    </row>
    <row r="87" spans="1:17" ht="19.5" customHeight="1" x14ac:dyDescent="0.25">
      <c r="A87" s="475">
        <v>73</v>
      </c>
      <c r="B87" s="476" t="s">
        <v>195</v>
      </c>
      <c r="C87" s="477" t="s">
        <v>842</v>
      </c>
      <c r="D87" s="478">
        <v>1</v>
      </c>
      <c r="E87" s="492">
        <v>6000</v>
      </c>
      <c r="F87" s="480">
        <v>6000</v>
      </c>
      <c r="G87" s="481"/>
      <c r="H87" s="482">
        <v>99</v>
      </c>
      <c r="I87" s="483">
        <v>594000</v>
      </c>
      <c r="J87" s="484">
        <v>99</v>
      </c>
      <c r="K87" s="485">
        <v>594000</v>
      </c>
      <c r="L87" s="490">
        <v>99</v>
      </c>
      <c r="M87" s="480">
        <v>594000</v>
      </c>
      <c r="N87" s="487">
        <v>0</v>
      </c>
      <c r="O87" s="480">
        <v>0</v>
      </c>
      <c r="P87" s="487">
        <v>0</v>
      </c>
      <c r="Q87" s="488">
        <v>0</v>
      </c>
    </row>
    <row r="88" spans="1:17" ht="27" customHeight="1" x14ac:dyDescent="0.25">
      <c r="A88" s="475">
        <v>74</v>
      </c>
      <c r="B88" s="476" t="s">
        <v>166</v>
      </c>
      <c r="C88" s="477" t="s">
        <v>904</v>
      </c>
      <c r="D88" s="478">
        <v>1</v>
      </c>
      <c r="E88" s="491">
        <v>71000</v>
      </c>
      <c r="F88" s="480">
        <v>71000</v>
      </c>
      <c r="G88" s="481"/>
      <c r="H88" s="482">
        <v>0</v>
      </c>
      <c r="I88" s="483">
        <v>0</v>
      </c>
      <c r="J88" s="484">
        <v>0</v>
      </c>
      <c r="K88" s="485">
        <v>0</v>
      </c>
      <c r="L88" s="495">
        <v>0</v>
      </c>
      <c r="M88" s="480">
        <v>0</v>
      </c>
      <c r="N88" s="487">
        <v>0</v>
      </c>
      <c r="O88" s="480">
        <v>0</v>
      </c>
      <c r="P88" s="487">
        <v>0</v>
      </c>
      <c r="Q88" s="488">
        <v>0</v>
      </c>
    </row>
    <row r="89" spans="1:17" x14ac:dyDescent="0.25">
      <c r="A89" s="496"/>
      <c r="B89" s="497" t="s">
        <v>905</v>
      </c>
      <c r="C89" s="498"/>
      <c r="D89" s="498"/>
      <c r="E89" s="498"/>
      <c r="F89" s="499"/>
      <c r="G89" s="500"/>
      <c r="H89" s="482">
        <v>0</v>
      </c>
      <c r="I89" s="501"/>
      <c r="J89" s="502"/>
      <c r="K89" s="503"/>
      <c r="L89" s="504">
        <v>0</v>
      </c>
      <c r="M89" s="499"/>
      <c r="N89" s="504"/>
      <c r="O89" s="499"/>
      <c r="P89" s="504"/>
      <c r="Q89" s="505"/>
    </row>
    <row r="90" spans="1:17" ht="28.5" x14ac:dyDescent="0.25">
      <c r="A90" s="506">
        <v>75</v>
      </c>
      <c r="B90" s="476" t="s">
        <v>906</v>
      </c>
      <c r="C90" s="477" t="s">
        <v>907</v>
      </c>
      <c r="D90" s="507">
        <v>0</v>
      </c>
      <c r="E90" s="508"/>
      <c r="F90" s="509"/>
      <c r="G90" s="510"/>
      <c r="H90" s="482">
        <v>0</v>
      </c>
      <c r="I90" s="511">
        <v>0</v>
      </c>
      <c r="J90" s="484">
        <v>0</v>
      </c>
      <c r="K90" s="485">
        <v>0</v>
      </c>
      <c r="L90" s="512">
        <v>0</v>
      </c>
      <c r="M90" s="480">
        <v>0</v>
      </c>
      <c r="N90" s="495">
        <v>0</v>
      </c>
      <c r="O90" s="480">
        <v>0</v>
      </c>
      <c r="P90" s="495">
        <v>0</v>
      </c>
      <c r="Q90" s="488">
        <v>0</v>
      </c>
    </row>
    <row r="91" spans="1:17" ht="42.75" x14ac:dyDescent="0.25">
      <c r="A91" s="506">
        <v>76</v>
      </c>
      <c r="B91" s="476" t="s">
        <v>908</v>
      </c>
      <c r="C91" s="477" t="s">
        <v>474</v>
      </c>
      <c r="D91" s="507">
        <v>0</v>
      </c>
      <c r="E91" s="508"/>
      <c r="F91" s="509"/>
      <c r="G91" s="510"/>
      <c r="H91" s="482">
        <v>4</v>
      </c>
      <c r="I91" s="511">
        <v>0</v>
      </c>
      <c r="J91" s="484">
        <v>4</v>
      </c>
      <c r="K91" s="485">
        <v>0</v>
      </c>
      <c r="L91" s="512">
        <v>4</v>
      </c>
      <c r="M91" s="480">
        <v>0</v>
      </c>
      <c r="N91" s="495">
        <v>0</v>
      </c>
      <c r="O91" s="480">
        <v>0</v>
      </c>
      <c r="P91" s="495">
        <v>0</v>
      </c>
      <c r="Q91" s="488">
        <v>0</v>
      </c>
    </row>
    <row r="92" spans="1:17" ht="28.5" x14ac:dyDescent="0.25">
      <c r="A92" s="506">
        <v>77</v>
      </c>
      <c r="B92" s="476" t="s">
        <v>909</v>
      </c>
      <c r="C92" s="477" t="s">
        <v>848</v>
      </c>
      <c r="D92" s="507">
        <v>0</v>
      </c>
      <c r="E92" s="508"/>
      <c r="F92" s="509"/>
      <c r="G92" s="510"/>
      <c r="H92" s="482"/>
      <c r="I92" s="511"/>
      <c r="J92" s="484">
        <v>0</v>
      </c>
      <c r="K92" s="485"/>
      <c r="L92" s="512">
        <v>1</v>
      </c>
      <c r="M92" s="480"/>
      <c r="N92" s="495"/>
      <c r="O92" s="480"/>
      <c r="P92" s="495"/>
      <c r="Q92" s="488"/>
    </row>
    <row r="93" spans="1:17" x14ac:dyDescent="0.25">
      <c r="A93" s="506">
        <v>78</v>
      </c>
      <c r="B93" s="476" t="s">
        <v>910</v>
      </c>
      <c r="C93" s="477" t="s">
        <v>14</v>
      </c>
      <c r="D93" s="507">
        <v>0</v>
      </c>
      <c r="E93" s="508"/>
      <c r="F93" s="509"/>
      <c r="G93" s="510"/>
      <c r="H93" s="482"/>
      <c r="I93" s="511"/>
      <c r="J93" s="484">
        <v>0</v>
      </c>
      <c r="K93" s="485"/>
      <c r="L93" s="512">
        <v>51</v>
      </c>
      <c r="M93" s="480"/>
      <c r="N93" s="495"/>
      <c r="O93" s="480"/>
      <c r="P93" s="495"/>
      <c r="Q93" s="488"/>
    </row>
    <row r="94" spans="1:17" ht="28.5" x14ac:dyDescent="0.25">
      <c r="A94" s="506">
        <v>79</v>
      </c>
      <c r="B94" s="476" t="s">
        <v>911</v>
      </c>
      <c r="C94" s="477" t="s">
        <v>912</v>
      </c>
      <c r="D94" s="507">
        <v>0</v>
      </c>
      <c r="E94" s="508"/>
      <c r="F94" s="509"/>
      <c r="G94" s="510"/>
      <c r="H94" s="482"/>
      <c r="I94" s="511"/>
      <c r="J94" s="484">
        <v>0</v>
      </c>
      <c r="K94" s="485"/>
      <c r="L94" s="512">
        <v>12</v>
      </c>
      <c r="M94" s="480"/>
      <c r="N94" s="495"/>
      <c r="O94" s="480"/>
      <c r="P94" s="495"/>
      <c r="Q94" s="488"/>
    </row>
    <row r="95" spans="1:17" x14ac:dyDescent="0.25">
      <c r="A95" s="506">
        <v>80</v>
      </c>
      <c r="B95" s="476" t="s">
        <v>913</v>
      </c>
      <c r="C95" s="477" t="s">
        <v>848</v>
      </c>
      <c r="D95" s="507">
        <v>0</v>
      </c>
      <c r="E95" s="508"/>
      <c r="F95" s="509"/>
      <c r="G95" s="510"/>
      <c r="H95" s="482">
        <v>1</v>
      </c>
      <c r="I95" s="511">
        <v>0</v>
      </c>
      <c r="J95" s="484">
        <v>1</v>
      </c>
      <c r="K95" s="485">
        <v>0</v>
      </c>
      <c r="L95" s="512">
        <v>1</v>
      </c>
      <c r="M95" s="480">
        <v>0</v>
      </c>
      <c r="N95" s="495">
        <v>0</v>
      </c>
      <c r="O95" s="480">
        <v>0</v>
      </c>
      <c r="P95" s="512"/>
      <c r="Q95" s="488">
        <v>0</v>
      </c>
    </row>
    <row r="96" spans="1:17" ht="15.75" thickBot="1" x14ac:dyDescent="0.3">
      <c r="A96" s="506">
        <v>81</v>
      </c>
      <c r="B96" s="476" t="s">
        <v>914</v>
      </c>
      <c r="C96" s="477" t="s">
        <v>912</v>
      </c>
      <c r="D96" s="513">
        <v>0</v>
      </c>
      <c r="E96" s="514"/>
      <c r="F96" s="515"/>
      <c r="G96" s="516"/>
      <c r="H96" s="517">
        <v>20</v>
      </c>
      <c r="I96" s="518">
        <v>0</v>
      </c>
      <c r="J96" s="519">
        <v>20</v>
      </c>
      <c r="K96" s="520">
        <v>0</v>
      </c>
      <c r="L96" s="521">
        <v>20</v>
      </c>
      <c r="M96" s="522">
        <v>0</v>
      </c>
      <c r="N96" s="523">
        <v>0</v>
      </c>
      <c r="O96" s="522">
        <v>0</v>
      </c>
      <c r="P96" s="523">
        <v>0</v>
      </c>
      <c r="Q96" s="524">
        <v>0</v>
      </c>
    </row>
    <row r="97" spans="1:17" x14ac:dyDescent="0.25">
      <c r="A97" s="525"/>
      <c r="B97" s="526"/>
      <c r="C97" s="1961" t="s">
        <v>915</v>
      </c>
      <c r="D97" s="1961"/>
      <c r="E97" s="1961"/>
      <c r="F97" s="1961"/>
      <c r="G97" s="527"/>
      <c r="H97" s="528"/>
      <c r="I97" s="529"/>
      <c r="J97" s="530"/>
      <c r="K97" s="531">
        <v>46962632</v>
      </c>
      <c r="L97" s="532"/>
      <c r="M97" s="533">
        <v>46962632</v>
      </c>
      <c r="N97" s="534"/>
      <c r="O97" s="535">
        <v>0</v>
      </c>
      <c r="P97" s="536"/>
      <c r="Q97" s="535">
        <v>0</v>
      </c>
    </row>
    <row r="98" spans="1:17" x14ac:dyDescent="0.25">
      <c r="A98" s="506"/>
      <c r="B98" s="537"/>
      <c r="C98" s="1962" t="s">
        <v>916</v>
      </c>
      <c r="D98" s="1962"/>
      <c r="E98" s="1962"/>
      <c r="F98" s="1962"/>
      <c r="G98" s="538"/>
      <c r="H98" s="539"/>
      <c r="I98" s="540"/>
      <c r="J98" s="541">
        <v>0.17</v>
      </c>
      <c r="K98" s="542">
        <v>7983647.4400000004</v>
      </c>
      <c r="L98" s="543">
        <v>0.17</v>
      </c>
      <c r="M98" s="544">
        <v>7983647.4400000004</v>
      </c>
      <c r="N98" s="543">
        <v>0.17</v>
      </c>
      <c r="O98" s="545">
        <v>0</v>
      </c>
      <c r="P98" s="543">
        <v>0.17</v>
      </c>
      <c r="Q98" s="545">
        <v>0</v>
      </c>
    </row>
    <row r="99" spans="1:17" x14ac:dyDescent="0.25">
      <c r="A99" s="506"/>
      <c r="B99" s="537"/>
      <c r="C99" s="1962" t="s">
        <v>198</v>
      </c>
      <c r="D99" s="1962"/>
      <c r="E99" s="1962"/>
      <c r="F99" s="1962"/>
      <c r="G99" s="538"/>
      <c r="H99" s="539"/>
      <c r="I99" s="540"/>
      <c r="J99" s="541">
        <v>0.03</v>
      </c>
      <c r="K99" s="542">
        <v>1408878.96</v>
      </c>
      <c r="L99" s="543">
        <v>0.03</v>
      </c>
      <c r="M99" s="544">
        <v>1408878.96</v>
      </c>
      <c r="N99" s="543">
        <v>0.03</v>
      </c>
      <c r="O99" s="545">
        <v>0</v>
      </c>
      <c r="P99" s="543">
        <v>0.03</v>
      </c>
      <c r="Q99" s="545">
        <v>0</v>
      </c>
    </row>
    <row r="100" spans="1:17" x14ac:dyDescent="0.25">
      <c r="A100" s="506"/>
      <c r="B100" s="537"/>
      <c r="C100" s="1962" t="s">
        <v>199</v>
      </c>
      <c r="D100" s="1962"/>
      <c r="E100" s="1962"/>
      <c r="F100" s="1962"/>
      <c r="G100" s="538"/>
      <c r="H100" s="539"/>
      <c r="I100" s="540"/>
      <c r="J100" s="541">
        <v>0.05</v>
      </c>
      <c r="K100" s="542">
        <v>2348131.6</v>
      </c>
      <c r="L100" s="543">
        <v>0.05</v>
      </c>
      <c r="M100" s="544">
        <v>2348131.6</v>
      </c>
      <c r="N100" s="543">
        <v>0.05</v>
      </c>
      <c r="O100" s="545">
        <v>0</v>
      </c>
      <c r="P100" s="543">
        <v>0.05</v>
      </c>
      <c r="Q100" s="545">
        <v>0</v>
      </c>
    </row>
    <row r="101" spans="1:17" x14ac:dyDescent="0.25">
      <c r="A101" s="506"/>
      <c r="B101" s="537"/>
      <c r="C101" s="1962" t="s">
        <v>917</v>
      </c>
      <c r="D101" s="1962"/>
      <c r="E101" s="1962"/>
      <c r="F101" s="1962"/>
      <c r="G101" s="538"/>
      <c r="H101" s="539"/>
      <c r="I101" s="540"/>
      <c r="J101" s="541">
        <v>0.19</v>
      </c>
      <c r="K101" s="542">
        <v>446145.00400000002</v>
      </c>
      <c r="L101" s="543">
        <v>0.19</v>
      </c>
      <c r="M101" s="544">
        <v>446145.00400000002</v>
      </c>
      <c r="N101" s="543">
        <v>0.19</v>
      </c>
      <c r="O101" s="545">
        <v>0</v>
      </c>
      <c r="P101" s="543">
        <v>0.19</v>
      </c>
      <c r="Q101" s="545">
        <v>0</v>
      </c>
    </row>
    <row r="102" spans="1:17" ht="15.75" thickBot="1" x14ac:dyDescent="0.3">
      <c r="A102" s="546"/>
      <c r="B102" s="547"/>
      <c r="C102" s="1963" t="s">
        <v>201</v>
      </c>
      <c r="D102" s="1963"/>
      <c r="E102" s="1963"/>
      <c r="F102" s="1963"/>
      <c r="G102" s="548"/>
      <c r="H102" s="549"/>
      <c r="I102" s="550"/>
      <c r="J102" s="551"/>
      <c r="K102" s="552">
        <v>59149435.004000001</v>
      </c>
      <c r="L102" s="553"/>
      <c r="M102" s="554">
        <v>59149435.004000001</v>
      </c>
      <c r="N102" s="553"/>
      <c r="O102" s="555">
        <v>0</v>
      </c>
      <c r="P102" s="553"/>
      <c r="Q102" s="555">
        <v>0</v>
      </c>
    </row>
    <row r="103" spans="1:17" ht="27.75" customHeight="1" thickBot="1" x14ac:dyDescent="0.3">
      <c r="A103" s="556"/>
      <c r="B103" s="557"/>
      <c r="C103" s="557"/>
      <c r="D103" s="557"/>
      <c r="E103" s="558"/>
      <c r="F103" s="559"/>
      <c r="G103" s="560"/>
      <c r="H103" s="561"/>
      <c r="I103" s="562"/>
      <c r="J103" s="563"/>
      <c r="K103" s="564"/>
      <c r="L103" s="565"/>
      <c r="M103" s="565"/>
      <c r="N103" s="565"/>
      <c r="O103" s="565"/>
      <c r="P103" s="565"/>
      <c r="Q103" s="566"/>
    </row>
    <row r="104" spans="1:17" ht="15.75" thickBot="1" x14ac:dyDescent="0.3">
      <c r="A104" s="431"/>
      <c r="B104" s="567"/>
      <c r="C104" s="567"/>
      <c r="D104" s="567"/>
      <c r="E104" s="567"/>
      <c r="F104" s="568"/>
      <c r="G104" s="567"/>
      <c r="H104" s="569"/>
      <c r="I104" s="570"/>
      <c r="J104" s="1964" t="s">
        <v>918</v>
      </c>
      <c r="K104" s="1965"/>
      <c r="L104" s="1965"/>
      <c r="M104" s="1966"/>
      <c r="N104" s="571"/>
      <c r="O104" s="572"/>
      <c r="P104" s="567"/>
      <c r="Q104" s="573"/>
    </row>
    <row r="105" spans="1:17" ht="16.5" x14ac:dyDescent="0.3">
      <c r="A105" s="574"/>
      <c r="B105" s="575"/>
      <c r="C105" s="567"/>
      <c r="D105" s="567"/>
      <c r="E105" s="567"/>
      <c r="F105" s="568"/>
      <c r="G105" s="567"/>
      <c r="H105" s="569"/>
      <c r="I105" s="570"/>
      <c r="J105" s="1967" t="s">
        <v>919</v>
      </c>
      <c r="K105" s="1968"/>
      <c r="L105" s="576">
        <v>116000000</v>
      </c>
      <c r="M105" s="577"/>
      <c r="N105" s="567"/>
      <c r="O105" s="568"/>
      <c r="P105" s="567"/>
      <c r="Q105" s="573"/>
    </row>
    <row r="106" spans="1:17" ht="16.5" x14ac:dyDescent="0.25">
      <c r="A106" s="578"/>
      <c r="B106" s="575"/>
      <c r="C106" s="567"/>
      <c r="D106" s="567"/>
      <c r="E106" s="567"/>
      <c r="F106" s="568"/>
      <c r="G106" s="567"/>
      <c r="H106" s="569"/>
      <c r="I106" s="570"/>
      <c r="J106" s="1957" t="s">
        <v>920</v>
      </c>
      <c r="K106" s="1958"/>
      <c r="L106" s="579">
        <v>0</v>
      </c>
      <c r="M106" s="580"/>
      <c r="N106" s="567"/>
      <c r="O106" s="568"/>
      <c r="P106" s="567"/>
      <c r="Q106" s="573"/>
    </row>
    <row r="107" spans="1:17" ht="16.5" x14ac:dyDescent="0.25">
      <c r="A107" s="578"/>
      <c r="B107" s="575"/>
      <c r="C107" s="567"/>
      <c r="D107" s="567"/>
      <c r="E107" s="567"/>
      <c r="F107" s="568"/>
      <c r="G107" s="567"/>
      <c r="H107" s="569"/>
      <c r="I107" s="570"/>
      <c r="J107" s="1972" t="s">
        <v>921</v>
      </c>
      <c r="K107" s="1973"/>
      <c r="L107" s="579"/>
      <c r="M107" s="581">
        <v>59149435.004000001</v>
      </c>
      <c r="N107" s="567"/>
      <c r="O107" s="568"/>
      <c r="P107" s="567"/>
      <c r="Q107" s="573"/>
    </row>
    <row r="108" spans="1:17" ht="16.5" x14ac:dyDescent="0.25">
      <c r="A108" s="578"/>
      <c r="B108" s="575"/>
      <c r="C108" s="567"/>
      <c r="D108" s="567"/>
      <c r="E108" s="567"/>
      <c r="F108" s="568"/>
      <c r="G108" s="567"/>
      <c r="H108" s="569"/>
      <c r="I108" s="570"/>
      <c r="J108" s="1972" t="s">
        <v>922</v>
      </c>
      <c r="K108" s="1973"/>
      <c r="L108" s="579"/>
      <c r="M108" s="580">
        <v>0</v>
      </c>
      <c r="N108" s="567"/>
      <c r="O108" s="568"/>
      <c r="P108" s="567"/>
      <c r="Q108" s="573"/>
    </row>
    <row r="109" spans="1:17" ht="16.5" x14ac:dyDescent="0.25">
      <c r="A109" s="578"/>
      <c r="B109" s="575"/>
      <c r="C109" s="567"/>
      <c r="D109" s="567"/>
      <c r="E109" s="567"/>
      <c r="F109" s="568"/>
      <c r="G109" s="567"/>
      <c r="H109" s="569"/>
      <c r="I109" s="570"/>
      <c r="J109" s="1972" t="s">
        <v>923</v>
      </c>
      <c r="K109" s="1973"/>
      <c r="L109" s="579"/>
      <c r="M109" s="580">
        <v>0</v>
      </c>
      <c r="N109" s="567"/>
      <c r="O109" s="568"/>
      <c r="P109" s="567"/>
      <c r="Q109" s="573"/>
    </row>
    <row r="110" spans="1:17" ht="16.5" x14ac:dyDescent="0.25">
      <c r="A110" s="578"/>
      <c r="B110" s="575"/>
      <c r="C110" s="567"/>
      <c r="D110" s="567"/>
      <c r="E110" s="567"/>
      <c r="F110" s="568"/>
      <c r="G110" s="567"/>
      <c r="H110" s="569"/>
      <c r="I110" s="570"/>
      <c r="J110" s="1972" t="s">
        <v>924</v>
      </c>
      <c r="K110" s="1973"/>
      <c r="L110" s="579"/>
      <c r="M110" s="581">
        <v>56850564.995999999</v>
      </c>
      <c r="N110" s="567"/>
      <c r="O110" s="568"/>
      <c r="P110" s="567"/>
      <c r="Q110" s="573"/>
    </row>
    <row r="111" spans="1:17" ht="17.25" thickBot="1" x14ac:dyDescent="0.3">
      <c r="A111" s="578"/>
      <c r="B111" s="575"/>
      <c r="C111" s="582"/>
      <c r="D111" s="582"/>
      <c r="E111" s="582"/>
      <c r="F111" s="568"/>
      <c r="G111" s="567"/>
      <c r="H111" s="569"/>
      <c r="I111" s="570"/>
      <c r="J111" s="1974" t="s">
        <v>925</v>
      </c>
      <c r="K111" s="1975"/>
      <c r="L111" s="583">
        <v>116000000</v>
      </c>
      <c r="M111" s="584">
        <v>116000000</v>
      </c>
      <c r="N111" s="572"/>
      <c r="O111" s="568"/>
      <c r="P111" s="567"/>
      <c r="Q111" s="573"/>
    </row>
    <row r="112" spans="1:17" ht="16.5" x14ac:dyDescent="0.25">
      <c r="A112" s="578"/>
      <c r="B112" s="575"/>
      <c r="C112" s="582"/>
      <c r="D112" s="582"/>
      <c r="E112" s="582"/>
      <c r="F112" s="585"/>
      <c r="G112" s="586"/>
      <c r="H112" s="569"/>
      <c r="I112" s="570"/>
      <c r="J112" s="567"/>
      <c r="K112" s="568"/>
      <c r="L112" s="567"/>
      <c r="M112" s="587"/>
      <c r="N112" s="567"/>
      <c r="O112" s="568"/>
      <c r="P112" s="567"/>
      <c r="Q112" s="573"/>
    </row>
    <row r="113" spans="1:17" x14ac:dyDescent="0.25">
      <c r="A113" s="431"/>
      <c r="B113" s="567"/>
      <c r="C113" s="567"/>
      <c r="D113" s="567"/>
      <c r="E113" s="567"/>
      <c r="F113" s="568"/>
      <c r="G113" s="567"/>
      <c r="H113" s="570"/>
      <c r="I113" s="570"/>
      <c r="J113" s="567"/>
      <c r="K113" s="568"/>
      <c r="L113" s="588"/>
      <c r="M113" s="587"/>
      <c r="N113" s="572"/>
      <c r="O113" s="568"/>
      <c r="P113" s="567"/>
      <c r="Q113" s="573"/>
    </row>
    <row r="114" spans="1:17" x14ac:dyDescent="0.25">
      <c r="A114" s="431"/>
      <c r="B114" s="567"/>
      <c r="C114" s="567"/>
      <c r="D114" s="567"/>
      <c r="E114" s="567"/>
      <c r="F114" s="568"/>
      <c r="G114" s="567"/>
      <c r="H114" s="570"/>
      <c r="I114" s="570"/>
      <c r="J114" s="567"/>
      <c r="K114" s="568"/>
      <c r="L114" s="567"/>
      <c r="M114" s="587"/>
      <c r="N114" s="567"/>
      <c r="O114" s="568"/>
      <c r="P114" s="567"/>
      <c r="Q114" s="573"/>
    </row>
    <row r="115" spans="1:17" x14ac:dyDescent="0.25">
      <c r="A115" s="431"/>
      <c r="B115" s="567"/>
      <c r="C115" s="567"/>
      <c r="D115" s="567"/>
      <c r="E115" s="567"/>
      <c r="F115" s="568"/>
      <c r="G115" s="567"/>
      <c r="H115" s="570"/>
      <c r="I115" s="570"/>
      <c r="J115" s="567"/>
      <c r="K115" s="568"/>
      <c r="L115" s="567"/>
      <c r="M115" s="587"/>
      <c r="N115" s="567"/>
      <c r="O115" s="568"/>
      <c r="P115" s="567"/>
      <c r="Q115" s="573"/>
    </row>
    <row r="116" spans="1:17" x14ac:dyDescent="0.25">
      <c r="A116" s="431"/>
      <c r="B116" s="567"/>
      <c r="C116" s="567"/>
      <c r="D116" s="567"/>
      <c r="E116" s="567"/>
      <c r="F116" s="568"/>
      <c r="G116" s="567"/>
      <c r="H116" s="570"/>
      <c r="I116" s="570"/>
      <c r="J116" s="567"/>
      <c r="K116" s="568"/>
      <c r="L116" s="567"/>
      <c r="M116" s="587"/>
      <c r="N116" s="567"/>
      <c r="O116" s="568"/>
      <c r="P116" s="567"/>
      <c r="Q116" s="573"/>
    </row>
    <row r="117" spans="1:17" x14ac:dyDescent="0.25">
      <c r="A117" s="431"/>
      <c r="B117" s="567"/>
      <c r="C117" s="567"/>
      <c r="D117" s="567"/>
      <c r="E117" s="567"/>
      <c r="F117" s="568"/>
      <c r="G117" s="567"/>
      <c r="H117" s="569"/>
      <c r="I117" s="570"/>
      <c r="J117" s="567"/>
      <c r="K117" s="568"/>
      <c r="L117" s="567"/>
      <c r="M117" s="587"/>
      <c r="N117" s="567"/>
      <c r="O117" s="568"/>
      <c r="P117" s="567"/>
      <c r="Q117" s="573"/>
    </row>
    <row r="118" spans="1:17" x14ac:dyDescent="0.25">
      <c r="A118" s="589"/>
      <c r="B118" s="590"/>
      <c r="C118" s="590"/>
      <c r="D118" s="590"/>
      <c r="E118" s="590"/>
      <c r="F118" s="591"/>
      <c r="G118" s="590"/>
      <c r="H118" s="592"/>
      <c r="I118" s="593"/>
      <c r="J118" s="590"/>
      <c r="K118" s="591"/>
      <c r="L118" s="590"/>
      <c r="M118" s="594"/>
      <c r="N118" s="567"/>
      <c r="O118" s="568"/>
      <c r="P118" s="567"/>
      <c r="Q118" s="573"/>
    </row>
    <row r="119" spans="1:17" ht="15.75" thickBot="1" x14ac:dyDescent="0.3">
      <c r="A119" s="589"/>
      <c r="B119" s="595"/>
      <c r="C119" s="590"/>
      <c r="D119" s="1976"/>
      <c r="E119" s="1976"/>
      <c r="F119" s="1976"/>
      <c r="G119" s="1976"/>
      <c r="H119" s="1976"/>
      <c r="I119" s="1976"/>
      <c r="J119" s="1976"/>
      <c r="K119" s="596"/>
      <c r="L119" s="597"/>
      <c r="M119" s="598"/>
      <c r="N119" s="599"/>
      <c r="O119" s="600"/>
      <c r="P119" s="601"/>
      <c r="Q119" s="573"/>
    </row>
    <row r="120" spans="1:17" x14ac:dyDescent="0.25">
      <c r="A120" s="602"/>
      <c r="B120" s="603" t="s">
        <v>926</v>
      </c>
      <c r="C120" s="604"/>
      <c r="D120" s="1969" t="s">
        <v>927</v>
      </c>
      <c r="E120" s="1969"/>
      <c r="F120" s="1969"/>
      <c r="G120" s="1969"/>
      <c r="H120" s="1969"/>
      <c r="I120" s="1969"/>
      <c r="J120" s="1969"/>
      <c r="K120" s="605"/>
      <c r="L120" s="606" t="s">
        <v>928</v>
      </c>
      <c r="M120" s="607"/>
      <c r="N120" s="606"/>
      <c r="O120" s="606" t="s">
        <v>929</v>
      </c>
      <c r="P120" s="606"/>
      <c r="Q120" s="608"/>
    </row>
    <row r="121" spans="1:17" x14ac:dyDescent="0.25">
      <c r="A121" s="589"/>
      <c r="B121" s="603" t="s">
        <v>930</v>
      </c>
      <c r="C121" s="590"/>
      <c r="D121" s="1970" t="s">
        <v>931</v>
      </c>
      <c r="E121" s="1970"/>
      <c r="F121" s="1970"/>
      <c r="G121" s="1970"/>
      <c r="H121" s="1970"/>
      <c r="I121" s="1970"/>
      <c r="J121" s="1970"/>
      <c r="K121" s="609"/>
      <c r="L121" s="609" t="s">
        <v>932</v>
      </c>
      <c r="M121" s="594"/>
      <c r="N121" s="609"/>
      <c r="O121" s="609" t="s">
        <v>933</v>
      </c>
      <c r="P121" s="609"/>
      <c r="Q121" s="573"/>
    </row>
    <row r="122" spans="1:17" ht="15.75" thickBot="1" x14ac:dyDescent="0.3">
      <c r="A122" s="610"/>
      <c r="B122" s="611" t="s">
        <v>934</v>
      </c>
      <c r="C122" s="612"/>
      <c r="D122" s="1971" t="s">
        <v>935</v>
      </c>
      <c r="E122" s="1971"/>
      <c r="F122" s="1971"/>
      <c r="G122" s="1971"/>
      <c r="H122" s="1971"/>
      <c r="I122" s="1971"/>
      <c r="J122" s="1971"/>
      <c r="K122" s="613"/>
      <c r="L122" s="614"/>
      <c r="M122" s="615"/>
      <c r="N122" s="601"/>
      <c r="O122" s="616"/>
      <c r="P122" s="601"/>
      <c r="Q122" s="617"/>
    </row>
    <row r="126" spans="1:17" ht="13.5" customHeight="1" x14ac:dyDescent="0.25"/>
  </sheetData>
  <mergeCells count="38">
    <mergeCell ref="D120:J120"/>
    <mergeCell ref="D121:J121"/>
    <mergeCell ref="D122:J122"/>
    <mergeCell ref="J107:K107"/>
    <mergeCell ref="J108:K108"/>
    <mergeCell ref="J109:K109"/>
    <mergeCell ref="J110:K110"/>
    <mergeCell ref="J111:K111"/>
    <mergeCell ref="D119:J119"/>
    <mergeCell ref="J106:K106"/>
    <mergeCell ref="N12:O12"/>
    <mergeCell ref="P12:Q12"/>
    <mergeCell ref="G13:H13"/>
    <mergeCell ref="C97:F97"/>
    <mergeCell ref="C98:F98"/>
    <mergeCell ref="C99:F99"/>
    <mergeCell ref="C100:F100"/>
    <mergeCell ref="C101:F101"/>
    <mergeCell ref="C102:F102"/>
    <mergeCell ref="J104:M104"/>
    <mergeCell ref="J105:K105"/>
    <mergeCell ref="A11:B11"/>
    <mergeCell ref="C11:D11"/>
    <mergeCell ref="L11:M11"/>
    <mergeCell ref="A12:F12"/>
    <mergeCell ref="G12:I12"/>
    <mergeCell ref="J12:K12"/>
    <mergeCell ref="L12:M12"/>
    <mergeCell ref="A1:Q4"/>
    <mergeCell ref="A5:F6"/>
    <mergeCell ref="J5:Q5"/>
    <mergeCell ref="J6:Q7"/>
    <mergeCell ref="C7:F10"/>
    <mergeCell ref="A8:B8"/>
    <mergeCell ref="L8:M8"/>
    <mergeCell ref="L9:M9"/>
    <mergeCell ref="A10:B10"/>
    <mergeCell ref="L10:M1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9"/>
  <dimension ref="A2:HW202"/>
  <sheetViews>
    <sheetView topLeftCell="A26" zoomScale="70" zoomScaleNormal="70" workbookViewId="0">
      <selection activeCell="B40" sqref="B40"/>
    </sheetView>
  </sheetViews>
  <sheetFormatPr baseColWidth="10" defaultColWidth="25" defaultRowHeight="15" x14ac:dyDescent="0.25"/>
  <cols>
    <col min="1" max="1" width="7.85546875" style="618" customWidth="1"/>
    <col min="2" max="2" width="12.42578125" style="619" customWidth="1"/>
    <col min="3" max="3" width="76.7109375" style="619" customWidth="1"/>
    <col min="4" max="4" width="8.7109375" style="619" customWidth="1"/>
    <col min="5" max="5" width="11.140625" style="619" customWidth="1"/>
    <col min="6" max="6" width="18.28515625" style="620" customWidth="1"/>
    <col min="7" max="7" width="23.140625" style="620" customWidth="1"/>
    <col min="8" max="8" width="15.42578125" style="619" customWidth="1"/>
    <col min="9" max="9" width="13.42578125" style="619" customWidth="1"/>
    <col min="10" max="10" width="13.7109375" style="619" customWidth="1"/>
    <col min="11" max="11" width="24.140625" style="620" customWidth="1"/>
    <col min="12" max="12" width="18.42578125" style="620" customWidth="1"/>
    <col min="13" max="13" width="17.7109375" style="620" customWidth="1"/>
    <col min="14" max="14" width="20.140625" style="619" customWidth="1"/>
    <col min="15" max="15" width="18.42578125" style="621" customWidth="1"/>
    <col min="16" max="256" width="25" style="619"/>
    <col min="257" max="257" width="7.85546875" style="619" customWidth="1"/>
    <col min="258" max="258" width="12.42578125" style="619" customWidth="1"/>
    <col min="259" max="259" width="76.7109375" style="619" customWidth="1"/>
    <col min="260" max="260" width="8.7109375" style="619" customWidth="1"/>
    <col min="261" max="261" width="11.140625" style="619" customWidth="1"/>
    <col min="262" max="262" width="18.28515625" style="619" customWidth="1"/>
    <col min="263" max="263" width="23.140625" style="619" customWidth="1"/>
    <col min="264" max="264" width="15.42578125" style="619" customWidth="1"/>
    <col min="265" max="265" width="13.42578125" style="619" customWidth="1"/>
    <col min="266" max="266" width="13.7109375" style="619" customWidth="1"/>
    <col min="267" max="267" width="24.140625" style="619" customWidth="1"/>
    <col min="268" max="268" width="18.42578125" style="619" customWidth="1"/>
    <col min="269" max="269" width="17.7109375" style="619" customWidth="1"/>
    <col min="270" max="270" width="20.140625" style="619" customWidth="1"/>
    <col min="271" max="271" width="18.42578125" style="619" customWidth="1"/>
    <col min="272" max="512" width="25" style="619"/>
    <col min="513" max="513" width="7.85546875" style="619" customWidth="1"/>
    <col min="514" max="514" width="12.42578125" style="619" customWidth="1"/>
    <col min="515" max="515" width="76.7109375" style="619" customWidth="1"/>
    <col min="516" max="516" width="8.7109375" style="619" customWidth="1"/>
    <col min="517" max="517" width="11.140625" style="619" customWidth="1"/>
    <col min="518" max="518" width="18.28515625" style="619" customWidth="1"/>
    <col min="519" max="519" width="23.140625" style="619" customWidth="1"/>
    <col min="520" max="520" width="15.42578125" style="619" customWidth="1"/>
    <col min="521" max="521" width="13.42578125" style="619" customWidth="1"/>
    <col min="522" max="522" width="13.7109375" style="619" customWidth="1"/>
    <col min="523" max="523" width="24.140625" style="619" customWidth="1"/>
    <col min="524" max="524" width="18.42578125" style="619" customWidth="1"/>
    <col min="525" max="525" width="17.7109375" style="619" customWidth="1"/>
    <col min="526" max="526" width="20.140625" style="619" customWidth="1"/>
    <col min="527" max="527" width="18.42578125" style="619" customWidth="1"/>
    <col min="528" max="768" width="25" style="619"/>
    <col min="769" max="769" width="7.85546875" style="619" customWidth="1"/>
    <col min="770" max="770" width="12.42578125" style="619" customWidth="1"/>
    <col min="771" max="771" width="76.7109375" style="619" customWidth="1"/>
    <col min="772" max="772" width="8.7109375" style="619" customWidth="1"/>
    <col min="773" max="773" width="11.140625" style="619" customWidth="1"/>
    <col min="774" max="774" width="18.28515625" style="619" customWidth="1"/>
    <col min="775" max="775" width="23.140625" style="619" customWidth="1"/>
    <col min="776" max="776" width="15.42578125" style="619" customWidth="1"/>
    <col min="777" max="777" width="13.42578125" style="619" customWidth="1"/>
    <col min="778" max="778" width="13.7109375" style="619" customWidth="1"/>
    <col min="779" max="779" width="24.140625" style="619" customWidth="1"/>
    <col min="780" max="780" width="18.42578125" style="619" customWidth="1"/>
    <col min="781" max="781" width="17.7109375" style="619" customWidth="1"/>
    <col min="782" max="782" width="20.140625" style="619" customWidth="1"/>
    <col min="783" max="783" width="18.42578125" style="619" customWidth="1"/>
    <col min="784" max="1024" width="25" style="619"/>
    <col min="1025" max="1025" width="7.85546875" style="619" customWidth="1"/>
    <col min="1026" max="1026" width="12.42578125" style="619" customWidth="1"/>
    <col min="1027" max="1027" width="76.7109375" style="619" customWidth="1"/>
    <col min="1028" max="1028" width="8.7109375" style="619" customWidth="1"/>
    <col min="1029" max="1029" width="11.140625" style="619" customWidth="1"/>
    <col min="1030" max="1030" width="18.28515625" style="619" customWidth="1"/>
    <col min="1031" max="1031" width="23.140625" style="619" customWidth="1"/>
    <col min="1032" max="1032" width="15.42578125" style="619" customWidth="1"/>
    <col min="1033" max="1033" width="13.42578125" style="619" customWidth="1"/>
    <col min="1034" max="1034" width="13.7109375" style="619" customWidth="1"/>
    <col min="1035" max="1035" width="24.140625" style="619" customWidth="1"/>
    <col min="1036" max="1036" width="18.42578125" style="619" customWidth="1"/>
    <col min="1037" max="1037" width="17.7109375" style="619" customWidth="1"/>
    <col min="1038" max="1038" width="20.140625" style="619" customWidth="1"/>
    <col min="1039" max="1039" width="18.42578125" style="619" customWidth="1"/>
    <col min="1040" max="1280" width="25" style="619"/>
    <col min="1281" max="1281" width="7.85546875" style="619" customWidth="1"/>
    <col min="1282" max="1282" width="12.42578125" style="619" customWidth="1"/>
    <col min="1283" max="1283" width="76.7109375" style="619" customWidth="1"/>
    <col min="1284" max="1284" width="8.7109375" style="619" customWidth="1"/>
    <col min="1285" max="1285" width="11.140625" style="619" customWidth="1"/>
    <col min="1286" max="1286" width="18.28515625" style="619" customWidth="1"/>
    <col min="1287" max="1287" width="23.140625" style="619" customWidth="1"/>
    <col min="1288" max="1288" width="15.42578125" style="619" customWidth="1"/>
    <col min="1289" max="1289" width="13.42578125" style="619" customWidth="1"/>
    <col min="1290" max="1290" width="13.7109375" style="619" customWidth="1"/>
    <col min="1291" max="1291" width="24.140625" style="619" customWidth="1"/>
    <col min="1292" max="1292" width="18.42578125" style="619" customWidth="1"/>
    <col min="1293" max="1293" width="17.7109375" style="619" customWidth="1"/>
    <col min="1294" max="1294" width="20.140625" style="619" customWidth="1"/>
    <col min="1295" max="1295" width="18.42578125" style="619" customWidth="1"/>
    <col min="1296" max="1536" width="25" style="619"/>
    <col min="1537" max="1537" width="7.85546875" style="619" customWidth="1"/>
    <col min="1538" max="1538" width="12.42578125" style="619" customWidth="1"/>
    <col min="1539" max="1539" width="76.7109375" style="619" customWidth="1"/>
    <col min="1540" max="1540" width="8.7109375" style="619" customWidth="1"/>
    <col min="1541" max="1541" width="11.140625" style="619" customWidth="1"/>
    <col min="1542" max="1542" width="18.28515625" style="619" customWidth="1"/>
    <col min="1543" max="1543" width="23.140625" style="619" customWidth="1"/>
    <col min="1544" max="1544" width="15.42578125" style="619" customWidth="1"/>
    <col min="1545" max="1545" width="13.42578125" style="619" customWidth="1"/>
    <col min="1546" max="1546" width="13.7109375" style="619" customWidth="1"/>
    <col min="1547" max="1547" width="24.140625" style="619" customWidth="1"/>
    <col min="1548" max="1548" width="18.42578125" style="619" customWidth="1"/>
    <col min="1549" max="1549" width="17.7109375" style="619" customWidth="1"/>
    <col min="1550" max="1550" width="20.140625" style="619" customWidth="1"/>
    <col min="1551" max="1551" width="18.42578125" style="619" customWidth="1"/>
    <col min="1552" max="1792" width="25" style="619"/>
    <col min="1793" max="1793" width="7.85546875" style="619" customWidth="1"/>
    <col min="1794" max="1794" width="12.42578125" style="619" customWidth="1"/>
    <col min="1795" max="1795" width="76.7109375" style="619" customWidth="1"/>
    <col min="1796" max="1796" width="8.7109375" style="619" customWidth="1"/>
    <col min="1797" max="1797" width="11.140625" style="619" customWidth="1"/>
    <col min="1798" max="1798" width="18.28515625" style="619" customWidth="1"/>
    <col min="1799" max="1799" width="23.140625" style="619" customWidth="1"/>
    <col min="1800" max="1800" width="15.42578125" style="619" customWidth="1"/>
    <col min="1801" max="1801" width="13.42578125" style="619" customWidth="1"/>
    <col min="1802" max="1802" width="13.7109375" style="619" customWidth="1"/>
    <col min="1803" max="1803" width="24.140625" style="619" customWidth="1"/>
    <col min="1804" max="1804" width="18.42578125" style="619" customWidth="1"/>
    <col min="1805" max="1805" width="17.7109375" style="619" customWidth="1"/>
    <col min="1806" max="1806" width="20.140625" style="619" customWidth="1"/>
    <col min="1807" max="1807" width="18.42578125" style="619" customWidth="1"/>
    <col min="1808" max="2048" width="25" style="619"/>
    <col min="2049" max="2049" width="7.85546875" style="619" customWidth="1"/>
    <col min="2050" max="2050" width="12.42578125" style="619" customWidth="1"/>
    <col min="2051" max="2051" width="76.7109375" style="619" customWidth="1"/>
    <col min="2052" max="2052" width="8.7109375" style="619" customWidth="1"/>
    <col min="2053" max="2053" width="11.140625" style="619" customWidth="1"/>
    <col min="2054" max="2054" width="18.28515625" style="619" customWidth="1"/>
    <col min="2055" max="2055" width="23.140625" style="619" customWidth="1"/>
    <col min="2056" max="2056" width="15.42578125" style="619" customWidth="1"/>
    <col min="2057" max="2057" width="13.42578125" style="619" customWidth="1"/>
    <col min="2058" max="2058" width="13.7109375" style="619" customWidth="1"/>
    <col min="2059" max="2059" width="24.140625" style="619" customWidth="1"/>
    <col min="2060" max="2060" width="18.42578125" style="619" customWidth="1"/>
    <col min="2061" max="2061" width="17.7109375" style="619" customWidth="1"/>
    <col min="2062" max="2062" width="20.140625" style="619" customWidth="1"/>
    <col min="2063" max="2063" width="18.42578125" style="619" customWidth="1"/>
    <col min="2064" max="2304" width="25" style="619"/>
    <col min="2305" max="2305" width="7.85546875" style="619" customWidth="1"/>
    <col min="2306" max="2306" width="12.42578125" style="619" customWidth="1"/>
    <col min="2307" max="2307" width="76.7109375" style="619" customWidth="1"/>
    <col min="2308" max="2308" width="8.7109375" style="619" customWidth="1"/>
    <col min="2309" max="2309" width="11.140625" style="619" customWidth="1"/>
    <col min="2310" max="2310" width="18.28515625" style="619" customWidth="1"/>
    <col min="2311" max="2311" width="23.140625" style="619" customWidth="1"/>
    <col min="2312" max="2312" width="15.42578125" style="619" customWidth="1"/>
    <col min="2313" max="2313" width="13.42578125" style="619" customWidth="1"/>
    <col min="2314" max="2314" width="13.7109375" style="619" customWidth="1"/>
    <col min="2315" max="2315" width="24.140625" style="619" customWidth="1"/>
    <col min="2316" max="2316" width="18.42578125" style="619" customWidth="1"/>
    <col min="2317" max="2317" width="17.7109375" style="619" customWidth="1"/>
    <col min="2318" max="2318" width="20.140625" style="619" customWidth="1"/>
    <col min="2319" max="2319" width="18.42578125" style="619" customWidth="1"/>
    <col min="2320" max="2560" width="25" style="619"/>
    <col min="2561" max="2561" width="7.85546875" style="619" customWidth="1"/>
    <col min="2562" max="2562" width="12.42578125" style="619" customWidth="1"/>
    <col min="2563" max="2563" width="76.7109375" style="619" customWidth="1"/>
    <col min="2564" max="2564" width="8.7109375" style="619" customWidth="1"/>
    <col min="2565" max="2565" width="11.140625" style="619" customWidth="1"/>
    <col min="2566" max="2566" width="18.28515625" style="619" customWidth="1"/>
    <col min="2567" max="2567" width="23.140625" style="619" customWidth="1"/>
    <col min="2568" max="2568" width="15.42578125" style="619" customWidth="1"/>
    <col min="2569" max="2569" width="13.42578125" style="619" customWidth="1"/>
    <col min="2570" max="2570" width="13.7109375" style="619" customWidth="1"/>
    <col min="2571" max="2571" width="24.140625" style="619" customWidth="1"/>
    <col min="2572" max="2572" width="18.42578125" style="619" customWidth="1"/>
    <col min="2573" max="2573" width="17.7109375" style="619" customWidth="1"/>
    <col min="2574" max="2574" width="20.140625" style="619" customWidth="1"/>
    <col min="2575" max="2575" width="18.42578125" style="619" customWidth="1"/>
    <col min="2576" max="2816" width="25" style="619"/>
    <col min="2817" max="2817" width="7.85546875" style="619" customWidth="1"/>
    <col min="2818" max="2818" width="12.42578125" style="619" customWidth="1"/>
    <col min="2819" max="2819" width="76.7109375" style="619" customWidth="1"/>
    <col min="2820" max="2820" width="8.7109375" style="619" customWidth="1"/>
    <col min="2821" max="2821" width="11.140625" style="619" customWidth="1"/>
    <col min="2822" max="2822" width="18.28515625" style="619" customWidth="1"/>
    <col min="2823" max="2823" width="23.140625" style="619" customWidth="1"/>
    <col min="2824" max="2824" width="15.42578125" style="619" customWidth="1"/>
    <col min="2825" max="2825" width="13.42578125" style="619" customWidth="1"/>
    <col min="2826" max="2826" width="13.7109375" style="619" customWidth="1"/>
    <col min="2827" max="2827" width="24.140625" style="619" customWidth="1"/>
    <col min="2828" max="2828" width="18.42578125" style="619" customWidth="1"/>
    <col min="2829" max="2829" width="17.7109375" style="619" customWidth="1"/>
    <col min="2830" max="2830" width="20.140625" style="619" customWidth="1"/>
    <col min="2831" max="2831" width="18.42578125" style="619" customWidth="1"/>
    <col min="2832" max="3072" width="25" style="619"/>
    <col min="3073" max="3073" width="7.85546875" style="619" customWidth="1"/>
    <col min="3074" max="3074" width="12.42578125" style="619" customWidth="1"/>
    <col min="3075" max="3075" width="76.7109375" style="619" customWidth="1"/>
    <col min="3076" max="3076" width="8.7109375" style="619" customWidth="1"/>
    <col min="3077" max="3077" width="11.140625" style="619" customWidth="1"/>
    <col min="3078" max="3078" width="18.28515625" style="619" customWidth="1"/>
    <col min="3079" max="3079" width="23.140625" style="619" customWidth="1"/>
    <col min="3080" max="3080" width="15.42578125" style="619" customWidth="1"/>
    <col min="3081" max="3081" width="13.42578125" style="619" customWidth="1"/>
    <col min="3082" max="3082" width="13.7109375" style="619" customWidth="1"/>
    <col min="3083" max="3083" width="24.140625" style="619" customWidth="1"/>
    <col min="3084" max="3084" width="18.42578125" style="619" customWidth="1"/>
    <col min="3085" max="3085" width="17.7109375" style="619" customWidth="1"/>
    <col min="3086" max="3086" width="20.140625" style="619" customWidth="1"/>
    <col min="3087" max="3087" width="18.42578125" style="619" customWidth="1"/>
    <col min="3088" max="3328" width="25" style="619"/>
    <col min="3329" max="3329" width="7.85546875" style="619" customWidth="1"/>
    <col min="3330" max="3330" width="12.42578125" style="619" customWidth="1"/>
    <col min="3331" max="3331" width="76.7109375" style="619" customWidth="1"/>
    <col min="3332" max="3332" width="8.7109375" style="619" customWidth="1"/>
    <col min="3333" max="3333" width="11.140625" style="619" customWidth="1"/>
    <col min="3334" max="3334" width="18.28515625" style="619" customWidth="1"/>
    <col min="3335" max="3335" width="23.140625" style="619" customWidth="1"/>
    <col min="3336" max="3336" width="15.42578125" style="619" customWidth="1"/>
    <col min="3337" max="3337" width="13.42578125" style="619" customWidth="1"/>
    <col min="3338" max="3338" width="13.7109375" style="619" customWidth="1"/>
    <col min="3339" max="3339" width="24.140625" style="619" customWidth="1"/>
    <col min="3340" max="3340" width="18.42578125" style="619" customWidth="1"/>
    <col min="3341" max="3341" width="17.7109375" style="619" customWidth="1"/>
    <col min="3342" max="3342" width="20.140625" style="619" customWidth="1"/>
    <col min="3343" max="3343" width="18.42578125" style="619" customWidth="1"/>
    <col min="3344" max="3584" width="25" style="619"/>
    <col min="3585" max="3585" width="7.85546875" style="619" customWidth="1"/>
    <col min="3586" max="3586" width="12.42578125" style="619" customWidth="1"/>
    <col min="3587" max="3587" width="76.7109375" style="619" customWidth="1"/>
    <col min="3588" max="3588" width="8.7109375" style="619" customWidth="1"/>
    <col min="3589" max="3589" width="11.140625" style="619" customWidth="1"/>
    <col min="3590" max="3590" width="18.28515625" style="619" customWidth="1"/>
    <col min="3591" max="3591" width="23.140625" style="619" customWidth="1"/>
    <col min="3592" max="3592" width="15.42578125" style="619" customWidth="1"/>
    <col min="3593" max="3593" width="13.42578125" style="619" customWidth="1"/>
    <col min="3594" max="3594" width="13.7109375" style="619" customWidth="1"/>
    <col min="3595" max="3595" width="24.140625" style="619" customWidth="1"/>
    <col min="3596" max="3596" width="18.42578125" style="619" customWidth="1"/>
    <col min="3597" max="3597" width="17.7109375" style="619" customWidth="1"/>
    <col min="3598" max="3598" width="20.140625" style="619" customWidth="1"/>
    <col min="3599" max="3599" width="18.42578125" style="619" customWidth="1"/>
    <col min="3600" max="3840" width="25" style="619"/>
    <col min="3841" max="3841" width="7.85546875" style="619" customWidth="1"/>
    <col min="3842" max="3842" width="12.42578125" style="619" customWidth="1"/>
    <col min="3843" max="3843" width="76.7109375" style="619" customWidth="1"/>
    <col min="3844" max="3844" width="8.7109375" style="619" customWidth="1"/>
    <col min="3845" max="3845" width="11.140625" style="619" customWidth="1"/>
    <col min="3846" max="3846" width="18.28515625" style="619" customWidth="1"/>
    <col min="3847" max="3847" width="23.140625" style="619" customWidth="1"/>
    <col min="3848" max="3848" width="15.42578125" style="619" customWidth="1"/>
    <col min="3849" max="3849" width="13.42578125" style="619" customWidth="1"/>
    <col min="3850" max="3850" width="13.7109375" style="619" customWidth="1"/>
    <col min="3851" max="3851" width="24.140625" style="619" customWidth="1"/>
    <col min="3852" max="3852" width="18.42578125" style="619" customWidth="1"/>
    <col min="3853" max="3853" width="17.7109375" style="619" customWidth="1"/>
    <col min="3854" max="3854" width="20.140625" style="619" customWidth="1"/>
    <col min="3855" max="3855" width="18.42578125" style="619" customWidth="1"/>
    <col min="3856" max="4096" width="25" style="619"/>
    <col min="4097" max="4097" width="7.85546875" style="619" customWidth="1"/>
    <col min="4098" max="4098" width="12.42578125" style="619" customWidth="1"/>
    <col min="4099" max="4099" width="76.7109375" style="619" customWidth="1"/>
    <col min="4100" max="4100" width="8.7109375" style="619" customWidth="1"/>
    <col min="4101" max="4101" width="11.140625" style="619" customWidth="1"/>
    <col min="4102" max="4102" width="18.28515625" style="619" customWidth="1"/>
    <col min="4103" max="4103" width="23.140625" style="619" customWidth="1"/>
    <col min="4104" max="4104" width="15.42578125" style="619" customWidth="1"/>
    <col min="4105" max="4105" width="13.42578125" style="619" customWidth="1"/>
    <col min="4106" max="4106" width="13.7109375" style="619" customWidth="1"/>
    <col min="4107" max="4107" width="24.140625" style="619" customWidth="1"/>
    <col min="4108" max="4108" width="18.42578125" style="619" customWidth="1"/>
    <col min="4109" max="4109" width="17.7109375" style="619" customWidth="1"/>
    <col min="4110" max="4110" width="20.140625" style="619" customWidth="1"/>
    <col min="4111" max="4111" width="18.42578125" style="619" customWidth="1"/>
    <col min="4112" max="4352" width="25" style="619"/>
    <col min="4353" max="4353" width="7.85546875" style="619" customWidth="1"/>
    <col min="4354" max="4354" width="12.42578125" style="619" customWidth="1"/>
    <col min="4355" max="4355" width="76.7109375" style="619" customWidth="1"/>
    <col min="4356" max="4356" width="8.7109375" style="619" customWidth="1"/>
    <col min="4357" max="4357" width="11.140625" style="619" customWidth="1"/>
    <col min="4358" max="4358" width="18.28515625" style="619" customWidth="1"/>
    <col min="4359" max="4359" width="23.140625" style="619" customWidth="1"/>
    <col min="4360" max="4360" width="15.42578125" style="619" customWidth="1"/>
    <col min="4361" max="4361" width="13.42578125" style="619" customWidth="1"/>
    <col min="4362" max="4362" width="13.7109375" style="619" customWidth="1"/>
    <col min="4363" max="4363" width="24.140625" style="619" customWidth="1"/>
    <col min="4364" max="4364" width="18.42578125" style="619" customWidth="1"/>
    <col min="4365" max="4365" width="17.7109375" style="619" customWidth="1"/>
    <col min="4366" max="4366" width="20.140625" style="619" customWidth="1"/>
    <col min="4367" max="4367" width="18.42578125" style="619" customWidth="1"/>
    <col min="4368" max="4608" width="25" style="619"/>
    <col min="4609" max="4609" width="7.85546875" style="619" customWidth="1"/>
    <col min="4610" max="4610" width="12.42578125" style="619" customWidth="1"/>
    <col min="4611" max="4611" width="76.7109375" style="619" customWidth="1"/>
    <col min="4612" max="4612" width="8.7109375" style="619" customWidth="1"/>
    <col min="4613" max="4613" width="11.140625" style="619" customWidth="1"/>
    <col min="4614" max="4614" width="18.28515625" style="619" customWidth="1"/>
    <col min="4615" max="4615" width="23.140625" style="619" customWidth="1"/>
    <col min="4616" max="4616" width="15.42578125" style="619" customWidth="1"/>
    <col min="4617" max="4617" width="13.42578125" style="619" customWidth="1"/>
    <col min="4618" max="4618" width="13.7109375" style="619" customWidth="1"/>
    <col min="4619" max="4619" width="24.140625" style="619" customWidth="1"/>
    <col min="4620" max="4620" width="18.42578125" style="619" customWidth="1"/>
    <col min="4621" max="4621" width="17.7109375" style="619" customWidth="1"/>
    <col min="4622" max="4622" width="20.140625" style="619" customWidth="1"/>
    <col min="4623" max="4623" width="18.42578125" style="619" customWidth="1"/>
    <col min="4624" max="4864" width="25" style="619"/>
    <col min="4865" max="4865" width="7.85546875" style="619" customWidth="1"/>
    <col min="4866" max="4866" width="12.42578125" style="619" customWidth="1"/>
    <col min="4867" max="4867" width="76.7109375" style="619" customWidth="1"/>
    <col min="4868" max="4868" width="8.7109375" style="619" customWidth="1"/>
    <col min="4869" max="4869" width="11.140625" style="619" customWidth="1"/>
    <col min="4870" max="4870" width="18.28515625" style="619" customWidth="1"/>
    <col min="4871" max="4871" width="23.140625" style="619" customWidth="1"/>
    <col min="4872" max="4872" width="15.42578125" style="619" customWidth="1"/>
    <col min="4873" max="4873" width="13.42578125" style="619" customWidth="1"/>
    <col min="4874" max="4874" width="13.7109375" style="619" customWidth="1"/>
    <col min="4875" max="4875" width="24.140625" style="619" customWidth="1"/>
    <col min="4876" max="4876" width="18.42578125" style="619" customWidth="1"/>
    <col min="4877" max="4877" width="17.7109375" style="619" customWidth="1"/>
    <col min="4878" max="4878" width="20.140625" style="619" customWidth="1"/>
    <col min="4879" max="4879" width="18.42578125" style="619" customWidth="1"/>
    <col min="4880" max="5120" width="25" style="619"/>
    <col min="5121" max="5121" width="7.85546875" style="619" customWidth="1"/>
    <col min="5122" max="5122" width="12.42578125" style="619" customWidth="1"/>
    <col min="5123" max="5123" width="76.7109375" style="619" customWidth="1"/>
    <col min="5124" max="5124" width="8.7109375" style="619" customWidth="1"/>
    <col min="5125" max="5125" width="11.140625" style="619" customWidth="1"/>
    <col min="5126" max="5126" width="18.28515625" style="619" customWidth="1"/>
    <col min="5127" max="5127" width="23.140625" style="619" customWidth="1"/>
    <col min="5128" max="5128" width="15.42578125" style="619" customWidth="1"/>
    <col min="5129" max="5129" width="13.42578125" style="619" customWidth="1"/>
    <col min="5130" max="5130" width="13.7109375" style="619" customWidth="1"/>
    <col min="5131" max="5131" width="24.140625" style="619" customWidth="1"/>
    <col min="5132" max="5132" width="18.42578125" style="619" customWidth="1"/>
    <col min="5133" max="5133" width="17.7109375" style="619" customWidth="1"/>
    <col min="5134" max="5134" width="20.140625" style="619" customWidth="1"/>
    <col min="5135" max="5135" width="18.42578125" style="619" customWidth="1"/>
    <col min="5136" max="5376" width="25" style="619"/>
    <col min="5377" max="5377" width="7.85546875" style="619" customWidth="1"/>
    <col min="5378" max="5378" width="12.42578125" style="619" customWidth="1"/>
    <col min="5379" max="5379" width="76.7109375" style="619" customWidth="1"/>
    <col min="5380" max="5380" width="8.7109375" style="619" customWidth="1"/>
    <col min="5381" max="5381" width="11.140625" style="619" customWidth="1"/>
    <col min="5382" max="5382" width="18.28515625" style="619" customWidth="1"/>
    <col min="5383" max="5383" width="23.140625" style="619" customWidth="1"/>
    <col min="5384" max="5384" width="15.42578125" style="619" customWidth="1"/>
    <col min="5385" max="5385" width="13.42578125" style="619" customWidth="1"/>
    <col min="5386" max="5386" width="13.7109375" style="619" customWidth="1"/>
    <col min="5387" max="5387" width="24.140625" style="619" customWidth="1"/>
    <col min="5388" max="5388" width="18.42578125" style="619" customWidth="1"/>
    <col min="5389" max="5389" width="17.7109375" style="619" customWidth="1"/>
    <col min="5390" max="5390" width="20.140625" style="619" customWidth="1"/>
    <col min="5391" max="5391" width="18.42578125" style="619" customWidth="1"/>
    <col min="5392" max="5632" width="25" style="619"/>
    <col min="5633" max="5633" width="7.85546875" style="619" customWidth="1"/>
    <col min="5634" max="5634" width="12.42578125" style="619" customWidth="1"/>
    <col min="5635" max="5635" width="76.7109375" style="619" customWidth="1"/>
    <col min="5636" max="5636" width="8.7109375" style="619" customWidth="1"/>
    <col min="5637" max="5637" width="11.140625" style="619" customWidth="1"/>
    <col min="5638" max="5638" width="18.28515625" style="619" customWidth="1"/>
    <col min="5639" max="5639" width="23.140625" style="619" customWidth="1"/>
    <col min="5640" max="5640" width="15.42578125" style="619" customWidth="1"/>
    <col min="5641" max="5641" width="13.42578125" style="619" customWidth="1"/>
    <col min="5642" max="5642" width="13.7109375" style="619" customWidth="1"/>
    <col min="5643" max="5643" width="24.140625" style="619" customWidth="1"/>
    <col min="5644" max="5644" width="18.42578125" style="619" customWidth="1"/>
    <col min="5645" max="5645" width="17.7109375" style="619" customWidth="1"/>
    <col min="5646" max="5646" width="20.140625" style="619" customWidth="1"/>
    <col min="5647" max="5647" width="18.42578125" style="619" customWidth="1"/>
    <col min="5648" max="5888" width="25" style="619"/>
    <col min="5889" max="5889" width="7.85546875" style="619" customWidth="1"/>
    <col min="5890" max="5890" width="12.42578125" style="619" customWidth="1"/>
    <col min="5891" max="5891" width="76.7109375" style="619" customWidth="1"/>
    <col min="5892" max="5892" width="8.7109375" style="619" customWidth="1"/>
    <col min="5893" max="5893" width="11.140625" style="619" customWidth="1"/>
    <col min="5894" max="5894" width="18.28515625" style="619" customWidth="1"/>
    <col min="5895" max="5895" width="23.140625" style="619" customWidth="1"/>
    <col min="5896" max="5896" width="15.42578125" style="619" customWidth="1"/>
    <col min="5897" max="5897" width="13.42578125" style="619" customWidth="1"/>
    <col min="5898" max="5898" width="13.7109375" style="619" customWidth="1"/>
    <col min="5899" max="5899" width="24.140625" style="619" customWidth="1"/>
    <col min="5900" max="5900" width="18.42578125" style="619" customWidth="1"/>
    <col min="5901" max="5901" width="17.7109375" style="619" customWidth="1"/>
    <col min="5902" max="5902" width="20.140625" style="619" customWidth="1"/>
    <col min="5903" max="5903" width="18.42578125" style="619" customWidth="1"/>
    <col min="5904" max="6144" width="25" style="619"/>
    <col min="6145" max="6145" width="7.85546875" style="619" customWidth="1"/>
    <col min="6146" max="6146" width="12.42578125" style="619" customWidth="1"/>
    <col min="6147" max="6147" width="76.7109375" style="619" customWidth="1"/>
    <col min="6148" max="6148" width="8.7109375" style="619" customWidth="1"/>
    <col min="6149" max="6149" width="11.140625" style="619" customWidth="1"/>
    <col min="6150" max="6150" width="18.28515625" style="619" customWidth="1"/>
    <col min="6151" max="6151" width="23.140625" style="619" customWidth="1"/>
    <col min="6152" max="6152" width="15.42578125" style="619" customWidth="1"/>
    <col min="6153" max="6153" width="13.42578125" style="619" customWidth="1"/>
    <col min="6154" max="6154" width="13.7109375" style="619" customWidth="1"/>
    <col min="6155" max="6155" width="24.140625" style="619" customWidth="1"/>
    <col min="6156" max="6156" width="18.42578125" style="619" customWidth="1"/>
    <col min="6157" max="6157" width="17.7109375" style="619" customWidth="1"/>
    <col min="6158" max="6158" width="20.140625" style="619" customWidth="1"/>
    <col min="6159" max="6159" width="18.42578125" style="619" customWidth="1"/>
    <col min="6160" max="6400" width="25" style="619"/>
    <col min="6401" max="6401" width="7.85546875" style="619" customWidth="1"/>
    <col min="6402" max="6402" width="12.42578125" style="619" customWidth="1"/>
    <col min="6403" max="6403" width="76.7109375" style="619" customWidth="1"/>
    <col min="6404" max="6404" width="8.7109375" style="619" customWidth="1"/>
    <col min="6405" max="6405" width="11.140625" style="619" customWidth="1"/>
    <col min="6406" max="6406" width="18.28515625" style="619" customWidth="1"/>
    <col min="6407" max="6407" width="23.140625" style="619" customWidth="1"/>
    <col min="6408" max="6408" width="15.42578125" style="619" customWidth="1"/>
    <col min="6409" max="6409" width="13.42578125" style="619" customWidth="1"/>
    <col min="6410" max="6410" width="13.7109375" style="619" customWidth="1"/>
    <col min="6411" max="6411" width="24.140625" style="619" customWidth="1"/>
    <col min="6412" max="6412" width="18.42578125" style="619" customWidth="1"/>
    <col min="6413" max="6413" width="17.7109375" style="619" customWidth="1"/>
    <col min="6414" max="6414" width="20.140625" style="619" customWidth="1"/>
    <col min="6415" max="6415" width="18.42578125" style="619" customWidth="1"/>
    <col min="6416" max="6656" width="25" style="619"/>
    <col min="6657" max="6657" width="7.85546875" style="619" customWidth="1"/>
    <col min="6658" max="6658" width="12.42578125" style="619" customWidth="1"/>
    <col min="6659" max="6659" width="76.7109375" style="619" customWidth="1"/>
    <col min="6660" max="6660" width="8.7109375" style="619" customWidth="1"/>
    <col min="6661" max="6661" width="11.140625" style="619" customWidth="1"/>
    <col min="6662" max="6662" width="18.28515625" style="619" customWidth="1"/>
    <col min="6663" max="6663" width="23.140625" style="619" customWidth="1"/>
    <col min="6664" max="6664" width="15.42578125" style="619" customWidth="1"/>
    <col min="6665" max="6665" width="13.42578125" style="619" customWidth="1"/>
    <col min="6666" max="6666" width="13.7109375" style="619" customWidth="1"/>
    <col min="6667" max="6667" width="24.140625" style="619" customWidth="1"/>
    <col min="6668" max="6668" width="18.42578125" style="619" customWidth="1"/>
    <col min="6669" max="6669" width="17.7109375" style="619" customWidth="1"/>
    <col min="6670" max="6670" width="20.140625" style="619" customWidth="1"/>
    <col min="6671" max="6671" width="18.42578125" style="619" customWidth="1"/>
    <col min="6672" max="6912" width="25" style="619"/>
    <col min="6913" max="6913" width="7.85546875" style="619" customWidth="1"/>
    <col min="6914" max="6914" width="12.42578125" style="619" customWidth="1"/>
    <col min="6915" max="6915" width="76.7109375" style="619" customWidth="1"/>
    <col min="6916" max="6916" width="8.7109375" style="619" customWidth="1"/>
    <col min="6917" max="6917" width="11.140625" style="619" customWidth="1"/>
    <col min="6918" max="6918" width="18.28515625" style="619" customWidth="1"/>
    <col min="6919" max="6919" width="23.140625" style="619" customWidth="1"/>
    <col min="6920" max="6920" width="15.42578125" style="619" customWidth="1"/>
    <col min="6921" max="6921" width="13.42578125" style="619" customWidth="1"/>
    <col min="6922" max="6922" width="13.7109375" style="619" customWidth="1"/>
    <col min="6923" max="6923" width="24.140625" style="619" customWidth="1"/>
    <col min="6924" max="6924" width="18.42578125" style="619" customWidth="1"/>
    <col min="6925" max="6925" width="17.7109375" style="619" customWidth="1"/>
    <col min="6926" max="6926" width="20.140625" style="619" customWidth="1"/>
    <col min="6927" max="6927" width="18.42578125" style="619" customWidth="1"/>
    <col min="6928" max="7168" width="25" style="619"/>
    <col min="7169" max="7169" width="7.85546875" style="619" customWidth="1"/>
    <col min="7170" max="7170" width="12.42578125" style="619" customWidth="1"/>
    <col min="7171" max="7171" width="76.7109375" style="619" customWidth="1"/>
    <col min="7172" max="7172" width="8.7109375" style="619" customWidth="1"/>
    <col min="7173" max="7173" width="11.140625" style="619" customWidth="1"/>
    <col min="7174" max="7174" width="18.28515625" style="619" customWidth="1"/>
    <col min="7175" max="7175" width="23.140625" style="619" customWidth="1"/>
    <col min="7176" max="7176" width="15.42578125" style="619" customWidth="1"/>
    <col min="7177" max="7177" width="13.42578125" style="619" customWidth="1"/>
    <col min="7178" max="7178" width="13.7109375" style="619" customWidth="1"/>
    <col min="7179" max="7179" width="24.140625" style="619" customWidth="1"/>
    <col min="7180" max="7180" width="18.42578125" style="619" customWidth="1"/>
    <col min="7181" max="7181" width="17.7109375" style="619" customWidth="1"/>
    <col min="7182" max="7182" width="20.140625" style="619" customWidth="1"/>
    <col min="7183" max="7183" width="18.42578125" style="619" customWidth="1"/>
    <col min="7184" max="7424" width="25" style="619"/>
    <col min="7425" max="7425" width="7.85546875" style="619" customWidth="1"/>
    <col min="7426" max="7426" width="12.42578125" style="619" customWidth="1"/>
    <col min="7427" max="7427" width="76.7109375" style="619" customWidth="1"/>
    <col min="7428" max="7428" width="8.7109375" style="619" customWidth="1"/>
    <col min="7429" max="7429" width="11.140625" style="619" customWidth="1"/>
    <col min="7430" max="7430" width="18.28515625" style="619" customWidth="1"/>
    <col min="7431" max="7431" width="23.140625" style="619" customWidth="1"/>
    <col min="7432" max="7432" width="15.42578125" style="619" customWidth="1"/>
    <col min="7433" max="7433" width="13.42578125" style="619" customWidth="1"/>
    <col min="7434" max="7434" width="13.7109375" style="619" customWidth="1"/>
    <col min="7435" max="7435" width="24.140625" style="619" customWidth="1"/>
    <col min="7436" max="7436" width="18.42578125" style="619" customWidth="1"/>
    <col min="7437" max="7437" width="17.7109375" style="619" customWidth="1"/>
    <col min="7438" max="7438" width="20.140625" style="619" customWidth="1"/>
    <col min="7439" max="7439" width="18.42578125" style="619" customWidth="1"/>
    <col min="7440" max="7680" width="25" style="619"/>
    <col min="7681" max="7681" width="7.85546875" style="619" customWidth="1"/>
    <col min="7682" max="7682" width="12.42578125" style="619" customWidth="1"/>
    <col min="7683" max="7683" width="76.7109375" style="619" customWidth="1"/>
    <col min="7684" max="7684" width="8.7109375" style="619" customWidth="1"/>
    <col min="7685" max="7685" width="11.140625" style="619" customWidth="1"/>
    <col min="7686" max="7686" width="18.28515625" style="619" customWidth="1"/>
    <col min="7687" max="7687" width="23.140625" style="619" customWidth="1"/>
    <col min="7688" max="7688" width="15.42578125" style="619" customWidth="1"/>
    <col min="7689" max="7689" width="13.42578125" style="619" customWidth="1"/>
    <col min="7690" max="7690" width="13.7109375" style="619" customWidth="1"/>
    <col min="7691" max="7691" width="24.140625" style="619" customWidth="1"/>
    <col min="7692" max="7692" width="18.42578125" style="619" customWidth="1"/>
    <col min="7693" max="7693" width="17.7109375" style="619" customWidth="1"/>
    <col min="7694" max="7694" width="20.140625" style="619" customWidth="1"/>
    <col min="7695" max="7695" width="18.42578125" style="619" customWidth="1"/>
    <col min="7696" max="7936" width="25" style="619"/>
    <col min="7937" max="7937" width="7.85546875" style="619" customWidth="1"/>
    <col min="7938" max="7938" width="12.42578125" style="619" customWidth="1"/>
    <col min="7939" max="7939" width="76.7109375" style="619" customWidth="1"/>
    <col min="7940" max="7940" width="8.7109375" style="619" customWidth="1"/>
    <col min="7941" max="7941" width="11.140625" style="619" customWidth="1"/>
    <col min="7942" max="7942" width="18.28515625" style="619" customWidth="1"/>
    <col min="7943" max="7943" width="23.140625" style="619" customWidth="1"/>
    <col min="7944" max="7944" width="15.42578125" style="619" customWidth="1"/>
    <col min="7945" max="7945" width="13.42578125" style="619" customWidth="1"/>
    <col min="7946" max="7946" width="13.7109375" style="619" customWidth="1"/>
    <col min="7947" max="7947" width="24.140625" style="619" customWidth="1"/>
    <col min="7948" max="7948" width="18.42578125" style="619" customWidth="1"/>
    <col min="7949" max="7949" width="17.7109375" style="619" customWidth="1"/>
    <col min="7950" max="7950" width="20.140625" style="619" customWidth="1"/>
    <col min="7951" max="7951" width="18.42578125" style="619" customWidth="1"/>
    <col min="7952" max="8192" width="25" style="619"/>
    <col min="8193" max="8193" width="7.85546875" style="619" customWidth="1"/>
    <col min="8194" max="8194" width="12.42578125" style="619" customWidth="1"/>
    <col min="8195" max="8195" width="76.7109375" style="619" customWidth="1"/>
    <col min="8196" max="8196" width="8.7109375" style="619" customWidth="1"/>
    <col min="8197" max="8197" width="11.140625" style="619" customWidth="1"/>
    <col min="8198" max="8198" width="18.28515625" style="619" customWidth="1"/>
    <col min="8199" max="8199" width="23.140625" style="619" customWidth="1"/>
    <col min="8200" max="8200" width="15.42578125" style="619" customWidth="1"/>
    <col min="8201" max="8201" width="13.42578125" style="619" customWidth="1"/>
    <col min="8202" max="8202" width="13.7109375" style="619" customWidth="1"/>
    <col min="8203" max="8203" width="24.140625" style="619" customWidth="1"/>
    <col min="8204" max="8204" width="18.42578125" style="619" customWidth="1"/>
    <col min="8205" max="8205" width="17.7109375" style="619" customWidth="1"/>
    <col min="8206" max="8206" width="20.140625" style="619" customWidth="1"/>
    <col min="8207" max="8207" width="18.42578125" style="619" customWidth="1"/>
    <col min="8208" max="8448" width="25" style="619"/>
    <col min="8449" max="8449" width="7.85546875" style="619" customWidth="1"/>
    <col min="8450" max="8450" width="12.42578125" style="619" customWidth="1"/>
    <col min="8451" max="8451" width="76.7109375" style="619" customWidth="1"/>
    <col min="8452" max="8452" width="8.7109375" style="619" customWidth="1"/>
    <col min="8453" max="8453" width="11.140625" style="619" customWidth="1"/>
    <col min="8454" max="8454" width="18.28515625" style="619" customWidth="1"/>
    <col min="8455" max="8455" width="23.140625" style="619" customWidth="1"/>
    <col min="8456" max="8456" width="15.42578125" style="619" customWidth="1"/>
    <col min="8457" max="8457" width="13.42578125" style="619" customWidth="1"/>
    <col min="8458" max="8458" width="13.7109375" style="619" customWidth="1"/>
    <col min="8459" max="8459" width="24.140625" style="619" customWidth="1"/>
    <col min="8460" max="8460" width="18.42578125" style="619" customWidth="1"/>
    <col min="8461" max="8461" width="17.7109375" style="619" customWidth="1"/>
    <col min="8462" max="8462" width="20.140625" style="619" customWidth="1"/>
    <col min="8463" max="8463" width="18.42578125" style="619" customWidth="1"/>
    <col min="8464" max="8704" width="25" style="619"/>
    <col min="8705" max="8705" width="7.85546875" style="619" customWidth="1"/>
    <col min="8706" max="8706" width="12.42578125" style="619" customWidth="1"/>
    <col min="8707" max="8707" width="76.7109375" style="619" customWidth="1"/>
    <col min="8708" max="8708" width="8.7109375" style="619" customWidth="1"/>
    <col min="8709" max="8709" width="11.140625" style="619" customWidth="1"/>
    <col min="8710" max="8710" width="18.28515625" style="619" customWidth="1"/>
    <col min="8711" max="8711" width="23.140625" style="619" customWidth="1"/>
    <col min="8712" max="8712" width="15.42578125" style="619" customWidth="1"/>
    <col min="8713" max="8713" width="13.42578125" style="619" customWidth="1"/>
    <col min="8714" max="8714" width="13.7109375" style="619" customWidth="1"/>
    <col min="8715" max="8715" width="24.140625" style="619" customWidth="1"/>
    <col min="8716" max="8716" width="18.42578125" style="619" customWidth="1"/>
    <col min="8717" max="8717" width="17.7109375" style="619" customWidth="1"/>
    <col min="8718" max="8718" width="20.140625" style="619" customWidth="1"/>
    <col min="8719" max="8719" width="18.42578125" style="619" customWidth="1"/>
    <col min="8720" max="8960" width="25" style="619"/>
    <col min="8961" max="8961" width="7.85546875" style="619" customWidth="1"/>
    <col min="8962" max="8962" width="12.42578125" style="619" customWidth="1"/>
    <col min="8963" max="8963" width="76.7109375" style="619" customWidth="1"/>
    <col min="8964" max="8964" width="8.7109375" style="619" customWidth="1"/>
    <col min="8965" max="8965" width="11.140625" style="619" customWidth="1"/>
    <col min="8966" max="8966" width="18.28515625" style="619" customWidth="1"/>
    <col min="8967" max="8967" width="23.140625" style="619" customWidth="1"/>
    <col min="8968" max="8968" width="15.42578125" style="619" customWidth="1"/>
    <col min="8969" max="8969" width="13.42578125" style="619" customWidth="1"/>
    <col min="8970" max="8970" width="13.7109375" style="619" customWidth="1"/>
    <col min="8971" max="8971" width="24.140625" style="619" customWidth="1"/>
    <col min="8972" max="8972" width="18.42578125" style="619" customWidth="1"/>
    <col min="8973" max="8973" width="17.7109375" style="619" customWidth="1"/>
    <col min="8974" max="8974" width="20.140625" style="619" customWidth="1"/>
    <col min="8975" max="8975" width="18.42578125" style="619" customWidth="1"/>
    <col min="8976" max="9216" width="25" style="619"/>
    <col min="9217" max="9217" width="7.85546875" style="619" customWidth="1"/>
    <col min="9218" max="9218" width="12.42578125" style="619" customWidth="1"/>
    <col min="9219" max="9219" width="76.7109375" style="619" customWidth="1"/>
    <col min="9220" max="9220" width="8.7109375" style="619" customWidth="1"/>
    <col min="9221" max="9221" width="11.140625" style="619" customWidth="1"/>
    <col min="9222" max="9222" width="18.28515625" style="619" customWidth="1"/>
    <col min="9223" max="9223" width="23.140625" style="619" customWidth="1"/>
    <col min="9224" max="9224" width="15.42578125" style="619" customWidth="1"/>
    <col min="9225" max="9225" width="13.42578125" style="619" customWidth="1"/>
    <col min="9226" max="9226" width="13.7109375" style="619" customWidth="1"/>
    <col min="9227" max="9227" width="24.140625" style="619" customWidth="1"/>
    <col min="9228" max="9228" width="18.42578125" style="619" customWidth="1"/>
    <col min="9229" max="9229" width="17.7109375" style="619" customWidth="1"/>
    <col min="9230" max="9230" width="20.140625" style="619" customWidth="1"/>
    <col min="9231" max="9231" width="18.42578125" style="619" customWidth="1"/>
    <col min="9232" max="9472" width="25" style="619"/>
    <col min="9473" max="9473" width="7.85546875" style="619" customWidth="1"/>
    <col min="9474" max="9474" width="12.42578125" style="619" customWidth="1"/>
    <col min="9475" max="9475" width="76.7109375" style="619" customWidth="1"/>
    <col min="9476" max="9476" width="8.7109375" style="619" customWidth="1"/>
    <col min="9477" max="9477" width="11.140625" style="619" customWidth="1"/>
    <col min="9478" max="9478" width="18.28515625" style="619" customWidth="1"/>
    <col min="9479" max="9479" width="23.140625" style="619" customWidth="1"/>
    <col min="9480" max="9480" width="15.42578125" style="619" customWidth="1"/>
    <col min="9481" max="9481" width="13.42578125" style="619" customWidth="1"/>
    <col min="9482" max="9482" width="13.7109375" style="619" customWidth="1"/>
    <col min="9483" max="9483" width="24.140625" style="619" customWidth="1"/>
    <col min="9484" max="9484" width="18.42578125" style="619" customWidth="1"/>
    <col min="9485" max="9485" width="17.7109375" style="619" customWidth="1"/>
    <col min="9486" max="9486" width="20.140625" style="619" customWidth="1"/>
    <col min="9487" max="9487" width="18.42578125" style="619" customWidth="1"/>
    <col min="9488" max="9728" width="25" style="619"/>
    <col min="9729" max="9729" width="7.85546875" style="619" customWidth="1"/>
    <col min="9730" max="9730" width="12.42578125" style="619" customWidth="1"/>
    <col min="9731" max="9731" width="76.7109375" style="619" customWidth="1"/>
    <col min="9732" max="9732" width="8.7109375" style="619" customWidth="1"/>
    <col min="9733" max="9733" width="11.140625" style="619" customWidth="1"/>
    <col min="9734" max="9734" width="18.28515625" style="619" customWidth="1"/>
    <col min="9735" max="9735" width="23.140625" style="619" customWidth="1"/>
    <col min="9736" max="9736" width="15.42578125" style="619" customWidth="1"/>
    <col min="9737" max="9737" width="13.42578125" style="619" customWidth="1"/>
    <col min="9738" max="9738" width="13.7109375" style="619" customWidth="1"/>
    <col min="9739" max="9739" width="24.140625" style="619" customWidth="1"/>
    <col min="9740" max="9740" width="18.42578125" style="619" customWidth="1"/>
    <col min="9741" max="9741" width="17.7109375" style="619" customWidth="1"/>
    <col min="9742" max="9742" width="20.140625" style="619" customWidth="1"/>
    <col min="9743" max="9743" width="18.42578125" style="619" customWidth="1"/>
    <col min="9744" max="9984" width="25" style="619"/>
    <col min="9985" max="9985" width="7.85546875" style="619" customWidth="1"/>
    <col min="9986" max="9986" width="12.42578125" style="619" customWidth="1"/>
    <col min="9987" max="9987" width="76.7109375" style="619" customWidth="1"/>
    <col min="9988" max="9988" width="8.7109375" style="619" customWidth="1"/>
    <col min="9989" max="9989" width="11.140625" style="619" customWidth="1"/>
    <col min="9990" max="9990" width="18.28515625" style="619" customWidth="1"/>
    <col min="9991" max="9991" width="23.140625" style="619" customWidth="1"/>
    <col min="9992" max="9992" width="15.42578125" style="619" customWidth="1"/>
    <col min="9993" max="9993" width="13.42578125" style="619" customWidth="1"/>
    <col min="9994" max="9994" width="13.7109375" style="619" customWidth="1"/>
    <col min="9995" max="9995" width="24.140625" style="619" customWidth="1"/>
    <col min="9996" max="9996" width="18.42578125" style="619" customWidth="1"/>
    <col min="9997" max="9997" width="17.7109375" style="619" customWidth="1"/>
    <col min="9998" max="9998" width="20.140625" style="619" customWidth="1"/>
    <col min="9999" max="9999" width="18.42578125" style="619" customWidth="1"/>
    <col min="10000" max="10240" width="25" style="619"/>
    <col min="10241" max="10241" width="7.85546875" style="619" customWidth="1"/>
    <col min="10242" max="10242" width="12.42578125" style="619" customWidth="1"/>
    <col min="10243" max="10243" width="76.7109375" style="619" customWidth="1"/>
    <col min="10244" max="10244" width="8.7109375" style="619" customWidth="1"/>
    <col min="10245" max="10245" width="11.140625" style="619" customWidth="1"/>
    <col min="10246" max="10246" width="18.28515625" style="619" customWidth="1"/>
    <col min="10247" max="10247" width="23.140625" style="619" customWidth="1"/>
    <col min="10248" max="10248" width="15.42578125" style="619" customWidth="1"/>
    <col min="10249" max="10249" width="13.42578125" style="619" customWidth="1"/>
    <col min="10250" max="10250" width="13.7109375" style="619" customWidth="1"/>
    <col min="10251" max="10251" width="24.140625" style="619" customWidth="1"/>
    <col min="10252" max="10252" width="18.42578125" style="619" customWidth="1"/>
    <col min="10253" max="10253" width="17.7109375" style="619" customWidth="1"/>
    <col min="10254" max="10254" width="20.140625" style="619" customWidth="1"/>
    <col min="10255" max="10255" width="18.42578125" style="619" customWidth="1"/>
    <col min="10256" max="10496" width="25" style="619"/>
    <col min="10497" max="10497" width="7.85546875" style="619" customWidth="1"/>
    <col min="10498" max="10498" width="12.42578125" style="619" customWidth="1"/>
    <col min="10499" max="10499" width="76.7109375" style="619" customWidth="1"/>
    <col min="10500" max="10500" width="8.7109375" style="619" customWidth="1"/>
    <col min="10501" max="10501" width="11.140625" style="619" customWidth="1"/>
    <col min="10502" max="10502" width="18.28515625" style="619" customWidth="1"/>
    <col min="10503" max="10503" width="23.140625" style="619" customWidth="1"/>
    <col min="10504" max="10504" width="15.42578125" style="619" customWidth="1"/>
    <col min="10505" max="10505" width="13.42578125" style="619" customWidth="1"/>
    <col min="10506" max="10506" width="13.7109375" style="619" customWidth="1"/>
    <col min="10507" max="10507" width="24.140625" style="619" customWidth="1"/>
    <col min="10508" max="10508" width="18.42578125" style="619" customWidth="1"/>
    <col min="10509" max="10509" width="17.7109375" style="619" customWidth="1"/>
    <col min="10510" max="10510" width="20.140625" style="619" customWidth="1"/>
    <col min="10511" max="10511" width="18.42578125" style="619" customWidth="1"/>
    <col min="10512" max="10752" width="25" style="619"/>
    <col min="10753" max="10753" width="7.85546875" style="619" customWidth="1"/>
    <col min="10754" max="10754" width="12.42578125" style="619" customWidth="1"/>
    <col min="10755" max="10755" width="76.7109375" style="619" customWidth="1"/>
    <col min="10756" max="10756" width="8.7109375" style="619" customWidth="1"/>
    <col min="10757" max="10757" width="11.140625" style="619" customWidth="1"/>
    <col min="10758" max="10758" width="18.28515625" style="619" customWidth="1"/>
    <col min="10759" max="10759" width="23.140625" style="619" customWidth="1"/>
    <col min="10760" max="10760" width="15.42578125" style="619" customWidth="1"/>
    <col min="10761" max="10761" width="13.42578125" style="619" customWidth="1"/>
    <col min="10762" max="10762" width="13.7109375" style="619" customWidth="1"/>
    <col min="10763" max="10763" width="24.140625" style="619" customWidth="1"/>
    <col min="10764" max="10764" width="18.42578125" style="619" customWidth="1"/>
    <col min="10765" max="10765" width="17.7109375" style="619" customWidth="1"/>
    <col min="10766" max="10766" width="20.140625" style="619" customWidth="1"/>
    <col min="10767" max="10767" width="18.42578125" style="619" customWidth="1"/>
    <col min="10768" max="11008" width="25" style="619"/>
    <col min="11009" max="11009" width="7.85546875" style="619" customWidth="1"/>
    <col min="11010" max="11010" width="12.42578125" style="619" customWidth="1"/>
    <col min="11011" max="11011" width="76.7109375" style="619" customWidth="1"/>
    <col min="11012" max="11012" width="8.7109375" style="619" customWidth="1"/>
    <col min="11013" max="11013" width="11.140625" style="619" customWidth="1"/>
    <col min="11014" max="11014" width="18.28515625" style="619" customWidth="1"/>
    <col min="11015" max="11015" width="23.140625" style="619" customWidth="1"/>
    <col min="11016" max="11016" width="15.42578125" style="619" customWidth="1"/>
    <col min="11017" max="11017" width="13.42578125" style="619" customWidth="1"/>
    <col min="11018" max="11018" width="13.7109375" style="619" customWidth="1"/>
    <col min="11019" max="11019" width="24.140625" style="619" customWidth="1"/>
    <col min="11020" max="11020" width="18.42578125" style="619" customWidth="1"/>
    <col min="11021" max="11021" width="17.7109375" style="619" customWidth="1"/>
    <col min="11022" max="11022" width="20.140625" style="619" customWidth="1"/>
    <col min="11023" max="11023" width="18.42578125" style="619" customWidth="1"/>
    <col min="11024" max="11264" width="25" style="619"/>
    <col min="11265" max="11265" width="7.85546875" style="619" customWidth="1"/>
    <col min="11266" max="11266" width="12.42578125" style="619" customWidth="1"/>
    <col min="11267" max="11267" width="76.7109375" style="619" customWidth="1"/>
    <col min="11268" max="11268" width="8.7109375" style="619" customWidth="1"/>
    <col min="11269" max="11269" width="11.140625" style="619" customWidth="1"/>
    <col min="11270" max="11270" width="18.28515625" style="619" customWidth="1"/>
    <col min="11271" max="11271" width="23.140625" style="619" customWidth="1"/>
    <col min="11272" max="11272" width="15.42578125" style="619" customWidth="1"/>
    <col min="11273" max="11273" width="13.42578125" style="619" customWidth="1"/>
    <col min="11274" max="11274" width="13.7109375" style="619" customWidth="1"/>
    <col min="11275" max="11275" width="24.140625" style="619" customWidth="1"/>
    <col min="11276" max="11276" width="18.42578125" style="619" customWidth="1"/>
    <col min="11277" max="11277" width="17.7109375" style="619" customWidth="1"/>
    <col min="11278" max="11278" width="20.140625" style="619" customWidth="1"/>
    <col min="11279" max="11279" width="18.42578125" style="619" customWidth="1"/>
    <col min="11280" max="11520" width="25" style="619"/>
    <col min="11521" max="11521" width="7.85546875" style="619" customWidth="1"/>
    <col min="11522" max="11522" width="12.42578125" style="619" customWidth="1"/>
    <col min="11523" max="11523" width="76.7109375" style="619" customWidth="1"/>
    <col min="11524" max="11524" width="8.7109375" style="619" customWidth="1"/>
    <col min="11525" max="11525" width="11.140625" style="619" customWidth="1"/>
    <col min="11526" max="11526" width="18.28515625" style="619" customWidth="1"/>
    <col min="11527" max="11527" width="23.140625" style="619" customWidth="1"/>
    <col min="11528" max="11528" width="15.42578125" style="619" customWidth="1"/>
    <col min="11529" max="11529" width="13.42578125" style="619" customWidth="1"/>
    <col min="11530" max="11530" width="13.7109375" style="619" customWidth="1"/>
    <col min="11531" max="11531" width="24.140625" style="619" customWidth="1"/>
    <col min="11532" max="11532" width="18.42578125" style="619" customWidth="1"/>
    <col min="11533" max="11533" width="17.7109375" style="619" customWidth="1"/>
    <col min="11534" max="11534" width="20.140625" style="619" customWidth="1"/>
    <col min="11535" max="11535" width="18.42578125" style="619" customWidth="1"/>
    <col min="11536" max="11776" width="25" style="619"/>
    <col min="11777" max="11777" width="7.85546875" style="619" customWidth="1"/>
    <col min="11778" max="11778" width="12.42578125" style="619" customWidth="1"/>
    <col min="11779" max="11779" width="76.7109375" style="619" customWidth="1"/>
    <col min="11780" max="11780" width="8.7109375" style="619" customWidth="1"/>
    <col min="11781" max="11781" width="11.140625" style="619" customWidth="1"/>
    <col min="11782" max="11782" width="18.28515625" style="619" customWidth="1"/>
    <col min="11783" max="11783" width="23.140625" style="619" customWidth="1"/>
    <col min="11784" max="11784" width="15.42578125" style="619" customWidth="1"/>
    <col min="11785" max="11785" width="13.42578125" style="619" customWidth="1"/>
    <col min="11786" max="11786" width="13.7109375" style="619" customWidth="1"/>
    <col min="11787" max="11787" width="24.140625" style="619" customWidth="1"/>
    <col min="11788" max="11788" width="18.42578125" style="619" customWidth="1"/>
    <col min="11789" max="11789" width="17.7109375" style="619" customWidth="1"/>
    <col min="11790" max="11790" width="20.140625" style="619" customWidth="1"/>
    <col min="11791" max="11791" width="18.42578125" style="619" customWidth="1"/>
    <col min="11792" max="12032" width="25" style="619"/>
    <col min="12033" max="12033" width="7.85546875" style="619" customWidth="1"/>
    <col min="12034" max="12034" width="12.42578125" style="619" customWidth="1"/>
    <col min="12035" max="12035" width="76.7109375" style="619" customWidth="1"/>
    <col min="12036" max="12036" width="8.7109375" style="619" customWidth="1"/>
    <col min="12037" max="12037" width="11.140625" style="619" customWidth="1"/>
    <col min="12038" max="12038" width="18.28515625" style="619" customWidth="1"/>
    <col min="12039" max="12039" width="23.140625" style="619" customWidth="1"/>
    <col min="12040" max="12040" width="15.42578125" style="619" customWidth="1"/>
    <col min="12041" max="12041" width="13.42578125" style="619" customWidth="1"/>
    <col min="12042" max="12042" width="13.7109375" style="619" customWidth="1"/>
    <col min="12043" max="12043" width="24.140625" style="619" customWidth="1"/>
    <col min="12044" max="12044" width="18.42578125" style="619" customWidth="1"/>
    <col min="12045" max="12045" width="17.7109375" style="619" customWidth="1"/>
    <col min="12046" max="12046" width="20.140625" style="619" customWidth="1"/>
    <col min="12047" max="12047" width="18.42578125" style="619" customWidth="1"/>
    <col min="12048" max="12288" width="25" style="619"/>
    <col min="12289" max="12289" width="7.85546875" style="619" customWidth="1"/>
    <col min="12290" max="12290" width="12.42578125" style="619" customWidth="1"/>
    <col min="12291" max="12291" width="76.7109375" style="619" customWidth="1"/>
    <col min="12292" max="12292" width="8.7109375" style="619" customWidth="1"/>
    <col min="12293" max="12293" width="11.140625" style="619" customWidth="1"/>
    <col min="12294" max="12294" width="18.28515625" style="619" customWidth="1"/>
    <col min="12295" max="12295" width="23.140625" style="619" customWidth="1"/>
    <col min="12296" max="12296" width="15.42578125" style="619" customWidth="1"/>
    <col min="12297" max="12297" width="13.42578125" style="619" customWidth="1"/>
    <col min="12298" max="12298" width="13.7109375" style="619" customWidth="1"/>
    <col min="12299" max="12299" width="24.140625" style="619" customWidth="1"/>
    <col min="12300" max="12300" width="18.42578125" style="619" customWidth="1"/>
    <col min="12301" max="12301" width="17.7109375" style="619" customWidth="1"/>
    <col min="12302" max="12302" width="20.140625" style="619" customWidth="1"/>
    <col min="12303" max="12303" width="18.42578125" style="619" customWidth="1"/>
    <col min="12304" max="12544" width="25" style="619"/>
    <col min="12545" max="12545" width="7.85546875" style="619" customWidth="1"/>
    <col min="12546" max="12546" width="12.42578125" style="619" customWidth="1"/>
    <col min="12547" max="12547" width="76.7109375" style="619" customWidth="1"/>
    <col min="12548" max="12548" width="8.7109375" style="619" customWidth="1"/>
    <col min="12549" max="12549" width="11.140625" style="619" customWidth="1"/>
    <col min="12550" max="12550" width="18.28515625" style="619" customWidth="1"/>
    <col min="12551" max="12551" width="23.140625" style="619" customWidth="1"/>
    <col min="12552" max="12552" width="15.42578125" style="619" customWidth="1"/>
    <col min="12553" max="12553" width="13.42578125" style="619" customWidth="1"/>
    <col min="12554" max="12554" width="13.7109375" style="619" customWidth="1"/>
    <col min="12555" max="12555" width="24.140625" style="619" customWidth="1"/>
    <col min="12556" max="12556" width="18.42578125" style="619" customWidth="1"/>
    <col min="12557" max="12557" width="17.7109375" style="619" customWidth="1"/>
    <col min="12558" max="12558" width="20.140625" style="619" customWidth="1"/>
    <col min="12559" max="12559" width="18.42578125" style="619" customWidth="1"/>
    <col min="12560" max="12800" width="25" style="619"/>
    <col min="12801" max="12801" width="7.85546875" style="619" customWidth="1"/>
    <col min="12802" max="12802" width="12.42578125" style="619" customWidth="1"/>
    <col min="12803" max="12803" width="76.7109375" style="619" customWidth="1"/>
    <col min="12804" max="12804" width="8.7109375" style="619" customWidth="1"/>
    <col min="12805" max="12805" width="11.140625" style="619" customWidth="1"/>
    <col min="12806" max="12806" width="18.28515625" style="619" customWidth="1"/>
    <col min="12807" max="12807" width="23.140625" style="619" customWidth="1"/>
    <col min="12808" max="12808" width="15.42578125" style="619" customWidth="1"/>
    <col min="12809" max="12809" width="13.42578125" style="619" customWidth="1"/>
    <col min="12810" max="12810" width="13.7109375" style="619" customWidth="1"/>
    <col min="12811" max="12811" width="24.140625" style="619" customWidth="1"/>
    <col min="12812" max="12812" width="18.42578125" style="619" customWidth="1"/>
    <col min="12813" max="12813" width="17.7109375" style="619" customWidth="1"/>
    <col min="12814" max="12814" width="20.140625" style="619" customWidth="1"/>
    <col min="12815" max="12815" width="18.42578125" style="619" customWidth="1"/>
    <col min="12816" max="13056" width="25" style="619"/>
    <col min="13057" max="13057" width="7.85546875" style="619" customWidth="1"/>
    <col min="13058" max="13058" width="12.42578125" style="619" customWidth="1"/>
    <col min="13059" max="13059" width="76.7109375" style="619" customWidth="1"/>
    <col min="13060" max="13060" width="8.7109375" style="619" customWidth="1"/>
    <col min="13061" max="13061" width="11.140625" style="619" customWidth="1"/>
    <col min="13062" max="13062" width="18.28515625" style="619" customWidth="1"/>
    <col min="13063" max="13063" width="23.140625" style="619" customWidth="1"/>
    <col min="13064" max="13064" width="15.42578125" style="619" customWidth="1"/>
    <col min="13065" max="13065" width="13.42578125" style="619" customWidth="1"/>
    <col min="13066" max="13066" width="13.7109375" style="619" customWidth="1"/>
    <col min="13067" max="13067" width="24.140625" style="619" customWidth="1"/>
    <col min="13068" max="13068" width="18.42578125" style="619" customWidth="1"/>
    <col min="13069" max="13069" width="17.7109375" style="619" customWidth="1"/>
    <col min="13070" max="13070" width="20.140625" style="619" customWidth="1"/>
    <col min="13071" max="13071" width="18.42578125" style="619" customWidth="1"/>
    <col min="13072" max="13312" width="25" style="619"/>
    <col min="13313" max="13313" width="7.85546875" style="619" customWidth="1"/>
    <col min="13314" max="13314" width="12.42578125" style="619" customWidth="1"/>
    <col min="13315" max="13315" width="76.7109375" style="619" customWidth="1"/>
    <col min="13316" max="13316" width="8.7109375" style="619" customWidth="1"/>
    <col min="13317" max="13317" width="11.140625" style="619" customWidth="1"/>
    <col min="13318" max="13318" width="18.28515625" style="619" customWidth="1"/>
    <col min="13319" max="13319" width="23.140625" style="619" customWidth="1"/>
    <col min="13320" max="13320" width="15.42578125" style="619" customWidth="1"/>
    <col min="13321" max="13321" width="13.42578125" style="619" customWidth="1"/>
    <col min="13322" max="13322" width="13.7109375" style="619" customWidth="1"/>
    <col min="13323" max="13323" width="24.140625" style="619" customWidth="1"/>
    <col min="13324" max="13324" width="18.42578125" style="619" customWidth="1"/>
    <col min="13325" max="13325" width="17.7109375" style="619" customWidth="1"/>
    <col min="13326" max="13326" width="20.140625" style="619" customWidth="1"/>
    <col min="13327" max="13327" width="18.42578125" style="619" customWidth="1"/>
    <col min="13328" max="13568" width="25" style="619"/>
    <col min="13569" max="13569" width="7.85546875" style="619" customWidth="1"/>
    <col min="13570" max="13570" width="12.42578125" style="619" customWidth="1"/>
    <col min="13571" max="13571" width="76.7109375" style="619" customWidth="1"/>
    <col min="13572" max="13572" width="8.7109375" style="619" customWidth="1"/>
    <col min="13573" max="13573" width="11.140625" style="619" customWidth="1"/>
    <col min="13574" max="13574" width="18.28515625" style="619" customWidth="1"/>
    <col min="13575" max="13575" width="23.140625" style="619" customWidth="1"/>
    <col min="13576" max="13576" width="15.42578125" style="619" customWidth="1"/>
    <col min="13577" max="13577" width="13.42578125" style="619" customWidth="1"/>
    <col min="13578" max="13578" width="13.7109375" style="619" customWidth="1"/>
    <col min="13579" max="13579" width="24.140625" style="619" customWidth="1"/>
    <col min="13580" max="13580" width="18.42578125" style="619" customWidth="1"/>
    <col min="13581" max="13581" width="17.7109375" style="619" customWidth="1"/>
    <col min="13582" max="13582" width="20.140625" style="619" customWidth="1"/>
    <col min="13583" max="13583" width="18.42578125" style="619" customWidth="1"/>
    <col min="13584" max="13824" width="25" style="619"/>
    <col min="13825" max="13825" width="7.85546875" style="619" customWidth="1"/>
    <col min="13826" max="13826" width="12.42578125" style="619" customWidth="1"/>
    <col min="13827" max="13827" width="76.7109375" style="619" customWidth="1"/>
    <col min="13828" max="13828" width="8.7109375" style="619" customWidth="1"/>
    <col min="13829" max="13829" width="11.140625" style="619" customWidth="1"/>
    <col min="13830" max="13830" width="18.28515625" style="619" customWidth="1"/>
    <col min="13831" max="13831" width="23.140625" style="619" customWidth="1"/>
    <col min="13832" max="13832" width="15.42578125" style="619" customWidth="1"/>
    <col min="13833" max="13833" width="13.42578125" style="619" customWidth="1"/>
    <col min="13834" max="13834" width="13.7109375" style="619" customWidth="1"/>
    <col min="13835" max="13835" width="24.140625" style="619" customWidth="1"/>
    <col min="13836" max="13836" width="18.42578125" style="619" customWidth="1"/>
    <col min="13837" max="13837" width="17.7109375" style="619" customWidth="1"/>
    <col min="13838" max="13838" width="20.140625" style="619" customWidth="1"/>
    <col min="13839" max="13839" width="18.42578125" style="619" customWidth="1"/>
    <col min="13840" max="14080" width="25" style="619"/>
    <col min="14081" max="14081" width="7.85546875" style="619" customWidth="1"/>
    <col min="14082" max="14082" width="12.42578125" style="619" customWidth="1"/>
    <col min="14083" max="14083" width="76.7109375" style="619" customWidth="1"/>
    <col min="14084" max="14084" width="8.7109375" style="619" customWidth="1"/>
    <col min="14085" max="14085" width="11.140625" style="619" customWidth="1"/>
    <col min="14086" max="14086" width="18.28515625" style="619" customWidth="1"/>
    <col min="14087" max="14087" width="23.140625" style="619" customWidth="1"/>
    <col min="14088" max="14088" width="15.42578125" style="619" customWidth="1"/>
    <col min="14089" max="14089" width="13.42578125" style="619" customWidth="1"/>
    <col min="14090" max="14090" width="13.7109375" style="619" customWidth="1"/>
    <col min="14091" max="14091" width="24.140625" style="619" customWidth="1"/>
    <col min="14092" max="14092" width="18.42578125" style="619" customWidth="1"/>
    <col min="14093" max="14093" width="17.7109375" style="619" customWidth="1"/>
    <col min="14094" max="14094" width="20.140625" style="619" customWidth="1"/>
    <col min="14095" max="14095" width="18.42578125" style="619" customWidth="1"/>
    <col min="14096" max="14336" width="25" style="619"/>
    <col min="14337" max="14337" width="7.85546875" style="619" customWidth="1"/>
    <col min="14338" max="14338" width="12.42578125" style="619" customWidth="1"/>
    <col min="14339" max="14339" width="76.7109375" style="619" customWidth="1"/>
    <col min="14340" max="14340" width="8.7109375" style="619" customWidth="1"/>
    <col min="14341" max="14341" width="11.140625" style="619" customWidth="1"/>
    <col min="14342" max="14342" width="18.28515625" style="619" customWidth="1"/>
    <col min="14343" max="14343" width="23.140625" style="619" customWidth="1"/>
    <col min="14344" max="14344" width="15.42578125" style="619" customWidth="1"/>
    <col min="14345" max="14345" width="13.42578125" style="619" customWidth="1"/>
    <col min="14346" max="14346" width="13.7109375" style="619" customWidth="1"/>
    <col min="14347" max="14347" width="24.140625" style="619" customWidth="1"/>
    <col min="14348" max="14348" width="18.42578125" style="619" customWidth="1"/>
    <col min="14349" max="14349" width="17.7109375" style="619" customWidth="1"/>
    <col min="14350" max="14350" width="20.140625" style="619" customWidth="1"/>
    <col min="14351" max="14351" width="18.42578125" style="619" customWidth="1"/>
    <col min="14352" max="14592" width="25" style="619"/>
    <col min="14593" max="14593" width="7.85546875" style="619" customWidth="1"/>
    <col min="14594" max="14594" width="12.42578125" style="619" customWidth="1"/>
    <col min="14595" max="14595" width="76.7109375" style="619" customWidth="1"/>
    <col min="14596" max="14596" width="8.7109375" style="619" customWidth="1"/>
    <col min="14597" max="14597" width="11.140625" style="619" customWidth="1"/>
    <col min="14598" max="14598" width="18.28515625" style="619" customWidth="1"/>
    <col min="14599" max="14599" width="23.140625" style="619" customWidth="1"/>
    <col min="14600" max="14600" width="15.42578125" style="619" customWidth="1"/>
    <col min="14601" max="14601" width="13.42578125" style="619" customWidth="1"/>
    <col min="14602" max="14602" width="13.7109375" style="619" customWidth="1"/>
    <col min="14603" max="14603" width="24.140625" style="619" customWidth="1"/>
    <col min="14604" max="14604" width="18.42578125" style="619" customWidth="1"/>
    <col min="14605" max="14605" width="17.7109375" style="619" customWidth="1"/>
    <col min="14606" max="14606" width="20.140625" style="619" customWidth="1"/>
    <col min="14607" max="14607" width="18.42578125" style="619" customWidth="1"/>
    <col min="14608" max="14848" width="25" style="619"/>
    <col min="14849" max="14849" width="7.85546875" style="619" customWidth="1"/>
    <col min="14850" max="14850" width="12.42578125" style="619" customWidth="1"/>
    <col min="14851" max="14851" width="76.7109375" style="619" customWidth="1"/>
    <col min="14852" max="14852" width="8.7109375" style="619" customWidth="1"/>
    <col min="14853" max="14853" width="11.140625" style="619" customWidth="1"/>
    <col min="14854" max="14854" width="18.28515625" style="619" customWidth="1"/>
    <col min="14855" max="14855" width="23.140625" style="619" customWidth="1"/>
    <col min="14856" max="14856" width="15.42578125" style="619" customWidth="1"/>
    <col min="14857" max="14857" width="13.42578125" style="619" customWidth="1"/>
    <col min="14858" max="14858" width="13.7109375" style="619" customWidth="1"/>
    <col min="14859" max="14859" width="24.140625" style="619" customWidth="1"/>
    <col min="14860" max="14860" width="18.42578125" style="619" customWidth="1"/>
    <col min="14861" max="14861" width="17.7109375" style="619" customWidth="1"/>
    <col min="14862" max="14862" width="20.140625" style="619" customWidth="1"/>
    <col min="14863" max="14863" width="18.42578125" style="619" customWidth="1"/>
    <col min="14864" max="15104" width="25" style="619"/>
    <col min="15105" max="15105" width="7.85546875" style="619" customWidth="1"/>
    <col min="15106" max="15106" width="12.42578125" style="619" customWidth="1"/>
    <col min="15107" max="15107" width="76.7109375" style="619" customWidth="1"/>
    <col min="15108" max="15108" width="8.7109375" style="619" customWidth="1"/>
    <col min="15109" max="15109" width="11.140625" style="619" customWidth="1"/>
    <col min="15110" max="15110" width="18.28515625" style="619" customWidth="1"/>
    <col min="15111" max="15111" width="23.140625" style="619" customWidth="1"/>
    <col min="15112" max="15112" width="15.42578125" style="619" customWidth="1"/>
    <col min="15113" max="15113" width="13.42578125" style="619" customWidth="1"/>
    <col min="15114" max="15114" width="13.7109375" style="619" customWidth="1"/>
    <col min="15115" max="15115" width="24.140625" style="619" customWidth="1"/>
    <col min="15116" max="15116" width="18.42578125" style="619" customWidth="1"/>
    <col min="15117" max="15117" width="17.7109375" style="619" customWidth="1"/>
    <col min="15118" max="15118" width="20.140625" style="619" customWidth="1"/>
    <col min="15119" max="15119" width="18.42578125" style="619" customWidth="1"/>
    <col min="15120" max="15360" width="25" style="619"/>
    <col min="15361" max="15361" width="7.85546875" style="619" customWidth="1"/>
    <col min="15362" max="15362" width="12.42578125" style="619" customWidth="1"/>
    <col min="15363" max="15363" width="76.7109375" style="619" customWidth="1"/>
    <col min="15364" max="15364" width="8.7109375" style="619" customWidth="1"/>
    <col min="15365" max="15365" width="11.140625" style="619" customWidth="1"/>
    <col min="15366" max="15366" width="18.28515625" style="619" customWidth="1"/>
    <col min="15367" max="15367" width="23.140625" style="619" customWidth="1"/>
    <col min="15368" max="15368" width="15.42578125" style="619" customWidth="1"/>
    <col min="15369" max="15369" width="13.42578125" style="619" customWidth="1"/>
    <col min="15370" max="15370" width="13.7109375" style="619" customWidth="1"/>
    <col min="15371" max="15371" width="24.140625" style="619" customWidth="1"/>
    <col min="15372" max="15372" width="18.42578125" style="619" customWidth="1"/>
    <col min="15373" max="15373" width="17.7109375" style="619" customWidth="1"/>
    <col min="15374" max="15374" width="20.140625" style="619" customWidth="1"/>
    <col min="15375" max="15375" width="18.42578125" style="619" customWidth="1"/>
    <col min="15376" max="15616" width="25" style="619"/>
    <col min="15617" max="15617" width="7.85546875" style="619" customWidth="1"/>
    <col min="15618" max="15618" width="12.42578125" style="619" customWidth="1"/>
    <col min="15619" max="15619" width="76.7109375" style="619" customWidth="1"/>
    <col min="15620" max="15620" width="8.7109375" style="619" customWidth="1"/>
    <col min="15621" max="15621" width="11.140625" style="619" customWidth="1"/>
    <col min="15622" max="15622" width="18.28515625" style="619" customWidth="1"/>
    <col min="15623" max="15623" width="23.140625" style="619" customWidth="1"/>
    <col min="15624" max="15624" width="15.42578125" style="619" customWidth="1"/>
    <col min="15625" max="15625" width="13.42578125" style="619" customWidth="1"/>
    <col min="15626" max="15626" width="13.7109375" style="619" customWidth="1"/>
    <col min="15627" max="15627" width="24.140625" style="619" customWidth="1"/>
    <col min="15628" max="15628" width="18.42578125" style="619" customWidth="1"/>
    <col min="15629" max="15629" width="17.7109375" style="619" customWidth="1"/>
    <col min="15630" max="15630" width="20.140625" style="619" customWidth="1"/>
    <col min="15631" max="15631" width="18.42578125" style="619" customWidth="1"/>
    <col min="15632" max="15872" width="25" style="619"/>
    <col min="15873" max="15873" width="7.85546875" style="619" customWidth="1"/>
    <col min="15874" max="15874" width="12.42578125" style="619" customWidth="1"/>
    <col min="15875" max="15875" width="76.7109375" style="619" customWidth="1"/>
    <col min="15876" max="15876" width="8.7109375" style="619" customWidth="1"/>
    <col min="15877" max="15877" width="11.140625" style="619" customWidth="1"/>
    <col min="15878" max="15878" width="18.28515625" style="619" customWidth="1"/>
    <col min="15879" max="15879" width="23.140625" style="619" customWidth="1"/>
    <col min="15880" max="15880" width="15.42578125" style="619" customWidth="1"/>
    <col min="15881" max="15881" width="13.42578125" style="619" customWidth="1"/>
    <col min="15882" max="15882" width="13.7109375" style="619" customWidth="1"/>
    <col min="15883" max="15883" width="24.140625" style="619" customWidth="1"/>
    <col min="15884" max="15884" width="18.42578125" style="619" customWidth="1"/>
    <col min="15885" max="15885" width="17.7109375" style="619" customWidth="1"/>
    <col min="15886" max="15886" width="20.140625" style="619" customWidth="1"/>
    <col min="15887" max="15887" width="18.42578125" style="619" customWidth="1"/>
    <col min="15888" max="16128" width="25" style="619"/>
    <col min="16129" max="16129" width="7.85546875" style="619" customWidth="1"/>
    <col min="16130" max="16130" width="12.42578125" style="619" customWidth="1"/>
    <col min="16131" max="16131" width="76.7109375" style="619" customWidth="1"/>
    <col min="16132" max="16132" width="8.7109375" style="619" customWidth="1"/>
    <col min="16133" max="16133" width="11.140625" style="619" customWidth="1"/>
    <col min="16134" max="16134" width="18.28515625" style="619" customWidth="1"/>
    <col min="16135" max="16135" width="23.140625" style="619" customWidth="1"/>
    <col min="16136" max="16136" width="15.42578125" style="619" customWidth="1"/>
    <col min="16137" max="16137" width="13.42578125" style="619" customWidth="1"/>
    <col min="16138" max="16138" width="13.7109375" style="619" customWidth="1"/>
    <col min="16139" max="16139" width="24.140625" style="619" customWidth="1"/>
    <col min="16140" max="16140" width="18.42578125" style="619" customWidth="1"/>
    <col min="16141" max="16141" width="17.7109375" style="619" customWidth="1"/>
    <col min="16142" max="16142" width="20.140625" style="619" customWidth="1"/>
    <col min="16143" max="16143" width="18.42578125" style="619" customWidth="1"/>
    <col min="16144" max="16384" width="25" style="619"/>
  </cols>
  <sheetData>
    <row r="2" spans="1:231" x14ac:dyDescent="0.25">
      <c r="C2" s="1981" t="s">
        <v>810</v>
      </c>
      <c r="D2" s="1981"/>
      <c r="E2" s="1981"/>
      <c r="F2" s="1981"/>
    </row>
    <row r="3" spans="1:231" ht="17.25" customHeight="1" x14ac:dyDescent="0.25">
      <c r="C3" s="1981" t="s">
        <v>937</v>
      </c>
      <c r="D3" s="1981"/>
      <c r="E3" s="1981"/>
      <c r="F3" s="1981"/>
      <c r="G3" s="621"/>
      <c r="H3" s="622"/>
      <c r="I3" s="622"/>
    </row>
    <row r="4" spans="1:231" s="623" customFormat="1" ht="15.75" customHeight="1" thickBot="1" x14ac:dyDescent="0.3">
      <c r="A4" s="618"/>
      <c r="C4" s="1982" t="s">
        <v>938</v>
      </c>
      <c r="D4" s="1982"/>
      <c r="E4" s="1982"/>
      <c r="F4" s="1982"/>
      <c r="G4" s="624"/>
      <c r="H4" s="625"/>
      <c r="I4" s="625"/>
      <c r="K4" s="626"/>
      <c r="L4" s="626"/>
      <c r="M4" s="626"/>
      <c r="O4" s="626"/>
    </row>
    <row r="5" spans="1:231" s="630" customFormat="1" ht="12.75" customHeight="1" x14ac:dyDescent="0.25">
      <c r="A5" s="627"/>
      <c r="B5" s="628"/>
      <c r="C5" s="629"/>
      <c r="D5" s="1983"/>
      <c r="E5" s="1983"/>
      <c r="F5" s="1983"/>
      <c r="G5" s="1983"/>
      <c r="H5" s="1983"/>
      <c r="I5" s="1929" t="s">
        <v>812</v>
      </c>
      <c r="J5" s="1929"/>
      <c r="K5" s="1929"/>
      <c r="L5" s="1929"/>
      <c r="M5" s="1929"/>
      <c r="N5" s="1929"/>
      <c r="O5" s="1930"/>
    </row>
    <row r="6" spans="1:231" s="623" customFormat="1" ht="33.75" customHeight="1" x14ac:dyDescent="0.25">
      <c r="A6" s="618"/>
      <c r="B6" s="1977" t="s">
        <v>939</v>
      </c>
      <c r="C6" s="1977"/>
      <c r="D6" s="1977"/>
      <c r="E6" s="1977"/>
      <c r="F6" s="1977"/>
      <c r="G6" s="1977"/>
      <c r="H6" s="1977"/>
      <c r="I6" s="631" t="s">
        <v>940</v>
      </c>
      <c r="J6" s="1978" t="s">
        <v>941</v>
      </c>
      <c r="K6" s="1978"/>
      <c r="L6" s="1978"/>
      <c r="M6" s="1978"/>
      <c r="N6" s="1978"/>
      <c r="O6" s="1978"/>
    </row>
    <row r="7" spans="1:231" s="623" customFormat="1" ht="33.75" customHeight="1" x14ac:dyDescent="0.25">
      <c r="A7" s="618"/>
      <c r="B7" s="632"/>
      <c r="C7" s="632"/>
      <c r="D7" s="1979" t="s">
        <v>936</v>
      </c>
      <c r="E7" s="1979"/>
      <c r="F7" s="1979"/>
      <c r="G7" s="1979"/>
      <c r="H7" s="1979"/>
      <c r="I7" s="632"/>
      <c r="J7" s="1978"/>
      <c r="K7" s="1978"/>
      <c r="L7" s="1978"/>
      <c r="M7" s="1978"/>
      <c r="N7" s="1978"/>
      <c r="O7" s="1978"/>
    </row>
    <row r="8" spans="1:231" s="623" customFormat="1" x14ac:dyDescent="0.25">
      <c r="A8" s="618"/>
      <c r="B8" s="1977" t="s">
        <v>942</v>
      </c>
      <c r="C8" s="1977"/>
      <c r="D8" s="1979"/>
      <c r="E8" s="1979"/>
      <c r="F8" s="1979"/>
      <c r="G8" s="1979"/>
      <c r="H8" s="1979"/>
      <c r="I8" s="633" t="s">
        <v>943</v>
      </c>
      <c r="J8" s="1980">
        <v>373227795</v>
      </c>
      <c r="K8" s="1980"/>
      <c r="L8" s="634"/>
      <c r="M8" s="634"/>
      <c r="N8" s="632"/>
      <c r="O8" s="635"/>
    </row>
    <row r="9" spans="1:231" s="623" customFormat="1" ht="16.5" customHeight="1" x14ac:dyDescent="0.25">
      <c r="A9" s="618"/>
      <c r="B9" s="1985"/>
      <c r="C9" s="1986"/>
      <c r="D9" s="1979"/>
      <c r="E9" s="1979"/>
      <c r="F9" s="1979"/>
      <c r="G9" s="1979"/>
      <c r="H9" s="1979"/>
      <c r="I9" s="636" t="s">
        <v>944</v>
      </c>
      <c r="J9" s="637"/>
      <c r="K9" s="635"/>
      <c r="L9" s="635"/>
      <c r="M9" s="635"/>
      <c r="N9" s="636" t="s">
        <v>817</v>
      </c>
      <c r="O9" s="635"/>
    </row>
    <row r="10" spans="1:231" s="623" customFormat="1" ht="16.5" customHeight="1" x14ac:dyDescent="0.25">
      <c r="A10" s="618"/>
      <c r="B10" s="1977" t="s">
        <v>945</v>
      </c>
      <c r="C10" s="1977"/>
      <c r="D10" s="1979"/>
      <c r="E10" s="1979"/>
      <c r="F10" s="1979"/>
      <c r="G10" s="1979"/>
      <c r="H10" s="1979"/>
      <c r="I10" s="636" t="s">
        <v>819</v>
      </c>
      <c r="J10" s="637"/>
      <c r="K10" s="635"/>
      <c r="L10" s="635"/>
      <c r="M10" s="635"/>
      <c r="N10" s="636" t="s">
        <v>946</v>
      </c>
      <c r="O10" s="634"/>
    </row>
    <row r="11" spans="1:231" s="623" customFormat="1" x14ac:dyDescent="0.25">
      <c r="A11" s="618"/>
      <c r="B11" s="1987"/>
      <c r="C11" s="1987"/>
      <c r="D11" s="638" t="s">
        <v>947</v>
      </c>
      <c r="E11" s="638"/>
      <c r="F11" s="639">
        <v>45105</v>
      </c>
      <c r="G11" s="638" t="s">
        <v>948</v>
      </c>
      <c r="H11" s="639">
        <v>45226</v>
      </c>
      <c r="I11" s="636" t="s">
        <v>949</v>
      </c>
      <c r="J11" s="636"/>
      <c r="K11" s="635"/>
      <c r="L11" s="635"/>
      <c r="M11" s="635"/>
      <c r="N11" s="636" t="s">
        <v>822</v>
      </c>
      <c r="O11" s="635"/>
    </row>
    <row r="12" spans="1:231" s="623" customFormat="1" ht="21" customHeight="1" x14ac:dyDescent="0.25">
      <c r="A12" s="618"/>
      <c r="B12" s="1988"/>
      <c r="C12" s="1989"/>
      <c r="D12" s="640" t="s">
        <v>823</v>
      </c>
      <c r="E12" s="640"/>
      <c r="F12" s="641"/>
      <c r="G12" s="641"/>
      <c r="H12" s="1990" t="s">
        <v>824</v>
      </c>
      <c r="I12" s="1990"/>
      <c r="J12" s="1990"/>
      <c r="K12" s="1990"/>
      <c r="L12" s="1990" t="s">
        <v>950</v>
      </c>
      <c r="M12" s="1990"/>
      <c r="N12" s="1990" t="s">
        <v>951</v>
      </c>
      <c r="O12" s="1990"/>
    </row>
    <row r="13" spans="1:231" x14ac:dyDescent="0.25">
      <c r="B13" s="642" t="s">
        <v>4</v>
      </c>
      <c r="C13" s="642" t="s">
        <v>829</v>
      </c>
      <c r="D13" s="642" t="s">
        <v>6</v>
      </c>
      <c r="E13" s="643" t="s">
        <v>830</v>
      </c>
      <c r="F13" s="644" t="s">
        <v>831</v>
      </c>
      <c r="G13" s="644" t="s">
        <v>832</v>
      </c>
      <c r="H13" s="642" t="s">
        <v>782</v>
      </c>
      <c r="I13" s="642" t="s">
        <v>783</v>
      </c>
      <c r="J13" s="642" t="s">
        <v>830</v>
      </c>
      <c r="K13" s="644" t="s">
        <v>832</v>
      </c>
      <c r="L13" s="642" t="s">
        <v>830</v>
      </c>
      <c r="M13" s="644" t="s">
        <v>832</v>
      </c>
      <c r="N13" s="642" t="s">
        <v>830</v>
      </c>
      <c r="O13" s="644" t="s">
        <v>832</v>
      </c>
      <c r="P13" s="645"/>
      <c r="Q13" s="645"/>
      <c r="R13" s="645"/>
      <c r="S13" s="645"/>
      <c r="T13" s="645"/>
      <c r="U13" s="645"/>
      <c r="V13" s="645"/>
      <c r="W13" s="645"/>
      <c r="X13" s="645"/>
      <c r="Y13" s="645"/>
      <c r="Z13" s="645"/>
      <c r="AA13" s="645"/>
      <c r="AB13" s="645"/>
      <c r="AC13" s="645"/>
      <c r="AD13" s="645"/>
      <c r="AE13" s="645"/>
      <c r="AF13" s="645"/>
      <c r="AG13" s="645"/>
      <c r="AH13" s="645"/>
      <c r="AI13" s="645"/>
      <c r="AJ13" s="645"/>
      <c r="AK13" s="645"/>
      <c r="AL13" s="645"/>
      <c r="AM13" s="645"/>
      <c r="AN13" s="645"/>
      <c r="AO13" s="645"/>
      <c r="AP13" s="645"/>
      <c r="AQ13" s="645"/>
      <c r="AR13" s="645"/>
      <c r="AS13" s="645"/>
      <c r="AT13" s="645"/>
      <c r="AU13" s="645"/>
      <c r="AV13" s="645"/>
      <c r="AW13" s="645"/>
      <c r="AX13" s="645"/>
      <c r="AY13" s="645"/>
      <c r="AZ13" s="645"/>
      <c r="BA13" s="645"/>
      <c r="BB13" s="645"/>
      <c r="BC13" s="645"/>
      <c r="BD13" s="645"/>
      <c r="BE13" s="645"/>
      <c r="BF13" s="645"/>
      <c r="BG13" s="645"/>
      <c r="BH13" s="645"/>
      <c r="BI13" s="645"/>
      <c r="BJ13" s="645"/>
      <c r="BK13" s="645"/>
      <c r="BL13" s="645"/>
      <c r="BM13" s="645"/>
      <c r="BN13" s="645"/>
      <c r="BO13" s="645"/>
      <c r="BP13" s="645"/>
      <c r="BQ13" s="645"/>
      <c r="BR13" s="645"/>
      <c r="BS13" s="645"/>
      <c r="BT13" s="645"/>
      <c r="BU13" s="645"/>
      <c r="BV13" s="645"/>
      <c r="BW13" s="645"/>
      <c r="BX13" s="645"/>
      <c r="BY13" s="645"/>
      <c r="BZ13" s="645"/>
      <c r="CA13" s="645"/>
      <c r="CB13" s="645"/>
      <c r="CC13" s="645"/>
      <c r="CD13" s="645"/>
      <c r="CE13" s="645"/>
      <c r="CF13" s="645"/>
      <c r="CG13" s="645"/>
      <c r="CH13" s="645"/>
      <c r="CI13" s="645"/>
      <c r="CJ13" s="645"/>
      <c r="CK13" s="645"/>
      <c r="CL13" s="645"/>
      <c r="CM13" s="645"/>
      <c r="CN13" s="645"/>
      <c r="CO13" s="645"/>
      <c r="CP13" s="645"/>
      <c r="CQ13" s="645"/>
      <c r="CR13" s="645"/>
      <c r="CS13" s="645"/>
      <c r="CT13" s="645"/>
      <c r="CU13" s="645"/>
      <c r="CV13" s="645"/>
      <c r="CW13" s="645"/>
      <c r="CX13" s="645"/>
      <c r="CY13" s="645"/>
      <c r="CZ13" s="645"/>
      <c r="DA13" s="645"/>
      <c r="DB13" s="645"/>
      <c r="DC13" s="645"/>
      <c r="DD13" s="645"/>
      <c r="DE13" s="645"/>
      <c r="DF13" s="645"/>
      <c r="DG13" s="645"/>
      <c r="DH13" s="645"/>
      <c r="DI13" s="645"/>
      <c r="DJ13" s="645"/>
      <c r="DK13" s="645"/>
      <c r="DL13" s="645"/>
      <c r="DM13" s="645"/>
      <c r="DN13" s="645"/>
      <c r="DO13" s="645"/>
      <c r="DP13" s="645"/>
      <c r="DQ13" s="645"/>
      <c r="DR13" s="645"/>
      <c r="DS13" s="645"/>
      <c r="DT13" s="645"/>
      <c r="DU13" s="645"/>
      <c r="DV13" s="645"/>
      <c r="DW13" s="645"/>
      <c r="DX13" s="645"/>
      <c r="DY13" s="645"/>
      <c r="DZ13" s="645"/>
      <c r="EA13" s="645"/>
      <c r="EB13" s="645"/>
      <c r="EC13" s="645"/>
      <c r="ED13" s="645"/>
      <c r="EE13" s="645"/>
      <c r="EF13" s="645"/>
      <c r="EG13" s="645"/>
      <c r="EH13" s="645"/>
      <c r="EI13" s="645"/>
      <c r="EJ13" s="645"/>
      <c r="EK13" s="645"/>
      <c r="EL13" s="645"/>
      <c r="EM13" s="645"/>
      <c r="EN13" s="645"/>
      <c r="EO13" s="645"/>
      <c r="EP13" s="645"/>
      <c r="EQ13" s="645"/>
      <c r="ER13" s="645"/>
      <c r="ES13" s="645"/>
      <c r="ET13" s="645"/>
      <c r="EU13" s="645"/>
      <c r="EV13" s="645"/>
      <c r="EW13" s="645"/>
      <c r="EX13" s="645"/>
      <c r="EY13" s="645"/>
      <c r="EZ13" s="645"/>
      <c r="FA13" s="645"/>
      <c r="FB13" s="645"/>
      <c r="FC13" s="645"/>
      <c r="FD13" s="645"/>
      <c r="FE13" s="645"/>
      <c r="FF13" s="645"/>
      <c r="FG13" s="645"/>
      <c r="FH13" s="645"/>
      <c r="FI13" s="645"/>
      <c r="FJ13" s="645"/>
      <c r="FK13" s="645"/>
      <c r="FL13" s="645"/>
      <c r="FM13" s="645"/>
      <c r="FN13" s="645"/>
      <c r="FO13" s="645"/>
      <c r="FP13" s="645"/>
      <c r="FQ13" s="645"/>
      <c r="FR13" s="645"/>
      <c r="FS13" s="645"/>
      <c r="FT13" s="645"/>
      <c r="FU13" s="645"/>
      <c r="FV13" s="645"/>
      <c r="FW13" s="645"/>
      <c r="FX13" s="645"/>
      <c r="FY13" s="645"/>
      <c r="FZ13" s="645"/>
      <c r="GA13" s="645"/>
      <c r="GB13" s="645"/>
      <c r="GC13" s="645"/>
      <c r="GD13" s="645"/>
      <c r="GE13" s="645"/>
      <c r="GF13" s="645"/>
      <c r="GG13" s="645"/>
      <c r="GH13" s="645"/>
      <c r="GI13" s="645"/>
      <c r="GJ13" s="645"/>
      <c r="GK13" s="645"/>
      <c r="GL13" s="645"/>
      <c r="GM13" s="645"/>
      <c r="GN13" s="645"/>
      <c r="GO13" s="645"/>
      <c r="GP13" s="645"/>
      <c r="GQ13" s="645"/>
      <c r="GR13" s="645"/>
      <c r="GS13" s="645"/>
      <c r="GT13" s="645"/>
      <c r="GU13" s="645"/>
      <c r="GV13" s="645"/>
      <c r="GW13" s="645"/>
      <c r="GX13" s="645"/>
      <c r="GY13" s="645"/>
      <c r="GZ13" s="645"/>
      <c r="HA13" s="645"/>
      <c r="HB13" s="645"/>
      <c r="HC13" s="645"/>
      <c r="HD13" s="645"/>
      <c r="HE13" s="645"/>
      <c r="HF13" s="645"/>
      <c r="HG13" s="645"/>
      <c r="HH13" s="645"/>
      <c r="HI13" s="645"/>
      <c r="HJ13" s="645"/>
      <c r="HK13" s="645"/>
      <c r="HL13" s="645"/>
      <c r="HM13" s="645"/>
      <c r="HN13" s="645"/>
      <c r="HO13" s="645"/>
      <c r="HP13" s="645"/>
      <c r="HQ13" s="645"/>
      <c r="HR13" s="645"/>
      <c r="HS13" s="645"/>
      <c r="HT13" s="645"/>
    </row>
    <row r="14" spans="1:231" s="657" customFormat="1" ht="15.75" thickBot="1" x14ac:dyDescent="0.3">
      <c r="A14" s="646"/>
      <c r="B14" s="647"/>
      <c r="C14" s="648"/>
      <c r="D14" s="649"/>
      <c r="E14" s="650"/>
      <c r="F14" s="651"/>
      <c r="G14" s="651"/>
      <c r="H14" s="652"/>
      <c r="I14" s="652"/>
      <c r="J14" s="650"/>
      <c r="K14" s="653"/>
      <c r="L14" s="653"/>
      <c r="M14" s="653"/>
      <c r="N14" s="654"/>
      <c r="O14" s="655"/>
      <c r="P14" s="656"/>
      <c r="Q14" s="656"/>
      <c r="R14" s="656"/>
      <c r="S14" s="656"/>
      <c r="T14" s="656"/>
      <c r="U14" s="656"/>
      <c r="V14" s="656"/>
      <c r="W14" s="656"/>
      <c r="X14" s="656"/>
      <c r="Y14" s="656"/>
      <c r="Z14" s="656"/>
      <c r="AA14" s="656"/>
      <c r="AB14" s="656"/>
      <c r="AC14" s="656"/>
      <c r="AD14" s="656"/>
      <c r="AE14" s="656"/>
      <c r="AF14" s="656"/>
      <c r="AG14" s="656"/>
      <c r="AH14" s="656"/>
      <c r="AI14" s="656"/>
      <c r="AJ14" s="656"/>
      <c r="AK14" s="656"/>
      <c r="AL14" s="656"/>
      <c r="AM14" s="656"/>
      <c r="AN14" s="656"/>
      <c r="AO14" s="656"/>
      <c r="AP14" s="656"/>
      <c r="AQ14" s="656"/>
      <c r="AR14" s="656"/>
      <c r="AS14" s="656"/>
      <c r="AT14" s="656"/>
      <c r="AU14" s="656"/>
      <c r="AV14" s="656"/>
      <c r="AW14" s="656"/>
      <c r="AX14" s="656"/>
      <c r="AY14" s="656"/>
      <c r="AZ14" s="656"/>
      <c r="BA14" s="656"/>
      <c r="BB14" s="656"/>
      <c r="BC14" s="656"/>
      <c r="BD14" s="656"/>
      <c r="BE14" s="656"/>
      <c r="BF14" s="656"/>
      <c r="BG14" s="656"/>
      <c r="BH14" s="656"/>
      <c r="BI14" s="656"/>
      <c r="BJ14" s="656"/>
      <c r="BK14" s="656"/>
      <c r="BL14" s="656"/>
      <c r="BM14" s="656"/>
      <c r="BN14" s="656"/>
      <c r="BO14" s="656"/>
      <c r="BP14" s="656"/>
      <c r="BQ14" s="656"/>
      <c r="BR14" s="656"/>
      <c r="BS14" s="656"/>
      <c r="BT14" s="656"/>
      <c r="BU14" s="656"/>
      <c r="BV14" s="656"/>
      <c r="BW14" s="656"/>
      <c r="BX14" s="656"/>
      <c r="BY14" s="656"/>
      <c r="BZ14" s="656"/>
      <c r="CA14" s="656"/>
      <c r="CB14" s="656"/>
      <c r="CC14" s="656"/>
      <c r="CD14" s="656"/>
      <c r="CE14" s="656"/>
      <c r="CF14" s="656"/>
      <c r="CG14" s="656"/>
      <c r="CH14" s="656"/>
      <c r="CI14" s="656"/>
      <c r="CJ14" s="656"/>
      <c r="CK14" s="656"/>
      <c r="CL14" s="656"/>
      <c r="CM14" s="656"/>
      <c r="CN14" s="656"/>
      <c r="CO14" s="656"/>
      <c r="CP14" s="656"/>
      <c r="CQ14" s="656"/>
      <c r="CR14" s="656"/>
      <c r="CS14" s="656"/>
      <c r="CT14" s="656"/>
      <c r="CU14" s="656"/>
      <c r="CV14" s="656"/>
      <c r="CW14" s="656"/>
      <c r="CX14" s="656"/>
      <c r="CY14" s="656"/>
      <c r="CZ14" s="656"/>
      <c r="DA14" s="656"/>
      <c r="DB14" s="656"/>
      <c r="DC14" s="656"/>
      <c r="DD14" s="656"/>
      <c r="DE14" s="656"/>
      <c r="DF14" s="656"/>
      <c r="DG14" s="656"/>
      <c r="DH14" s="656"/>
      <c r="DI14" s="656"/>
      <c r="DJ14" s="656"/>
      <c r="DK14" s="656"/>
      <c r="DL14" s="656"/>
      <c r="DM14" s="656"/>
      <c r="DN14" s="656"/>
      <c r="DO14" s="656"/>
      <c r="DP14" s="656"/>
      <c r="DQ14" s="656"/>
      <c r="DR14" s="656"/>
      <c r="DS14" s="656"/>
      <c r="DT14" s="656"/>
      <c r="DU14" s="656"/>
      <c r="DV14" s="656"/>
      <c r="DW14" s="656"/>
      <c r="DX14" s="656"/>
      <c r="DY14" s="656"/>
      <c r="DZ14" s="656"/>
      <c r="EA14" s="656"/>
      <c r="EB14" s="656"/>
      <c r="EC14" s="656"/>
      <c r="ED14" s="656"/>
      <c r="EE14" s="656"/>
      <c r="EF14" s="656"/>
      <c r="EG14" s="656"/>
      <c r="EH14" s="656"/>
      <c r="EI14" s="656"/>
      <c r="EJ14" s="656"/>
      <c r="EK14" s="656"/>
      <c r="EL14" s="656"/>
      <c r="EM14" s="656"/>
      <c r="EN14" s="656"/>
      <c r="EO14" s="656"/>
      <c r="EP14" s="656"/>
      <c r="EQ14" s="656"/>
      <c r="ER14" s="656"/>
      <c r="ES14" s="656"/>
      <c r="ET14" s="656"/>
      <c r="EU14" s="656"/>
      <c r="EV14" s="656"/>
      <c r="EW14" s="656"/>
      <c r="EX14" s="656"/>
      <c r="EY14" s="656"/>
      <c r="EZ14" s="656"/>
      <c r="FA14" s="656"/>
      <c r="FB14" s="656"/>
      <c r="FC14" s="656"/>
      <c r="FD14" s="656"/>
      <c r="FE14" s="656"/>
      <c r="FF14" s="656"/>
      <c r="FG14" s="656"/>
      <c r="FH14" s="656"/>
      <c r="FI14" s="656"/>
      <c r="FJ14" s="656"/>
      <c r="FK14" s="656"/>
      <c r="FL14" s="656"/>
      <c r="FM14" s="656"/>
      <c r="FN14" s="656"/>
      <c r="FO14" s="656"/>
      <c r="FP14" s="656"/>
      <c r="FQ14" s="656"/>
      <c r="FR14" s="656"/>
      <c r="FS14" s="656"/>
      <c r="FT14" s="656"/>
      <c r="FU14" s="656"/>
      <c r="FV14" s="656"/>
      <c r="FW14" s="656"/>
      <c r="FX14" s="656"/>
      <c r="FY14" s="656"/>
      <c r="FZ14" s="656"/>
      <c r="GA14" s="656"/>
      <c r="GB14" s="656"/>
      <c r="GC14" s="656"/>
      <c r="GD14" s="656"/>
      <c r="GE14" s="656"/>
      <c r="GF14" s="656"/>
      <c r="GG14" s="656"/>
      <c r="GH14" s="656"/>
      <c r="GI14" s="656"/>
      <c r="GJ14" s="656"/>
      <c r="GK14" s="656"/>
      <c r="GL14" s="656"/>
      <c r="GM14" s="656"/>
      <c r="GN14" s="656"/>
      <c r="GO14" s="656"/>
      <c r="GP14" s="656"/>
      <c r="GQ14" s="656"/>
      <c r="GR14" s="656"/>
      <c r="GS14" s="656"/>
      <c r="GT14" s="656"/>
      <c r="GU14" s="656"/>
      <c r="GV14" s="656"/>
      <c r="GW14" s="656"/>
      <c r="GX14" s="656"/>
      <c r="GY14" s="656"/>
      <c r="GZ14" s="656"/>
      <c r="HA14" s="656"/>
      <c r="HB14" s="656"/>
      <c r="HC14" s="656"/>
      <c r="HD14" s="656"/>
      <c r="HE14" s="656"/>
      <c r="HF14" s="656"/>
      <c r="HG14" s="656"/>
      <c r="HH14" s="656"/>
      <c r="HI14" s="656"/>
      <c r="HJ14" s="656"/>
      <c r="HK14" s="656"/>
      <c r="HL14" s="656"/>
      <c r="HM14" s="656"/>
      <c r="HN14" s="656"/>
      <c r="HO14" s="656"/>
      <c r="HP14" s="656"/>
      <c r="HQ14" s="656"/>
      <c r="HR14" s="656"/>
      <c r="HS14" s="656"/>
      <c r="HT14" s="656"/>
      <c r="HU14" s="656"/>
      <c r="HV14" s="656"/>
      <c r="HW14" s="656"/>
    </row>
    <row r="15" spans="1:231" s="657" customFormat="1" x14ac:dyDescent="0.25">
      <c r="A15" s="646"/>
      <c r="B15" s="658" t="s">
        <v>838</v>
      </c>
      <c r="C15" s="659" t="s">
        <v>952</v>
      </c>
      <c r="D15" s="660"/>
      <c r="E15" s="661"/>
      <c r="F15" s="661"/>
      <c r="G15" s="662"/>
      <c r="H15" s="663"/>
      <c r="I15" s="664"/>
      <c r="J15" s="665"/>
      <c r="K15" s="666"/>
      <c r="L15" s="666"/>
      <c r="M15" s="666"/>
      <c r="N15" s="667"/>
      <c r="O15" s="668"/>
      <c r="P15" s="656"/>
      <c r="Q15" s="656"/>
      <c r="R15" s="656"/>
      <c r="S15" s="656"/>
      <c r="T15" s="656"/>
      <c r="U15" s="656"/>
      <c r="V15" s="656"/>
      <c r="W15" s="656"/>
      <c r="X15" s="656"/>
      <c r="Y15" s="656"/>
      <c r="Z15" s="656"/>
      <c r="AA15" s="656"/>
      <c r="AB15" s="656"/>
      <c r="AC15" s="656"/>
      <c r="AD15" s="656"/>
      <c r="AE15" s="656"/>
      <c r="AF15" s="656"/>
      <c r="AG15" s="656"/>
      <c r="AH15" s="656"/>
      <c r="AI15" s="656"/>
      <c r="AJ15" s="656"/>
      <c r="AK15" s="656"/>
      <c r="AL15" s="656"/>
      <c r="AM15" s="656"/>
      <c r="AN15" s="656"/>
      <c r="AO15" s="656"/>
      <c r="AP15" s="656"/>
      <c r="AQ15" s="656"/>
      <c r="AR15" s="656"/>
      <c r="AS15" s="656"/>
      <c r="AT15" s="656"/>
      <c r="AU15" s="656"/>
      <c r="AV15" s="656"/>
      <c r="AW15" s="656"/>
      <c r="AX15" s="656"/>
      <c r="AY15" s="656"/>
      <c r="AZ15" s="656"/>
      <c r="BA15" s="656"/>
      <c r="BB15" s="656"/>
      <c r="BC15" s="656"/>
      <c r="BD15" s="656"/>
      <c r="BE15" s="656"/>
      <c r="BF15" s="656"/>
      <c r="BG15" s="656"/>
      <c r="BH15" s="656"/>
      <c r="BI15" s="656"/>
      <c r="BJ15" s="656"/>
      <c r="BK15" s="656"/>
      <c r="BL15" s="656"/>
      <c r="BM15" s="656"/>
      <c r="BN15" s="656"/>
      <c r="BO15" s="656"/>
      <c r="BP15" s="656"/>
      <c r="BQ15" s="656"/>
      <c r="BR15" s="656"/>
      <c r="BS15" s="656"/>
      <c r="BT15" s="656"/>
      <c r="BU15" s="656"/>
      <c r="BV15" s="656"/>
      <c r="BW15" s="656"/>
      <c r="BX15" s="656"/>
      <c r="BY15" s="656"/>
      <c r="BZ15" s="656"/>
      <c r="CA15" s="656"/>
      <c r="CB15" s="656"/>
      <c r="CC15" s="656"/>
      <c r="CD15" s="656"/>
      <c r="CE15" s="656"/>
      <c r="CF15" s="656"/>
      <c r="CG15" s="656"/>
      <c r="CH15" s="656"/>
      <c r="CI15" s="656"/>
      <c r="CJ15" s="656"/>
      <c r="CK15" s="656"/>
      <c r="CL15" s="656"/>
      <c r="CM15" s="656"/>
      <c r="CN15" s="656"/>
      <c r="CO15" s="656"/>
      <c r="CP15" s="656"/>
      <c r="CQ15" s="656"/>
      <c r="CR15" s="656"/>
      <c r="CS15" s="656"/>
      <c r="CT15" s="656"/>
      <c r="CU15" s="656"/>
      <c r="CV15" s="656"/>
      <c r="CW15" s="656"/>
      <c r="CX15" s="656"/>
      <c r="CY15" s="656"/>
      <c r="CZ15" s="656"/>
      <c r="DA15" s="656"/>
      <c r="DB15" s="656"/>
      <c r="DC15" s="656"/>
      <c r="DD15" s="656"/>
      <c r="DE15" s="656"/>
      <c r="DF15" s="656"/>
      <c r="DG15" s="656"/>
      <c r="DH15" s="656"/>
      <c r="DI15" s="656"/>
      <c r="DJ15" s="656"/>
      <c r="DK15" s="656"/>
      <c r="DL15" s="656"/>
      <c r="DM15" s="656"/>
      <c r="DN15" s="656"/>
      <c r="DO15" s="656"/>
      <c r="DP15" s="656"/>
      <c r="DQ15" s="656"/>
      <c r="DR15" s="656"/>
      <c r="DS15" s="656"/>
      <c r="DT15" s="656"/>
      <c r="DU15" s="656"/>
      <c r="DV15" s="656"/>
      <c r="DW15" s="656"/>
      <c r="DX15" s="656"/>
      <c r="DY15" s="656"/>
      <c r="DZ15" s="656"/>
      <c r="EA15" s="656"/>
      <c r="EB15" s="656"/>
      <c r="EC15" s="656"/>
      <c r="ED15" s="656"/>
      <c r="EE15" s="656"/>
      <c r="EF15" s="656"/>
      <c r="EG15" s="656"/>
      <c r="EH15" s="656"/>
      <c r="EI15" s="656"/>
      <c r="EJ15" s="656"/>
      <c r="EK15" s="656"/>
      <c r="EL15" s="656"/>
      <c r="EM15" s="656"/>
      <c r="EN15" s="656"/>
      <c r="EO15" s="656"/>
      <c r="EP15" s="656"/>
      <c r="EQ15" s="656"/>
      <c r="ER15" s="656"/>
      <c r="ES15" s="656"/>
      <c r="ET15" s="656"/>
      <c r="EU15" s="656"/>
      <c r="EV15" s="656"/>
      <c r="EW15" s="656"/>
      <c r="EX15" s="656"/>
      <c r="EY15" s="656"/>
      <c r="EZ15" s="656"/>
      <c r="FA15" s="656"/>
      <c r="FB15" s="656"/>
      <c r="FC15" s="656"/>
      <c r="FD15" s="656"/>
      <c r="FE15" s="656"/>
      <c r="FF15" s="656"/>
      <c r="FG15" s="656"/>
      <c r="FH15" s="656"/>
      <c r="FI15" s="656"/>
      <c r="FJ15" s="656"/>
      <c r="FK15" s="656"/>
      <c r="FL15" s="656"/>
      <c r="FM15" s="656"/>
      <c r="FN15" s="656"/>
      <c r="FO15" s="656"/>
      <c r="FP15" s="656"/>
      <c r="FQ15" s="656"/>
      <c r="FR15" s="656"/>
      <c r="FS15" s="656"/>
      <c r="FT15" s="656"/>
      <c r="FU15" s="656"/>
      <c r="FV15" s="656"/>
      <c r="FW15" s="656"/>
      <c r="FX15" s="656"/>
      <c r="FY15" s="656"/>
      <c r="FZ15" s="656"/>
      <c r="GA15" s="656"/>
      <c r="GB15" s="656"/>
      <c r="GC15" s="656"/>
      <c r="GD15" s="656"/>
      <c r="GE15" s="656"/>
      <c r="GF15" s="656"/>
      <c r="GG15" s="656"/>
      <c r="GH15" s="656"/>
      <c r="GI15" s="656"/>
      <c r="GJ15" s="656"/>
      <c r="GK15" s="656"/>
      <c r="GL15" s="656"/>
      <c r="GM15" s="656"/>
      <c r="GN15" s="656"/>
      <c r="GO15" s="656"/>
      <c r="GP15" s="656"/>
      <c r="GQ15" s="656"/>
      <c r="GR15" s="656"/>
      <c r="GS15" s="656"/>
      <c r="GT15" s="656"/>
      <c r="GU15" s="656"/>
      <c r="GV15" s="656"/>
      <c r="GW15" s="656"/>
      <c r="GX15" s="656"/>
      <c r="GY15" s="656"/>
      <c r="GZ15" s="656"/>
      <c r="HA15" s="656"/>
      <c r="HB15" s="656"/>
      <c r="HC15" s="656"/>
      <c r="HD15" s="656"/>
      <c r="HE15" s="656"/>
      <c r="HF15" s="656"/>
      <c r="HG15" s="656"/>
      <c r="HH15" s="656"/>
      <c r="HI15" s="656"/>
      <c r="HJ15" s="656"/>
      <c r="HK15" s="656"/>
      <c r="HL15" s="656"/>
      <c r="HM15" s="656"/>
      <c r="HN15" s="656"/>
      <c r="HO15" s="656"/>
      <c r="HP15" s="656"/>
      <c r="HQ15" s="656"/>
      <c r="HR15" s="656"/>
      <c r="HS15" s="656"/>
      <c r="HT15" s="656"/>
      <c r="HU15" s="656"/>
      <c r="HV15" s="656"/>
      <c r="HW15" s="656"/>
    </row>
    <row r="16" spans="1:231" s="657" customFormat="1" x14ac:dyDescent="0.25">
      <c r="A16" s="646"/>
      <c r="B16" s="669" t="s">
        <v>953</v>
      </c>
      <c r="C16" s="670" t="s">
        <v>954</v>
      </c>
      <c r="D16" s="671"/>
      <c r="E16" s="672"/>
      <c r="F16" s="673"/>
      <c r="G16" s="674"/>
      <c r="H16" s="675"/>
      <c r="I16" s="676"/>
      <c r="J16" s="672"/>
      <c r="K16" s="677"/>
      <c r="L16" s="677"/>
      <c r="M16" s="677"/>
      <c r="N16" s="678"/>
      <c r="O16" s="679"/>
      <c r="P16" s="656"/>
      <c r="Q16" s="656"/>
      <c r="R16" s="656"/>
      <c r="S16" s="656"/>
      <c r="T16" s="656"/>
      <c r="U16" s="656"/>
      <c r="V16" s="656"/>
      <c r="W16" s="656"/>
      <c r="X16" s="656"/>
      <c r="Y16" s="656"/>
      <c r="Z16" s="656"/>
      <c r="AA16" s="656"/>
      <c r="AB16" s="656"/>
      <c r="AC16" s="656"/>
      <c r="AD16" s="656"/>
      <c r="AE16" s="656"/>
      <c r="AF16" s="656"/>
      <c r="AG16" s="656"/>
      <c r="AH16" s="656"/>
      <c r="AI16" s="656"/>
      <c r="AJ16" s="656"/>
      <c r="AK16" s="656"/>
      <c r="AL16" s="656"/>
      <c r="AM16" s="656"/>
      <c r="AN16" s="656"/>
      <c r="AO16" s="656"/>
      <c r="AP16" s="656"/>
      <c r="AQ16" s="656"/>
      <c r="AR16" s="656"/>
      <c r="AS16" s="656"/>
      <c r="AT16" s="656"/>
      <c r="AU16" s="656"/>
      <c r="AV16" s="656"/>
      <c r="AW16" s="656"/>
      <c r="AX16" s="656"/>
      <c r="AY16" s="656"/>
      <c r="AZ16" s="656"/>
      <c r="BA16" s="656"/>
      <c r="BB16" s="656"/>
      <c r="BC16" s="656"/>
      <c r="BD16" s="656"/>
      <c r="BE16" s="656"/>
      <c r="BF16" s="656"/>
      <c r="BG16" s="656"/>
      <c r="BH16" s="656"/>
      <c r="BI16" s="656"/>
      <c r="BJ16" s="656"/>
      <c r="BK16" s="656"/>
      <c r="BL16" s="656"/>
      <c r="BM16" s="656"/>
      <c r="BN16" s="656"/>
      <c r="BO16" s="656"/>
      <c r="BP16" s="656"/>
      <c r="BQ16" s="656"/>
      <c r="BR16" s="656"/>
      <c r="BS16" s="656"/>
      <c r="BT16" s="656"/>
      <c r="BU16" s="656"/>
      <c r="BV16" s="656"/>
      <c r="BW16" s="656"/>
      <c r="BX16" s="656"/>
      <c r="BY16" s="656"/>
      <c r="BZ16" s="656"/>
      <c r="CA16" s="656"/>
      <c r="CB16" s="656"/>
      <c r="CC16" s="656"/>
      <c r="CD16" s="656"/>
      <c r="CE16" s="656"/>
      <c r="CF16" s="656"/>
      <c r="CG16" s="656"/>
      <c r="CH16" s="656"/>
      <c r="CI16" s="656"/>
      <c r="CJ16" s="656"/>
      <c r="CK16" s="656"/>
      <c r="CL16" s="656"/>
      <c r="CM16" s="656"/>
      <c r="CN16" s="656"/>
      <c r="CO16" s="656"/>
      <c r="CP16" s="656"/>
      <c r="CQ16" s="656"/>
      <c r="CR16" s="656"/>
      <c r="CS16" s="656"/>
      <c r="CT16" s="656"/>
      <c r="CU16" s="656"/>
      <c r="CV16" s="656"/>
      <c r="CW16" s="656"/>
      <c r="CX16" s="656"/>
      <c r="CY16" s="656"/>
      <c r="CZ16" s="656"/>
      <c r="DA16" s="656"/>
      <c r="DB16" s="656"/>
      <c r="DC16" s="656"/>
      <c r="DD16" s="656"/>
      <c r="DE16" s="656"/>
      <c r="DF16" s="656"/>
      <c r="DG16" s="656"/>
      <c r="DH16" s="656"/>
      <c r="DI16" s="656"/>
      <c r="DJ16" s="656"/>
      <c r="DK16" s="656"/>
      <c r="DL16" s="656"/>
      <c r="DM16" s="656"/>
      <c r="DN16" s="656"/>
      <c r="DO16" s="656"/>
      <c r="DP16" s="656"/>
      <c r="DQ16" s="656"/>
      <c r="DR16" s="656"/>
      <c r="DS16" s="656"/>
      <c r="DT16" s="656"/>
      <c r="DU16" s="656"/>
      <c r="DV16" s="656"/>
      <c r="DW16" s="656"/>
      <c r="DX16" s="656"/>
      <c r="DY16" s="656"/>
      <c r="DZ16" s="656"/>
      <c r="EA16" s="656"/>
      <c r="EB16" s="656"/>
      <c r="EC16" s="656"/>
      <c r="ED16" s="656"/>
      <c r="EE16" s="656"/>
      <c r="EF16" s="656"/>
      <c r="EG16" s="656"/>
      <c r="EH16" s="656"/>
      <c r="EI16" s="656"/>
      <c r="EJ16" s="656"/>
      <c r="EK16" s="656"/>
      <c r="EL16" s="656"/>
      <c r="EM16" s="656"/>
      <c r="EN16" s="656"/>
      <c r="EO16" s="656"/>
      <c r="EP16" s="656"/>
      <c r="EQ16" s="656"/>
      <c r="ER16" s="656"/>
      <c r="ES16" s="656"/>
      <c r="ET16" s="656"/>
      <c r="EU16" s="656"/>
      <c r="EV16" s="656"/>
      <c r="EW16" s="656"/>
      <c r="EX16" s="656"/>
      <c r="EY16" s="656"/>
      <c r="EZ16" s="656"/>
      <c r="FA16" s="656"/>
      <c r="FB16" s="656"/>
      <c r="FC16" s="656"/>
      <c r="FD16" s="656"/>
      <c r="FE16" s="656"/>
      <c r="FF16" s="656"/>
      <c r="FG16" s="656"/>
      <c r="FH16" s="656"/>
      <c r="FI16" s="656"/>
      <c r="FJ16" s="656"/>
      <c r="FK16" s="656"/>
      <c r="FL16" s="656"/>
      <c r="FM16" s="656"/>
      <c r="FN16" s="656"/>
      <c r="FO16" s="656"/>
      <c r="FP16" s="656"/>
      <c r="FQ16" s="656"/>
      <c r="FR16" s="656"/>
      <c r="FS16" s="656"/>
      <c r="FT16" s="656"/>
      <c r="FU16" s="656"/>
      <c r="FV16" s="656"/>
      <c r="FW16" s="656"/>
      <c r="FX16" s="656"/>
      <c r="FY16" s="656"/>
      <c r="FZ16" s="656"/>
      <c r="GA16" s="656"/>
      <c r="GB16" s="656"/>
      <c r="GC16" s="656"/>
      <c r="GD16" s="656"/>
      <c r="GE16" s="656"/>
      <c r="GF16" s="656"/>
      <c r="GG16" s="656"/>
      <c r="GH16" s="656"/>
      <c r="GI16" s="656"/>
      <c r="GJ16" s="656"/>
      <c r="GK16" s="656"/>
      <c r="GL16" s="656"/>
      <c r="GM16" s="656"/>
      <c r="GN16" s="656"/>
      <c r="GO16" s="656"/>
      <c r="GP16" s="656"/>
      <c r="GQ16" s="656"/>
      <c r="GR16" s="656"/>
      <c r="GS16" s="656"/>
      <c r="GT16" s="656"/>
      <c r="GU16" s="656"/>
      <c r="GV16" s="656"/>
      <c r="GW16" s="656"/>
      <c r="GX16" s="656"/>
      <c r="GY16" s="656"/>
      <c r="GZ16" s="656"/>
      <c r="HA16" s="656"/>
      <c r="HB16" s="656"/>
      <c r="HC16" s="656"/>
      <c r="HD16" s="656"/>
      <c r="HE16" s="656"/>
      <c r="HF16" s="656"/>
      <c r="HG16" s="656"/>
      <c r="HH16" s="656"/>
      <c r="HI16" s="656"/>
      <c r="HJ16" s="656"/>
      <c r="HK16" s="656"/>
      <c r="HL16" s="656"/>
      <c r="HM16" s="656"/>
      <c r="HN16" s="656"/>
      <c r="HO16" s="656"/>
      <c r="HP16" s="656"/>
      <c r="HQ16" s="656"/>
      <c r="HR16" s="656"/>
      <c r="HS16" s="656"/>
      <c r="HT16" s="656"/>
      <c r="HU16" s="656"/>
      <c r="HV16" s="656"/>
      <c r="HW16" s="656"/>
    </row>
    <row r="17" spans="1:231" s="657" customFormat="1" ht="42.75" x14ac:dyDescent="0.25">
      <c r="A17" s="646">
        <v>1</v>
      </c>
      <c r="B17" s="680" t="s">
        <v>955</v>
      </c>
      <c r="C17" s="681" t="s">
        <v>484</v>
      </c>
      <c r="D17" s="682" t="s">
        <v>14</v>
      </c>
      <c r="E17" s="683">
        <v>6</v>
      </c>
      <c r="F17" s="684">
        <v>49950.6</v>
      </c>
      <c r="G17" s="684">
        <v>299704</v>
      </c>
      <c r="H17" s="685">
        <v>0</v>
      </c>
      <c r="I17" s="686">
        <v>-6</v>
      </c>
      <c r="J17" s="683">
        <v>0</v>
      </c>
      <c r="K17" s="684">
        <v>0</v>
      </c>
      <c r="L17" s="683">
        <v>0</v>
      </c>
      <c r="M17" s="684">
        <v>0</v>
      </c>
      <c r="N17" s="683">
        <v>0</v>
      </c>
      <c r="O17" s="687">
        <v>0</v>
      </c>
      <c r="P17" s="656"/>
      <c r="Q17" s="656"/>
      <c r="R17" s="656"/>
      <c r="S17" s="656"/>
      <c r="T17" s="656"/>
      <c r="U17" s="656"/>
      <c r="V17" s="656"/>
      <c r="W17" s="656"/>
      <c r="X17" s="656"/>
      <c r="Y17" s="656"/>
      <c r="Z17" s="656"/>
      <c r="AA17" s="656"/>
      <c r="AB17" s="656"/>
      <c r="AC17" s="656"/>
      <c r="AD17" s="656"/>
      <c r="AE17" s="656"/>
      <c r="AF17" s="656"/>
      <c r="AG17" s="656"/>
      <c r="AH17" s="656"/>
      <c r="AI17" s="656"/>
      <c r="AJ17" s="656"/>
      <c r="AK17" s="656"/>
      <c r="AL17" s="656"/>
      <c r="AM17" s="656"/>
      <c r="AN17" s="656"/>
      <c r="AO17" s="656"/>
      <c r="AP17" s="656"/>
      <c r="AQ17" s="656"/>
      <c r="AR17" s="656"/>
      <c r="AS17" s="656"/>
      <c r="AT17" s="656"/>
      <c r="AU17" s="656"/>
      <c r="AV17" s="656"/>
      <c r="AW17" s="656"/>
      <c r="AX17" s="656"/>
      <c r="AY17" s="656"/>
      <c r="AZ17" s="656"/>
      <c r="BA17" s="656"/>
      <c r="BB17" s="656"/>
      <c r="BC17" s="656"/>
      <c r="BD17" s="656"/>
      <c r="BE17" s="656"/>
      <c r="BF17" s="656"/>
      <c r="BG17" s="656"/>
      <c r="BH17" s="656"/>
      <c r="BI17" s="656"/>
      <c r="BJ17" s="656"/>
      <c r="BK17" s="656"/>
      <c r="BL17" s="656"/>
      <c r="BM17" s="656"/>
      <c r="BN17" s="656"/>
      <c r="BO17" s="656"/>
      <c r="BP17" s="656"/>
      <c r="BQ17" s="656"/>
      <c r="BR17" s="656"/>
      <c r="BS17" s="656"/>
      <c r="BT17" s="656"/>
      <c r="BU17" s="656"/>
      <c r="BV17" s="656"/>
      <c r="BW17" s="656"/>
      <c r="BX17" s="656"/>
      <c r="BY17" s="656"/>
      <c r="BZ17" s="656"/>
      <c r="CA17" s="656"/>
      <c r="CB17" s="656"/>
      <c r="CC17" s="656"/>
      <c r="CD17" s="656"/>
      <c r="CE17" s="656"/>
      <c r="CF17" s="656"/>
      <c r="CG17" s="656"/>
      <c r="CH17" s="656"/>
      <c r="CI17" s="656"/>
      <c r="CJ17" s="656"/>
      <c r="CK17" s="656"/>
      <c r="CL17" s="656"/>
      <c r="CM17" s="656"/>
      <c r="CN17" s="656"/>
      <c r="CO17" s="656"/>
      <c r="CP17" s="656"/>
      <c r="CQ17" s="656"/>
      <c r="CR17" s="656"/>
      <c r="CS17" s="656"/>
      <c r="CT17" s="656"/>
      <c r="CU17" s="656"/>
      <c r="CV17" s="656"/>
      <c r="CW17" s="656"/>
      <c r="CX17" s="656"/>
      <c r="CY17" s="656"/>
      <c r="CZ17" s="656"/>
      <c r="DA17" s="656"/>
      <c r="DB17" s="656"/>
      <c r="DC17" s="656"/>
      <c r="DD17" s="656"/>
      <c r="DE17" s="656"/>
      <c r="DF17" s="656"/>
      <c r="DG17" s="656"/>
      <c r="DH17" s="656"/>
      <c r="DI17" s="656"/>
      <c r="DJ17" s="656"/>
      <c r="DK17" s="656"/>
      <c r="DL17" s="656"/>
      <c r="DM17" s="656"/>
      <c r="DN17" s="656"/>
      <c r="DO17" s="656"/>
      <c r="DP17" s="656"/>
      <c r="DQ17" s="656"/>
      <c r="DR17" s="656"/>
      <c r="DS17" s="656"/>
      <c r="DT17" s="656"/>
      <c r="DU17" s="656"/>
      <c r="DV17" s="656"/>
      <c r="DW17" s="656"/>
      <c r="DX17" s="656"/>
      <c r="DY17" s="656"/>
      <c r="DZ17" s="656"/>
      <c r="EA17" s="656"/>
      <c r="EB17" s="656"/>
      <c r="EC17" s="656"/>
      <c r="ED17" s="656"/>
      <c r="EE17" s="656"/>
      <c r="EF17" s="656"/>
      <c r="EG17" s="656"/>
      <c r="EH17" s="656"/>
      <c r="EI17" s="656"/>
      <c r="EJ17" s="656"/>
      <c r="EK17" s="656"/>
      <c r="EL17" s="656"/>
      <c r="EM17" s="656"/>
      <c r="EN17" s="656"/>
      <c r="EO17" s="656"/>
      <c r="EP17" s="656"/>
      <c r="EQ17" s="656"/>
      <c r="ER17" s="656"/>
      <c r="ES17" s="656"/>
      <c r="ET17" s="656"/>
      <c r="EU17" s="656"/>
      <c r="EV17" s="656"/>
      <c r="EW17" s="656"/>
      <c r="EX17" s="656"/>
      <c r="EY17" s="656"/>
      <c r="EZ17" s="656"/>
      <c r="FA17" s="656"/>
      <c r="FB17" s="656"/>
      <c r="FC17" s="656"/>
      <c r="FD17" s="656"/>
      <c r="FE17" s="656"/>
      <c r="FF17" s="656"/>
      <c r="FG17" s="656"/>
      <c r="FH17" s="656"/>
      <c r="FI17" s="656"/>
      <c r="FJ17" s="656"/>
      <c r="FK17" s="656"/>
      <c r="FL17" s="656"/>
      <c r="FM17" s="656"/>
      <c r="FN17" s="656"/>
      <c r="FO17" s="656"/>
      <c r="FP17" s="656"/>
      <c r="FQ17" s="656"/>
      <c r="FR17" s="656"/>
      <c r="FS17" s="656"/>
      <c r="FT17" s="656"/>
      <c r="FU17" s="656"/>
      <c r="FV17" s="656"/>
      <c r="FW17" s="656"/>
      <c r="FX17" s="656"/>
      <c r="FY17" s="656"/>
      <c r="FZ17" s="656"/>
      <c r="GA17" s="656"/>
      <c r="GB17" s="656"/>
      <c r="GC17" s="656"/>
      <c r="GD17" s="656"/>
      <c r="GE17" s="656"/>
      <c r="GF17" s="656"/>
      <c r="GG17" s="656"/>
      <c r="GH17" s="656"/>
      <c r="GI17" s="656"/>
      <c r="GJ17" s="656"/>
      <c r="GK17" s="656"/>
      <c r="GL17" s="656"/>
      <c r="GM17" s="656"/>
      <c r="GN17" s="656"/>
      <c r="GO17" s="656"/>
      <c r="GP17" s="656"/>
      <c r="GQ17" s="656"/>
      <c r="GR17" s="656"/>
      <c r="GS17" s="656"/>
      <c r="GT17" s="656"/>
      <c r="GU17" s="656"/>
      <c r="GV17" s="656"/>
      <c r="GW17" s="656"/>
      <c r="GX17" s="656"/>
      <c r="GY17" s="656"/>
      <c r="GZ17" s="656"/>
      <c r="HA17" s="656"/>
      <c r="HB17" s="656"/>
      <c r="HC17" s="656"/>
      <c r="HD17" s="656"/>
      <c r="HE17" s="656"/>
      <c r="HF17" s="656"/>
      <c r="HG17" s="656"/>
      <c r="HH17" s="656"/>
      <c r="HI17" s="656"/>
      <c r="HJ17" s="656"/>
      <c r="HK17" s="656"/>
      <c r="HL17" s="656"/>
      <c r="HM17" s="656"/>
      <c r="HN17" s="656"/>
      <c r="HO17" s="656"/>
      <c r="HP17" s="656"/>
      <c r="HQ17" s="656"/>
      <c r="HR17" s="656"/>
      <c r="HS17" s="656"/>
      <c r="HT17" s="656"/>
      <c r="HU17" s="656"/>
      <c r="HV17" s="656"/>
      <c r="HW17" s="656"/>
    </row>
    <row r="18" spans="1:231" s="657" customFormat="1" ht="42.75" x14ac:dyDescent="0.25">
      <c r="A18" s="646">
        <v>2</v>
      </c>
      <c r="B18" s="680" t="s">
        <v>956</v>
      </c>
      <c r="C18" s="681" t="s">
        <v>957</v>
      </c>
      <c r="D18" s="682" t="s">
        <v>14</v>
      </c>
      <c r="E18" s="683">
        <v>6</v>
      </c>
      <c r="F18" s="684">
        <v>51577.4</v>
      </c>
      <c r="G18" s="684">
        <v>309464</v>
      </c>
      <c r="H18" s="685">
        <v>0</v>
      </c>
      <c r="I18" s="686">
        <v>-6</v>
      </c>
      <c r="J18" s="683">
        <v>0</v>
      </c>
      <c r="K18" s="684">
        <v>0</v>
      </c>
      <c r="L18" s="683">
        <v>0</v>
      </c>
      <c r="M18" s="684">
        <v>0</v>
      </c>
      <c r="N18" s="683">
        <v>0</v>
      </c>
      <c r="O18" s="687">
        <v>0</v>
      </c>
      <c r="P18" s="656"/>
      <c r="Q18" s="656"/>
      <c r="R18" s="656"/>
      <c r="S18" s="656"/>
      <c r="T18" s="656"/>
      <c r="U18" s="656"/>
      <c r="V18" s="656"/>
      <c r="W18" s="656"/>
      <c r="X18" s="656"/>
      <c r="Y18" s="656"/>
      <c r="Z18" s="656"/>
      <c r="AA18" s="656"/>
      <c r="AB18" s="656"/>
      <c r="AC18" s="656"/>
      <c r="AD18" s="656"/>
      <c r="AE18" s="656"/>
      <c r="AF18" s="656"/>
      <c r="AG18" s="656"/>
      <c r="AH18" s="656"/>
      <c r="AI18" s="656"/>
      <c r="AJ18" s="656"/>
      <c r="AK18" s="656"/>
      <c r="AL18" s="656"/>
      <c r="AM18" s="656"/>
      <c r="AN18" s="656"/>
      <c r="AO18" s="656"/>
      <c r="AP18" s="656"/>
      <c r="AQ18" s="656"/>
      <c r="AR18" s="656"/>
      <c r="AS18" s="656"/>
      <c r="AT18" s="656"/>
      <c r="AU18" s="656"/>
      <c r="AV18" s="656"/>
      <c r="AW18" s="656"/>
      <c r="AX18" s="656"/>
      <c r="AY18" s="656"/>
      <c r="AZ18" s="656"/>
      <c r="BA18" s="656"/>
      <c r="BB18" s="656"/>
      <c r="BC18" s="656"/>
      <c r="BD18" s="656"/>
      <c r="BE18" s="656"/>
      <c r="BF18" s="656"/>
      <c r="BG18" s="656"/>
      <c r="BH18" s="656"/>
      <c r="BI18" s="656"/>
      <c r="BJ18" s="656"/>
      <c r="BK18" s="656"/>
      <c r="BL18" s="656"/>
      <c r="BM18" s="656"/>
      <c r="BN18" s="656"/>
      <c r="BO18" s="656"/>
      <c r="BP18" s="656"/>
      <c r="BQ18" s="656"/>
      <c r="BR18" s="656"/>
      <c r="BS18" s="656"/>
      <c r="BT18" s="656"/>
      <c r="BU18" s="656"/>
      <c r="BV18" s="656"/>
      <c r="BW18" s="656"/>
      <c r="BX18" s="656"/>
      <c r="BY18" s="656"/>
      <c r="BZ18" s="656"/>
      <c r="CA18" s="656"/>
      <c r="CB18" s="656"/>
      <c r="CC18" s="656"/>
      <c r="CD18" s="656"/>
      <c r="CE18" s="656"/>
      <c r="CF18" s="656"/>
      <c r="CG18" s="656"/>
      <c r="CH18" s="656"/>
      <c r="CI18" s="656"/>
      <c r="CJ18" s="656"/>
      <c r="CK18" s="656"/>
      <c r="CL18" s="656"/>
      <c r="CM18" s="656"/>
      <c r="CN18" s="656"/>
      <c r="CO18" s="656"/>
      <c r="CP18" s="656"/>
      <c r="CQ18" s="656"/>
      <c r="CR18" s="656"/>
      <c r="CS18" s="656"/>
      <c r="CT18" s="656"/>
      <c r="CU18" s="656"/>
      <c r="CV18" s="656"/>
      <c r="CW18" s="656"/>
      <c r="CX18" s="656"/>
      <c r="CY18" s="656"/>
      <c r="CZ18" s="656"/>
      <c r="DA18" s="656"/>
      <c r="DB18" s="656"/>
      <c r="DC18" s="656"/>
      <c r="DD18" s="656"/>
      <c r="DE18" s="656"/>
      <c r="DF18" s="656"/>
      <c r="DG18" s="656"/>
      <c r="DH18" s="656"/>
      <c r="DI18" s="656"/>
      <c r="DJ18" s="656"/>
      <c r="DK18" s="656"/>
      <c r="DL18" s="656"/>
      <c r="DM18" s="656"/>
      <c r="DN18" s="656"/>
      <c r="DO18" s="656"/>
      <c r="DP18" s="656"/>
      <c r="DQ18" s="656"/>
      <c r="DR18" s="656"/>
      <c r="DS18" s="656"/>
      <c r="DT18" s="656"/>
      <c r="DU18" s="656"/>
      <c r="DV18" s="656"/>
      <c r="DW18" s="656"/>
      <c r="DX18" s="656"/>
      <c r="DY18" s="656"/>
      <c r="DZ18" s="656"/>
      <c r="EA18" s="656"/>
      <c r="EB18" s="656"/>
      <c r="EC18" s="656"/>
      <c r="ED18" s="656"/>
      <c r="EE18" s="656"/>
      <c r="EF18" s="656"/>
      <c r="EG18" s="656"/>
      <c r="EH18" s="656"/>
      <c r="EI18" s="656"/>
      <c r="EJ18" s="656"/>
      <c r="EK18" s="656"/>
      <c r="EL18" s="656"/>
      <c r="EM18" s="656"/>
      <c r="EN18" s="656"/>
      <c r="EO18" s="656"/>
      <c r="EP18" s="656"/>
      <c r="EQ18" s="656"/>
      <c r="ER18" s="656"/>
      <c r="ES18" s="656"/>
      <c r="ET18" s="656"/>
      <c r="EU18" s="656"/>
      <c r="EV18" s="656"/>
      <c r="EW18" s="656"/>
      <c r="EX18" s="656"/>
      <c r="EY18" s="656"/>
      <c r="EZ18" s="656"/>
      <c r="FA18" s="656"/>
      <c r="FB18" s="656"/>
      <c r="FC18" s="656"/>
      <c r="FD18" s="656"/>
      <c r="FE18" s="656"/>
      <c r="FF18" s="656"/>
      <c r="FG18" s="656"/>
      <c r="FH18" s="656"/>
      <c r="FI18" s="656"/>
      <c r="FJ18" s="656"/>
      <c r="FK18" s="656"/>
      <c r="FL18" s="656"/>
      <c r="FM18" s="656"/>
      <c r="FN18" s="656"/>
      <c r="FO18" s="656"/>
      <c r="FP18" s="656"/>
      <c r="FQ18" s="656"/>
      <c r="FR18" s="656"/>
      <c r="FS18" s="656"/>
      <c r="FT18" s="656"/>
      <c r="FU18" s="656"/>
      <c r="FV18" s="656"/>
      <c r="FW18" s="656"/>
      <c r="FX18" s="656"/>
      <c r="FY18" s="656"/>
      <c r="FZ18" s="656"/>
      <c r="GA18" s="656"/>
      <c r="GB18" s="656"/>
      <c r="GC18" s="656"/>
      <c r="GD18" s="656"/>
      <c r="GE18" s="656"/>
      <c r="GF18" s="656"/>
      <c r="GG18" s="656"/>
      <c r="GH18" s="656"/>
      <c r="GI18" s="656"/>
      <c r="GJ18" s="656"/>
      <c r="GK18" s="656"/>
      <c r="GL18" s="656"/>
      <c r="GM18" s="656"/>
      <c r="GN18" s="656"/>
      <c r="GO18" s="656"/>
      <c r="GP18" s="656"/>
      <c r="GQ18" s="656"/>
      <c r="GR18" s="656"/>
      <c r="GS18" s="656"/>
      <c r="GT18" s="656"/>
      <c r="GU18" s="656"/>
      <c r="GV18" s="656"/>
      <c r="GW18" s="656"/>
      <c r="GX18" s="656"/>
      <c r="GY18" s="656"/>
      <c r="GZ18" s="656"/>
      <c r="HA18" s="656"/>
      <c r="HB18" s="656"/>
      <c r="HC18" s="656"/>
      <c r="HD18" s="656"/>
      <c r="HE18" s="656"/>
      <c r="HF18" s="656"/>
      <c r="HG18" s="656"/>
      <c r="HH18" s="656"/>
      <c r="HI18" s="656"/>
      <c r="HJ18" s="656"/>
      <c r="HK18" s="656"/>
      <c r="HL18" s="656"/>
      <c r="HM18" s="656"/>
      <c r="HN18" s="656"/>
      <c r="HO18" s="656"/>
      <c r="HP18" s="656"/>
      <c r="HQ18" s="656"/>
      <c r="HR18" s="656"/>
      <c r="HS18" s="656"/>
      <c r="HT18" s="656"/>
      <c r="HU18" s="656"/>
      <c r="HV18" s="656"/>
      <c r="HW18" s="656"/>
    </row>
    <row r="19" spans="1:231" s="657" customFormat="1" x14ac:dyDescent="0.25">
      <c r="A19" s="646">
        <v>3</v>
      </c>
      <c r="B19" s="680" t="s">
        <v>958</v>
      </c>
      <c r="C19" s="681" t="s">
        <v>959</v>
      </c>
      <c r="D19" s="682" t="s">
        <v>6</v>
      </c>
      <c r="E19" s="683">
        <v>2</v>
      </c>
      <c r="F19" s="684">
        <v>110767.44</v>
      </c>
      <c r="G19" s="684">
        <v>221535</v>
      </c>
      <c r="H19" s="685">
        <v>0</v>
      </c>
      <c r="I19" s="686">
        <v>-2</v>
      </c>
      <c r="J19" s="683">
        <v>0</v>
      </c>
      <c r="K19" s="684">
        <v>0</v>
      </c>
      <c r="L19" s="683">
        <v>0</v>
      </c>
      <c r="M19" s="684">
        <v>0</v>
      </c>
      <c r="N19" s="683">
        <v>0</v>
      </c>
      <c r="O19" s="687">
        <v>0</v>
      </c>
      <c r="P19" s="656"/>
      <c r="Q19" s="656"/>
      <c r="R19" s="656"/>
      <c r="S19" s="656"/>
      <c r="T19" s="656"/>
      <c r="U19" s="656"/>
      <c r="V19" s="656"/>
      <c r="W19" s="656"/>
      <c r="X19" s="656"/>
      <c r="Y19" s="656"/>
      <c r="Z19" s="656"/>
      <c r="AA19" s="656"/>
      <c r="AB19" s="656"/>
      <c r="AC19" s="656"/>
      <c r="AD19" s="656"/>
      <c r="AE19" s="656"/>
      <c r="AF19" s="656"/>
      <c r="AG19" s="656"/>
      <c r="AH19" s="656"/>
      <c r="AI19" s="656"/>
      <c r="AJ19" s="656"/>
      <c r="AK19" s="656"/>
      <c r="AL19" s="656"/>
      <c r="AM19" s="656"/>
      <c r="AN19" s="656"/>
      <c r="AO19" s="656"/>
      <c r="AP19" s="656"/>
      <c r="AQ19" s="656"/>
      <c r="AR19" s="656"/>
      <c r="AS19" s="656"/>
      <c r="AT19" s="656"/>
      <c r="AU19" s="656"/>
      <c r="AV19" s="656"/>
      <c r="AW19" s="656"/>
      <c r="AX19" s="656"/>
      <c r="AY19" s="656"/>
      <c r="AZ19" s="656"/>
      <c r="BA19" s="656"/>
      <c r="BB19" s="656"/>
      <c r="BC19" s="656"/>
      <c r="BD19" s="656"/>
      <c r="BE19" s="656"/>
      <c r="BF19" s="656"/>
      <c r="BG19" s="656"/>
      <c r="BH19" s="656"/>
      <c r="BI19" s="656"/>
      <c r="BJ19" s="656"/>
      <c r="BK19" s="656"/>
      <c r="BL19" s="656"/>
      <c r="BM19" s="656"/>
      <c r="BN19" s="656"/>
      <c r="BO19" s="656"/>
      <c r="BP19" s="656"/>
      <c r="BQ19" s="656"/>
      <c r="BR19" s="656"/>
      <c r="BS19" s="656"/>
      <c r="BT19" s="656"/>
      <c r="BU19" s="656"/>
      <c r="BV19" s="656"/>
      <c r="BW19" s="656"/>
      <c r="BX19" s="656"/>
      <c r="BY19" s="656"/>
      <c r="BZ19" s="656"/>
      <c r="CA19" s="656"/>
      <c r="CB19" s="656"/>
      <c r="CC19" s="656"/>
      <c r="CD19" s="656"/>
      <c r="CE19" s="656"/>
      <c r="CF19" s="656"/>
      <c r="CG19" s="656"/>
      <c r="CH19" s="656"/>
      <c r="CI19" s="656"/>
      <c r="CJ19" s="656"/>
      <c r="CK19" s="656"/>
      <c r="CL19" s="656"/>
      <c r="CM19" s="656"/>
      <c r="CN19" s="656"/>
      <c r="CO19" s="656"/>
      <c r="CP19" s="656"/>
      <c r="CQ19" s="656"/>
      <c r="CR19" s="656"/>
      <c r="CS19" s="656"/>
      <c r="CT19" s="656"/>
      <c r="CU19" s="656"/>
      <c r="CV19" s="656"/>
      <c r="CW19" s="656"/>
      <c r="CX19" s="656"/>
      <c r="CY19" s="656"/>
      <c r="CZ19" s="656"/>
      <c r="DA19" s="656"/>
      <c r="DB19" s="656"/>
      <c r="DC19" s="656"/>
      <c r="DD19" s="656"/>
      <c r="DE19" s="656"/>
      <c r="DF19" s="656"/>
      <c r="DG19" s="656"/>
      <c r="DH19" s="656"/>
      <c r="DI19" s="656"/>
      <c r="DJ19" s="656"/>
      <c r="DK19" s="656"/>
      <c r="DL19" s="656"/>
      <c r="DM19" s="656"/>
      <c r="DN19" s="656"/>
      <c r="DO19" s="656"/>
      <c r="DP19" s="656"/>
      <c r="DQ19" s="656"/>
      <c r="DR19" s="656"/>
      <c r="DS19" s="656"/>
      <c r="DT19" s="656"/>
      <c r="DU19" s="656"/>
      <c r="DV19" s="656"/>
      <c r="DW19" s="656"/>
      <c r="DX19" s="656"/>
      <c r="DY19" s="656"/>
      <c r="DZ19" s="656"/>
      <c r="EA19" s="656"/>
      <c r="EB19" s="656"/>
      <c r="EC19" s="656"/>
      <c r="ED19" s="656"/>
      <c r="EE19" s="656"/>
      <c r="EF19" s="656"/>
      <c r="EG19" s="656"/>
      <c r="EH19" s="656"/>
      <c r="EI19" s="656"/>
      <c r="EJ19" s="656"/>
      <c r="EK19" s="656"/>
      <c r="EL19" s="656"/>
      <c r="EM19" s="656"/>
      <c r="EN19" s="656"/>
      <c r="EO19" s="656"/>
      <c r="EP19" s="656"/>
      <c r="EQ19" s="656"/>
      <c r="ER19" s="656"/>
      <c r="ES19" s="656"/>
      <c r="ET19" s="656"/>
      <c r="EU19" s="656"/>
      <c r="EV19" s="656"/>
      <c r="EW19" s="656"/>
      <c r="EX19" s="656"/>
      <c r="EY19" s="656"/>
      <c r="EZ19" s="656"/>
      <c r="FA19" s="656"/>
      <c r="FB19" s="656"/>
      <c r="FC19" s="656"/>
      <c r="FD19" s="656"/>
      <c r="FE19" s="656"/>
      <c r="FF19" s="656"/>
      <c r="FG19" s="656"/>
      <c r="FH19" s="656"/>
      <c r="FI19" s="656"/>
      <c r="FJ19" s="656"/>
      <c r="FK19" s="656"/>
      <c r="FL19" s="656"/>
      <c r="FM19" s="656"/>
      <c r="FN19" s="656"/>
      <c r="FO19" s="656"/>
      <c r="FP19" s="656"/>
      <c r="FQ19" s="656"/>
      <c r="FR19" s="656"/>
      <c r="FS19" s="656"/>
      <c r="FT19" s="656"/>
      <c r="FU19" s="656"/>
      <c r="FV19" s="656"/>
      <c r="FW19" s="656"/>
      <c r="FX19" s="656"/>
      <c r="FY19" s="656"/>
      <c r="FZ19" s="656"/>
      <c r="GA19" s="656"/>
      <c r="GB19" s="656"/>
      <c r="GC19" s="656"/>
      <c r="GD19" s="656"/>
      <c r="GE19" s="656"/>
      <c r="GF19" s="656"/>
      <c r="GG19" s="656"/>
      <c r="GH19" s="656"/>
      <c r="GI19" s="656"/>
      <c r="GJ19" s="656"/>
      <c r="GK19" s="656"/>
      <c r="GL19" s="656"/>
      <c r="GM19" s="656"/>
      <c r="GN19" s="656"/>
      <c r="GO19" s="656"/>
      <c r="GP19" s="656"/>
      <c r="GQ19" s="656"/>
      <c r="GR19" s="656"/>
      <c r="GS19" s="656"/>
      <c r="GT19" s="656"/>
      <c r="GU19" s="656"/>
      <c r="GV19" s="656"/>
      <c r="GW19" s="656"/>
      <c r="GX19" s="656"/>
      <c r="GY19" s="656"/>
      <c r="GZ19" s="656"/>
      <c r="HA19" s="656"/>
      <c r="HB19" s="656"/>
      <c r="HC19" s="656"/>
      <c r="HD19" s="656"/>
      <c r="HE19" s="656"/>
      <c r="HF19" s="656"/>
      <c r="HG19" s="656"/>
      <c r="HH19" s="656"/>
      <c r="HI19" s="656"/>
      <c r="HJ19" s="656"/>
      <c r="HK19" s="656"/>
      <c r="HL19" s="656"/>
      <c r="HM19" s="656"/>
      <c r="HN19" s="656"/>
      <c r="HO19" s="656"/>
      <c r="HP19" s="656"/>
      <c r="HQ19" s="656"/>
      <c r="HR19" s="656"/>
      <c r="HS19" s="656"/>
      <c r="HT19" s="656"/>
      <c r="HU19" s="656"/>
      <c r="HV19" s="656"/>
      <c r="HW19" s="656"/>
    </row>
    <row r="20" spans="1:231" s="657" customFormat="1" ht="28.5" x14ac:dyDescent="0.25">
      <c r="A20" s="646">
        <v>4</v>
      </c>
      <c r="B20" s="680" t="s">
        <v>960</v>
      </c>
      <c r="C20" s="681" t="s">
        <v>709</v>
      </c>
      <c r="D20" s="682" t="s">
        <v>19</v>
      </c>
      <c r="E20" s="683">
        <v>20</v>
      </c>
      <c r="F20" s="1282">
        <v>15724.1</v>
      </c>
      <c r="G20" s="684">
        <v>314482</v>
      </c>
      <c r="H20" s="685">
        <v>0</v>
      </c>
      <c r="I20" s="686">
        <v>0</v>
      </c>
      <c r="J20" s="683">
        <v>20</v>
      </c>
      <c r="K20" s="684">
        <v>314482</v>
      </c>
      <c r="L20" s="683">
        <v>20</v>
      </c>
      <c r="M20" s="684">
        <v>314482</v>
      </c>
      <c r="N20" s="683">
        <v>20</v>
      </c>
      <c r="O20" s="687">
        <v>314482</v>
      </c>
      <c r="P20" s="656"/>
      <c r="Q20" s="656"/>
      <c r="R20" s="656"/>
      <c r="S20" s="656"/>
      <c r="T20" s="656"/>
      <c r="U20" s="656"/>
      <c r="V20" s="656"/>
      <c r="W20" s="656"/>
      <c r="X20" s="656"/>
      <c r="Y20" s="656"/>
      <c r="Z20" s="656"/>
      <c r="AA20" s="656"/>
      <c r="AB20" s="656"/>
      <c r="AC20" s="656"/>
      <c r="AD20" s="656"/>
      <c r="AE20" s="656"/>
      <c r="AF20" s="656"/>
      <c r="AG20" s="656"/>
      <c r="AH20" s="656"/>
      <c r="AI20" s="656"/>
      <c r="AJ20" s="656"/>
      <c r="AK20" s="656"/>
      <c r="AL20" s="656"/>
      <c r="AM20" s="656"/>
      <c r="AN20" s="656"/>
      <c r="AO20" s="656"/>
      <c r="AP20" s="656"/>
      <c r="AQ20" s="656"/>
      <c r="AR20" s="656"/>
      <c r="AS20" s="656"/>
      <c r="AT20" s="656"/>
      <c r="AU20" s="656"/>
      <c r="AV20" s="656"/>
      <c r="AW20" s="656"/>
      <c r="AX20" s="656"/>
      <c r="AY20" s="656"/>
      <c r="AZ20" s="656"/>
      <c r="BA20" s="656"/>
      <c r="BB20" s="656"/>
      <c r="BC20" s="656"/>
      <c r="BD20" s="656"/>
      <c r="BE20" s="656"/>
      <c r="BF20" s="656"/>
      <c r="BG20" s="656"/>
      <c r="BH20" s="656"/>
      <c r="BI20" s="656"/>
      <c r="BJ20" s="656"/>
      <c r="BK20" s="656"/>
      <c r="BL20" s="656"/>
      <c r="BM20" s="656"/>
      <c r="BN20" s="656"/>
      <c r="BO20" s="656"/>
      <c r="BP20" s="656"/>
      <c r="BQ20" s="656"/>
      <c r="BR20" s="656"/>
      <c r="BS20" s="656"/>
      <c r="BT20" s="656"/>
      <c r="BU20" s="656"/>
      <c r="BV20" s="656"/>
      <c r="BW20" s="656"/>
      <c r="BX20" s="656"/>
      <c r="BY20" s="656"/>
      <c r="BZ20" s="656"/>
      <c r="CA20" s="656"/>
      <c r="CB20" s="656"/>
      <c r="CC20" s="656"/>
      <c r="CD20" s="656"/>
      <c r="CE20" s="656"/>
      <c r="CF20" s="656"/>
      <c r="CG20" s="656"/>
      <c r="CH20" s="656"/>
      <c r="CI20" s="656"/>
      <c r="CJ20" s="656"/>
      <c r="CK20" s="656"/>
      <c r="CL20" s="656"/>
      <c r="CM20" s="656"/>
      <c r="CN20" s="656"/>
      <c r="CO20" s="656"/>
      <c r="CP20" s="656"/>
      <c r="CQ20" s="656"/>
      <c r="CR20" s="656"/>
      <c r="CS20" s="656"/>
      <c r="CT20" s="656"/>
      <c r="CU20" s="656"/>
      <c r="CV20" s="656"/>
      <c r="CW20" s="656"/>
      <c r="CX20" s="656"/>
      <c r="CY20" s="656"/>
      <c r="CZ20" s="656"/>
      <c r="DA20" s="656"/>
      <c r="DB20" s="656"/>
      <c r="DC20" s="656"/>
      <c r="DD20" s="656"/>
      <c r="DE20" s="656"/>
      <c r="DF20" s="656"/>
      <c r="DG20" s="656"/>
      <c r="DH20" s="656"/>
      <c r="DI20" s="656"/>
      <c r="DJ20" s="656"/>
      <c r="DK20" s="656"/>
      <c r="DL20" s="656"/>
      <c r="DM20" s="656"/>
      <c r="DN20" s="656"/>
      <c r="DO20" s="656"/>
      <c r="DP20" s="656"/>
      <c r="DQ20" s="656"/>
      <c r="DR20" s="656"/>
      <c r="DS20" s="656"/>
      <c r="DT20" s="656"/>
      <c r="DU20" s="656"/>
      <c r="DV20" s="656"/>
      <c r="DW20" s="656"/>
      <c r="DX20" s="656"/>
      <c r="DY20" s="656"/>
      <c r="DZ20" s="656"/>
      <c r="EA20" s="656"/>
      <c r="EB20" s="656"/>
      <c r="EC20" s="656"/>
      <c r="ED20" s="656"/>
      <c r="EE20" s="656"/>
      <c r="EF20" s="656"/>
      <c r="EG20" s="656"/>
      <c r="EH20" s="656"/>
      <c r="EI20" s="656"/>
      <c r="EJ20" s="656"/>
      <c r="EK20" s="656"/>
      <c r="EL20" s="656"/>
      <c r="EM20" s="656"/>
      <c r="EN20" s="656"/>
      <c r="EO20" s="656"/>
      <c r="EP20" s="656"/>
      <c r="EQ20" s="656"/>
      <c r="ER20" s="656"/>
      <c r="ES20" s="656"/>
      <c r="ET20" s="656"/>
      <c r="EU20" s="656"/>
      <c r="EV20" s="656"/>
      <c r="EW20" s="656"/>
      <c r="EX20" s="656"/>
      <c r="EY20" s="656"/>
      <c r="EZ20" s="656"/>
      <c r="FA20" s="656"/>
      <c r="FB20" s="656"/>
      <c r="FC20" s="656"/>
      <c r="FD20" s="656"/>
      <c r="FE20" s="656"/>
      <c r="FF20" s="656"/>
      <c r="FG20" s="656"/>
      <c r="FH20" s="656"/>
      <c r="FI20" s="656"/>
      <c r="FJ20" s="656"/>
      <c r="FK20" s="656"/>
      <c r="FL20" s="656"/>
      <c r="FM20" s="656"/>
      <c r="FN20" s="656"/>
      <c r="FO20" s="656"/>
      <c r="FP20" s="656"/>
      <c r="FQ20" s="656"/>
      <c r="FR20" s="656"/>
      <c r="FS20" s="656"/>
      <c r="FT20" s="656"/>
      <c r="FU20" s="656"/>
      <c r="FV20" s="656"/>
      <c r="FW20" s="656"/>
      <c r="FX20" s="656"/>
      <c r="FY20" s="656"/>
      <c r="FZ20" s="656"/>
      <c r="GA20" s="656"/>
      <c r="GB20" s="656"/>
      <c r="GC20" s="656"/>
      <c r="GD20" s="656"/>
      <c r="GE20" s="656"/>
      <c r="GF20" s="656"/>
      <c r="GG20" s="656"/>
      <c r="GH20" s="656"/>
      <c r="GI20" s="656"/>
      <c r="GJ20" s="656"/>
      <c r="GK20" s="656"/>
      <c r="GL20" s="656"/>
      <c r="GM20" s="656"/>
      <c r="GN20" s="656"/>
      <c r="GO20" s="656"/>
      <c r="GP20" s="656"/>
      <c r="GQ20" s="656"/>
      <c r="GR20" s="656"/>
      <c r="GS20" s="656"/>
      <c r="GT20" s="656"/>
      <c r="GU20" s="656"/>
      <c r="GV20" s="656"/>
      <c r="GW20" s="656"/>
      <c r="GX20" s="656"/>
      <c r="GY20" s="656"/>
      <c r="GZ20" s="656"/>
      <c r="HA20" s="656"/>
      <c r="HB20" s="656"/>
      <c r="HC20" s="656"/>
      <c r="HD20" s="656"/>
      <c r="HE20" s="656"/>
      <c r="HF20" s="656"/>
      <c r="HG20" s="656"/>
      <c r="HH20" s="656"/>
      <c r="HI20" s="656"/>
      <c r="HJ20" s="656"/>
      <c r="HK20" s="656"/>
      <c r="HL20" s="656"/>
      <c r="HM20" s="656"/>
      <c r="HN20" s="656"/>
      <c r="HO20" s="656"/>
      <c r="HP20" s="656"/>
      <c r="HQ20" s="656"/>
      <c r="HR20" s="656"/>
      <c r="HS20" s="656"/>
      <c r="HT20" s="656"/>
      <c r="HU20" s="656"/>
      <c r="HV20" s="656"/>
      <c r="HW20" s="656"/>
    </row>
    <row r="21" spans="1:231" s="657" customFormat="1" x14ac:dyDescent="0.25">
      <c r="A21" s="646">
        <v>5</v>
      </c>
      <c r="B21" s="680" t="s">
        <v>961</v>
      </c>
      <c r="C21" s="681" t="s">
        <v>711</v>
      </c>
      <c r="D21" s="682" t="s">
        <v>14</v>
      </c>
      <c r="E21" s="683">
        <v>5</v>
      </c>
      <c r="F21" s="1282">
        <v>26521.739999999998</v>
      </c>
      <c r="G21" s="684">
        <v>132609</v>
      </c>
      <c r="H21" s="685">
        <v>0</v>
      </c>
      <c r="I21" s="686">
        <v>0</v>
      </c>
      <c r="J21" s="683">
        <v>5</v>
      </c>
      <c r="K21" s="684">
        <v>132609</v>
      </c>
      <c r="L21" s="683">
        <v>5</v>
      </c>
      <c r="M21" s="684">
        <v>132609</v>
      </c>
      <c r="N21" s="683">
        <v>5</v>
      </c>
      <c r="O21" s="687">
        <v>132609</v>
      </c>
      <c r="P21" s="656"/>
      <c r="Q21" s="656"/>
      <c r="R21" s="656"/>
      <c r="S21" s="656"/>
      <c r="T21" s="656"/>
      <c r="U21" s="656"/>
      <c r="V21" s="656"/>
      <c r="W21" s="656"/>
      <c r="X21" s="656"/>
      <c r="Y21" s="656"/>
      <c r="Z21" s="656"/>
      <c r="AA21" s="656"/>
      <c r="AB21" s="656"/>
      <c r="AC21" s="656"/>
      <c r="AD21" s="656"/>
      <c r="AE21" s="656"/>
      <c r="AF21" s="656"/>
      <c r="AG21" s="656"/>
      <c r="AH21" s="656"/>
      <c r="AI21" s="656"/>
      <c r="AJ21" s="656"/>
      <c r="AK21" s="656"/>
      <c r="AL21" s="656"/>
      <c r="AM21" s="656"/>
      <c r="AN21" s="656"/>
      <c r="AO21" s="656"/>
      <c r="AP21" s="656"/>
      <c r="AQ21" s="656"/>
      <c r="AR21" s="656"/>
      <c r="AS21" s="656"/>
      <c r="AT21" s="656"/>
      <c r="AU21" s="656"/>
      <c r="AV21" s="656"/>
      <c r="AW21" s="656"/>
      <c r="AX21" s="656"/>
      <c r="AY21" s="656"/>
      <c r="AZ21" s="656"/>
      <c r="BA21" s="656"/>
      <c r="BB21" s="656"/>
      <c r="BC21" s="656"/>
      <c r="BD21" s="656"/>
      <c r="BE21" s="656"/>
      <c r="BF21" s="656"/>
      <c r="BG21" s="656"/>
      <c r="BH21" s="656"/>
      <c r="BI21" s="656"/>
      <c r="BJ21" s="656"/>
      <c r="BK21" s="656"/>
      <c r="BL21" s="656"/>
      <c r="BM21" s="656"/>
      <c r="BN21" s="656"/>
      <c r="BO21" s="656"/>
      <c r="BP21" s="656"/>
      <c r="BQ21" s="656"/>
      <c r="BR21" s="656"/>
      <c r="BS21" s="656"/>
      <c r="BT21" s="656"/>
      <c r="BU21" s="656"/>
      <c r="BV21" s="656"/>
      <c r="BW21" s="656"/>
      <c r="BX21" s="656"/>
      <c r="BY21" s="656"/>
      <c r="BZ21" s="656"/>
      <c r="CA21" s="656"/>
      <c r="CB21" s="656"/>
      <c r="CC21" s="656"/>
      <c r="CD21" s="656"/>
      <c r="CE21" s="656"/>
      <c r="CF21" s="656"/>
      <c r="CG21" s="656"/>
      <c r="CH21" s="656"/>
      <c r="CI21" s="656"/>
      <c r="CJ21" s="656"/>
      <c r="CK21" s="656"/>
      <c r="CL21" s="656"/>
      <c r="CM21" s="656"/>
      <c r="CN21" s="656"/>
      <c r="CO21" s="656"/>
      <c r="CP21" s="656"/>
      <c r="CQ21" s="656"/>
      <c r="CR21" s="656"/>
      <c r="CS21" s="656"/>
      <c r="CT21" s="656"/>
      <c r="CU21" s="656"/>
      <c r="CV21" s="656"/>
      <c r="CW21" s="656"/>
      <c r="CX21" s="656"/>
      <c r="CY21" s="656"/>
      <c r="CZ21" s="656"/>
      <c r="DA21" s="656"/>
      <c r="DB21" s="656"/>
      <c r="DC21" s="656"/>
      <c r="DD21" s="656"/>
      <c r="DE21" s="656"/>
      <c r="DF21" s="656"/>
      <c r="DG21" s="656"/>
      <c r="DH21" s="656"/>
      <c r="DI21" s="656"/>
      <c r="DJ21" s="656"/>
      <c r="DK21" s="656"/>
      <c r="DL21" s="656"/>
      <c r="DM21" s="656"/>
      <c r="DN21" s="656"/>
      <c r="DO21" s="656"/>
      <c r="DP21" s="656"/>
      <c r="DQ21" s="656"/>
      <c r="DR21" s="656"/>
      <c r="DS21" s="656"/>
      <c r="DT21" s="656"/>
      <c r="DU21" s="656"/>
      <c r="DV21" s="656"/>
      <c r="DW21" s="656"/>
      <c r="DX21" s="656"/>
      <c r="DY21" s="656"/>
      <c r="DZ21" s="656"/>
      <c r="EA21" s="656"/>
      <c r="EB21" s="656"/>
      <c r="EC21" s="656"/>
      <c r="ED21" s="656"/>
      <c r="EE21" s="656"/>
      <c r="EF21" s="656"/>
      <c r="EG21" s="656"/>
      <c r="EH21" s="656"/>
      <c r="EI21" s="656"/>
      <c r="EJ21" s="656"/>
      <c r="EK21" s="656"/>
      <c r="EL21" s="656"/>
      <c r="EM21" s="656"/>
      <c r="EN21" s="656"/>
      <c r="EO21" s="656"/>
      <c r="EP21" s="656"/>
      <c r="EQ21" s="656"/>
      <c r="ER21" s="656"/>
      <c r="ES21" s="656"/>
      <c r="ET21" s="656"/>
      <c r="EU21" s="656"/>
      <c r="EV21" s="656"/>
      <c r="EW21" s="656"/>
      <c r="EX21" s="656"/>
      <c r="EY21" s="656"/>
      <c r="EZ21" s="656"/>
      <c r="FA21" s="656"/>
      <c r="FB21" s="656"/>
      <c r="FC21" s="656"/>
      <c r="FD21" s="656"/>
      <c r="FE21" s="656"/>
      <c r="FF21" s="656"/>
      <c r="FG21" s="656"/>
      <c r="FH21" s="656"/>
      <c r="FI21" s="656"/>
      <c r="FJ21" s="656"/>
      <c r="FK21" s="656"/>
      <c r="FL21" s="656"/>
      <c r="FM21" s="656"/>
      <c r="FN21" s="656"/>
      <c r="FO21" s="656"/>
      <c r="FP21" s="656"/>
      <c r="FQ21" s="656"/>
      <c r="FR21" s="656"/>
      <c r="FS21" s="656"/>
      <c r="FT21" s="656"/>
      <c r="FU21" s="656"/>
      <c r="FV21" s="656"/>
      <c r="FW21" s="656"/>
      <c r="FX21" s="656"/>
      <c r="FY21" s="656"/>
      <c r="FZ21" s="656"/>
      <c r="GA21" s="656"/>
      <c r="GB21" s="656"/>
      <c r="GC21" s="656"/>
      <c r="GD21" s="656"/>
      <c r="GE21" s="656"/>
      <c r="GF21" s="656"/>
      <c r="GG21" s="656"/>
      <c r="GH21" s="656"/>
      <c r="GI21" s="656"/>
      <c r="GJ21" s="656"/>
      <c r="GK21" s="656"/>
      <c r="GL21" s="656"/>
      <c r="GM21" s="656"/>
      <c r="GN21" s="656"/>
      <c r="GO21" s="656"/>
      <c r="GP21" s="656"/>
      <c r="GQ21" s="656"/>
      <c r="GR21" s="656"/>
      <c r="GS21" s="656"/>
      <c r="GT21" s="656"/>
      <c r="GU21" s="656"/>
      <c r="GV21" s="656"/>
      <c r="GW21" s="656"/>
      <c r="GX21" s="656"/>
      <c r="GY21" s="656"/>
      <c r="GZ21" s="656"/>
      <c r="HA21" s="656"/>
      <c r="HB21" s="656"/>
      <c r="HC21" s="656"/>
      <c r="HD21" s="656"/>
      <c r="HE21" s="656"/>
      <c r="HF21" s="656"/>
      <c r="HG21" s="656"/>
      <c r="HH21" s="656"/>
      <c r="HI21" s="656"/>
      <c r="HJ21" s="656"/>
      <c r="HK21" s="656"/>
      <c r="HL21" s="656"/>
      <c r="HM21" s="656"/>
      <c r="HN21" s="656"/>
      <c r="HO21" s="656"/>
      <c r="HP21" s="656"/>
      <c r="HQ21" s="656"/>
      <c r="HR21" s="656"/>
      <c r="HS21" s="656"/>
      <c r="HT21" s="656"/>
      <c r="HU21" s="656"/>
      <c r="HV21" s="656"/>
      <c r="HW21" s="656"/>
    </row>
    <row r="22" spans="1:231" s="657" customFormat="1" ht="28.5" x14ac:dyDescent="0.25">
      <c r="A22" s="646">
        <v>6</v>
      </c>
      <c r="B22" s="680" t="s">
        <v>962</v>
      </c>
      <c r="C22" s="681" t="s">
        <v>713</v>
      </c>
      <c r="D22" s="682" t="s">
        <v>19</v>
      </c>
      <c r="E22" s="683">
        <v>15</v>
      </c>
      <c r="F22" s="1282">
        <v>33398.400000000001</v>
      </c>
      <c r="G22" s="684">
        <v>500976</v>
      </c>
      <c r="H22" s="685">
        <v>0</v>
      </c>
      <c r="I22" s="686">
        <v>0</v>
      </c>
      <c r="J22" s="683">
        <v>15</v>
      </c>
      <c r="K22" s="684">
        <v>500976</v>
      </c>
      <c r="L22" s="683">
        <v>15</v>
      </c>
      <c r="M22" s="684">
        <v>500976</v>
      </c>
      <c r="N22" s="683">
        <v>15</v>
      </c>
      <c r="O22" s="687">
        <v>500976</v>
      </c>
      <c r="P22" s="656"/>
      <c r="Q22" s="656"/>
      <c r="R22" s="656"/>
      <c r="S22" s="656"/>
      <c r="T22" s="656"/>
      <c r="U22" s="656"/>
      <c r="V22" s="656"/>
      <c r="W22" s="656"/>
      <c r="X22" s="656"/>
      <c r="Y22" s="656"/>
      <c r="Z22" s="656"/>
      <c r="AA22" s="656"/>
      <c r="AB22" s="656"/>
      <c r="AC22" s="656"/>
      <c r="AD22" s="656"/>
      <c r="AE22" s="656"/>
      <c r="AF22" s="656"/>
      <c r="AG22" s="656"/>
      <c r="AH22" s="656"/>
      <c r="AI22" s="656"/>
      <c r="AJ22" s="656"/>
      <c r="AK22" s="656"/>
      <c r="AL22" s="656"/>
      <c r="AM22" s="656"/>
      <c r="AN22" s="656"/>
      <c r="AO22" s="656"/>
      <c r="AP22" s="656"/>
      <c r="AQ22" s="656"/>
      <c r="AR22" s="656"/>
      <c r="AS22" s="656"/>
      <c r="AT22" s="656"/>
      <c r="AU22" s="656"/>
      <c r="AV22" s="656"/>
      <c r="AW22" s="656"/>
      <c r="AX22" s="656"/>
      <c r="AY22" s="656"/>
      <c r="AZ22" s="656"/>
      <c r="BA22" s="656"/>
      <c r="BB22" s="656"/>
      <c r="BC22" s="656"/>
      <c r="BD22" s="656"/>
      <c r="BE22" s="656"/>
      <c r="BF22" s="656"/>
      <c r="BG22" s="656"/>
      <c r="BH22" s="656"/>
      <c r="BI22" s="656"/>
      <c r="BJ22" s="656"/>
      <c r="BK22" s="656"/>
      <c r="BL22" s="656"/>
      <c r="BM22" s="656"/>
      <c r="BN22" s="656"/>
      <c r="BO22" s="656"/>
      <c r="BP22" s="656"/>
      <c r="BQ22" s="656"/>
      <c r="BR22" s="656"/>
      <c r="BS22" s="656"/>
      <c r="BT22" s="656"/>
      <c r="BU22" s="656"/>
      <c r="BV22" s="656"/>
      <c r="BW22" s="656"/>
      <c r="BX22" s="656"/>
      <c r="BY22" s="656"/>
      <c r="BZ22" s="656"/>
      <c r="CA22" s="656"/>
      <c r="CB22" s="656"/>
      <c r="CC22" s="656"/>
      <c r="CD22" s="656"/>
      <c r="CE22" s="656"/>
      <c r="CF22" s="656"/>
      <c r="CG22" s="656"/>
      <c r="CH22" s="656"/>
      <c r="CI22" s="656"/>
      <c r="CJ22" s="656"/>
      <c r="CK22" s="656"/>
      <c r="CL22" s="656"/>
      <c r="CM22" s="656"/>
      <c r="CN22" s="656"/>
      <c r="CO22" s="656"/>
      <c r="CP22" s="656"/>
      <c r="CQ22" s="656"/>
      <c r="CR22" s="656"/>
      <c r="CS22" s="656"/>
      <c r="CT22" s="656"/>
      <c r="CU22" s="656"/>
      <c r="CV22" s="656"/>
      <c r="CW22" s="656"/>
      <c r="CX22" s="656"/>
      <c r="CY22" s="656"/>
      <c r="CZ22" s="656"/>
      <c r="DA22" s="656"/>
      <c r="DB22" s="656"/>
      <c r="DC22" s="656"/>
      <c r="DD22" s="656"/>
      <c r="DE22" s="656"/>
      <c r="DF22" s="656"/>
      <c r="DG22" s="656"/>
      <c r="DH22" s="656"/>
      <c r="DI22" s="656"/>
      <c r="DJ22" s="656"/>
      <c r="DK22" s="656"/>
      <c r="DL22" s="656"/>
      <c r="DM22" s="656"/>
      <c r="DN22" s="656"/>
      <c r="DO22" s="656"/>
      <c r="DP22" s="656"/>
      <c r="DQ22" s="656"/>
      <c r="DR22" s="656"/>
      <c r="DS22" s="656"/>
      <c r="DT22" s="656"/>
      <c r="DU22" s="656"/>
      <c r="DV22" s="656"/>
      <c r="DW22" s="656"/>
      <c r="DX22" s="656"/>
      <c r="DY22" s="656"/>
      <c r="DZ22" s="656"/>
      <c r="EA22" s="656"/>
      <c r="EB22" s="656"/>
      <c r="EC22" s="656"/>
      <c r="ED22" s="656"/>
      <c r="EE22" s="656"/>
      <c r="EF22" s="656"/>
      <c r="EG22" s="656"/>
      <c r="EH22" s="656"/>
      <c r="EI22" s="656"/>
      <c r="EJ22" s="656"/>
      <c r="EK22" s="656"/>
      <c r="EL22" s="656"/>
      <c r="EM22" s="656"/>
      <c r="EN22" s="656"/>
      <c r="EO22" s="656"/>
      <c r="EP22" s="656"/>
      <c r="EQ22" s="656"/>
      <c r="ER22" s="656"/>
      <c r="ES22" s="656"/>
      <c r="ET22" s="656"/>
      <c r="EU22" s="656"/>
      <c r="EV22" s="656"/>
      <c r="EW22" s="656"/>
      <c r="EX22" s="656"/>
      <c r="EY22" s="656"/>
      <c r="EZ22" s="656"/>
      <c r="FA22" s="656"/>
      <c r="FB22" s="656"/>
      <c r="FC22" s="656"/>
      <c r="FD22" s="656"/>
      <c r="FE22" s="656"/>
      <c r="FF22" s="656"/>
      <c r="FG22" s="656"/>
      <c r="FH22" s="656"/>
      <c r="FI22" s="656"/>
      <c r="FJ22" s="656"/>
      <c r="FK22" s="656"/>
      <c r="FL22" s="656"/>
      <c r="FM22" s="656"/>
      <c r="FN22" s="656"/>
      <c r="FO22" s="656"/>
      <c r="FP22" s="656"/>
      <c r="FQ22" s="656"/>
      <c r="FR22" s="656"/>
      <c r="FS22" s="656"/>
      <c r="FT22" s="656"/>
      <c r="FU22" s="656"/>
      <c r="FV22" s="656"/>
      <c r="FW22" s="656"/>
      <c r="FX22" s="656"/>
      <c r="FY22" s="656"/>
      <c r="FZ22" s="656"/>
      <c r="GA22" s="656"/>
      <c r="GB22" s="656"/>
      <c r="GC22" s="656"/>
      <c r="GD22" s="656"/>
      <c r="GE22" s="656"/>
      <c r="GF22" s="656"/>
      <c r="GG22" s="656"/>
      <c r="GH22" s="656"/>
      <c r="GI22" s="656"/>
      <c r="GJ22" s="656"/>
      <c r="GK22" s="656"/>
      <c r="GL22" s="656"/>
      <c r="GM22" s="656"/>
      <c r="GN22" s="656"/>
      <c r="GO22" s="656"/>
      <c r="GP22" s="656"/>
      <c r="GQ22" s="656"/>
      <c r="GR22" s="656"/>
      <c r="GS22" s="656"/>
      <c r="GT22" s="656"/>
      <c r="GU22" s="656"/>
      <c r="GV22" s="656"/>
      <c r="GW22" s="656"/>
      <c r="GX22" s="656"/>
      <c r="GY22" s="656"/>
      <c r="GZ22" s="656"/>
      <c r="HA22" s="656"/>
      <c r="HB22" s="656"/>
      <c r="HC22" s="656"/>
      <c r="HD22" s="656"/>
      <c r="HE22" s="656"/>
      <c r="HF22" s="656"/>
      <c r="HG22" s="656"/>
      <c r="HH22" s="656"/>
      <c r="HI22" s="656"/>
      <c r="HJ22" s="656"/>
      <c r="HK22" s="656"/>
      <c r="HL22" s="656"/>
      <c r="HM22" s="656"/>
      <c r="HN22" s="656"/>
      <c r="HO22" s="656"/>
      <c r="HP22" s="656"/>
      <c r="HQ22" s="656"/>
      <c r="HR22" s="656"/>
      <c r="HS22" s="656"/>
      <c r="HT22" s="656"/>
      <c r="HU22" s="656"/>
      <c r="HV22" s="656"/>
      <c r="HW22" s="656"/>
    </row>
    <row r="23" spans="1:231" s="657" customFormat="1" x14ac:dyDescent="0.25">
      <c r="A23" s="646">
        <v>7</v>
      </c>
      <c r="B23" s="680" t="s">
        <v>963</v>
      </c>
      <c r="C23" s="681" t="s">
        <v>715</v>
      </c>
      <c r="D23" s="682" t="s">
        <v>19</v>
      </c>
      <c r="E23" s="683">
        <v>80</v>
      </c>
      <c r="F23" s="1282">
        <v>38357.199999999997</v>
      </c>
      <c r="G23" s="684">
        <v>3068576</v>
      </c>
      <c r="H23" s="685">
        <v>0</v>
      </c>
      <c r="I23" s="686">
        <v>0</v>
      </c>
      <c r="J23" s="683">
        <v>80</v>
      </c>
      <c r="K23" s="684">
        <v>3068576</v>
      </c>
      <c r="L23" s="683">
        <v>0</v>
      </c>
      <c r="M23" s="684">
        <v>0</v>
      </c>
      <c r="N23" s="686"/>
      <c r="O23" s="687">
        <v>0</v>
      </c>
      <c r="P23" s="656"/>
      <c r="Q23" s="656"/>
      <c r="R23" s="656"/>
      <c r="S23" s="656"/>
      <c r="T23" s="656"/>
      <c r="U23" s="656"/>
      <c r="V23" s="656"/>
      <c r="W23" s="656"/>
      <c r="X23" s="656"/>
      <c r="Y23" s="656"/>
      <c r="Z23" s="656"/>
      <c r="AA23" s="656"/>
      <c r="AB23" s="656"/>
      <c r="AC23" s="656"/>
      <c r="AD23" s="656"/>
      <c r="AE23" s="656"/>
      <c r="AF23" s="656"/>
      <c r="AG23" s="656"/>
      <c r="AH23" s="656"/>
      <c r="AI23" s="656"/>
      <c r="AJ23" s="656"/>
      <c r="AK23" s="656"/>
      <c r="AL23" s="656"/>
      <c r="AM23" s="656"/>
      <c r="AN23" s="656"/>
      <c r="AO23" s="656"/>
      <c r="AP23" s="656"/>
      <c r="AQ23" s="656"/>
      <c r="AR23" s="656"/>
      <c r="AS23" s="656"/>
      <c r="AT23" s="656"/>
      <c r="AU23" s="656"/>
      <c r="AV23" s="656"/>
      <c r="AW23" s="656"/>
      <c r="AX23" s="656"/>
      <c r="AY23" s="656"/>
      <c r="AZ23" s="656"/>
      <c r="BA23" s="656"/>
      <c r="BB23" s="656"/>
      <c r="BC23" s="656"/>
      <c r="BD23" s="656"/>
      <c r="BE23" s="656"/>
      <c r="BF23" s="656"/>
      <c r="BG23" s="656"/>
      <c r="BH23" s="656"/>
      <c r="BI23" s="656"/>
      <c r="BJ23" s="656"/>
      <c r="BK23" s="656"/>
      <c r="BL23" s="656"/>
      <c r="BM23" s="656"/>
      <c r="BN23" s="656"/>
      <c r="BO23" s="656"/>
      <c r="BP23" s="656"/>
      <c r="BQ23" s="656"/>
      <c r="BR23" s="656"/>
      <c r="BS23" s="656"/>
      <c r="BT23" s="656"/>
      <c r="BU23" s="656"/>
      <c r="BV23" s="656"/>
      <c r="BW23" s="656"/>
      <c r="BX23" s="656"/>
      <c r="BY23" s="656"/>
      <c r="BZ23" s="656"/>
      <c r="CA23" s="656"/>
      <c r="CB23" s="656"/>
      <c r="CC23" s="656"/>
      <c r="CD23" s="656"/>
      <c r="CE23" s="656"/>
      <c r="CF23" s="656"/>
      <c r="CG23" s="656"/>
      <c r="CH23" s="656"/>
      <c r="CI23" s="656"/>
      <c r="CJ23" s="656"/>
      <c r="CK23" s="656"/>
      <c r="CL23" s="656"/>
      <c r="CM23" s="656"/>
      <c r="CN23" s="656"/>
      <c r="CO23" s="656"/>
      <c r="CP23" s="656"/>
      <c r="CQ23" s="656"/>
      <c r="CR23" s="656"/>
      <c r="CS23" s="656"/>
      <c r="CT23" s="656"/>
      <c r="CU23" s="656"/>
      <c r="CV23" s="656"/>
      <c r="CW23" s="656"/>
      <c r="CX23" s="656"/>
      <c r="CY23" s="656"/>
      <c r="CZ23" s="656"/>
      <c r="DA23" s="656"/>
      <c r="DB23" s="656"/>
      <c r="DC23" s="656"/>
      <c r="DD23" s="656"/>
      <c r="DE23" s="656"/>
      <c r="DF23" s="656"/>
      <c r="DG23" s="656"/>
      <c r="DH23" s="656"/>
      <c r="DI23" s="656"/>
      <c r="DJ23" s="656"/>
      <c r="DK23" s="656"/>
      <c r="DL23" s="656"/>
      <c r="DM23" s="656"/>
      <c r="DN23" s="656"/>
      <c r="DO23" s="656"/>
      <c r="DP23" s="656"/>
      <c r="DQ23" s="656"/>
      <c r="DR23" s="656"/>
      <c r="DS23" s="656"/>
      <c r="DT23" s="656"/>
      <c r="DU23" s="656"/>
      <c r="DV23" s="656"/>
      <c r="DW23" s="656"/>
      <c r="DX23" s="656"/>
      <c r="DY23" s="656"/>
      <c r="DZ23" s="656"/>
      <c r="EA23" s="656"/>
      <c r="EB23" s="656"/>
      <c r="EC23" s="656"/>
      <c r="ED23" s="656"/>
      <c r="EE23" s="656"/>
      <c r="EF23" s="656"/>
      <c r="EG23" s="656"/>
      <c r="EH23" s="656"/>
      <c r="EI23" s="656"/>
      <c r="EJ23" s="656"/>
      <c r="EK23" s="656"/>
      <c r="EL23" s="656"/>
      <c r="EM23" s="656"/>
      <c r="EN23" s="656"/>
      <c r="EO23" s="656"/>
      <c r="EP23" s="656"/>
      <c r="EQ23" s="656"/>
      <c r="ER23" s="656"/>
      <c r="ES23" s="656"/>
      <c r="ET23" s="656"/>
      <c r="EU23" s="656"/>
      <c r="EV23" s="656"/>
      <c r="EW23" s="656"/>
      <c r="EX23" s="656"/>
      <c r="EY23" s="656"/>
      <c r="EZ23" s="656"/>
      <c r="FA23" s="656"/>
      <c r="FB23" s="656"/>
      <c r="FC23" s="656"/>
      <c r="FD23" s="656"/>
      <c r="FE23" s="656"/>
      <c r="FF23" s="656"/>
      <c r="FG23" s="656"/>
      <c r="FH23" s="656"/>
      <c r="FI23" s="656"/>
      <c r="FJ23" s="656"/>
      <c r="FK23" s="656"/>
      <c r="FL23" s="656"/>
      <c r="FM23" s="656"/>
      <c r="FN23" s="656"/>
      <c r="FO23" s="656"/>
      <c r="FP23" s="656"/>
      <c r="FQ23" s="656"/>
      <c r="FR23" s="656"/>
      <c r="FS23" s="656"/>
      <c r="FT23" s="656"/>
      <c r="FU23" s="656"/>
      <c r="FV23" s="656"/>
      <c r="FW23" s="656"/>
      <c r="FX23" s="656"/>
      <c r="FY23" s="656"/>
      <c r="FZ23" s="656"/>
      <c r="GA23" s="656"/>
      <c r="GB23" s="656"/>
      <c r="GC23" s="656"/>
      <c r="GD23" s="656"/>
      <c r="GE23" s="656"/>
      <c r="GF23" s="656"/>
      <c r="GG23" s="656"/>
      <c r="GH23" s="656"/>
      <c r="GI23" s="656"/>
      <c r="GJ23" s="656"/>
      <c r="GK23" s="656"/>
      <c r="GL23" s="656"/>
      <c r="GM23" s="656"/>
      <c r="GN23" s="656"/>
      <c r="GO23" s="656"/>
      <c r="GP23" s="656"/>
      <c r="GQ23" s="656"/>
      <c r="GR23" s="656"/>
      <c r="GS23" s="656"/>
      <c r="GT23" s="656"/>
      <c r="GU23" s="656"/>
      <c r="GV23" s="656"/>
      <c r="GW23" s="656"/>
      <c r="GX23" s="656"/>
      <c r="GY23" s="656"/>
      <c r="GZ23" s="656"/>
      <c r="HA23" s="656"/>
      <c r="HB23" s="656"/>
      <c r="HC23" s="656"/>
      <c r="HD23" s="656"/>
      <c r="HE23" s="656"/>
      <c r="HF23" s="656"/>
      <c r="HG23" s="656"/>
      <c r="HH23" s="656"/>
      <c r="HI23" s="656"/>
      <c r="HJ23" s="656"/>
      <c r="HK23" s="656"/>
      <c r="HL23" s="656"/>
      <c r="HM23" s="656"/>
      <c r="HN23" s="656"/>
      <c r="HO23" s="656"/>
      <c r="HP23" s="656"/>
      <c r="HQ23" s="656"/>
      <c r="HR23" s="656"/>
      <c r="HS23" s="656"/>
      <c r="HT23" s="656"/>
      <c r="HU23" s="656"/>
      <c r="HV23" s="656"/>
      <c r="HW23" s="656"/>
    </row>
    <row r="24" spans="1:231" s="657" customFormat="1" x14ac:dyDescent="0.25">
      <c r="A24" s="646">
        <v>8</v>
      </c>
      <c r="B24" s="680" t="s">
        <v>964</v>
      </c>
      <c r="C24" s="681" t="s">
        <v>965</v>
      </c>
      <c r="D24" s="682" t="s">
        <v>19</v>
      </c>
      <c r="E24" s="683">
        <v>360</v>
      </c>
      <c r="F24" s="684">
        <v>19993.96</v>
      </c>
      <c r="G24" s="684">
        <v>7197826</v>
      </c>
      <c r="H24" s="685">
        <v>0</v>
      </c>
      <c r="I24" s="686">
        <v>0</v>
      </c>
      <c r="J24" s="683">
        <v>360</v>
      </c>
      <c r="K24" s="684">
        <v>7197826</v>
      </c>
      <c r="L24" s="683">
        <v>0</v>
      </c>
      <c r="M24" s="684">
        <v>0</v>
      </c>
      <c r="N24" s="686"/>
      <c r="O24" s="687">
        <v>0</v>
      </c>
      <c r="P24" s="656"/>
      <c r="Q24" s="656"/>
      <c r="R24" s="656"/>
      <c r="S24" s="656"/>
      <c r="T24" s="656"/>
      <c r="U24" s="656"/>
      <c r="V24" s="656"/>
      <c r="W24" s="656"/>
      <c r="X24" s="656"/>
      <c r="Y24" s="656"/>
      <c r="Z24" s="656"/>
      <c r="AA24" s="656"/>
      <c r="AB24" s="656"/>
      <c r="AC24" s="656"/>
      <c r="AD24" s="656"/>
      <c r="AE24" s="656"/>
      <c r="AF24" s="656"/>
      <c r="AG24" s="656"/>
      <c r="AH24" s="656"/>
      <c r="AI24" s="656"/>
      <c r="AJ24" s="656"/>
      <c r="AK24" s="656"/>
      <c r="AL24" s="656"/>
      <c r="AM24" s="656"/>
      <c r="AN24" s="656"/>
      <c r="AO24" s="656"/>
      <c r="AP24" s="656"/>
      <c r="AQ24" s="656"/>
      <c r="AR24" s="656"/>
      <c r="AS24" s="656"/>
      <c r="AT24" s="656"/>
      <c r="AU24" s="656"/>
      <c r="AV24" s="656"/>
      <c r="AW24" s="656"/>
      <c r="AX24" s="656"/>
      <c r="AY24" s="656"/>
      <c r="AZ24" s="656"/>
      <c r="BA24" s="656"/>
      <c r="BB24" s="656"/>
      <c r="BC24" s="656"/>
      <c r="BD24" s="656"/>
      <c r="BE24" s="656"/>
      <c r="BF24" s="656"/>
      <c r="BG24" s="656"/>
      <c r="BH24" s="656"/>
      <c r="BI24" s="656"/>
      <c r="BJ24" s="656"/>
      <c r="BK24" s="656"/>
      <c r="BL24" s="656"/>
      <c r="BM24" s="656"/>
      <c r="BN24" s="656"/>
      <c r="BO24" s="656"/>
      <c r="BP24" s="656"/>
      <c r="BQ24" s="656"/>
      <c r="BR24" s="656"/>
      <c r="BS24" s="656"/>
      <c r="BT24" s="656"/>
      <c r="BU24" s="656"/>
      <c r="BV24" s="656"/>
      <c r="BW24" s="656"/>
      <c r="BX24" s="656"/>
      <c r="BY24" s="656"/>
      <c r="BZ24" s="656"/>
      <c r="CA24" s="656"/>
      <c r="CB24" s="656"/>
      <c r="CC24" s="656"/>
      <c r="CD24" s="656"/>
      <c r="CE24" s="656"/>
      <c r="CF24" s="656"/>
      <c r="CG24" s="656"/>
      <c r="CH24" s="656"/>
      <c r="CI24" s="656"/>
      <c r="CJ24" s="656"/>
      <c r="CK24" s="656"/>
      <c r="CL24" s="656"/>
      <c r="CM24" s="656"/>
      <c r="CN24" s="656"/>
      <c r="CO24" s="656"/>
      <c r="CP24" s="656"/>
      <c r="CQ24" s="656"/>
      <c r="CR24" s="656"/>
      <c r="CS24" s="656"/>
      <c r="CT24" s="656"/>
      <c r="CU24" s="656"/>
      <c r="CV24" s="656"/>
      <c r="CW24" s="656"/>
      <c r="CX24" s="656"/>
      <c r="CY24" s="656"/>
      <c r="CZ24" s="656"/>
      <c r="DA24" s="656"/>
      <c r="DB24" s="656"/>
      <c r="DC24" s="656"/>
      <c r="DD24" s="656"/>
      <c r="DE24" s="656"/>
      <c r="DF24" s="656"/>
      <c r="DG24" s="656"/>
      <c r="DH24" s="656"/>
      <c r="DI24" s="656"/>
      <c r="DJ24" s="656"/>
      <c r="DK24" s="656"/>
      <c r="DL24" s="656"/>
      <c r="DM24" s="656"/>
      <c r="DN24" s="656"/>
      <c r="DO24" s="656"/>
      <c r="DP24" s="656"/>
      <c r="DQ24" s="656"/>
      <c r="DR24" s="656"/>
      <c r="DS24" s="656"/>
      <c r="DT24" s="656"/>
      <c r="DU24" s="656"/>
      <c r="DV24" s="656"/>
      <c r="DW24" s="656"/>
      <c r="DX24" s="656"/>
      <c r="DY24" s="656"/>
      <c r="DZ24" s="656"/>
      <c r="EA24" s="656"/>
      <c r="EB24" s="656"/>
      <c r="EC24" s="656"/>
      <c r="ED24" s="656"/>
      <c r="EE24" s="656"/>
      <c r="EF24" s="656"/>
      <c r="EG24" s="656"/>
      <c r="EH24" s="656"/>
      <c r="EI24" s="656"/>
      <c r="EJ24" s="656"/>
      <c r="EK24" s="656"/>
      <c r="EL24" s="656"/>
      <c r="EM24" s="656"/>
      <c r="EN24" s="656"/>
      <c r="EO24" s="656"/>
      <c r="EP24" s="656"/>
      <c r="EQ24" s="656"/>
      <c r="ER24" s="656"/>
      <c r="ES24" s="656"/>
      <c r="ET24" s="656"/>
      <c r="EU24" s="656"/>
      <c r="EV24" s="656"/>
      <c r="EW24" s="656"/>
      <c r="EX24" s="656"/>
      <c r="EY24" s="656"/>
      <c r="EZ24" s="656"/>
      <c r="FA24" s="656"/>
      <c r="FB24" s="656"/>
      <c r="FC24" s="656"/>
      <c r="FD24" s="656"/>
      <c r="FE24" s="656"/>
      <c r="FF24" s="656"/>
      <c r="FG24" s="656"/>
      <c r="FH24" s="656"/>
      <c r="FI24" s="656"/>
      <c r="FJ24" s="656"/>
      <c r="FK24" s="656"/>
      <c r="FL24" s="656"/>
      <c r="FM24" s="656"/>
      <c r="FN24" s="656"/>
      <c r="FO24" s="656"/>
      <c r="FP24" s="656"/>
      <c r="FQ24" s="656"/>
      <c r="FR24" s="656"/>
      <c r="FS24" s="656"/>
      <c r="FT24" s="656"/>
      <c r="FU24" s="656"/>
      <c r="FV24" s="656"/>
      <c r="FW24" s="656"/>
      <c r="FX24" s="656"/>
      <c r="FY24" s="656"/>
      <c r="FZ24" s="656"/>
      <c r="GA24" s="656"/>
      <c r="GB24" s="656"/>
      <c r="GC24" s="656"/>
      <c r="GD24" s="656"/>
      <c r="GE24" s="656"/>
      <c r="GF24" s="656"/>
      <c r="GG24" s="656"/>
      <c r="GH24" s="656"/>
      <c r="GI24" s="656"/>
      <c r="GJ24" s="656"/>
      <c r="GK24" s="656"/>
      <c r="GL24" s="656"/>
      <c r="GM24" s="656"/>
      <c r="GN24" s="656"/>
      <c r="GO24" s="656"/>
      <c r="GP24" s="656"/>
      <c r="GQ24" s="656"/>
      <c r="GR24" s="656"/>
      <c r="GS24" s="656"/>
      <c r="GT24" s="656"/>
      <c r="GU24" s="656"/>
      <c r="GV24" s="656"/>
      <c r="GW24" s="656"/>
      <c r="GX24" s="656"/>
      <c r="GY24" s="656"/>
      <c r="GZ24" s="656"/>
      <c r="HA24" s="656"/>
      <c r="HB24" s="656"/>
      <c r="HC24" s="656"/>
      <c r="HD24" s="656"/>
      <c r="HE24" s="656"/>
      <c r="HF24" s="656"/>
      <c r="HG24" s="656"/>
      <c r="HH24" s="656"/>
      <c r="HI24" s="656"/>
      <c r="HJ24" s="656"/>
      <c r="HK24" s="656"/>
      <c r="HL24" s="656"/>
      <c r="HM24" s="656"/>
      <c r="HN24" s="656"/>
      <c r="HO24" s="656"/>
      <c r="HP24" s="656"/>
      <c r="HQ24" s="656"/>
      <c r="HR24" s="656"/>
      <c r="HS24" s="656"/>
      <c r="HT24" s="656"/>
      <c r="HU24" s="656"/>
      <c r="HV24" s="656"/>
      <c r="HW24" s="656"/>
    </row>
    <row r="25" spans="1:231" s="657" customFormat="1" ht="57" x14ac:dyDescent="0.25">
      <c r="A25" s="646">
        <v>9</v>
      </c>
      <c r="B25" s="680" t="s">
        <v>966</v>
      </c>
      <c r="C25" s="681" t="s">
        <v>967</v>
      </c>
      <c r="D25" s="682" t="s">
        <v>6</v>
      </c>
      <c r="E25" s="683">
        <v>30</v>
      </c>
      <c r="F25" s="684">
        <v>481023.2</v>
      </c>
      <c r="G25" s="684">
        <v>14430696</v>
      </c>
      <c r="H25" s="685">
        <v>0</v>
      </c>
      <c r="I25" s="686">
        <v>0</v>
      </c>
      <c r="J25" s="683">
        <v>30</v>
      </c>
      <c r="K25" s="684">
        <v>14430696</v>
      </c>
      <c r="L25" s="683">
        <v>30</v>
      </c>
      <c r="M25" s="684">
        <v>14430696</v>
      </c>
      <c r="N25" s="683">
        <v>30</v>
      </c>
      <c r="O25" s="687">
        <v>14430696</v>
      </c>
      <c r="P25" s="656"/>
      <c r="Q25" s="656"/>
      <c r="R25" s="656"/>
      <c r="S25" s="656"/>
      <c r="T25" s="656"/>
      <c r="U25" s="656"/>
      <c r="V25" s="656"/>
      <c r="W25" s="656"/>
      <c r="X25" s="656"/>
      <c r="Y25" s="656"/>
      <c r="Z25" s="656"/>
      <c r="AA25" s="656"/>
      <c r="AB25" s="656"/>
      <c r="AC25" s="656"/>
      <c r="AD25" s="656"/>
      <c r="AE25" s="656"/>
      <c r="AF25" s="656"/>
      <c r="AG25" s="656"/>
      <c r="AH25" s="656"/>
      <c r="AI25" s="656"/>
      <c r="AJ25" s="656"/>
      <c r="AK25" s="656"/>
      <c r="AL25" s="656"/>
      <c r="AM25" s="656"/>
      <c r="AN25" s="656"/>
      <c r="AO25" s="656"/>
      <c r="AP25" s="656"/>
      <c r="AQ25" s="656"/>
      <c r="AR25" s="656"/>
      <c r="AS25" s="656"/>
      <c r="AT25" s="656"/>
      <c r="AU25" s="656"/>
      <c r="AV25" s="656"/>
      <c r="AW25" s="656"/>
      <c r="AX25" s="656"/>
      <c r="AY25" s="656"/>
      <c r="AZ25" s="656"/>
      <c r="BA25" s="656"/>
      <c r="BB25" s="656"/>
      <c r="BC25" s="656"/>
      <c r="BD25" s="656"/>
      <c r="BE25" s="656"/>
      <c r="BF25" s="656"/>
      <c r="BG25" s="656"/>
      <c r="BH25" s="656"/>
      <c r="BI25" s="656"/>
      <c r="BJ25" s="656"/>
      <c r="BK25" s="656"/>
      <c r="BL25" s="656"/>
      <c r="BM25" s="656"/>
      <c r="BN25" s="656"/>
      <c r="BO25" s="656"/>
      <c r="BP25" s="656"/>
      <c r="BQ25" s="656"/>
      <c r="BR25" s="656"/>
      <c r="BS25" s="656"/>
      <c r="BT25" s="656"/>
      <c r="BU25" s="656"/>
      <c r="BV25" s="656"/>
      <c r="BW25" s="656"/>
      <c r="BX25" s="656"/>
      <c r="BY25" s="656"/>
      <c r="BZ25" s="656"/>
      <c r="CA25" s="656"/>
      <c r="CB25" s="656"/>
      <c r="CC25" s="656"/>
      <c r="CD25" s="656"/>
      <c r="CE25" s="656"/>
      <c r="CF25" s="656"/>
      <c r="CG25" s="656"/>
      <c r="CH25" s="656"/>
      <c r="CI25" s="656"/>
      <c r="CJ25" s="656"/>
      <c r="CK25" s="656"/>
      <c r="CL25" s="656"/>
      <c r="CM25" s="656"/>
      <c r="CN25" s="656"/>
      <c r="CO25" s="656"/>
      <c r="CP25" s="656"/>
      <c r="CQ25" s="656"/>
      <c r="CR25" s="656"/>
      <c r="CS25" s="656"/>
      <c r="CT25" s="656"/>
      <c r="CU25" s="656"/>
      <c r="CV25" s="656"/>
      <c r="CW25" s="656"/>
      <c r="CX25" s="656"/>
      <c r="CY25" s="656"/>
      <c r="CZ25" s="656"/>
      <c r="DA25" s="656"/>
      <c r="DB25" s="656"/>
      <c r="DC25" s="656"/>
      <c r="DD25" s="656"/>
      <c r="DE25" s="656"/>
      <c r="DF25" s="656"/>
      <c r="DG25" s="656"/>
      <c r="DH25" s="656"/>
      <c r="DI25" s="656"/>
      <c r="DJ25" s="656"/>
      <c r="DK25" s="656"/>
      <c r="DL25" s="656"/>
      <c r="DM25" s="656"/>
      <c r="DN25" s="656"/>
      <c r="DO25" s="656"/>
      <c r="DP25" s="656"/>
      <c r="DQ25" s="656"/>
      <c r="DR25" s="656"/>
      <c r="DS25" s="656"/>
      <c r="DT25" s="656"/>
      <c r="DU25" s="656"/>
      <c r="DV25" s="656"/>
      <c r="DW25" s="656"/>
      <c r="DX25" s="656"/>
      <c r="DY25" s="656"/>
      <c r="DZ25" s="656"/>
      <c r="EA25" s="656"/>
      <c r="EB25" s="656"/>
      <c r="EC25" s="656"/>
      <c r="ED25" s="656"/>
      <c r="EE25" s="656"/>
      <c r="EF25" s="656"/>
      <c r="EG25" s="656"/>
      <c r="EH25" s="656"/>
      <c r="EI25" s="656"/>
      <c r="EJ25" s="656"/>
      <c r="EK25" s="656"/>
      <c r="EL25" s="656"/>
      <c r="EM25" s="656"/>
      <c r="EN25" s="656"/>
      <c r="EO25" s="656"/>
      <c r="EP25" s="656"/>
      <c r="EQ25" s="656"/>
      <c r="ER25" s="656"/>
      <c r="ES25" s="656"/>
      <c r="ET25" s="656"/>
      <c r="EU25" s="656"/>
      <c r="EV25" s="656"/>
      <c r="EW25" s="656"/>
      <c r="EX25" s="656"/>
      <c r="EY25" s="656"/>
      <c r="EZ25" s="656"/>
      <c r="FA25" s="656"/>
      <c r="FB25" s="656"/>
      <c r="FC25" s="656"/>
      <c r="FD25" s="656"/>
      <c r="FE25" s="656"/>
      <c r="FF25" s="656"/>
      <c r="FG25" s="656"/>
      <c r="FH25" s="656"/>
      <c r="FI25" s="656"/>
      <c r="FJ25" s="656"/>
      <c r="FK25" s="656"/>
      <c r="FL25" s="656"/>
      <c r="FM25" s="656"/>
      <c r="FN25" s="656"/>
      <c r="FO25" s="656"/>
      <c r="FP25" s="656"/>
      <c r="FQ25" s="656"/>
      <c r="FR25" s="656"/>
      <c r="FS25" s="656"/>
      <c r="FT25" s="656"/>
      <c r="FU25" s="656"/>
      <c r="FV25" s="656"/>
      <c r="FW25" s="656"/>
      <c r="FX25" s="656"/>
      <c r="FY25" s="656"/>
      <c r="FZ25" s="656"/>
      <c r="GA25" s="656"/>
      <c r="GB25" s="656"/>
      <c r="GC25" s="656"/>
      <c r="GD25" s="656"/>
      <c r="GE25" s="656"/>
      <c r="GF25" s="656"/>
      <c r="GG25" s="656"/>
      <c r="GH25" s="656"/>
      <c r="GI25" s="656"/>
      <c r="GJ25" s="656"/>
      <c r="GK25" s="656"/>
      <c r="GL25" s="656"/>
      <c r="GM25" s="656"/>
      <c r="GN25" s="656"/>
      <c r="GO25" s="656"/>
      <c r="GP25" s="656"/>
      <c r="GQ25" s="656"/>
      <c r="GR25" s="656"/>
      <c r="GS25" s="656"/>
      <c r="GT25" s="656"/>
      <c r="GU25" s="656"/>
      <c r="GV25" s="656"/>
      <c r="GW25" s="656"/>
      <c r="GX25" s="656"/>
      <c r="GY25" s="656"/>
      <c r="GZ25" s="656"/>
      <c r="HA25" s="656"/>
      <c r="HB25" s="656"/>
      <c r="HC25" s="656"/>
      <c r="HD25" s="656"/>
      <c r="HE25" s="656"/>
      <c r="HF25" s="656"/>
      <c r="HG25" s="656"/>
      <c r="HH25" s="656"/>
      <c r="HI25" s="656"/>
      <c r="HJ25" s="656"/>
      <c r="HK25" s="656"/>
      <c r="HL25" s="656"/>
      <c r="HM25" s="656"/>
      <c r="HN25" s="656"/>
      <c r="HO25" s="656"/>
      <c r="HP25" s="656"/>
      <c r="HQ25" s="656"/>
      <c r="HR25" s="656"/>
      <c r="HS25" s="656"/>
      <c r="HT25" s="656"/>
      <c r="HU25" s="656"/>
      <c r="HV25" s="656"/>
      <c r="HW25" s="656"/>
    </row>
    <row r="26" spans="1:231" s="657" customFormat="1" ht="57" x14ac:dyDescent="0.25">
      <c r="A26" s="646">
        <v>10</v>
      </c>
      <c r="B26" s="680" t="s">
        <v>968</v>
      </c>
      <c r="C26" s="681" t="s">
        <v>969</v>
      </c>
      <c r="D26" s="682" t="s">
        <v>6</v>
      </c>
      <c r="E26" s="683">
        <v>8</v>
      </c>
      <c r="F26" s="684">
        <v>242196.22</v>
      </c>
      <c r="G26" s="684">
        <v>1937570</v>
      </c>
      <c r="H26" s="685">
        <v>0</v>
      </c>
      <c r="I26" s="686">
        <v>0</v>
      </c>
      <c r="J26" s="683">
        <v>8</v>
      </c>
      <c r="K26" s="684">
        <v>1937570</v>
      </c>
      <c r="L26" s="683">
        <v>8</v>
      </c>
      <c r="M26" s="684">
        <v>1937570</v>
      </c>
      <c r="N26" s="683">
        <v>8</v>
      </c>
      <c r="O26" s="687">
        <v>1937570</v>
      </c>
      <c r="P26" s="656"/>
      <c r="Q26" s="656"/>
      <c r="R26" s="656"/>
      <c r="S26" s="656"/>
      <c r="T26" s="656"/>
      <c r="U26" s="656"/>
      <c r="V26" s="656"/>
      <c r="W26" s="656"/>
      <c r="X26" s="656"/>
      <c r="Y26" s="656"/>
      <c r="Z26" s="656"/>
      <c r="AA26" s="656"/>
      <c r="AB26" s="656"/>
      <c r="AC26" s="656"/>
      <c r="AD26" s="656"/>
      <c r="AE26" s="656"/>
      <c r="AF26" s="656"/>
      <c r="AG26" s="656"/>
      <c r="AH26" s="656"/>
      <c r="AI26" s="656"/>
      <c r="AJ26" s="656"/>
      <c r="AK26" s="656"/>
      <c r="AL26" s="656"/>
      <c r="AM26" s="656"/>
      <c r="AN26" s="656"/>
      <c r="AO26" s="656"/>
      <c r="AP26" s="656"/>
      <c r="AQ26" s="656"/>
      <c r="AR26" s="656"/>
      <c r="AS26" s="656"/>
      <c r="AT26" s="656"/>
      <c r="AU26" s="656"/>
      <c r="AV26" s="656"/>
      <c r="AW26" s="656"/>
      <c r="AX26" s="656"/>
      <c r="AY26" s="656"/>
      <c r="AZ26" s="656"/>
      <c r="BA26" s="656"/>
      <c r="BB26" s="656"/>
      <c r="BC26" s="656"/>
      <c r="BD26" s="656"/>
      <c r="BE26" s="656"/>
      <c r="BF26" s="656"/>
      <c r="BG26" s="656"/>
      <c r="BH26" s="656"/>
      <c r="BI26" s="656"/>
      <c r="BJ26" s="656"/>
      <c r="BK26" s="656"/>
      <c r="BL26" s="656"/>
      <c r="BM26" s="656"/>
      <c r="BN26" s="656"/>
      <c r="BO26" s="656"/>
      <c r="BP26" s="656"/>
      <c r="BQ26" s="656"/>
      <c r="BR26" s="656"/>
      <c r="BS26" s="656"/>
      <c r="BT26" s="656"/>
      <c r="BU26" s="656"/>
      <c r="BV26" s="656"/>
      <c r="BW26" s="656"/>
      <c r="BX26" s="656"/>
      <c r="BY26" s="656"/>
      <c r="BZ26" s="656"/>
      <c r="CA26" s="656"/>
      <c r="CB26" s="656"/>
      <c r="CC26" s="656"/>
      <c r="CD26" s="656"/>
      <c r="CE26" s="656"/>
      <c r="CF26" s="656"/>
      <c r="CG26" s="656"/>
      <c r="CH26" s="656"/>
      <c r="CI26" s="656"/>
      <c r="CJ26" s="656"/>
      <c r="CK26" s="656"/>
      <c r="CL26" s="656"/>
      <c r="CM26" s="656"/>
      <c r="CN26" s="656"/>
      <c r="CO26" s="656"/>
      <c r="CP26" s="656"/>
      <c r="CQ26" s="656"/>
      <c r="CR26" s="656"/>
      <c r="CS26" s="656"/>
      <c r="CT26" s="656"/>
      <c r="CU26" s="656"/>
      <c r="CV26" s="656"/>
      <c r="CW26" s="656"/>
      <c r="CX26" s="656"/>
      <c r="CY26" s="656"/>
      <c r="CZ26" s="656"/>
      <c r="DA26" s="656"/>
      <c r="DB26" s="656"/>
      <c r="DC26" s="656"/>
      <c r="DD26" s="656"/>
      <c r="DE26" s="656"/>
      <c r="DF26" s="656"/>
      <c r="DG26" s="656"/>
      <c r="DH26" s="656"/>
      <c r="DI26" s="656"/>
      <c r="DJ26" s="656"/>
      <c r="DK26" s="656"/>
      <c r="DL26" s="656"/>
      <c r="DM26" s="656"/>
      <c r="DN26" s="656"/>
      <c r="DO26" s="656"/>
      <c r="DP26" s="656"/>
      <c r="DQ26" s="656"/>
      <c r="DR26" s="656"/>
      <c r="DS26" s="656"/>
      <c r="DT26" s="656"/>
      <c r="DU26" s="656"/>
      <c r="DV26" s="656"/>
      <c r="DW26" s="656"/>
      <c r="DX26" s="656"/>
      <c r="DY26" s="656"/>
      <c r="DZ26" s="656"/>
      <c r="EA26" s="656"/>
      <c r="EB26" s="656"/>
      <c r="EC26" s="656"/>
      <c r="ED26" s="656"/>
      <c r="EE26" s="656"/>
      <c r="EF26" s="656"/>
      <c r="EG26" s="656"/>
      <c r="EH26" s="656"/>
      <c r="EI26" s="656"/>
      <c r="EJ26" s="656"/>
      <c r="EK26" s="656"/>
      <c r="EL26" s="656"/>
      <c r="EM26" s="656"/>
      <c r="EN26" s="656"/>
      <c r="EO26" s="656"/>
      <c r="EP26" s="656"/>
      <c r="EQ26" s="656"/>
      <c r="ER26" s="656"/>
      <c r="ES26" s="656"/>
      <c r="ET26" s="656"/>
      <c r="EU26" s="656"/>
      <c r="EV26" s="656"/>
      <c r="EW26" s="656"/>
      <c r="EX26" s="656"/>
      <c r="EY26" s="656"/>
      <c r="EZ26" s="656"/>
      <c r="FA26" s="656"/>
      <c r="FB26" s="656"/>
      <c r="FC26" s="656"/>
      <c r="FD26" s="656"/>
      <c r="FE26" s="656"/>
      <c r="FF26" s="656"/>
      <c r="FG26" s="656"/>
      <c r="FH26" s="656"/>
      <c r="FI26" s="656"/>
      <c r="FJ26" s="656"/>
      <c r="FK26" s="656"/>
      <c r="FL26" s="656"/>
      <c r="FM26" s="656"/>
      <c r="FN26" s="656"/>
      <c r="FO26" s="656"/>
      <c r="FP26" s="656"/>
      <c r="FQ26" s="656"/>
      <c r="FR26" s="656"/>
      <c r="FS26" s="656"/>
      <c r="FT26" s="656"/>
      <c r="FU26" s="656"/>
      <c r="FV26" s="656"/>
      <c r="FW26" s="656"/>
      <c r="FX26" s="656"/>
      <c r="FY26" s="656"/>
      <c r="FZ26" s="656"/>
      <c r="GA26" s="656"/>
      <c r="GB26" s="656"/>
      <c r="GC26" s="656"/>
      <c r="GD26" s="656"/>
      <c r="GE26" s="656"/>
      <c r="GF26" s="656"/>
      <c r="GG26" s="656"/>
      <c r="GH26" s="656"/>
      <c r="GI26" s="656"/>
      <c r="GJ26" s="656"/>
      <c r="GK26" s="656"/>
      <c r="GL26" s="656"/>
      <c r="GM26" s="656"/>
      <c r="GN26" s="656"/>
      <c r="GO26" s="656"/>
      <c r="GP26" s="656"/>
      <c r="GQ26" s="656"/>
      <c r="GR26" s="656"/>
      <c r="GS26" s="656"/>
      <c r="GT26" s="656"/>
      <c r="GU26" s="656"/>
      <c r="GV26" s="656"/>
      <c r="GW26" s="656"/>
      <c r="GX26" s="656"/>
      <c r="GY26" s="656"/>
      <c r="GZ26" s="656"/>
      <c r="HA26" s="656"/>
      <c r="HB26" s="656"/>
      <c r="HC26" s="656"/>
      <c r="HD26" s="656"/>
      <c r="HE26" s="656"/>
      <c r="HF26" s="656"/>
      <c r="HG26" s="656"/>
      <c r="HH26" s="656"/>
      <c r="HI26" s="656"/>
      <c r="HJ26" s="656"/>
      <c r="HK26" s="656"/>
      <c r="HL26" s="656"/>
      <c r="HM26" s="656"/>
      <c r="HN26" s="656"/>
      <c r="HO26" s="656"/>
      <c r="HP26" s="656"/>
      <c r="HQ26" s="656"/>
      <c r="HR26" s="656"/>
      <c r="HS26" s="656"/>
      <c r="HT26" s="656"/>
      <c r="HU26" s="656"/>
      <c r="HV26" s="656"/>
      <c r="HW26" s="656"/>
    </row>
    <row r="27" spans="1:231" s="657" customFormat="1" ht="57.75" customHeight="1" x14ac:dyDescent="0.25">
      <c r="A27" s="646">
        <v>11</v>
      </c>
      <c r="B27" s="680" t="s">
        <v>970</v>
      </c>
      <c r="C27" s="681" t="s">
        <v>971</v>
      </c>
      <c r="D27" s="682" t="s">
        <v>6</v>
      </c>
      <c r="E27" s="683">
        <v>6</v>
      </c>
      <c r="F27" s="684">
        <v>269498.03999999998</v>
      </c>
      <c r="G27" s="684">
        <v>1616988</v>
      </c>
      <c r="H27" s="685">
        <v>0</v>
      </c>
      <c r="I27" s="686">
        <v>-6</v>
      </c>
      <c r="J27" s="683">
        <v>0</v>
      </c>
      <c r="K27" s="684">
        <v>0</v>
      </c>
      <c r="L27" s="683">
        <v>0</v>
      </c>
      <c r="M27" s="684">
        <v>0</v>
      </c>
      <c r="N27" s="683">
        <v>0</v>
      </c>
      <c r="O27" s="687">
        <v>0</v>
      </c>
      <c r="P27" s="656"/>
      <c r="Q27" s="656"/>
      <c r="R27" s="656"/>
      <c r="S27" s="656"/>
      <c r="T27" s="656"/>
      <c r="U27" s="656"/>
      <c r="V27" s="656"/>
      <c r="W27" s="656"/>
      <c r="X27" s="656"/>
      <c r="Y27" s="656"/>
      <c r="Z27" s="656"/>
      <c r="AA27" s="656"/>
      <c r="AB27" s="656"/>
      <c r="AC27" s="656"/>
      <c r="AD27" s="656"/>
      <c r="AE27" s="656"/>
      <c r="AF27" s="656"/>
      <c r="AG27" s="656"/>
      <c r="AH27" s="656"/>
      <c r="AI27" s="656"/>
      <c r="AJ27" s="656"/>
      <c r="AK27" s="656"/>
      <c r="AL27" s="656"/>
      <c r="AM27" s="656"/>
      <c r="AN27" s="656"/>
      <c r="AO27" s="656"/>
      <c r="AP27" s="656"/>
      <c r="AQ27" s="656"/>
      <c r="AR27" s="656"/>
      <c r="AS27" s="656"/>
      <c r="AT27" s="656"/>
      <c r="AU27" s="656"/>
      <c r="AV27" s="656"/>
      <c r="AW27" s="656"/>
      <c r="AX27" s="656"/>
      <c r="AY27" s="656"/>
      <c r="AZ27" s="656"/>
      <c r="BA27" s="656"/>
      <c r="BB27" s="656"/>
      <c r="BC27" s="656"/>
      <c r="BD27" s="656"/>
      <c r="BE27" s="656"/>
      <c r="BF27" s="656"/>
      <c r="BG27" s="656"/>
      <c r="BH27" s="656"/>
      <c r="BI27" s="656"/>
      <c r="BJ27" s="656"/>
      <c r="BK27" s="656"/>
      <c r="BL27" s="656"/>
      <c r="BM27" s="656"/>
      <c r="BN27" s="656"/>
      <c r="BO27" s="656"/>
      <c r="BP27" s="656"/>
      <c r="BQ27" s="656"/>
      <c r="BR27" s="656"/>
      <c r="BS27" s="656"/>
      <c r="BT27" s="656"/>
      <c r="BU27" s="656"/>
      <c r="BV27" s="656"/>
      <c r="BW27" s="656"/>
      <c r="BX27" s="656"/>
      <c r="BY27" s="656"/>
      <c r="BZ27" s="656"/>
      <c r="CA27" s="656"/>
      <c r="CB27" s="656"/>
      <c r="CC27" s="656"/>
      <c r="CD27" s="656"/>
      <c r="CE27" s="656"/>
      <c r="CF27" s="656"/>
      <c r="CG27" s="656"/>
      <c r="CH27" s="656"/>
      <c r="CI27" s="656"/>
      <c r="CJ27" s="656"/>
      <c r="CK27" s="656"/>
      <c r="CL27" s="656"/>
      <c r="CM27" s="656"/>
      <c r="CN27" s="656"/>
      <c r="CO27" s="656"/>
      <c r="CP27" s="656"/>
      <c r="CQ27" s="656"/>
      <c r="CR27" s="656"/>
      <c r="CS27" s="656"/>
      <c r="CT27" s="656"/>
      <c r="CU27" s="656"/>
      <c r="CV27" s="656"/>
      <c r="CW27" s="656"/>
      <c r="CX27" s="656"/>
      <c r="CY27" s="656"/>
      <c r="CZ27" s="656"/>
      <c r="DA27" s="656"/>
      <c r="DB27" s="656"/>
      <c r="DC27" s="656"/>
      <c r="DD27" s="656"/>
      <c r="DE27" s="656"/>
      <c r="DF27" s="656"/>
      <c r="DG27" s="656"/>
      <c r="DH27" s="656"/>
      <c r="DI27" s="656"/>
      <c r="DJ27" s="656"/>
      <c r="DK27" s="656"/>
      <c r="DL27" s="656"/>
      <c r="DM27" s="656"/>
      <c r="DN27" s="656"/>
      <c r="DO27" s="656"/>
      <c r="DP27" s="656"/>
      <c r="DQ27" s="656"/>
      <c r="DR27" s="656"/>
      <c r="DS27" s="656"/>
      <c r="DT27" s="656"/>
      <c r="DU27" s="656"/>
      <c r="DV27" s="656"/>
      <c r="DW27" s="656"/>
      <c r="DX27" s="656"/>
      <c r="DY27" s="656"/>
      <c r="DZ27" s="656"/>
      <c r="EA27" s="656"/>
      <c r="EB27" s="656"/>
      <c r="EC27" s="656"/>
      <c r="ED27" s="656"/>
      <c r="EE27" s="656"/>
      <c r="EF27" s="656"/>
      <c r="EG27" s="656"/>
      <c r="EH27" s="656"/>
      <c r="EI27" s="656"/>
      <c r="EJ27" s="656"/>
      <c r="EK27" s="656"/>
      <c r="EL27" s="656"/>
      <c r="EM27" s="656"/>
      <c r="EN27" s="656"/>
      <c r="EO27" s="656"/>
      <c r="EP27" s="656"/>
      <c r="EQ27" s="656"/>
      <c r="ER27" s="656"/>
      <c r="ES27" s="656"/>
      <c r="ET27" s="656"/>
      <c r="EU27" s="656"/>
      <c r="EV27" s="656"/>
      <c r="EW27" s="656"/>
      <c r="EX27" s="656"/>
      <c r="EY27" s="656"/>
      <c r="EZ27" s="656"/>
      <c r="FA27" s="656"/>
      <c r="FB27" s="656"/>
      <c r="FC27" s="656"/>
      <c r="FD27" s="656"/>
      <c r="FE27" s="656"/>
      <c r="FF27" s="656"/>
      <c r="FG27" s="656"/>
      <c r="FH27" s="656"/>
      <c r="FI27" s="656"/>
      <c r="FJ27" s="656"/>
      <c r="FK27" s="656"/>
      <c r="FL27" s="656"/>
      <c r="FM27" s="656"/>
      <c r="FN27" s="656"/>
      <c r="FO27" s="656"/>
      <c r="FP27" s="656"/>
      <c r="FQ27" s="656"/>
      <c r="FR27" s="656"/>
      <c r="FS27" s="656"/>
      <c r="FT27" s="656"/>
      <c r="FU27" s="656"/>
      <c r="FV27" s="656"/>
      <c r="FW27" s="656"/>
      <c r="FX27" s="656"/>
      <c r="FY27" s="656"/>
      <c r="FZ27" s="656"/>
      <c r="GA27" s="656"/>
      <c r="GB27" s="656"/>
      <c r="GC27" s="656"/>
      <c r="GD27" s="656"/>
      <c r="GE27" s="656"/>
      <c r="GF27" s="656"/>
      <c r="GG27" s="656"/>
      <c r="GH27" s="656"/>
      <c r="GI27" s="656"/>
      <c r="GJ27" s="656"/>
      <c r="GK27" s="656"/>
      <c r="GL27" s="656"/>
      <c r="GM27" s="656"/>
      <c r="GN27" s="656"/>
      <c r="GO27" s="656"/>
      <c r="GP27" s="656"/>
      <c r="GQ27" s="656"/>
      <c r="GR27" s="656"/>
      <c r="GS27" s="656"/>
      <c r="GT27" s="656"/>
      <c r="GU27" s="656"/>
      <c r="GV27" s="656"/>
      <c r="GW27" s="656"/>
      <c r="GX27" s="656"/>
      <c r="GY27" s="656"/>
      <c r="GZ27" s="656"/>
      <c r="HA27" s="656"/>
      <c r="HB27" s="656"/>
      <c r="HC27" s="656"/>
      <c r="HD27" s="656"/>
      <c r="HE27" s="656"/>
      <c r="HF27" s="656"/>
      <c r="HG27" s="656"/>
      <c r="HH27" s="656"/>
      <c r="HI27" s="656"/>
      <c r="HJ27" s="656"/>
      <c r="HK27" s="656"/>
      <c r="HL27" s="656"/>
      <c r="HM27" s="656"/>
      <c r="HN27" s="656"/>
      <c r="HO27" s="656"/>
      <c r="HP27" s="656"/>
      <c r="HQ27" s="656"/>
      <c r="HR27" s="656"/>
      <c r="HS27" s="656"/>
      <c r="HT27" s="656"/>
      <c r="HU27" s="656"/>
      <c r="HV27" s="656"/>
      <c r="HW27" s="656"/>
    </row>
    <row r="28" spans="1:231" s="657" customFormat="1" ht="42.75" x14ac:dyDescent="0.25">
      <c r="A28" s="646">
        <v>12</v>
      </c>
      <c r="B28" s="680" t="s">
        <v>972</v>
      </c>
      <c r="C28" s="681" t="s">
        <v>973</v>
      </c>
      <c r="D28" s="682" t="s">
        <v>6</v>
      </c>
      <c r="E28" s="683">
        <v>5</v>
      </c>
      <c r="F28" s="684">
        <v>2606995.02</v>
      </c>
      <c r="G28" s="684">
        <v>13034975</v>
      </c>
      <c r="H28" s="685">
        <v>1</v>
      </c>
      <c r="I28" s="686">
        <v>0</v>
      </c>
      <c r="J28" s="683">
        <v>6</v>
      </c>
      <c r="K28" s="684">
        <v>15641970</v>
      </c>
      <c r="L28" s="683">
        <v>0</v>
      </c>
      <c r="M28" s="684">
        <v>0</v>
      </c>
      <c r="N28" s="683">
        <v>0</v>
      </c>
      <c r="O28" s="687">
        <v>0</v>
      </c>
      <c r="P28" s="656"/>
      <c r="Q28" s="656"/>
      <c r="R28" s="656"/>
      <c r="S28" s="656"/>
      <c r="T28" s="656"/>
      <c r="U28" s="656"/>
      <c r="V28" s="656"/>
      <c r="W28" s="656"/>
      <c r="X28" s="656"/>
      <c r="Y28" s="656"/>
      <c r="Z28" s="656"/>
      <c r="AA28" s="656"/>
      <c r="AB28" s="656"/>
      <c r="AC28" s="656"/>
      <c r="AD28" s="656"/>
      <c r="AE28" s="656"/>
      <c r="AF28" s="656"/>
      <c r="AG28" s="656"/>
      <c r="AH28" s="656"/>
      <c r="AI28" s="656"/>
      <c r="AJ28" s="656"/>
      <c r="AK28" s="656"/>
      <c r="AL28" s="656"/>
      <c r="AM28" s="656"/>
      <c r="AN28" s="656"/>
      <c r="AO28" s="656"/>
      <c r="AP28" s="656"/>
      <c r="AQ28" s="656"/>
      <c r="AR28" s="656"/>
      <c r="AS28" s="656"/>
      <c r="AT28" s="656"/>
      <c r="AU28" s="656"/>
      <c r="AV28" s="656"/>
      <c r="AW28" s="656"/>
      <c r="AX28" s="656"/>
      <c r="AY28" s="656"/>
      <c r="AZ28" s="656"/>
      <c r="BA28" s="656"/>
      <c r="BB28" s="656"/>
      <c r="BC28" s="656"/>
      <c r="BD28" s="656"/>
      <c r="BE28" s="656"/>
      <c r="BF28" s="656"/>
      <c r="BG28" s="656"/>
      <c r="BH28" s="656"/>
      <c r="BI28" s="656"/>
      <c r="BJ28" s="656"/>
      <c r="BK28" s="656"/>
      <c r="BL28" s="656"/>
      <c r="BM28" s="656"/>
      <c r="BN28" s="656"/>
      <c r="BO28" s="656"/>
      <c r="BP28" s="656"/>
      <c r="BQ28" s="656"/>
      <c r="BR28" s="656"/>
      <c r="BS28" s="656"/>
      <c r="BT28" s="656"/>
      <c r="BU28" s="656"/>
      <c r="BV28" s="656"/>
      <c r="BW28" s="656"/>
      <c r="BX28" s="656"/>
      <c r="BY28" s="656"/>
      <c r="BZ28" s="656"/>
      <c r="CA28" s="656"/>
      <c r="CB28" s="656"/>
      <c r="CC28" s="656"/>
      <c r="CD28" s="656"/>
      <c r="CE28" s="656"/>
      <c r="CF28" s="656"/>
      <c r="CG28" s="656"/>
      <c r="CH28" s="656"/>
      <c r="CI28" s="656"/>
      <c r="CJ28" s="656"/>
      <c r="CK28" s="656"/>
      <c r="CL28" s="656"/>
      <c r="CM28" s="656"/>
      <c r="CN28" s="656"/>
      <c r="CO28" s="656"/>
      <c r="CP28" s="656"/>
      <c r="CQ28" s="656"/>
      <c r="CR28" s="656"/>
      <c r="CS28" s="656"/>
      <c r="CT28" s="656"/>
      <c r="CU28" s="656"/>
      <c r="CV28" s="656"/>
      <c r="CW28" s="656"/>
      <c r="CX28" s="656"/>
      <c r="CY28" s="656"/>
      <c r="CZ28" s="656"/>
      <c r="DA28" s="656"/>
      <c r="DB28" s="656"/>
      <c r="DC28" s="656"/>
      <c r="DD28" s="656"/>
      <c r="DE28" s="656"/>
      <c r="DF28" s="656"/>
      <c r="DG28" s="656"/>
      <c r="DH28" s="656"/>
      <c r="DI28" s="656"/>
      <c r="DJ28" s="656"/>
      <c r="DK28" s="656"/>
      <c r="DL28" s="656"/>
      <c r="DM28" s="656"/>
      <c r="DN28" s="656"/>
      <c r="DO28" s="656"/>
      <c r="DP28" s="656"/>
      <c r="DQ28" s="656"/>
      <c r="DR28" s="656"/>
      <c r="DS28" s="656"/>
      <c r="DT28" s="656"/>
      <c r="DU28" s="656"/>
      <c r="DV28" s="656"/>
      <c r="DW28" s="656"/>
      <c r="DX28" s="656"/>
      <c r="DY28" s="656"/>
      <c r="DZ28" s="656"/>
      <c r="EA28" s="656"/>
      <c r="EB28" s="656"/>
      <c r="EC28" s="656"/>
      <c r="ED28" s="656"/>
      <c r="EE28" s="656"/>
      <c r="EF28" s="656"/>
      <c r="EG28" s="656"/>
      <c r="EH28" s="656"/>
      <c r="EI28" s="656"/>
      <c r="EJ28" s="656"/>
      <c r="EK28" s="656"/>
      <c r="EL28" s="656"/>
      <c r="EM28" s="656"/>
      <c r="EN28" s="656"/>
      <c r="EO28" s="656"/>
      <c r="EP28" s="656"/>
      <c r="EQ28" s="656"/>
      <c r="ER28" s="656"/>
      <c r="ES28" s="656"/>
      <c r="ET28" s="656"/>
      <c r="EU28" s="656"/>
      <c r="EV28" s="656"/>
      <c r="EW28" s="656"/>
      <c r="EX28" s="656"/>
      <c r="EY28" s="656"/>
      <c r="EZ28" s="656"/>
      <c r="FA28" s="656"/>
      <c r="FB28" s="656"/>
      <c r="FC28" s="656"/>
      <c r="FD28" s="656"/>
      <c r="FE28" s="656"/>
      <c r="FF28" s="656"/>
      <c r="FG28" s="656"/>
      <c r="FH28" s="656"/>
      <c r="FI28" s="656"/>
      <c r="FJ28" s="656"/>
      <c r="FK28" s="656"/>
      <c r="FL28" s="656"/>
      <c r="FM28" s="656"/>
      <c r="FN28" s="656"/>
      <c r="FO28" s="656"/>
      <c r="FP28" s="656"/>
      <c r="FQ28" s="656"/>
      <c r="FR28" s="656"/>
      <c r="FS28" s="656"/>
      <c r="FT28" s="656"/>
      <c r="FU28" s="656"/>
      <c r="FV28" s="656"/>
      <c r="FW28" s="656"/>
      <c r="FX28" s="656"/>
      <c r="FY28" s="656"/>
      <c r="FZ28" s="656"/>
      <c r="GA28" s="656"/>
      <c r="GB28" s="656"/>
      <c r="GC28" s="656"/>
      <c r="GD28" s="656"/>
      <c r="GE28" s="656"/>
      <c r="GF28" s="656"/>
      <c r="GG28" s="656"/>
      <c r="GH28" s="656"/>
      <c r="GI28" s="656"/>
      <c r="GJ28" s="656"/>
      <c r="GK28" s="656"/>
      <c r="GL28" s="656"/>
      <c r="GM28" s="656"/>
      <c r="GN28" s="656"/>
      <c r="GO28" s="656"/>
      <c r="GP28" s="656"/>
      <c r="GQ28" s="656"/>
      <c r="GR28" s="656"/>
      <c r="GS28" s="656"/>
      <c r="GT28" s="656"/>
      <c r="GU28" s="656"/>
      <c r="GV28" s="656"/>
      <c r="GW28" s="656"/>
      <c r="GX28" s="656"/>
      <c r="GY28" s="656"/>
      <c r="GZ28" s="656"/>
      <c r="HA28" s="656"/>
      <c r="HB28" s="656"/>
      <c r="HC28" s="656"/>
      <c r="HD28" s="656"/>
      <c r="HE28" s="656"/>
      <c r="HF28" s="656"/>
      <c r="HG28" s="656"/>
      <c r="HH28" s="656"/>
      <c r="HI28" s="656"/>
      <c r="HJ28" s="656"/>
      <c r="HK28" s="656"/>
      <c r="HL28" s="656"/>
      <c r="HM28" s="656"/>
      <c r="HN28" s="656"/>
      <c r="HO28" s="656"/>
      <c r="HP28" s="656"/>
      <c r="HQ28" s="656"/>
      <c r="HR28" s="656"/>
      <c r="HS28" s="656"/>
      <c r="HT28" s="656"/>
      <c r="HU28" s="656"/>
      <c r="HV28" s="656"/>
      <c r="HW28" s="656"/>
    </row>
    <row r="29" spans="1:231" s="657" customFormat="1" ht="42.75" x14ac:dyDescent="0.25">
      <c r="A29" s="646">
        <v>13</v>
      </c>
      <c r="B29" s="680" t="s">
        <v>974</v>
      </c>
      <c r="C29" s="681" t="s">
        <v>975</v>
      </c>
      <c r="D29" s="682" t="s">
        <v>6</v>
      </c>
      <c r="E29" s="683">
        <v>5</v>
      </c>
      <c r="F29" s="684">
        <v>491996.26</v>
      </c>
      <c r="G29" s="684">
        <v>2459981</v>
      </c>
      <c r="H29" s="685">
        <v>0</v>
      </c>
      <c r="I29" s="686">
        <v>-5</v>
      </c>
      <c r="J29" s="683">
        <v>0</v>
      </c>
      <c r="K29" s="684">
        <v>0</v>
      </c>
      <c r="L29" s="683">
        <v>0</v>
      </c>
      <c r="M29" s="684">
        <v>0</v>
      </c>
      <c r="N29" s="683">
        <v>0</v>
      </c>
      <c r="O29" s="687">
        <v>0</v>
      </c>
      <c r="P29" s="656"/>
      <c r="Q29" s="656"/>
      <c r="R29" s="656"/>
      <c r="S29" s="656"/>
      <c r="T29" s="656"/>
      <c r="U29" s="656"/>
      <c r="V29" s="656"/>
      <c r="W29" s="656"/>
      <c r="X29" s="656"/>
      <c r="Y29" s="656"/>
      <c r="Z29" s="656"/>
      <c r="AA29" s="656"/>
      <c r="AB29" s="656"/>
      <c r="AC29" s="656"/>
      <c r="AD29" s="656"/>
      <c r="AE29" s="656"/>
      <c r="AF29" s="656"/>
      <c r="AG29" s="656"/>
      <c r="AH29" s="656"/>
      <c r="AI29" s="656"/>
      <c r="AJ29" s="656"/>
      <c r="AK29" s="656"/>
      <c r="AL29" s="656"/>
      <c r="AM29" s="656"/>
      <c r="AN29" s="656"/>
      <c r="AO29" s="656"/>
      <c r="AP29" s="656"/>
      <c r="AQ29" s="656"/>
      <c r="AR29" s="656"/>
      <c r="AS29" s="656"/>
      <c r="AT29" s="656"/>
      <c r="AU29" s="656"/>
      <c r="AV29" s="656"/>
      <c r="AW29" s="656"/>
      <c r="AX29" s="656"/>
      <c r="AY29" s="656"/>
      <c r="AZ29" s="656"/>
      <c r="BA29" s="656"/>
      <c r="BB29" s="656"/>
      <c r="BC29" s="656"/>
      <c r="BD29" s="656"/>
      <c r="BE29" s="656"/>
      <c r="BF29" s="656"/>
      <c r="BG29" s="656"/>
      <c r="BH29" s="656"/>
      <c r="BI29" s="656"/>
      <c r="BJ29" s="656"/>
      <c r="BK29" s="656"/>
      <c r="BL29" s="656"/>
      <c r="BM29" s="656"/>
      <c r="BN29" s="656"/>
      <c r="BO29" s="656"/>
      <c r="BP29" s="656"/>
      <c r="BQ29" s="656"/>
      <c r="BR29" s="656"/>
      <c r="BS29" s="656"/>
      <c r="BT29" s="656"/>
      <c r="BU29" s="656"/>
      <c r="BV29" s="656"/>
      <c r="BW29" s="656"/>
      <c r="BX29" s="656"/>
      <c r="BY29" s="656"/>
      <c r="BZ29" s="656"/>
      <c r="CA29" s="656"/>
      <c r="CB29" s="656"/>
      <c r="CC29" s="656"/>
      <c r="CD29" s="656"/>
      <c r="CE29" s="656"/>
      <c r="CF29" s="656"/>
      <c r="CG29" s="656"/>
      <c r="CH29" s="656"/>
      <c r="CI29" s="656"/>
      <c r="CJ29" s="656"/>
      <c r="CK29" s="656"/>
      <c r="CL29" s="656"/>
      <c r="CM29" s="656"/>
      <c r="CN29" s="656"/>
      <c r="CO29" s="656"/>
      <c r="CP29" s="656"/>
      <c r="CQ29" s="656"/>
      <c r="CR29" s="656"/>
      <c r="CS29" s="656"/>
      <c r="CT29" s="656"/>
      <c r="CU29" s="656"/>
      <c r="CV29" s="656"/>
      <c r="CW29" s="656"/>
      <c r="CX29" s="656"/>
      <c r="CY29" s="656"/>
      <c r="CZ29" s="656"/>
      <c r="DA29" s="656"/>
      <c r="DB29" s="656"/>
      <c r="DC29" s="656"/>
      <c r="DD29" s="656"/>
      <c r="DE29" s="656"/>
      <c r="DF29" s="656"/>
      <c r="DG29" s="656"/>
      <c r="DH29" s="656"/>
      <c r="DI29" s="656"/>
      <c r="DJ29" s="656"/>
      <c r="DK29" s="656"/>
      <c r="DL29" s="656"/>
      <c r="DM29" s="656"/>
      <c r="DN29" s="656"/>
      <c r="DO29" s="656"/>
      <c r="DP29" s="656"/>
      <c r="DQ29" s="656"/>
      <c r="DR29" s="656"/>
      <c r="DS29" s="656"/>
      <c r="DT29" s="656"/>
      <c r="DU29" s="656"/>
      <c r="DV29" s="656"/>
      <c r="DW29" s="656"/>
      <c r="DX29" s="656"/>
      <c r="DY29" s="656"/>
      <c r="DZ29" s="656"/>
      <c r="EA29" s="656"/>
      <c r="EB29" s="656"/>
      <c r="EC29" s="656"/>
      <c r="ED29" s="656"/>
      <c r="EE29" s="656"/>
      <c r="EF29" s="656"/>
      <c r="EG29" s="656"/>
      <c r="EH29" s="656"/>
      <c r="EI29" s="656"/>
      <c r="EJ29" s="656"/>
      <c r="EK29" s="656"/>
      <c r="EL29" s="656"/>
      <c r="EM29" s="656"/>
      <c r="EN29" s="656"/>
      <c r="EO29" s="656"/>
      <c r="EP29" s="656"/>
      <c r="EQ29" s="656"/>
      <c r="ER29" s="656"/>
      <c r="ES29" s="656"/>
      <c r="ET29" s="656"/>
      <c r="EU29" s="656"/>
      <c r="EV29" s="656"/>
      <c r="EW29" s="656"/>
      <c r="EX29" s="656"/>
      <c r="EY29" s="656"/>
      <c r="EZ29" s="656"/>
      <c r="FA29" s="656"/>
      <c r="FB29" s="656"/>
      <c r="FC29" s="656"/>
      <c r="FD29" s="656"/>
      <c r="FE29" s="656"/>
      <c r="FF29" s="656"/>
      <c r="FG29" s="656"/>
      <c r="FH29" s="656"/>
      <c r="FI29" s="656"/>
      <c r="FJ29" s="656"/>
      <c r="FK29" s="656"/>
      <c r="FL29" s="656"/>
      <c r="FM29" s="656"/>
      <c r="FN29" s="656"/>
      <c r="FO29" s="656"/>
      <c r="FP29" s="656"/>
      <c r="FQ29" s="656"/>
      <c r="FR29" s="656"/>
      <c r="FS29" s="656"/>
      <c r="FT29" s="656"/>
      <c r="FU29" s="656"/>
      <c r="FV29" s="656"/>
      <c r="FW29" s="656"/>
      <c r="FX29" s="656"/>
      <c r="FY29" s="656"/>
      <c r="FZ29" s="656"/>
      <c r="GA29" s="656"/>
      <c r="GB29" s="656"/>
      <c r="GC29" s="656"/>
      <c r="GD29" s="656"/>
      <c r="GE29" s="656"/>
      <c r="GF29" s="656"/>
      <c r="GG29" s="656"/>
      <c r="GH29" s="656"/>
      <c r="GI29" s="656"/>
      <c r="GJ29" s="656"/>
      <c r="GK29" s="656"/>
      <c r="GL29" s="656"/>
      <c r="GM29" s="656"/>
      <c r="GN29" s="656"/>
      <c r="GO29" s="656"/>
      <c r="GP29" s="656"/>
      <c r="GQ29" s="656"/>
      <c r="GR29" s="656"/>
      <c r="GS29" s="656"/>
      <c r="GT29" s="656"/>
      <c r="GU29" s="656"/>
      <c r="GV29" s="656"/>
      <c r="GW29" s="656"/>
      <c r="GX29" s="656"/>
      <c r="GY29" s="656"/>
      <c r="GZ29" s="656"/>
      <c r="HA29" s="656"/>
      <c r="HB29" s="656"/>
      <c r="HC29" s="656"/>
      <c r="HD29" s="656"/>
      <c r="HE29" s="656"/>
      <c r="HF29" s="656"/>
      <c r="HG29" s="656"/>
      <c r="HH29" s="656"/>
      <c r="HI29" s="656"/>
      <c r="HJ29" s="656"/>
      <c r="HK29" s="656"/>
      <c r="HL29" s="656"/>
      <c r="HM29" s="656"/>
      <c r="HN29" s="656"/>
      <c r="HO29" s="656"/>
      <c r="HP29" s="656"/>
      <c r="HQ29" s="656"/>
      <c r="HR29" s="656"/>
      <c r="HS29" s="656"/>
      <c r="HT29" s="656"/>
      <c r="HU29" s="656"/>
      <c r="HV29" s="656"/>
      <c r="HW29" s="656"/>
    </row>
    <row r="30" spans="1:231" s="657" customFormat="1" ht="42.75" x14ac:dyDescent="0.25">
      <c r="A30" s="646">
        <v>14</v>
      </c>
      <c r="B30" s="680" t="s">
        <v>976</v>
      </c>
      <c r="C30" s="681" t="s">
        <v>977</v>
      </c>
      <c r="D30" s="682" t="s">
        <v>6</v>
      </c>
      <c r="E30" s="683">
        <v>5</v>
      </c>
      <c r="F30" s="684">
        <v>729198.4</v>
      </c>
      <c r="G30" s="684">
        <v>3645992</v>
      </c>
      <c r="H30" s="685">
        <v>0</v>
      </c>
      <c r="I30" s="686">
        <v>0</v>
      </c>
      <c r="J30" s="683">
        <v>5</v>
      </c>
      <c r="K30" s="684">
        <v>3645992</v>
      </c>
      <c r="L30" s="683">
        <v>0</v>
      </c>
      <c r="M30" s="684">
        <v>0</v>
      </c>
      <c r="N30" s="683">
        <v>0</v>
      </c>
      <c r="O30" s="687">
        <v>0</v>
      </c>
      <c r="P30" s="656"/>
      <c r="Q30" s="656"/>
      <c r="R30" s="656"/>
      <c r="S30" s="656"/>
      <c r="T30" s="656"/>
      <c r="U30" s="656"/>
      <c r="V30" s="656"/>
      <c r="W30" s="656"/>
      <c r="X30" s="656"/>
      <c r="Y30" s="656"/>
      <c r="Z30" s="656"/>
      <c r="AA30" s="656"/>
      <c r="AB30" s="656"/>
      <c r="AC30" s="656"/>
      <c r="AD30" s="656"/>
      <c r="AE30" s="656"/>
      <c r="AF30" s="656"/>
      <c r="AG30" s="656"/>
      <c r="AH30" s="656"/>
      <c r="AI30" s="656"/>
      <c r="AJ30" s="656"/>
      <c r="AK30" s="656"/>
      <c r="AL30" s="656"/>
      <c r="AM30" s="656"/>
      <c r="AN30" s="656"/>
      <c r="AO30" s="656"/>
      <c r="AP30" s="656"/>
      <c r="AQ30" s="656"/>
      <c r="AR30" s="656"/>
      <c r="AS30" s="656"/>
      <c r="AT30" s="656"/>
      <c r="AU30" s="656"/>
      <c r="AV30" s="656"/>
      <c r="AW30" s="656"/>
      <c r="AX30" s="656"/>
      <c r="AY30" s="656"/>
      <c r="AZ30" s="656"/>
      <c r="BA30" s="656"/>
      <c r="BB30" s="656"/>
      <c r="BC30" s="656"/>
      <c r="BD30" s="656"/>
      <c r="BE30" s="656"/>
      <c r="BF30" s="656"/>
      <c r="BG30" s="656"/>
      <c r="BH30" s="656"/>
      <c r="BI30" s="656"/>
      <c r="BJ30" s="656"/>
      <c r="BK30" s="656"/>
      <c r="BL30" s="656"/>
      <c r="BM30" s="656"/>
      <c r="BN30" s="656"/>
      <c r="BO30" s="656"/>
      <c r="BP30" s="656"/>
      <c r="BQ30" s="656"/>
      <c r="BR30" s="656"/>
      <c r="BS30" s="656"/>
      <c r="BT30" s="656"/>
      <c r="BU30" s="656"/>
      <c r="BV30" s="656"/>
      <c r="BW30" s="656"/>
      <c r="BX30" s="656"/>
      <c r="BY30" s="656"/>
      <c r="BZ30" s="656"/>
      <c r="CA30" s="656"/>
      <c r="CB30" s="656"/>
      <c r="CC30" s="656"/>
      <c r="CD30" s="656"/>
      <c r="CE30" s="656"/>
      <c r="CF30" s="656"/>
      <c r="CG30" s="656"/>
      <c r="CH30" s="656"/>
      <c r="CI30" s="656"/>
      <c r="CJ30" s="656"/>
      <c r="CK30" s="656"/>
      <c r="CL30" s="656"/>
      <c r="CM30" s="656"/>
      <c r="CN30" s="656"/>
      <c r="CO30" s="656"/>
      <c r="CP30" s="656"/>
      <c r="CQ30" s="656"/>
      <c r="CR30" s="656"/>
      <c r="CS30" s="656"/>
      <c r="CT30" s="656"/>
      <c r="CU30" s="656"/>
      <c r="CV30" s="656"/>
      <c r="CW30" s="656"/>
      <c r="CX30" s="656"/>
      <c r="CY30" s="656"/>
      <c r="CZ30" s="656"/>
      <c r="DA30" s="656"/>
      <c r="DB30" s="656"/>
      <c r="DC30" s="656"/>
      <c r="DD30" s="656"/>
      <c r="DE30" s="656"/>
      <c r="DF30" s="656"/>
      <c r="DG30" s="656"/>
      <c r="DH30" s="656"/>
      <c r="DI30" s="656"/>
      <c r="DJ30" s="656"/>
      <c r="DK30" s="656"/>
      <c r="DL30" s="656"/>
      <c r="DM30" s="656"/>
      <c r="DN30" s="656"/>
      <c r="DO30" s="656"/>
      <c r="DP30" s="656"/>
      <c r="DQ30" s="656"/>
      <c r="DR30" s="656"/>
      <c r="DS30" s="656"/>
      <c r="DT30" s="656"/>
      <c r="DU30" s="656"/>
      <c r="DV30" s="656"/>
      <c r="DW30" s="656"/>
      <c r="DX30" s="656"/>
      <c r="DY30" s="656"/>
      <c r="DZ30" s="656"/>
      <c r="EA30" s="656"/>
      <c r="EB30" s="656"/>
      <c r="EC30" s="656"/>
      <c r="ED30" s="656"/>
      <c r="EE30" s="656"/>
      <c r="EF30" s="656"/>
      <c r="EG30" s="656"/>
      <c r="EH30" s="656"/>
      <c r="EI30" s="656"/>
      <c r="EJ30" s="656"/>
      <c r="EK30" s="656"/>
      <c r="EL30" s="656"/>
      <c r="EM30" s="656"/>
      <c r="EN30" s="656"/>
      <c r="EO30" s="656"/>
      <c r="EP30" s="656"/>
      <c r="EQ30" s="656"/>
      <c r="ER30" s="656"/>
      <c r="ES30" s="656"/>
      <c r="ET30" s="656"/>
      <c r="EU30" s="656"/>
      <c r="EV30" s="656"/>
      <c r="EW30" s="656"/>
      <c r="EX30" s="656"/>
      <c r="EY30" s="656"/>
      <c r="EZ30" s="656"/>
      <c r="FA30" s="656"/>
      <c r="FB30" s="656"/>
      <c r="FC30" s="656"/>
      <c r="FD30" s="656"/>
      <c r="FE30" s="656"/>
      <c r="FF30" s="656"/>
      <c r="FG30" s="656"/>
      <c r="FH30" s="656"/>
      <c r="FI30" s="656"/>
      <c r="FJ30" s="656"/>
      <c r="FK30" s="656"/>
      <c r="FL30" s="656"/>
      <c r="FM30" s="656"/>
      <c r="FN30" s="656"/>
      <c r="FO30" s="656"/>
      <c r="FP30" s="656"/>
      <c r="FQ30" s="656"/>
      <c r="FR30" s="656"/>
      <c r="FS30" s="656"/>
      <c r="FT30" s="656"/>
      <c r="FU30" s="656"/>
      <c r="FV30" s="656"/>
      <c r="FW30" s="656"/>
      <c r="FX30" s="656"/>
      <c r="FY30" s="656"/>
      <c r="FZ30" s="656"/>
      <c r="GA30" s="656"/>
      <c r="GB30" s="656"/>
      <c r="GC30" s="656"/>
      <c r="GD30" s="656"/>
      <c r="GE30" s="656"/>
      <c r="GF30" s="656"/>
      <c r="GG30" s="656"/>
      <c r="GH30" s="656"/>
      <c r="GI30" s="656"/>
      <c r="GJ30" s="656"/>
      <c r="GK30" s="656"/>
      <c r="GL30" s="656"/>
      <c r="GM30" s="656"/>
      <c r="GN30" s="656"/>
      <c r="GO30" s="656"/>
      <c r="GP30" s="656"/>
      <c r="GQ30" s="656"/>
      <c r="GR30" s="656"/>
      <c r="GS30" s="656"/>
      <c r="GT30" s="656"/>
      <c r="GU30" s="656"/>
      <c r="GV30" s="656"/>
      <c r="GW30" s="656"/>
      <c r="GX30" s="656"/>
      <c r="GY30" s="656"/>
      <c r="GZ30" s="656"/>
      <c r="HA30" s="656"/>
      <c r="HB30" s="656"/>
      <c r="HC30" s="656"/>
      <c r="HD30" s="656"/>
      <c r="HE30" s="656"/>
      <c r="HF30" s="656"/>
      <c r="HG30" s="656"/>
      <c r="HH30" s="656"/>
      <c r="HI30" s="656"/>
      <c r="HJ30" s="656"/>
      <c r="HK30" s="656"/>
      <c r="HL30" s="656"/>
      <c r="HM30" s="656"/>
      <c r="HN30" s="656"/>
      <c r="HO30" s="656"/>
      <c r="HP30" s="656"/>
      <c r="HQ30" s="656"/>
      <c r="HR30" s="656"/>
      <c r="HS30" s="656"/>
      <c r="HT30" s="656"/>
      <c r="HU30" s="656"/>
      <c r="HV30" s="656"/>
      <c r="HW30" s="656"/>
    </row>
    <row r="31" spans="1:231" s="657" customFormat="1" ht="28.5" x14ac:dyDescent="0.25">
      <c r="A31" s="646">
        <v>15</v>
      </c>
      <c r="B31" s="680" t="s">
        <v>978</v>
      </c>
      <c r="C31" s="681" t="s">
        <v>979</v>
      </c>
      <c r="D31" s="682" t="s">
        <v>6</v>
      </c>
      <c r="E31" s="683">
        <v>4</v>
      </c>
      <c r="F31" s="684">
        <v>284494.98</v>
      </c>
      <c r="G31" s="684">
        <v>1137980</v>
      </c>
      <c r="H31" s="685">
        <v>2</v>
      </c>
      <c r="I31" s="686">
        <v>0</v>
      </c>
      <c r="J31" s="683">
        <v>6</v>
      </c>
      <c r="K31" s="684">
        <v>1706970</v>
      </c>
      <c r="L31" s="683">
        <v>0</v>
      </c>
      <c r="M31" s="684">
        <v>0</v>
      </c>
      <c r="N31" s="683">
        <v>0</v>
      </c>
      <c r="O31" s="687">
        <v>0</v>
      </c>
      <c r="P31" s="656"/>
      <c r="Q31" s="656"/>
      <c r="R31" s="656"/>
      <c r="S31" s="656"/>
      <c r="T31" s="656"/>
      <c r="U31" s="656"/>
      <c r="V31" s="656"/>
      <c r="W31" s="656"/>
      <c r="X31" s="656"/>
      <c r="Y31" s="656"/>
      <c r="Z31" s="656"/>
      <c r="AA31" s="656"/>
      <c r="AB31" s="656"/>
      <c r="AC31" s="656"/>
      <c r="AD31" s="656"/>
      <c r="AE31" s="656"/>
      <c r="AF31" s="656"/>
      <c r="AG31" s="656"/>
      <c r="AH31" s="656"/>
      <c r="AI31" s="656"/>
      <c r="AJ31" s="656"/>
      <c r="AK31" s="656"/>
      <c r="AL31" s="656"/>
      <c r="AM31" s="656"/>
      <c r="AN31" s="656"/>
      <c r="AO31" s="656"/>
      <c r="AP31" s="656"/>
      <c r="AQ31" s="656"/>
      <c r="AR31" s="656"/>
      <c r="AS31" s="656"/>
      <c r="AT31" s="656"/>
      <c r="AU31" s="656"/>
      <c r="AV31" s="656"/>
      <c r="AW31" s="656"/>
      <c r="AX31" s="656"/>
      <c r="AY31" s="656"/>
      <c r="AZ31" s="656"/>
      <c r="BA31" s="656"/>
      <c r="BB31" s="656"/>
      <c r="BC31" s="656"/>
      <c r="BD31" s="656"/>
      <c r="BE31" s="656"/>
      <c r="BF31" s="656"/>
      <c r="BG31" s="656"/>
      <c r="BH31" s="656"/>
      <c r="BI31" s="656"/>
      <c r="BJ31" s="656"/>
      <c r="BK31" s="656"/>
      <c r="BL31" s="656"/>
      <c r="BM31" s="656"/>
      <c r="BN31" s="656"/>
      <c r="BO31" s="656"/>
      <c r="BP31" s="656"/>
      <c r="BQ31" s="656"/>
      <c r="BR31" s="656"/>
      <c r="BS31" s="656"/>
      <c r="BT31" s="656"/>
      <c r="BU31" s="656"/>
      <c r="BV31" s="656"/>
      <c r="BW31" s="656"/>
      <c r="BX31" s="656"/>
      <c r="BY31" s="656"/>
      <c r="BZ31" s="656"/>
      <c r="CA31" s="656"/>
      <c r="CB31" s="656"/>
      <c r="CC31" s="656"/>
      <c r="CD31" s="656"/>
      <c r="CE31" s="656"/>
      <c r="CF31" s="656"/>
      <c r="CG31" s="656"/>
      <c r="CH31" s="656"/>
      <c r="CI31" s="656"/>
      <c r="CJ31" s="656"/>
      <c r="CK31" s="656"/>
      <c r="CL31" s="656"/>
      <c r="CM31" s="656"/>
      <c r="CN31" s="656"/>
      <c r="CO31" s="656"/>
      <c r="CP31" s="656"/>
      <c r="CQ31" s="656"/>
      <c r="CR31" s="656"/>
      <c r="CS31" s="656"/>
      <c r="CT31" s="656"/>
      <c r="CU31" s="656"/>
      <c r="CV31" s="656"/>
      <c r="CW31" s="656"/>
      <c r="CX31" s="656"/>
      <c r="CY31" s="656"/>
      <c r="CZ31" s="656"/>
      <c r="DA31" s="656"/>
      <c r="DB31" s="656"/>
      <c r="DC31" s="656"/>
      <c r="DD31" s="656"/>
      <c r="DE31" s="656"/>
      <c r="DF31" s="656"/>
      <c r="DG31" s="656"/>
      <c r="DH31" s="656"/>
      <c r="DI31" s="656"/>
      <c r="DJ31" s="656"/>
      <c r="DK31" s="656"/>
      <c r="DL31" s="656"/>
      <c r="DM31" s="656"/>
      <c r="DN31" s="656"/>
      <c r="DO31" s="656"/>
      <c r="DP31" s="656"/>
      <c r="DQ31" s="656"/>
      <c r="DR31" s="656"/>
      <c r="DS31" s="656"/>
      <c r="DT31" s="656"/>
      <c r="DU31" s="656"/>
      <c r="DV31" s="656"/>
      <c r="DW31" s="656"/>
      <c r="DX31" s="656"/>
      <c r="DY31" s="656"/>
      <c r="DZ31" s="656"/>
      <c r="EA31" s="656"/>
      <c r="EB31" s="656"/>
      <c r="EC31" s="656"/>
      <c r="ED31" s="656"/>
      <c r="EE31" s="656"/>
      <c r="EF31" s="656"/>
      <c r="EG31" s="656"/>
      <c r="EH31" s="656"/>
      <c r="EI31" s="656"/>
      <c r="EJ31" s="656"/>
      <c r="EK31" s="656"/>
      <c r="EL31" s="656"/>
      <c r="EM31" s="656"/>
      <c r="EN31" s="656"/>
      <c r="EO31" s="656"/>
      <c r="EP31" s="656"/>
      <c r="EQ31" s="656"/>
      <c r="ER31" s="656"/>
      <c r="ES31" s="656"/>
      <c r="ET31" s="656"/>
      <c r="EU31" s="656"/>
      <c r="EV31" s="656"/>
      <c r="EW31" s="656"/>
      <c r="EX31" s="656"/>
      <c r="EY31" s="656"/>
      <c r="EZ31" s="656"/>
      <c r="FA31" s="656"/>
      <c r="FB31" s="656"/>
      <c r="FC31" s="656"/>
      <c r="FD31" s="656"/>
      <c r="FE31" s="656"/>
      <c r="FF31" s="656"/>
      <c r="FG31" s="656"/>
      <c r="FH31" s="656"/>
      <c r="FI31" s="656"/>
      <c r="FJ31" s="656"/>
      <c r="FK31" s="656"/>
      <c r="FL31" s="656"/>
      <c r="FM31" s="656"/>
      <c r="FN31" s="656"/>
      <c r="FO31" s="656"/>
      <c r="FP31" s="656"/>
      <c r="FQ31" s="656"/>
      <c r="FR31" s="656"/>
      <c r="FS31" s="656"/>
      <c r="FT31" s="656"/>
      <c r="FU31" s="656"/>
      <c r="FV31" s="656"/>
      <c r="FW31" s="656"/>
      <c r="FX31" s="656"/>
      <c r="FY31" s="656"/>
      <c r="FZ31" s="656"/>
      <c r="GA31" s="656"/>
      <c r="GB31" s="656"/>
      <c r="GC31" s="656"/>
      <c r="GD31" s="656"/>
      <c r="GE31" s="656"/>
      <c r="GF31" s="656"/>
      <c r="GG31" s="656"/>
      <c r="GH31" s="656"/>
      <c r="GI31" s="656"/>
      <c r="GJ31" s="656"/>
      <c r="GK31" s="656"/>
      <c r="GL31" s="656"/>
      <c r="GM31" s="656"/>
      <c r="GN31" s="656"/>
      <c r="GO31" s="656"/>
      <c r="GP31" s="656"/>
      <c r="GQ31" s="656"/>
      <c r="GR31" s="656"/>
      <c r="GS31" s="656"/>
      <c r="GT31" s="656"/>
      <c r="GU31" s="656"/>
      <c r="GV31" s="656"/>
      <c r="GW31" s="656"/>
      <c r="GX31" s="656"/>
      <c r="GY31" s="656"/>
      <c r="GZ31" s="656"/>
      <c r="HA31" s="656"/>
      <c r="HB31" s="656"/>
      <c r="HC31" s="656"/>
      <c r="HD31" s="656"/>
      <c r="HE31" s="656"/>
      <c r="HF31" s="656"/>
      <c r="HG31" s="656"/>
      <c r="HH31" s="656"/>
      <c r="HI31" s="656"/>
      <c r="HJ31" s="656"/>
      <c r="HK31" s="656"/>
      <c r="HL31" s="656"/>
      <c r="HM31" s="656"/>
      <c r="HN31" s="656"/>
      <c r="HO31" s="656"/>
      <c r="HP31" s="656"/>
      <c r="HQ31" s="656"/>
      <c r="HR31" s="656"/>
      <c r="HS31" s="656"/>
      <c r="HT31" s="656"/>
      <c r="HU31" s="656"/>
      <c r="HV31" s="656"/>
      <c r="HW31" s="656"/>
    </row>
    <row r="32" spans="1:231" s="657" customFormat="1" x14ac:dyDescent="0.25">
      <c r="A32" s="646">
        <v>16</v>
      </c>
      <c r="B32" s="680" t="s">
        <v>980</v>
      </c>
      <c r="C32" s="681" t="s">
        <v>981</v>
      </c>
      <c r="D32" s="682" t="s">
        <v>6</v>
      </c>
      <c r="E32" s="683">
        <v>4</v>
      </c>
      <c r="F32" s="684">
        <v>27587.98</v>
      </c>
      <c r="G32" s="684">
        <v>110352</v>
      </c>
      <c r="H32" s="688">
        <v>8</v>
      </c>
      <c r="I32" s="688">
        <v>0</v>
      </c>
      <c r="J32" s="689">
        <v>12</v>
      </c>
      <c r="K32" s="684">
        <v>331056</v>
      </c>
      <c r="L32" s="683">
        <v>0</v>
      </c>
      <c r="M32" s="684">
        <v>0</v>
      </c>
      <c r="N32" s="683">
        <v>0</v>
      </c>
      <c r="O32" s="687">
        <v>0</v>
      </c>
      <c r="P32" s="656"/>
      <c r="Q32" s="656"/>
      <c r="R32" s="656"/>
      <c r="S32" s="656"/>
      <c r="T32" s="656"/>
      <c r="U32" s="656"/>
      <c r="V32" s="656"/>
      <c r="W32" s="656"/>
      <c r="X32" s="656"/>
      <c r="Y32" s="656"/>
      <c r="Z32" s="656"/>
      <c r="AA32" s="656"/>
      <c r="AB32" s="656"/>
      <c r="AC32" s="656"/>
      <c r="AD32" s="656"/>
      <c r="AE32" s="656"/>
      <c r="AF32" s="656"/>
      <c r="AG32" s="656"/>
      <c r="AH32" s="656"/>
      <c r="AI32" s="656"/>
      <c r="AJ32" s="656"/>
      <c r="AK32" s="656"/>
      <c r="AL32" s="656"/>
      <c r="AM32" s="656"/>
      <c r="AN32" s="656"/>
      <c r="AO32" s="656"/>
      <c r="AP32" s="656"/>
      <c r="AQ32" s="656"/>
      <c r="AR32" s="656"/>
      <c r="AS32" s="656"/>
      <c r="AT32" s="656"/>
      <c r="AU32" s="656"/>
      <c r="AV32" s="656"/>
      <c r="AW32" s="656"/>
      <c r="AX32" s="656"/>
      <c r="AY32" s="656"/>
      <c r="AZ32" s="656"/>
      <c r="BA32" s="656"/>
      <c r="BB32" s="656"/>
      <c r="BC32" s="656"/>
      <c r="BD32" s="656"/>
      <c r="BE32" s="656"/>
      <c r="BF32" s="656"/>
      <c r="BG32" s="656"/>
      <c r="BH32" s="656"/>
      <c r="BI32" s="656"/>
      <c r="BJ32" s="656"/>
      <c r="BK32" s="656"/>
      <c r="BL32" s="656"/>
      <c r="BM32" s="656"/>
      <c r="BN32" s="656"/>
      <c r="BO32" s="656"/>
      <c r="BP32" s="656"/>
      <c r="BQ32" s="656"/>
      <c r="BR32" s="656"/>
      <c r="BS32" s="656"/>
      <c r="BT32" s="656"/>
      <c r="BU32" s="656"/>
      <c r="BV32" s="656"/>
      <c r="BW32" s="656"/>
      <c r="BX32" s="656"/>
      <c r="BY32" s="656"/>
      <c r="BZ32" s="656"/>
      <c r="CA32" s="656"/>
      <c r="CB32" s="656"/>
      <c r="CC32" s="656"/>
      <c r="CD32" s="656"/>
      <c r="CE32" s="656"/>
      <c r="CF32" s="656"/>
      <c r="CG32" s="656"/>
      <c r="CH32" s="656"/>
      <c r="CI32" s="656"/>
      <c r="CJ32" s="656"/>
      <c r="CK32" s="656"/>
      <c r="CL32" s="656"/>
      <c r="CM32" s="656"/>
      <c r="CN32" s="656"/>
      <c r="CO32" s="656"/>
      <c r="CP32" s="656"/>
      <c r="CQ32" s="656"/>
      <c r="CR32" s="656"/>
      <c r="CS32" s="656"/>
      <c r="CT32" s="656"/>
      <c r="CU32" s="656"/>
      <c r="CV32" s="656"/>
      <c r="CW32" s="656"/>
      <c r="CX32" s="656"/>
      <c r="CY32" s="656"/>
      <c r="CZ32" s="656"/>
      <c r="DA32" s="656"/>
      <c r="DB32" s="656"/>
      <c r="DC32" s="656"/>
      <c r="DD32" s="656"/>
      <c r="DE32" s="656"/>
      <c r="DF32" s="656"/>
      <c r="DG32" s="656"/>
      <c r="DH32" s="656"/>
      <c r="DI32" s="656"/>
      <c r="DJ32" s="656"/>
      <c r="DK32" s="656"/>
      <c r="DL32" s="656"/>
      <c r="DM32" s="656"/>
      <c r="DN32" s="656"/>
      <c r="DO32" s="656"/>
      <c r="DP32" s="656"/>
      <c r="DQ32" s="656"/>
      <c r="DR32" s="656"/>
      <c r="DS32" s="656"/>
      <c r="DT32" s="656"/>
      <c r="DU32" s="656"/>
      <c r="DV32" s="656"/>
      <c r="DW32" s="656"/>
      <c r="DX32" s="656"/>
      <c r="DY32" s="656"/>
      <c r="DZ32" s="656"/>
      <c r="EA32" s="656"/>
      <c r="EB32" s="656"/>
      <c r="EC32" s="656"/>
      <c r="ED32" s="656"/>
      <c r="EE32" s="656"/>
      <c r="EF32" s="656"/>
      <c r="EG32" s="656"/>
      <c r="EH32" s="656"/>
      <c r="EI32" s="656"/>
      <c r="EJ32" s="656"/>
      <c r="EK32" s="656"/>
      <c r="EL32" s="656"/>
      <c r="EM32" s="656"/>
      <c r="EN32" s="656"/>
      <c r="EO32" s="656"/>
      <c r="EP32" s="656"/>
      <c r="EQ32" s="656"/>
      <c r="ER32" s="656"/>
      <c r="ES32" s="656"/>
      <c r="ET32" s="656"/>
      <c r="EU32" s="656"/>
      <c r="EV32" s="656"/>
      <c r="EW32" s="656"/>
      <c r="EX32" s="656"/>
      <c r="EY32" s="656"/>
      <c r="EZ32" s="656"/>
      <c r="FA32" s="656"/>
      <c r="FB32" s="656"/>
      <c r="FC32" s="656"/>
      <c r="FD32" s="656"/>
      <c r="FE32" s="656"/>
      <c r="FF32" s="656"/>
      <c r="FG32" s="656"/>
      <c r="FH32" s="656"/>
      <c r="FI32" s="656"/>
      <c r="FJ32" s="656"/>
      <c r="FK32" s="656"/>
      <c r="FL32" s="656"/>
      <c r="FM32" s="656"/>
      <c r="FN32" s="656"/>
      <c r="FO32" s="656"/>
      <c r="FP32" s="656"/>
      <c r="FQ32" s="656"/>
      <c r="FR32" s="656"/>
      <c r="FS32" s="656"/>
      <c r="FT32" s="656"/>
      <c r="FU32" s="656"/>
      <c r="FV32" s="656"/>
      <c r="FW32" s="656"/>
      <c r="FX32" s="656"/>
      <c r="FY32" s="656"/>
      <c r="FZ32" s="656"/>
      <c r="GA32" s="656"/>
      <c r="GB32" s="656"/>
      <c r="GC32" s="656"/>
      <c r="GD32" s="656"/>
      <c r="GE32" s="656"/>
      <c r="GF32" s="656"/>
      <c r="GG32" s="656"/>
      <c r="GH32" s="656"/>
      <c r="GI32" s="656"/>
      <c r="GJ32" s="656"/>
      <c r="GK32" s="656"/>
      <c r="GL32" s="656"/>
      <c r="GM32" s="656"/>
      <c r="GN32" s="656"/>
      <c r="GO32" s="656"/>
      <c r="GP32" s="656"/>
      <c r="GQ32" s="656"/>
      <c r="GR32" s="656"/>
      <c r="GS32" s="656"/>
      <c r="GT32" s="656"/>
      <c r="GU32" s="656"/>
      <c r="GV32" s="656"/>
      <c r="GW32" s="656"/>
      <c r="GX32" s="656"/>
      <c r="GY32" s="656"/>
      <c r="GZ32" s="656"/>
      <c r="HA32" s="656"/>
      <c r="HB32" s="656"/>
      <c r="HC32" s="656"/>
      <c r="HD32" s="656"/>
      <c r="HE32" s="656"/>
      <c r="HF32" s="656"/>
      <c r="HG32" s="656"/>
      <c r="HH32" s="656"/>
      <c r="HI32" s="656"/>
      <c r="HJ32" s="656"/>
      <c r="HK32" s="656"/>
      <c r="HL32" s="656"/>
      <c r="HM32" s="656"/>
      <c r="HN32" s="656"/>
      <c r="HO32" s="656"/>
      <c r="HP32" s="656"/>
      <c r="HQ32" s="656"/>
      <c r="HR32" s="656"/>
      <c r="HS32" s="656"/>
      <c r="HT32" s="656"/>
      <c r="HU32" s="656"/>
      <c r="HV32" s="656"/>
      <c r="HW32" s="656"/>
    </row>
    <row r="33" spans="1:231" s="657" customFormat="1" x14ac:dyDescent="0.25">
      <c r="A33" s="646">
        <v>17</v>
      </c>
      <c r="B33" s="680" t="s">
        <v>982</v>
      </c>
      <c r="C33" s="681" t="s">
        <v>88</v>
      </c>
      <c r="D33" s="682" t="s">
        <v>19</v>
      </c>
      <c r="E33" s="683">
        <v>300</v>
      </c>
      <c r="F33" s="684">
        <v>23582.720000000001</v>
      </c>
      <c r="G33" s="684">
        <v>7074816</v>
      </c>
      <c r="H33" s="688">
        <v>0</v>
      </c>
      <c r="I33" s="688">
        <v>-80</v>
      </c>
      <c r="J33" s="689">
        <v>220</v>
      </c>
      <c r="K33" s="684">
        <v>5188198</v>
      </c>
      <c r="L33" s="683">
        <v>220</v>
      </c>
      <c r="M33" s="684">
        <v>5188198</v>
      </c>
      <c r="N33" s="683">
        <v>220</v>
      </c>
      <c r="O33" s="687">
        <v>5188198</v>
      </c>
      <c r="P33" s="656"/>
      <c r="Q33" s="656"/>
      <c r="R33" s="656"/>
      <c r="S33" s="656"/>
      <c r="T33" s="656"/>
      <c r="U33" s="656"/>
      <c r="V33" s="656"/>
      <c r="W33" s="656"/>
      <c r="X33" s="656"/>
      <c r="Y33" s="656"/>
      <c r="Z33" s="656"/>
      <c r="AA33" s="656"/>
      <c r="AB33" s="656"/>
      <c r="AC33" s="656"/>
      <c r="AD33" s="656"/>
      <c r="AE33" s="656"/>
      <c r="AF33" s="656"/>
      <c r="AG33" s="656"/>
      <c r="AH33" s="656"/>
      <c r="AI33" s="656"/>
      <c r="AJ33" s="656"/>
      <c r="AK33" s="656"/>
      <c r="AL33" s="656"/>
      <c r="AM33" s="656"/>
      <c r="AN33" s="656"/>
      <c r="AO33" s="656"/>
      <c r="AP33" s="656"/>
      <c r="AQ33" s="656"/>
      <c r="AR33" s="656"/>
      <c r="AS33" s="656"/>
      <c r="AT33" s="656"/>
      <c r="AU33" s="656"/>
      <c r="AV33" s="656"/>
      <c r="AW33" s="656"/>
      <c r="AX33" s="656"/>
      <c r="AY33" s="656"/>
      <c r="AZ33" s="656"/>
      <c r="BA33" s="656"/>
      <c r="BB33" s="656"/>
      <c r="BC33" s="656"/>
      <c r="BD33" s="656"/>
      <c r="BE33" s="656"/>
      <c r="BF33" s="656"/>
      <c r="BG33" s="656"/>
      <c r="BH33" s="656"/>
      <c r="BI33" s="656"/>
      <c r="BJ33" s="656"/>
      <c r="BK33" s="656"/>
      <c r="BL33" s="656"/>
      <c r="BM33" s="656"/>
      <c r="BN33" s="656"/>
      <c r="BO33" s="656"/>
      <c r="BP33" s="656"/>
      <c r="BQ33" s="656"/>
      <c r="BR33" s="656"/>
      <c r="BS33" s="656"/>
      <c r="BT33" s="656"/>
      <c r="BU33" s="656"/>
      <c r="BV33" s="656"/>
      <c r="BW33" s="656"/>
      <c r="BX33" s="656"/>
      <c r="BY33" s="656"/>
      <c r="BZ33" s="656"/>
      <c r="CA33" s="656"/>
      <c r="CB33" s="656"/>
      <c r="CC33" s="656"/>
      <c r="CD33" s="656"/>
      <c r="CE33" s="656"/>
      <c r="CF33" s="656"/>
      <c r="CG33" s="656"/>
      <c r="CH33" s="656"/>
      <c r="CI33" s="656"/>
      <c r="CJ33" s="656"/>
      <c r="CK33" s="656"/>
      <c r="CL33" s="656"/>
      <c r="CM33" s="656"/>
      <c r="CN33" s="656"/>
      <c r="CO33" s="656"/>
      <c r="CP33" s="656"/>
      <c r="CQ33" s="656"/>
      <c r="CR33" s="656"/>
      <c r="CS33" s="656"/>
      <c r="CT33" s="656"/>
      <c r="CU33" s="656"/>
      <c r="CV33" s="656"/>
      <c r="CW33" s="656"/>
      <c r="CX33" s="656"/>
      <c r="CY33" s="656"/>
      <c r="CZ33" s="656"/>
      <c r="DA33" s="656"/>
      <c r="DB33" s="656"/>
      <c r="DC33" s="656"/>
      <c r="DD33" s="656"/>
      <c r="DE33" s="656"/>
      <c r="DF33" s="656"/>
      <c r="DG33" s="656"/>
      <c r="DH33" s="656"/>
      <c r="DI33" s="656"/>
      <c r="DJ33" s="656"/>
      <c r="DK33" s="656"/>
      <c r="DL33" s="656"/>
      <c r="DM33" s="656"/>
      <c r="DN33" s="656"/>
      <c r="DO33" s="656"/>
      <c r="DP33" s="656"/>
      <c r="DQ33" s="656"/>
      <c r="DR33" s="656"/>
      <c r="DS33" s="656"/>
      <c r="DT33" s="656"/>
      <c r="DU33" s="656"/>
      <c r="DV33" s="656"/>
      <c r="DW33" s="656"/>
      <c r="DX33" s="656"/>
      <c r="DY33" s="656"/>
      <c r="DZ33" s="656"/>
      <c r="EA33" s="656"/>
      <c r="EB33" s="656"/>
      <c r="EC33" s="656"/>
      <c r="ED33" s="656"/>
      <c r="EE33" s="656"/>
      <c r="EF33" s="656"/>
      <c r="EG33" s="656"/>
      <c r="EH33" s="656"/>
      <c r="EI33" s="656"/>
      <c r="EJ33" s="656"/>
      <c r="EK33" s="656"/>
      <c r="EL33" s="656"/>
      <c r="EM33" s="656"/>
      <c r="EN33" s="656"/>
      <c r="EO33" s="656"/>
      <c r="EP33" s="656"/>
      <c r="EQ33" s="656"/>
      <c r="ER33" s="656"/>
      <c r="ES33" s="656"/>
      <c r="ET33" s="656"/>
      <c r="EU33" s="656"/>
      <c r="EV33" s="656"/>
      <c r="EW33" s="656"/>
      <c r="EX33" s="656"/>
      <c r="EY33" s="656"/>
      <c r="EZ33" s="656"/>
      <c r="FA33" s="656"/>
      <c r="FB33" s="656"/>
      <c r="FC33" s="656"/>
      <c r="FD33" s="656"/>
      <c r="FE33" s="656"/>
      <c r="FF33" s="656"/>
      <c r="FG33" s="656"/>
      <c r="FH33" s="656"/>
      <c r="FI33" s="656"/>
      <c r="FJ33" s="656"/>
      <c r="FK33" s="656"/>
      <c r="FL33" s="656"/>
      <c r="FM33" s="656"/>
      <c r="FN33" s="656"/>
      <c r="FO33" s="656"/>
      <c r="FP33" s="656"/>
      <c r="FQ33" s="656"/>
      <c r="FR33" s="656"/>
      <c r="FS33" s="656"/>
      <c r="FT33" s="656"/>
      <c r="FU33" s="656"/>
      <c r="FV33" s="656"/>
      <c r="FW33" s="656"/>
      <c r="FX33" s="656"/>
      <c r="FY33" s="656"/>
      <c r="FZ33" s="656"/>
      <c r="GA33" s="656"/>
      <c r="GB33" s="656"/>
      <c r="GC33" s="656"/>
      <c r="GD33" s="656"/>
      <c r="GE33" s="656"/>
      <c r="GF33" s="656"/>
      <c r="GG33" s="656"/>
      <c r="GH33" s="656"/>
      <c r="GI33" s="656"/>
      <c r="GJ33" s="656"/>
      <c r="GK33" s="656"/>
      <c r="GL33" s="656"/>
      <c r="GM33" s="656"/>
      <c r="GN33" s="656"/>
      <c r="GO33" s="656"/>
      <c r="GP33" s="656"/>
      <c r="GQ33" s="656"/>
      <c r="GR33" s="656"/>
      <c r="GS33" s="656"/>
      <c r="GT33" s="656"/>
      <c r="GU33" s="656"/>
      <c r="GV33" s="656"/>
      <c r="GW33" s="656"/>
      <c r="GX33" s="656"/>
      <c r="GY33" s="656"/>
      <c r="GZ33" s="656"/>
      <c r="HA33" s="656"/>
      <c r="HB33" s="656"/>
      <c r="HC33" s="656"/>
      <c r="HD33" s="656"/>
      <c r="HE33" s="656"/>
      <c r="HF33" s="656"/>
      <c r="HG33" s="656"/>
      <c r="HH33" s="656"/>
      <c r="HI33" s="656"/>
      <c r="HJ33" s="656"/>
      <c r="HK33" s="656"/>
      <c r="HL33" s="656"/>
      <c r="HM33" s="656"/>
      <c r="HN33" s="656"/>
      <c r="HO33" s="656"/>
      <c r="HP33" s="656"/>
      <c r="HQ33" s="656"/>
      <c r="HR33" s="656"/>
      <c r="HS33" s="656"/>
      <c r="HT33" s="656"/>
      <c r="HU33" s="656"/>
      <c r="HV33" s="656"/>
      <c r="HW33" s="656"/>
    </row>
    <row r="34" spans="1:231" s="657" customFormat="1" x14ac:dyDescent="0.25">
      <c r="A34" s="646">
        <v>18</v>
      </c>
      <c r="B34" s="680" t="s">
        <v>983</v>
      </c>
      <c r="C34" s="681" t="s">
        <v>984</v>
      </c>
      <c r="D34" s="682" t="s">
        <v>19</v>
      </c>
      <c r="E34" s="683">
        <v>1000</v>
      </c>
      <c r="F34" s="684">
        <v>11018.14</v>
      </c>
      <c r="G34" s="684">
        <v>11018140</v>
      </c>
      <c r="H34" s="688">
        <v>13.476700000000164</v>
      </c>
      <c r="I34" s="688">
        <v>0</v>
      </c>
      <c r="J34" s="689">
        <v>1013.4767000000002</v>
      </c>
      <c r="K34" s="684">
        <v>11166628</v>
      </c>
      <c r="L34" s="683">
        <v>1013.4767000000002</v>
      </c>
      <c r="M34" s="684">
        <v>11166628</v>
      </c>
      <c r="N34" s="683">
        <v>1013.4767000000002</v>
      </c>
      <c r="O34" s="687">
        <v>11166628</v>
      </c>
      <c r="P34" s="656"/>
      <c r="Q34" s="656"/>
      <c r="R34" s="656"/>
      <c r="S34" s="656"/>
      <c r="T34" s="656"/>
      <c r="U34" s="656"/>
      <c r="V34" s="656"/>
      <c r="W34" s="656"/>
      <c r="X34" s="656"/>
      <c r="Y34" s="656"/>
      <c r="Z34" s="656"/>
      <c r="AA34" s="656"/>
      <c r="AB34" s="656"/>
      <c r="AC34" s="656"/>
      <c r="AD34" s="656"/>
      <c r="AE34" s="656"/>
      <c r="AF34" s="656"/>
      <c r="AG34" s="656"/>
      <c r="AH34" s="656"/>
      <c r="AI34" s="656"/>
      <c r="AJ34" s="656"/>
      <c r="AK34" s="656"/>
      <c r="AL34" s="656"/>
      <c r="AM34" s="656"/>
      <c r="AN34" s="656"/>
      <c r="AO34" s="656"/>
      <c r="AP34" s="656"/>
      <c r="AQ34" s="656"/>
      <c r="AR34" s="656"/>
      <c r="AS34" s="656"/>
      <c r="AT34" s="656"/>
      <c r="AU34" s="656"/>
      <c r="AV34" s="656"/>
      <c r="AW34" s="656"/>
      <c r="AX34" s="656"/>
      <c r="AY34" s="656"/>
      <c r="AZ34" s="656"/>
      <c r="BA34" s="656"/>
      <c r="BB34" s="656"/>
      <c r="BC34" s="656"/>
      <c r="BD34" s="656"/>
      <c r="BE34" s="656"/>
      <c r="BF34" s="656"/>
      <c r="BG34" s="656"/>
      <c r="BH34" s="656"/>
      <c r="BI34" s="656"/>
      <c r="BJ34" s="656"/>
      <c r="BK34" s="656"/>
      <c r="BL34" s="656"/>
      <c r="BM34" s="656"/>
      <c r="BN34" s="656"/>
      <c r="BO34" s="656"/>
      <c r="BP34" s="656"/>
      <c r="BQ34" s="656"/>
      <c r="BR34" s="656"/>
      <c r="BS34" s="656"/>
      <c r="BT34" s="656"/>
      <c r="BU34" s="656"/>
      <c r="BV34" s="656"/>
      <c r="BW34" s="656"/>
      <c r="BX34" s="656"/>
      <c r="BY34" s="656"/>
      <c r="BZ34" s="656"/>
      <c r="CA34" s="656"/>
      <c r="CB34" s="656"/>
      <c r="CC34" s="656"/>
      <c r="CD34" s="656"/>
      <c r="CE34" s="656"/>
      <c r="CF34" s="656"/>
      <c r="CG34" s="656"/>
      <c r="CH34" s="656"/>
      <c r="CI34" s="656"/>
      <c r="CJ34" s="656"/>
      <c r="CK34" s="656"/>
      <c r="CL34" s="656"/>
      <c r="CM34" s="656"/>
      <c r="CN34" s="656"/>
      <c r="CO34" s="656"/>
      <c r="CP34" s="656"/>
      <c r="CQ34" s="656"/>
      <c r="CR34" s="656"/>
      <c r="CS34" s="656"/>
      <c r="CT34" s="656"/>
      <c r="CU34" s="656"/>
      <c r="CV34" s="656"/>
      <c r="CW34" s="656"/>
      <c r="CX34" s="656"/>
      <c r="CY34" s="656"/>
      <c r="CZ34" s="656"/>
      <c r="DA34" s="656"/>
      <c r="DB34" s="656"/>
      <c r="DC34" s="656"/>
      <c r="DD34" s="656"/>
      <c r="DE34" s="656"/>
      <c r="DF34" s="656"/>
      <c r="DG34" s="656"/>
      <c r="DH34" s="656"/>
      <c r="DI34" s="656"/>
      <c r="DJ34" s="656"/>
      <c r="DK34" s="656"/>
      <c r="DL34" s="656"/>
      <c r="DM34" s="656"/>
      <c r="DN34" s="656"/>
      <c r="DO34" s="656"/>
      <c r="DP34" s="656"/>
      <c r="DQ34" s="656"/>
      <c r="DR34" s="656"/>
      <c r="DS34" s="656"/>
      <c r="DT34" s="656"/>
      <c r="DU34" s="656"/>
      <c r="DV34" s="656"/>
      <c r="DW34" s="656"/>
      <c r="DX34" s="656"/>
      <c r="DY34" s="656"/>
      <c r="DZ34" s="656"/>
      <c r="EA34" s="656"/>
      <c r="EB34" s="656"/>
      <c r="EC34" s="656"/>
      <c r="ED34" s="656"/>
      <c r="EE34" s="656"/>
      <c r="EF34" s="656"/>
      <c r="EG34" s="656"/>
      <c r="EH34" s="656"/>
      <c r="EI34" s="656"/>
      <c r="EJ34" s="656"/>
      <c r="EK34" s="656"/>
      <c r="EL34" s="656"/>
      <c r="EM34" s="656"/>
      <c r="EN34" s="656"/>
      <c r="EO34" s="656"/>
      <c r="EP34" s="656"/>
      <c r="EQ34" s="656"/>
      <c r="ER34" s="656"/>
      <c r="ES34" s="656"/>
      <c r="ET34" s="656"/>
      <c r="EU34" s="656"/>
      <c r="EV34" s="656"/>
      <c r="EW34" s="656"/>
      <c r="EX34" s="656"/>
      <c r="EY34" s="656"/>
      <c r="EZ34" s="656"/>
      <c r="FA34" s="656"/>
      <c r="FB34" s="656"/>
      <c r="FC34" s="656"/>
      <c r="FD34" s="656"/>
      <c r="FE34" s="656"/>
      <c r="FF34" s="656"/>
      <c r="FG34" s="656"/>
      <c r="FH34" s="656"/>
      <c r="FI34" s="656"/>
      <c r="FJ34" s="656"/>
      <c r="FK34" s="656"/>
      <c r="FL34" s="656"/>
      <c r="FM34" s="656"/>
      <c r="FN34" s="656"/>
      <c r="FO34" s="656"/>
      <c r="FP34" s="656"/>
      <c r="FQ34" s="656"/>
      <c r="FR34" s="656"/>
      <c r="FS34" s="656"/>
      <c r="FT34" s="656"/>
      <c r="FU34" s="656"/>
      <c r="FV34" s="656"/>
      <c r="FW34" s="656"/>
      <c r="FX34" s="656"/>
      <c r="FY34" s="656"/>
      <c r="FZ34" s="656"/>
      <c r="GA34" s="656"/>
      <c r="GB34" s="656"/>
      <c r="GC34" s="656"/>
      <c r="GD34" s="656"/>
      <c r="GE34" s="656"/>
      <c r="GF34" s="656"/>
      <c r="GG34" s="656"/>
      <c r="GH34" s="656"/>
      <c r="GI34" s="656"/>
      <c r="GJ34" s="656"/>
      <c r="GK34" s="656"/>
      <c r="GL34" s="656"/>
      <c r="GM34" s="656"/>
      <c r="GN34" s="656"/>
      <c r="GO34" s="656"/>
      <c r="GP34" s="656"/>
      <c r="GQ34" s="656"/>
      <c r="GR34" s="656"/>
      <c r="GS34" s="656"/>
      <c r="GT34" s="656"/>
      <c r="GU34" s="656"/>
      <c r="GV34" s="656"/>
      <c r="GW34" s="656"/>
      <c r="GX34" s="656"/>
      <c r="GY34" s="656"/>
      <c r="GZ34" s="656"/>
      <c r="HA34" s="656"/>
      <c r="HB34" s="656"/>
      <c r="HC34" s="656"/>
      <c r="HD34" s="656"/>
      <c r="HE34" s="656"/>
      <c r="HF34" s="656"/>
      <c r="HG34" s="656"/>
      <c r="HH34" s="656"/>
      <c r="HI34" s="656"/>
      <c r="HJ34" s="656"/>
      <c r="HK34" s="656"/>
      <c r="HL34" s="656"/>
      <c r="HM34" s="656"/>
      <c r="HN34" s="656"/>
      <c r="HO34" s="656"/>
      <c r="HP34" s="656"/>
      <c r="HQ34" s="656"/>
      <c r="HR34" s="656"/>
      <c r="HS34" s="656"/>
      <c r="HT34" s="656"/>
      <c r="HU34" s="656"/>
      <c r="HV34" s="656"/>
      <c r="HW34" s="656"/>
    </row>
    <row r="35" spans="1:231" s="657" customFormat="1" ht="48" customHeight="1" x14ac:dyDescent="0.25">
      <c r="A35" s="646">
        <v>19</v>
      </c>
      <c r="B35" s="680" t="s">
        <v>985</v>
      </c>
      <c r="C35" s="681" t="s">
        <v>986</v>
      </c>
      <c r="D35" s="682" t="s">
        <v>19</v>
      </c>
      <c r="E35" s="683">
        <v>400</v>
      </c>
      <c r="F35" s="684">
        <v>14513.8</v>
      </c>
      <c r="G35" s="684">
        <v>5805520</v>
      </c>
      <c r="H35" s="688">
        <v>0</v>
      </c>
      <c r="I35" s="688">
        <v>-400</v>
      </c>
      <c r="J35" s="688">
        <v>0</v>
      </c>
      <c r="K35" s="684">
        <v>0</v>
      </c>
      <c r="L35" s="683">
        <v>0</v>
      </c>
      <c r="M35" s="684">
        <v>0</v>
      </c>
      <c r="N35" s="683">
        <v>0</v>
      </c>
      <c r="O35" s="687">
        <v>0</v>
      </c>
      <c r="P35" s="656"/>
      <c r="Q35" s="656"/>
      <c r="R35" s="656"/>
      <c r="S35" s="656"/>
      <c r="T35" s="656"/>
      <c r="U35" s="656"/>
      <c r="V35" s="656"/>
      <c r="W35" s="656"/>
      <c r="X35" s="656"/>
      <c r="Y35" s="656"/>
      <c r="Z35" s="656"/>
      <c r="AA35" s="656"/>
      <c r="AB35" s="656"/>
      <c r="AC35" s="656"/>
      <c r="AD35" s="656"/>
      <c r="AE35" s="656"/>
      <c r="AF35" s="656"/>
      <c r="AG35" s="656"/>
      <c r="AH35" s="656"/>
      <c r="AI35" s="656"/>
      <c r="AJ35" s="656"/>
      <c r="AK35" s="656"/>
      <c r="AL35" s="656"/>
      <c r="AM35" s="656"/>
      <c r="AN35" s="656"/>
      <c r="AO35" s="656"/>
      <c r="AP35" s="656"/>
      <c r="AQ35" s="656"/>
      <c r="AR35" s="656"/>
      <c r="AS35" s="656"/>
      <c r="AT35" s="656"/>
      <c r="AU35" s="656"/>
      <c r="AV35" s="656"/>
      <c r="AW35" s="656"/>
      <c r="AX35" s="656"/>
      <c r="AY35" s="656"/>
      <c r="AZ35" s="656"/>
      <c r="BA35" s="656"/>
      <c r="BB35" s="656"/>
      <c r="BC35" s="656"/>
      <c r="BD35" s="656"/>
      <c r="BE35" s="656"/>
      <c r="BF35" s="656"/>
      <c r="BG35" s="656"/>
      <c r="BH35" s="656"/>
      <c r="BI35" s="656"/>
      <c r="BJ35" s="656"/>
      <c r="BK35" s="656"/>
      <c r="BL35" s="656"/>
      <c r="BM35" s="656"/>
      <c r="BN35" s="656"/>
      <c r="BO35" s="656"/>
      <c r="BP35" s="656"/>
      <c r="BQ35" s="656"/>
      <c r="BR35" s="656"/>
      <c r="BS35" s="656"/>
      <c r="BT35" s="656"/>
      <c r="BU35" s="656"/>
      <c r="BV35" s="656"/>
      <c r="BW35" s="656"/>
      <c r="BX35" s="656"/>
      <c r="BY35" s="656"/>
      <c r="BZ35" s="656"/>
      <c r="CA35" s="656"/>
      <c r="CB35" s="656"/>
      <c r="CC35" s="656"/>
      <c r="CD35" s="656"/>
      <c r="CE35" s="656"/>
      <c r="CF35" s="656"/>
      <c r="CG35" s="656"/>
      <c r="CH35" s="656"/>
      <c r="CI35" s="656"/>
      <c r="CJ35" s="656"/>
      <c r="CK35" s="656"/>
      <c r="CL35" s="656"/>
      <c r="CM35" s="656"/>
      <c r="CN35" s="656"/>
      <c r="CO35" s="656"/>
      <c r="CP35" s="656"/>
      <c r="CQ35" s="656"/>
      <c r="CR35" s="656"/>
      <c r="CS35" s="656"/>
      <c r="CT35" s="656"/>
      <c r="CU35" s="656"/>
      <c r="CV35" s="656"/>
      <c r="CW35" s="656"/>
      <c r="CX35" s="656"/>
      <c r="CY35" s="656"/>
      <c r="CZ35" s="656"/>
      <c r="DA35" s="656"/>
      <c r="DB35" s="656"/>
      <c r="DC35" s="656"/>
      <c r="DD35" s="656"/>
      <c r="DE35" s="656"/>
      <c r="DF35" s="656"/>
      <c r="DG35" s="656"/>
      <c r="DH35" s="656"/>
      <c r="DI35" s="656"/>
      <c r="DJ35" s="656"/>
      <c r="DK35" s="656"/>
      <c r="DL35" s="656"/>
      <c r="DM35" s="656"/>
      <c r="DN35" s="656"/>
      <c r="DO35" s="656"/>
      <c r="DP35" s="656"/>
      <c r="DQ35" s="656"/>
      <c r="DR35" s="656"/>
      <c r="DS35" s="656"/>
      <c r="DT35" s="656"/>
      <c r="DU35" s="656"/>
      <c r="DV35" s="656"/>
      <c r="DW35" s="656"/>
      <c r="DX35" s="656"/>
      <c r="DY35" s="656"/>
      <c r="DZ35" s="656"/>
      <c r="EA35" s="656"/>
      <c r="EB35" s="656"/>
      <c r="EC35" s="656"/>
      <c r="ED35" s="656"/>
      <c r="EE35" s="656"/>
      <c r="EF35" s="656"/>
      <c r="EG35" s="656"/>
      <c r="EH35" s="656"/>
      <c r="EI35" s="656"/>
      <c r="EJ35" s="656"/>
      <c r="EK35" s="656"/>
      <c r="EL35" s="656"/>
      <c r="EM35" s="656"/>
      <c r="EN35" s="656"/>
      <c r="EO35" s="656"/>
      <c r="EP35" s="656"/>
      <c r="EQ35" s="656"/>
      <c r="ER35" s="656"/>
      <c r="ES35" s="656"/>
      <c r="ET35" s="656"/>
      <c r="EU35" s="656"/>
      <c r="EV35" s="656"/>
      <c r="EW35" s="656"/>
      <c r="EX35" s="656"/>
      <c r="EY35" s="656"/>
      <c r="EZ35" s="656"/>
      <c r="FA35" s="656"/>
      <c r="FB35" s="656"/>
      <c r="FC35" s="656"/>
      <c r="FD35" s="656"/>
      <c r="FE35" s="656"/>
      <c r="FF35" s="656"/>
      <c r="FG35" s="656"/>
      <c r="FH35" s="656"/>
      <c r="FI35" s="656"/>
      <c r="FJ35" s="656"/>
      <c r="FK35" s="656"/>
      <c r="FL35" s="656"/>
      <c r="FM35" s="656"/>
      <c r="FN35" s="656"/>
      <c r="FO35" s="656"/>
      <c r="FP35" s="656"/>
      <c r="FQ35" s="656"/>
      <c r="FR35" s="656"/>
      <c r="FS35" s="656"/>
      <c r="FT35" s="656"/>
      <c r="FU35" s="656"/>
      <c r="FV35" s="656"/>
      <c r="FW35" s="656"/>
      <c r="FX35" s="656"/>
      <c r="FY35" s="656"/>
      <c r="FZ35" s="656"/>
      <c r="GA35" s="656"/>
      <c r="GB35" s="656"/>
      <c r="GC35" s="656"/>
      <c r="GD35" s="656"/>
      <c r="GE35" s="656"/>
      <c r="GF35" s="656"/>
      <c r="GG35" s="656"/>
      <c r="GH35" s="656"/>
      <c r="GI35" s="656"/>
      <c r="GJ35" s="656"/>
      <c r="GK35" s="656"/>
      <c r="GL35" s="656"/>
      <c r="GM35" s="656"/>
      <c r="GN35" s="656"/>
      <c r="GO35" s="656"/>
      <c r="GP35" s="656"/>
      <c r="GQ35" s="656"/>
      <c r="GR35" s="656"/>
      <c r="GS35" s="656"/>
      <c r="GT35" s="656"/>
      <c r="GU35" s="656"/>
      <c r="GV35" s="656"/>
      <c r="GW35" s="656"/>
      <c r="GX35" s="656"/>
      <c r="GY35" s="656"/>
      <c r="GZ35" s="656"/>
      <c r="HA35" s="656"/>
      <c r="HB35" s="656"/>
      <c r="HC35" s="656"/>
      <c r="HD35" s="656"/>
      <c r="HE35" s="656"/>
      <c r="HF35" s="656"/>
      <c r="HG35" s="656"/>
      <c r="HH35" s="656"/>
      <c r="HI35" s="656"/>
      <c r="HJ35" s="656"/>
      <c r="HK35" s="656"/>
      <c r="HL35" s="656"/>
      <c r="HM35" s="656"/>
      <c r="HN35" s="656"/>
      <c r="HO35" s="656"/>
      <c r="HP35" s="656"/>
      <c r="HQ35" s="656"/>
      <c r="HR35" s="656"/>
      <c r="HS35" s="656"/>
      <c r="HT35" s="656"/>
      <c r="HU35" s="656"/>
      <c r="HV35" s="656"/>
      <c r="HW35" s="656"/>
    </row>
    <row r="36" spans="1:231" s="657" customFormat="1" x14ac:dyDescent="0.25">
      <c r="A36" s="646">
        <v>20</v>
      </c>
      <c r="B36" s="680" t="s">
        <v>987</v>
      </c>
      <c r="C36" s="681" t="s">
        <v>988</v>
      </c>
      <c r="D36" s="682" t="s">
        <v>19</v>
      </c>
      <c r="E36" s="683">
        <v>350</v>
      </c>
      <c r="F36" s="684">
        <v>7780.22</v>
      </c>
      <c r="G36" s="684">
        <v>2723077</v>
      </c>
      <c r="H36" s="688">
        <v>0</v>
      </c>
      <c r="I36" s="688">
        <v>0</v>
      </c>
      <c r="J36" s="689">
        <v>350</v>
      </c>
      <c r="K36" s="684">
        <v>2723077</v>
      </c>
      <c r="L36" s="683">
        <v>350</v>
      </c>
      <c r="M36" s="684">
        <v>2723077</v>
      </c>
      <c r="N36" s="683">
        <v>350</v>
      </c>
      <c r="O36" s="687">
        <v>2723077</v>
      </c>
      <c r="P36" s="656"/>
      <c r="Q36" s="656"/>
      <c r="R36" s="656"/>
      <c r="S36" s="656"/>
      <c r="T36" s="656"/>
      <c r="U36" s="656"/>
      <c r="V36" s="656"/>
      <c r="W36" s="656"/>
      <c r="X36" s="656"/>
      <c r="Y36" s="656"/>
      <c r="Z36" s="656"/>
      <c r="AA36" s="656"/>
      <c r="AB36" s="656"/>
      <c r="AC36" s="656"/>
      <c r="AD36" s="656"/>
      <c r="AE36" s="656"/>
      <c r="AF36" s="656"/>
      <c r="AG36" s="656"/>
      <c r="AH36" s="656"/>
      <c r="AI36" s="656"/>
      <c r="AJ36" s="656"/>
      <c r="AK36" s="656"/>
      <c r="AL36" s="656"/>
      <c r="AM36" s="656"/>
      <c r="AN36" s="656"/>
      <c r="AO36" s="656"/>
      <c r="AP36" s="656"/>
      <c r="AQ36" s="656"/>
      <c r="AR36" s="656"/>
      <c r="AS36" s="656"/>
      <c r="AT36" s="656"/>
      <c r="AU36" s="656"/>
      <c r="AV36" s="656"/>
      <c r="AW36" s="656"/>
      <c r="AX36" s="656"/>
      <c r="AY36" s="656"/>
      <c r="AZ36" s="656"/>
      <c r="BA36" s="656"/>
      <c r="BB36" s="656"/>
      <c r="BC36" s="656"/>
      <c r="BD36" s="656"/>
      <c r="BE36" s="656"/>
      <c r="BF36" s="656"/>
      <c r="BG36" s="656"/>
      <c r="BH36" s="656"/>
      <c r="BI36" s="656"/>
      <c r="BJ36" s="656"/>
      <c r="BK36" s="656"/>
      <c r="BL36" s="656"/>
      <c r="BM36" s="656"/>
      <c r="BN36" s="656"/>
      <c r="BO36" s="656"/>
      <c r="BP36" s="656"/>
      <c r="BQ36" s="656"/>
      <c r="BR36" s="656"/>
      <c r="BS36" s="656"/>
      <c r="BT36" s="656"/>
      <c r="BU36" s="656"/>
      <c r="BV36" s="656"/>
      <c r="BW36" s="656"/>
      <c r="BX36" s="656"/>
      <c r="BY36" s="656"/>
      <c r="BZ36" s="656"/>
      <c r="CA36" s="656"/>
      <c r="CB36" s="656"/>
      <c r="CC36" s="656"/>
      <c r="CD36" s="656"/>
      <c r="CE36" s="656"/>
      <c r="CF36" s="656"/>
      <c r="CG36" s="656"/>
      <c r="CH36" s="656"/>
      <c r="CI36" s="656"/>
      <c r="CJ36" s="656"/>
      <c r="CK36" s="656"/>
      <c r="CL36" s="656"/>
      <c r="CM36" s="656"/>
      <c r="CN36" s="656"/>
      <c r="CO36" s="656"/>
      <c r="CP36" s="656"/>
      <c r="CQ36" s="656"/>
      <c r="CR36" s="656"/>
      <c r="CS36" s="656"/>
      <c r="CT36" s="656"/>
      <c r="CU36" s="656"/>
      <c r="CV36" s="656"/>
      <c r="CW36" s="656"/>
      <c r="CX36" s="656"/>
      <c r="CY36" s="656"/>
      <c r="CZ36" s="656"/>
      <c r="DA36" s="656"/>
      <c r="DB36" s="656"/>
      <c r="DC36" s="656"/>
      <c r="DD36" s="656"/>
      <c r="DE36" s="656"/>
      <c r="DF36" s="656"/>
      <c r="DG36" s="656"/>
      <c r="DH36" s="656"/>
      <c r="DI36" s="656"/>
      <c r="DJ36" s="656"/>
      <c r="DK36" s="656"/>
      <c r="DL36" s="656"/>
      <c r="DM36" s="656"/>
      <c r="DN36" s="656"/>
      <c r="DO36" s="656"/>
      <c r="DP36" s="656"/>
      <c r="DQ36" s="656"/>
      <c r="DR36" s="656"/>
      <c r="DS36" s="656"/>
      <c r="DT36" s="656"/>
      <c r="DU36" s="656"/>
      <c r="DV36" s="656"/>
      <c r="DW36" s="656"/>
      <c r="DX36" s="656"/>
      <c r="DY36" s="656"/>
      <c r="DZ36" s="656"/>
      <c r="EA36" s="656"/>
      <c r="EB36" s="656"/>
      <c r="EC36" s="656"/>
      <c r="ED36" s="656"/>
      <c r="EE36" s="656"/>
      <c r="EF36" s="656"/>
      <c r="EG36" s="656"/>
      <c r="EH36" s="656"/>
      <c r="EI36" s="656"/>
      <c r="EJ36" s="656"/>
      <c r="EK36" s="656"/>
      <c r="EL36" s="656"/>
      <c r="EM36" s="656"/>
      <c r="EN36" s="656"/>
      <c r="EO36" s="656"/>
      <c r="EP36" s="656"/>
      <c r="EQ36" s="656"/>
      <c r="ER36" s="656"/>
      <c r="ES36" s="656"/>
      <c r="ET36" s="656"/>
      <c r="EU36" s="656"/>
      <c r="EV36" s="656"/>
      <c r="EW36" s="656"/>
      <c r="EX36" s="656"/>
      <c r="EY36" s="656"/>
      <c r="EZ36" s="656"/>
      <c r="FA36" s="656"/>
      <c r="FB36" s="656"/>
      <c r="FC36" s="656"/>
      <c r="FD36" s="656"/>
      <c r="FE36" s="656"/>
      <c r="FF36" s="656"/>
      <c r="FG36" s="656"/>
      <c r="FH36" s="656"/>
      <c r="FI36" s="656"/>
      <c r="FJ36" s="656"/>
      <c r="FK36" s="656"/>
      <c r="FL36" s="656"/>
      <c r="FM36" s="656"/>
      <c r="FN36" s="656"/>
      <c r="FO36" s="656"/>
      <c r="FP36" s="656"/>
      <c r="FQ36" s="656"/>
      <c r="FR36" s="656"/>
      <c r="FS36" s="656"/>
      <c r="FT36" s="656"/>
      <c r="FU36" s="656"/>
      <c r="FV36" s="656"/>
      <c r="FW36" s="656"/>
      <c r="FX36" s="656"/>
      <c r="FY36" s="656"/>
      <c r="FZ36" s="656"/>
      <c r="GA36" s="656"/>
      <c r="GB36" s="656"/>
      <c r="GC36" s="656"/>
      <c r="GD36" s="656"/>
      <c r="GE36" s="656"/>
      <c r="GF36" s="656"/>
      <c r="GG36" s="656"/>
      <c r="GH36" s="656"/>
      <c r="GI36" s="656"/>
      <c r="GJ36" s="656"/>
      <c r="GK36" s="656"/>
      <c r="GL36" s="656"/>
      <c r="GM36" s="656"/>
      <c r="GN36" s="656"/>
      <c r="GO36" s="656"/>
      <c r="GP36" s="656"/>
      <c r="GQ36" s="656"/>
      <c r="GR36" s="656"/>
      <c r="GS36" s="656"/>
      <c r="GT36" s="656"/>
      <c r="GU36" s="656"/>
      <c r="GV36" s="656"/>
      <c r="GW36" s="656"/>
      <c r="GX36" s="656"/>
      <c r="GY36" s="656"/>
      <c r="GZ36" s="656"/>
      <c r="HA36" s="656"/>
      <c r="HB36" s="656"/>
      <c r="HC36" s="656"/>
      <c r="HD36" s="656"/>
      <c r="HE36" s="656"/>
      <c r="HF36" s="656"/>
      <c r="HG36" s="656"/>
      <c r="HH36" s="656"/>
      <c r="HI36" s="656"/>
      <c r="HJ36" s="656"/>
      <c r="HK36" s="656"/>
      <c r="HL36" s="656"/>
      <c r="HM36" s="656"/>
      <c r="HN36" s="656"/>
      <c r="HO36" s="656"/>
      <c r="HP36" s="656"/>
      <c r="HQ36" s="656"/>
      <c r="HR36" s="656"/>
      <c r="HS36" s="656"/>
      <c r="HT36" s="656"/>
      <c r="HU36" s="656"/>
      <c r="HV36" s="656"/>
      <c r="HW36" s="656"/>
    </row>
    <row r="37" spans="1:231" s="657" customFormat="1" ht="28.5" x14ac:dyDescent="0.25">
      <c r="A37" s="646">
        <v>21</v>
      </c>
      <c r="B37" s="680" t="s">
        <v>989</v>
      </c>
      <c r="C37" s="690" t="s">
        <v>990</v>
      </c>
      <c r="D37" s="682" t="s">
        <v>19</v>
      </c>
      <c r="E37" s="683">
        <v>50</v>
      </c>
      <c r="F37" s="684">
        <v>111792.52</v>
      </c>
      <c r="G37" s="684">
        <v>5589626</v>
      </c>
      <c r="H37" s="688">
        <v>67.788000000000011</v>
      </c>
      <c r="I37" s="688">
        <v>0</v>
      </c>
      <c r="J37" s="689">
        <v>117.78800000000001</v>
      </c>
      <c r="K37" s="684">
        <v>13167817</v>
      </c>
      <c r="L37" s="683">
        <v>0</v>
      </c>
      <c r="M37" s="684">
        <v>0</v>
      </c>
      <c r="N37" s="683">
        <v>0</v>
      </c>
      <c r="O37" s="687">
        <v>0</v>
      </c>
      <c r="P37" s="656"/>
      <c r="Q37" s="656"/>
      <c r="R37" s="656"/>
      <c r="S37" s="656"/>
      <c r="T37" s="656"/>
      <c r="U37" s="656"/>
      <c r="V37" s="656"/>
      <c r="W37" s="656"/>
      <c r="X37" s="656"/>
      <c r="Y37" s="656"/>
      <c r="Z37" s="656"/>
      <c r="AA37" s="656"/>
      <c r="AB37" s="656"/>
      <c r="AC37" s="656"/>
      <c r="AD37" s="656"/>
      <c r="AE37" s="656"/>
      <c r="AF37" s="656"/>
      <c r="AG37" s="656"/>
      <c r="AH37" s="656"/>
      <c r="AI37" s="656"/>
      <c r="AJ37" s="656"/>
      <c r="AK37" s="656"/>
      <c r="AL37" s="656"/>
      <c r="AM37" s="656"/>
      <c r="AN37" s="656"/>
      <c r="AO37" s="656"/>
      <c r="AP37" s="656"/>
      <c r="AQ37" s="656"/>
      <c r="AR37" s="656"/>
      <c r="AS37" s="656"/>
      <c r="AT37" s="656"/>
      <c r="AU37" s="656"/>
      <c r="AV37" s="656"/>
      <c r="AW37" s="656"/>
      <c r="AX37" s="656"/>
      <c r="AY37" s="656"/>
      <c r="AZ37" s="656"/>
      <c r="BA37" s="656"/>
      <c r="BB37" s="656"/>
      <c r="BC37" s="656"/>
      <c r="BD37" s="656"/>
      <c r="BE37" s="656"/>
      <c r="BF37" s="656"/>
      <c r="BG37" s="656"/>
      <c r="BH37" s="656"/>
      <c r="BI37" s="656"/>
      <c r="BJ37" s="656"/>
      <c r="BK37" s="656"/>
      <c r="BL37" s="656"/>
      <c r="BM37" s="656"/>
      <c r="BN37" s="656"/>
      <c r="BO37" s="656"/>
      <c r="BP37" s="656"/>
      <c r="BQ37" s="656"/>
      <c r="BR37" s="656"/>
      <c r="BS37" s="656"/>
      <c r="BT37" s="656"/>
      <c r="BU37" s="656"/>
      <c r="BV37" s="656"/>
      <c r="BW37" s="656"/>
      <c r="BX37" s="656"/>
      <c r="BY37" s="656"/>
      <c r="BZ37" s="656"/>
      <c r="CA37" s="656"/>
      <c r="CB37" s="656"/>
      <c r="CC37" s="656"/>
      <c r="CD37" s="656"/>
      <c r="CE37" s="656"/>
      <c r="CF37" s="656"/>
      <c r="CG37" s="656"/>
      <c r="CH37" s="656"/>
      <c r="CI37" s="656"/>
      <c r="CJ37" s="656"/>
      <c r="CK37" s="656"/>
      <c r="CL37" s="656"/>
      <c r="CM37" s="656"/>
      <c r="CN37" s="656"/>
      <c r="CO37" s="656"/>
      <c r="CP37" s="656"/>
      <c r="CQ37" s="656"/>
      <c r="CR37" s="656"/>
      <c r="CS37" s="656"/>
      <c r="CT37" s="656"/>
      <c r="CU37" s="656"/>
      <c r="CV37" s="656"/>
      <c r="CW37" s="656"/>
      <c r="CX37" s="656"/>
      <c r="CY37" s="656"/>
      <c r="CZ37" s="656"/>
      <c r="DA37" s="656"/>
      <c r="DB37" s="656"/>
      <c r="DC37" s="656"/>
      <c r="DD37" s="656"/>
      <c r="DE37" s="656"/>
      <c r="DF37" s="656"/>
      <c r="DG37" s="656"/>
      <c r="DH37" s="656"/>
      <c r="DI37" s="656"/>
      <c r="DJ37" s="656"/>
      <c r="DK37" s="656"/>
      <c r="DL37" s="656"/>
      <c r="DM37" s="656"/>
      <c r="DN37" s="656"/>
      <c r="DO37" s="656"/>
      <c r="DP37" s="656"/>
      <c r="DQ37" s="656"/>
      <c r="DR37" s="656"/>
      <c r="DS37" s="656"/>
      <c r="DT37" s="656"/>
      <c r="DU37" s="656"/>
      <c r="DV37" s="656"/>
      <c r="DW37" s="656"/>
      <c r="DX37" s="656"/>
      <c r="DY37" s="656"/>
      <c r="DZ37" s="656"/>
      <c r="EA37" s="656"/>
      <c r="EB37" s="656"/>
      <c r="EC37" s="656"/>
      <c r="ED37" s="656"/>
      <c r="EE37" s="656"/>
      <c r="EF37" s="656"/>
      <c r="EG37" s="656"/>
      <c r="EH37" s="656"/>
      <c r="EI37" s="656"/>
      <c r="EJ37" s="656"/>
      <c r="EK37" s="656"/>
      <c r="EL37" s="656"/>
      <c r="EM37" s="656"/>
      <c r="EN37" s="656"/>
      <c r="EO37" s="656"/>
      <c r="EP37" s="656"/>
      <c r="EQ37" s="656"/>
      <c r="ER37" s="656"/>
      <c r="ES37" s="656"/>
      <c r="ET37" s="656"/>
      <c r="EU37" s="656"/>
      <c r="EV37" s="656"/>
      <c r="EW37" s="656"/>
      <c r="EX37" s="656"/>
      <c r="EY37" s="656"/>
      <c r="EZ37" s="656"/>
      <c r="FA37" s="656"/>
      <c r="FB37" s="656"/>
      <c r="FC37" s="656"/>
      <c r="FD37" s="656"/>
      <c r="FE37" s="656"/>
      <c r="FF37" s="656"/>
      <c r="FG37" s="656"/>
      <c r="FH37" s="656"/>
      <c r="FI37" s="656"/>
      <c r="FJ37" s="656"/>
      <c r="FK37" s="656"/>
      <c r="FL37" s="656"/>
      <c r="FM37" s="656"/>
      <c r="FN37" s="656"/>
      <c r="FO37" s="656"/>
      <c r="FP37" s="656"/>
      <c r="FQ37" s="656"/>
      <c r="FR37" s="656"/>
      <c r="FS37" s="656"/>
      <c r="FT37" s="656"/>
      <c r="FU37" s="656"/>
      <c r="FV37" s="656"/>
      <c r="FW37" s="656"/>
      <c r="FX37" s="656"/>
      <c r="FY37" s="656"/>
      <c r="FZ37" s="656"/>
      <c r="GA37" s="656"/>
      <c r="GB37" s="656"/>
      <c r="GC37" s="656"/>
      <c r="GD37" s="656"/>
      <c r="GE37" s="656"/>
      <c r="GF37" s="656"/>
      <c r="GG37" s="656"/>
      <c r="GH37" s="656"/>
      <c r="GI37" s="656"/>
      <c r="GJ37" s="656"/>
      <c r="GK37" s="656"/>
      <c r="GL37" s="656"/>
      <c r="GM37" s="656"/>
      <c r="GN37" s="656"/>
      <c r="GO37" s="656"/>
      <c r="GP37" s="656"/>
      <c r="GQ37" s="656"/>
      <c r="GR37" s="656"/>
      <c r="GS37" s="656"/>
      <c r="GT37" s="656"/>
      <c r="GU37" s="656"/>
      <c r="GV37" s="656"/>
      <c r="GW37" s="656"/>
      <c r="GX37" s="656"/>
      <c r="GY37" s="656"/>
      <c r="GZ37" s="656"/>
      <c r="HA37" s="656"/>
      <c r="HB37" s="656"/>
      <c r="HC37" s="656"/>
      <c r="HD37" s="656"/>
      <c r="HE37" s="656"/>
      <c r="HF37" s="656"/>
      <c r="HG37" s="656"/>
      <c r="HH37" s="656"/>
      <c r="HI37" s="656"/>
      <c r="HJ37" s="656"/>
      <c r="HK37" s="656"/>
      <c r="HL37" s="656"/>
      <c r="HM37" s="656"/>
      <c r="HN37" s="656"/>
      <c r="HO37" s="656"/>
      <c r="HP37" s="656"/>
      <c r="HQ37" s="656"/>
      <c r="HR37" s="656"/>
      <c r="HS37" s="656"/>
      <c r="HT37" s="656"/>
      <c r="HU37" s="656"/>
      <c r="HV37" s="656"/>
      <c r="HW37" s="656"/>
    </row>
    <row r="38" spans="1:231" s="657" customFormat="1" ht="28.5" x14ac:dyDescent="0.25">
      <c r="A38" s="646">
        <v>22</v>
      </c>
      <c r="B38" s="680" t="s">
        <v>991</v>
      </c>
      <c r="C38" s="690" t="s">
        <v>992</v>
      </c>
      <c r="D38" s="682" t="s">
        <v>19</v>
      </c>
      <c r="E38" s="683">
        <v>15</v>
      </c>
      <c r="F38" s="684">
        <v>91988.68</v>
      </c>
      <c r="G38" s="684">
        <v>1379830</v>
      </c>
      <c r="H38" s="688">
        <v>0</v>
      </c>
      <c r="I38" s="688">
        <v>-15</v>
      </c>
      <c r="J38" s="689">
        <v>0</v>
      </c>
      <c r="K38" s="684">
        <v>0</v>
      </c>
      <c r="L38" s="683">
        <v>0</v>
      </c>
      <c r="M38" s="684">
        <v>0</v>
      </c>
      <c r="N38" s="683">
        <v>0</v>
      </c>
      <c r="O38" s="687">
        <v>0</v>
      </c>
      <c r="P38" s="656"/>
      <c r="Q38" s="656"/>
      <c r="R38" s="656"/>
      <c r="S38" s="656"/>
      <c r="T38" s="656"/>
      <c r="U38" s="656"/>
      <c r="V38" s="656"/>
      <c r="W38" s="656"/>
      <c r="X38" s="656"/>
      <c r="Y38" s="656"/>
      <c r="Z38" s="656"/>
      <c r="AA38" s="656"/>
      <c r="AB38" s="656"/>
      <c r="AC38" s="656"/>
      <c r="AD38" s="656"/>
      <c r="AE38" s="656"/>
      <c r="AF38" s="656"/>
      <c r="AG38" s="656"/>
      <c r="AH38" s="656"/>
      <c r="AI38" s="656"/>
      <c r="AJ38" s="656"/>
      <c r="AK38" s="656"/>
      <c r="AL38" s="656"/>
      <c r="AM38" s="656"/>
      <c r="AN38" s="656"/>
      <c r="AO38" s="656"/>
      <c r="AP38" s="656"/>
      <c r="AQ38" s="656"/>
      <c r="AR38" s="656"/>
      <c r="AS38" s="656"/>
      <c r="AT38" s="656"/>
      <c r="AU38" s="656"/>
      <c r="AV38" s="656"/>
      <c r="AW38" s="656"/>
      <c r="AX38" s="656"/>
      <c r="AY38" s="656"/>
      <c r="AZ38" s="656"/>
      <c r="BA38" s="656"/>
      <c r="BB38" s="656"/>
      <c r="BC38" s="656"/>
      <c r="BD38" s="656"/>
      <c r="BE38" s="656"/>
      <c r="BF38" s="656"/>
      <c r="BG38" s="656"/>
      <c r="BH38" s="656"/>
      <c r="BI38" s="656"/>
      <c r="BJ38" s="656"/>
      <c r="BK38" s="656"/>
      <c r="BL38" s="656"/>
      <c r="BM38" s="656"/>
      <c r="BN38" s="656"/>
      <c r="BO38" s="656"/>
      <c r="BP38" s="656"/>
      <c r="BQ38" s="656"/>
      <c r="BR38" s="656"/>
      <c r="BS38" s="656"/>
      <c r="BT38" s="656"/>
      <c r="BU38" s="656"/>
      <c r="BV38" s="656"/>
      <c r="BW38" s="656"/>
      <c r="BX38" s="656"/>
      <c r="BY38" s="656"/>
      <c r="BZ38" s="656"/>
      <c r="CA38" s="656"/>
      <c r="CB38" s="656"/>
      <c r="CC38" s="656"/>
      <c r="CD38" s="656"/>
      <c r="CE38" s="656"/>
      <c r="CF38" s="656"/>
      <c r="CG38" s="656"/>
      <c r="CH38" s="656"/>
      <c r="CI38" s="656"/>
      <c r="CJ38" s="656"/>
      <c r="CK38" s="656"/>
      <c r="CL38" s="656"/>
      <c r="CM38" s="656"/>
      <c r="CN38" s="656"/>
      <c r="CO38" s="656"/>
      <c r="CP38" s="656"/>
      <c r="CQ38" s="656"/>
      <c r="CR38" s="656"/>
      <c r="CS38" s="656"/>
      <c r="CT38" s="656"/>
      <c r="CU38" s="656"/>
      <c r="CV38" s="656"/>
      <c r="CW38" s="656"/>
      <c r="CX38" s="656"/>
      <c r="CY38" s="656"/>
      <c r="CZ38" s="656"/>
      <c r="DA38" s="656"/>
      <c r="DB38" s="656"/>
      <c r="DC38" s="656"/>
      <c r="DD38" s="656"/>
      <c r="DE38" s="656"/>
      <c r="DF38" s="656"/>
      <c r="DG38" s="656"/>
      <c r="DH38" s="656"/>
      <c r="DI38" s="656"/>
      <c r="DJ38" s="656"/>
      <c r="DK38" s="656"/>
      <c r="DL38" s="656"/>
      <c r="DM38" s="656"/>
      <c r="DN38" s="656"/>
      <c r="DO38" s="656"/>
      <c r="DP38" s="656"/>
      <c r="DQ38" s="656"/>
      <c r="DR38" s="656"/>
      <c r="DS38" s="656"/>
      <c r="DT38" s="656"/>
      <c r="DU38" s="656"/>
      <c r="DV38" s="656"/>
      <c r="DW38" s="656"/>
      <c r="DX38" s="656"/>
      <c r="DY38" s="656"/>
      <c r="DZ38" s="656"/>
      <c r="EA38" s="656"/>
      <c r="EB38" s="656"/>
      <c r="EC38" s="656"/>
      <c r="ED38" s="656"/>
      <c r="EE38" s="656"/>
      <c r="EF38" s="656"/>
      <c r="EG38" s="656"/>
      <c r="EH38" s="656"/>
      <c r="EI38" s="656"/>
      <c r="EJ38" s="656"/>
      <c r="EK38" s="656"/>
      <c r="EL38" s="656"/>
      <c r="EM38" s="656"/>
      <c r="EN38" s="656"/>
      <c r="EO38" s="656"/>
      <c r="EP38" s="656"/>
      <c r="EQ38" s="656"/>
      <c r="ER38" s="656"/>
      <c r="ES38" s="656"/>
      <c r="ET38" s="656"/>
      <c r="EU38" s="656"/>
      <c r="EV38" s="656"/>
      <c r="EW38" s="656"/>
      <c r="EX38" s="656"/>
      <c r="EY38" s="656"/>
      <c r="EZ38" s="656"/>
      <c r="FA38" s="656"/>
      <c r="FB38" s="656"/>
      <c r="FC38" s="656"/>
      <c r="FD38" s="656"/>
      <c r="FE38" s="656"/>
      <c r="FF38" s="656"/>
      <c r="FG38" s="656"/>
      <c r="FH38" s="656"/>
      <c r="FI38" s="656"/>
      <c r="FJ38" s="656"/>
      <c r="FK38" s="656"/>
      <c r="FL38" s="656"/>
      <c r="FM38" s="656"/>
      <c r="FN38" s="656"/>
      <c r="FO38" s="656"/>
      <c r="FP38" s="656"/>
      <c r="FQ38" s="656"/>
      <c r="FR38" s="656"/>
      <c r="FS38" s="656"/>
      <c r="FT38" s="656"/>
      <c r="FU38" s="656"/>
      <c r="FV38" s="656"/>
      <c r="FW38" s="656"/>
      <c r="FX38" s="656"/>
      <c r="FY38" s="656"/>
      <c r="FZ38" s="656"/>
      <c r="GA38" s="656"/>
      <c r="GB38" s="656"/>
      <c r="GC38" s="656"/>
      <c r="GD38" s="656"/>
      <c r="GE38" s="656"/>
      <c r="GF38" s="656"/>
      <c r="GG38" s="656"/>
      <c r="GH38" s="656"/>
      <c r="GI38" s="656"/>
      <c r="GJ38" s="656"/>
      <c r="GK38" s="656"/>
      <c r="GL38" s="656"/>
      <c r="GM38" s="656"/>
      <c r="GN38" s="656"/>
      <c r="GO38" s="656"/>
      <c r="GP38" s="656"/>
      <c r="GQ38" s="656"/>
      <c r="GR38" s="656"/>
      <c r="GS38" s="656"/>
      <c r="GT38" s="656"/>
      <c r="GU38" s="656"/>
      <c r="GV38" s="656"/>
      <c r="GW38" s="656"/>
      <c r="GX38" s="656"/>
      <c r="GY38" s="656"/>
      <c r="GZ38" s="656"/>
      <c r="HA38" s="656"/>
      <c r="HB38" s="656"/>
      <c r="HC38" s="656"/>
      <c r="HD38" s="656"/>
      <c r="HE38" s="656"/>
      <c r="HF38" s="656"/>
      <c r="HG38" s="656"/>
      <c r="HH38" s="656"/>
      <c r="HI38" s="656"/>
      <c r="HJ38" s="656"/>
      <c r="HK38" s="656"/>
      <c r="HL38" s="656"/>
      <c r="HM38" s="656"/>
      <c r="HN38" s="656"/>
      <c r="HO38" s="656"/>
      <c r="HP38" s="656"/>
      <c r="HQ38" s="656"/>
      <c r="HR38" s="656"/>
      <c r="HS38" s="656"/>
      <c r="HT38" s="656"/>
      <c r="HU38" s="656"/>
      <c r="HV38" s="656"/>
      <c r="HW38" s="656"/>
    </row>
    <row r="39" spans="1:231" s="657" customFormat="1" x14ac:dyDescent="0.25">
      <c r="A39" s="646">
        <v>23</v>
      </c>
      <c r="B39" s="680" t="s">
        <v>993</v>
      </c>
      <c r="C39" s="690" t="s">
        <v>994</v>
      </c>
      <c r="D39" s="682" t="s">
        <v>19</v>
      </c>
      <c r="E39" s="683">
        <v>40</v>
      </c>
      <c r="F39" s="684">
        <v>36650.04</v>
      </c>
      <c r="G39" s="684">
        <v>1466002</v>
      </c>
      <c r="H39" s="688">
        <v>0</v>
      </c>
      <c r="I39" s="688">
        <v>-21</v>
      </c>
      <c r="J39" s="689">
        <v>19</v>
      </c>
      <c r="K39" s="684">
        <v>696351</v>
      </c>
      <c r="L39" s="683">
        <v>19</v>
      </c>
      <c r="M39" s="684">
        <v>696351</v>
      </c>
      <c r="N39" s="683">
        <v>19</v>
      </c>
      <c r="O39" s="687">
        <v>696351</v>
      </c>
      <c r="P39" s="656"/>
      <c r="Q39" s="656"/>
      <c r="R39" s="656"/>
      <c r="S39" s="656"/>
      <c r="T39" s="656"/>
      <c r="U39" s="656"/>
      <c r="V39" s="656"/>
      <c r="W39" s="656"/>
      <c r="X39" s="656"/>
      <c r="Y39" s="656"/>
      <c r="Z39" s="656"/>
      <c r="AA39" s="656"/>
      <c r="AB39" s="656"/>
      <c r="AC39" s="656"/>
      <c r="AD39" s="656"/>
      <c r="AE39" s="656"/>
      <c r="AF39" s="656"/>
      <c r="AG39" s="656"/>
      <c r="AH39" s="656"/>
      <c r="AI39" s="656"/>
      <c r="AJ39" s="656"/>
      <c r="AK39" s="656"/>
      <c r="AL39" s="656"/>
      <c r="AM39" s="656"/>
      <c r="AN39" s="656"/>
      <c r="AO39" s="656"/>
      <c r="AP39" s="656"/>
      <c r="AQ39" s="656"/>
      <c r="AR39" s="656"/>
      <c r="AS39" s="656"/>
      <c r="AT39" s="656"/>
      <c r="AU39" s="656"/>
      <c r="AV39" s="656"/>
      <c r="AW39" s="656"/>
      <c r="AX39" s="656"/>
      <c r="AY39" s="656"/>
      <c r="AZ39" s="656"/>
      <c r="BA39" s="656"/>
      <c r="BB39" s="656"/>
      <c r="BC39" s="656"/>
      <c r="BD39" s="656"/>
      <c r="BE39" s="656"/>
      <c r="BF39" s="656"/>
      <c r="BG39" s="656"/>
      <c r="BH39" s="656"/>
      <c r="BI39" s="656"/>
      <c r="BJ39" s="656"/>
      <c r="BK39" s="656"/>
      <c r="BL39" s="656"/>
      <c r="BM39" s="656"/>
      <c r="BN39" s="656"/>
      <c r="BO39" s="656"/>
      <c r="BP39" s="656"/>
      <c r="BQ39" s="656"/>
      <c r="BR39" s="656"/>
      <c r="BS39" s="656"/>
      <c r="BT39" s="656"/>
      <c r="BU39" s="656"/>
      <c r="BV39" s="656"/>
      <c r="BW39" s="656"/>
      <c r="BX39" s="656"/>
      <c r="BY39" s="656"/>
      <c r="BZ39" s="656"/>
      <c r="CA39" s="656"/>
      <c r="CB39" s="656"/>
      <c r="CC39" s="656"/>
      <c r="CD39" s="656"/>
      <c r="CE39" s="656"/>
      <c r="CF39" s="656"/>
      <c r="CG39" s="656"/>
      <c r="CH39" s="656"/>
      <c r="CI39" s="656"/>
      <c r="CJ39" s="656"/>
      <c r="CK39" s="656"/>
      <c r="CL39" s="656"/>
      <c r="CM39" s="656"/>
      <c r="CN39" s="656"/>
      <c r="CO39" s="656"/>
      <c r="CP39" s="656"/>
      <c r="CQ39" s="656"/>
      <c r="CR39" s="656"/>
      <c r="CS39" s="656"/>
      <c r="CT39" s="656"/>
      <c r="CU39" s="656"/>
      <c r="CV39" s="656"/>
      <c r="CW39" s="656"/>
      <c r="CX39" s="656"/>
      <c r="CY39" s="656"/>
      <c r="CZ39" s="656"/>
      <c r="DA39" s="656"/>
      <c r="DB39" s="656"/>
      <c r="DC39" s="656"/>
      <c r="DD39" s="656"/>
      <c r="DE39" s="656"/>
      <c r="DF39" s="656"/>
      <c r="DG39" s="656"/>
      <c r="DH39" s="656"/>
      <c r="DI39" s="656"/>
      <c r="DJ39" s="656"/>
      <c r="DK39" s="656"/>
      <c r="DL39" s="656"/>
      <c r="DM39" s="656"/>
      <c r="DN39" s="656"/>
      <c r="DO39" s="656"/>
      <c r="DP39" s="656"/>
      <c r="DQ39" s="656"/>
      <c r="DR39" s="656"/>
      <c r="DS39" s="656"/>
      <c r="DT39" s="656"/>
      <c r="DU39" s="656"/>
      <c r="DV39" s="656"/>
      <c r="DW39" s="656"/>
      <c r="DX39" s="656"/>
      <c r="DY39" s="656"/>
      <c r="DZ39" s="656"/>
      <c r="EA39" s="656"/>
      <c r="EB39" s="656"/>
      <c r="EC39" s="656"/>
      <c r="ED39" s="656"/>
      <c r="EE39" s="656"/>
      <c r="EF39" s="656"/>
      <c r="EG39" s="656"/>
      <c r="EH39" s="656"/>
      <c r="EI39" s="656"/>
      <c r="EJ39" s="656"/>
      <c r="EK39" s="656"/>
      <c r="EL39" s="656"/>
      <c r="EM39" s="656"/>
      <c r="EN39" s="656"/>
      <c r="EO39" s="656"/>
      <c r="EP39" s="656"/>
      <c r="EQ39" s="656"/>
      <c r="ER39" s="656"/>
      <c r="ES39" s="656"/>
      <c r="ET39" s="656"/>
      <c r="EU39" s="656"/>
      <c r="EV39" s="656"/>
      <c r="EW39" s="656"/>
      <c r="EX39" s="656"/>
      <c r="EY39" s="656"/>
      <c r="EZ39" s="656"/>
      <c r="FA39" s="656"/>
      <c r="FB39" s="656"/>
      <c r="FC39" s="656"/>
      <c r="FD39" s="656"/>
      <c r="FE39" s="656"/>
      <c r="FF39" s="656"/>
      <c r="FG39" s="656"/>
      <c r="FH39" s="656"/>
      <c r="FI39" s="656"/>
      <c r="FJ39" s="656"/>
      <c r="FK39" s="656"/>
      <c r="FL39" s="656"/>
      <c r="FM39" s="656"/>
      <c r="FN39" s="656"/>
      <c r="FO39" s="656"/>
      <c r="FP39" s="656"/>
      <c r="FQ39" s="656"/>
      <c r="FR39" s="656"/>
      <c r="FS39" s="656"/>
      <c r="FT39" s="656"/>
      <c r="FU39" s="656"/>
      <c r="FV39" s="656"/>
      <c r="FW39" s="656"/>
      <c r="FX39" s="656"/>
      <c r="FY39" s="656"/>
      <c r="FZ39" s="656"/>
      <c r="GA39" s="656"/>
      <c r="GB39" s="656"/>
      <c r="GC39" s="656"/>
      <c r="GD39" s="656"/>
      <c r="GE39" s="656"/>
      <c r="GF39" s="656"/>
      <c r="GG39" s="656"/>
      <c r="GH39" s="656"/>
      <c r="GI39" s="656"/>
      <c r="GJ39" s="656"/>
      <c r="GK39" s="656"/>
      <c r="GL39" s="656"/>
      <c r="GM39" s="656"/>
      <c r="GN39" s="656"/>
      <c r="GO39" s="656"/>
      <c r="GP39" s="656"/>
      <c r="GQ39" s="656"/>
      <c r="GR39" s="656"/>
      <c r="GS39" s="656"/>
      <c r="GT39" s="656"/>
      <c r="GU39" s="656"/>
      <c r="GV39" s="656"/>
      <c r="GW39" s="656"/>
      <c r="GX39" s="656"/>
      <c r="GY39" s="656"/>
      <c r="GZ39" s="656"/>
      <c r="HA39" s="656"/>
      <c r="HB39" s="656"/>
      <c r="HC39" s="656"/>
      <c r="HD39" s="656"/>
      <c r="HE39" s="656"/>
      <c r="HF39" s="656"/>
      <c r="HG39" s="656"/>
      <c r="HH39" s="656"/>
      <c r="HI39" s="656"/>
      <c r="HJ39" s="656"/>
      <c r="HK39" s="656"/>
      <c r="HL39" s="656"/>
      <c r="HM39" s="656"/>
      <c r="HN39" s="656"/>
      <c r="HO39" s="656"/>
      <c r="HP39" s="656"/>
      <c r="HQ39" s="656"/>
      <c r="HR39" s="656"/>
      <c r="HS39" s="656"/>
      <c r="HT39" s="656"/>
      <c r="HU39" s="656"/>
      <c r="HV39" s="656"/>
      <c r="HW39" s="656"/>
    </row>
    <row r="40" spans="1:231" s="657" customFormat="1" x14ac:dyDescent="0.25">
      <c r="A40" s="646">
        <v>24</v>
      </c>
      <c r="B40" s="680" t="s">
        <v>995</v>
      </c>
      <c r="C40" s="690" t="s">
        <v>996</v>
      </c>
      <c r="D40" s="682" t="s">
        <v>19</v>
      </c>
      <c r="E40" s="683">
        <v>40</v>
      </c>
      <c r="F40" s="684">
        <v>33862.92</v>
      </c>
      <c r="G40" s="684">
        <v>1354517</v>
      </c>
      <c r="H40" s="688">
        <v>25.209199999999996</v>
      </c>
      <c r="I40" s="688">
        <v>0</v>
      </c>
      <c r="J40" s="689">
        <v>65.209199999999996</v>
      </c>
      <c r="K40" s="684">
        <v>2208174</v>
      </c>
      <c r="L40" s="683">
        <v>65.20920000000001</v>
      </c>
      <c r="M40" s="684">
        <v>2208174</v>
      </c>
      <c r="N40" s="683">
        <v>65.20920000000001</v>
      </c>
      <c r="O40" s="687">
        <v>2208174</v>
      </c>
      <c r="P40" s="656"/>
      <c r="Q40" s="656"/>
      <c r="R40" s="656"/>
      <c r="S40" s="656"/>
      <c r="T40" s="656"/>
      <c r="U40" s="656"/>
      <c r="V40" s="656"/>
      <c r="W40" s="656"/>
      <c r="X40" s="656"/>
      <c r="Y40" s="656"/>
      <c r="Z40" s="656"/>
      <c r="AA40" s="656"/>
      <c r="AB40" s="656"/>
      <c r="AC40" s="656"/>
      <c r="AD40" s="656"/>
      <c r="AE40" s="656"/>
      <c r="AF40" s="656"/>
      <c r="AG40" s="656"/>
      <c r="AH40" s="656"/>
      <c r="AI40" s="656"/>
      <c r="AJ40" s="656"/>
      <c r="AK40" s="656"/>
      <c r="AL40" s="656"/>
      <c r="AM40" s="656"/>
      <c r="AN40" s="656"/>
      <c r="AO40" s="656"/>
      <c r="AP40" s="656"/>
      <c r="AQ40" s="656"/>
      <c r="AR40" s="656"/>
      <c r="AS40" s="656"/>
      <c r="AT40" s="656"/>
      <c r="AU40" s="656"/>
      <c r="AV40" s="656"/>
      <c r="AW40" s="656"/>
      <c r="AX40" s="656"/>
      <c r="AY40" s="656"/>
      <c r="AZ40" s="656"/>
      <c r="BA40" s="656"/>
      <c r="BB40" s="656"/>
      <c r="BC40" s="656"/>
      <c r="BD40" s="656"/>
      <c r="BE40" s="656"/>
      <c r="BF40" s="656"/>
      <c r="BG40" s="656"/>
      <c r="BH40" s="656"/>
      <c r="BI40" s="656"/>
      <c r="BJ40" s="656"/>
      <c r="BK40" s="656"/>
      <c r="BL40" s="656"/>
      <c r="BM40" s="656"/>
      <c r="BN40" s="656"/>
      <c r="BO40" s="656"/>
      <c r="BP40" s="656"/>
      <c r="BQ40" s="656"/>
      <c r="BR40" s="656"/>
      <c r="BS40" s="656"/>
      <c r="BT40" s="656"/>
      <c r="BU40" s="656"/>
      <c r="BV40" s="656"/>
      <c r="BW40" s="656"/>
      <c r="BX40" s="656"/>
      <c r="BY40" s="656"/>
      <c r="BZ40" s="656"/>
      <c r="CA40" s="656"/>
      <c r="CB40" s="656"/>
      <c r="CC40" s="656"/>
      <c r="CD40" s="656"/>
      <c r="CE40" s="656"/>
      <c r="CF40" s="656"/>
      <c r="CG40" s="656"/>
      <c r="CH40" s="656"/>
      <c r="CI40" s="656"/>
      <c r="CJ40" s="656"/>
      <c r="CK40" s="656"/>
      <c r="CL40" s="656"/>
      <c r="CM40" s="656"/>
      <c r="CN40" s="656"/>
      <c r="CO40" s="656"/>
      <c r="CP40" s="656"/>
      <c r="CQ40" s="656"/>
      <c r="CR40" s="656"/>
      <c r="CS40" s="656"/>
      <c r="CT40" s="656"/>
      <c r="CU40" s="656"/>
      <c r="CV40" s="656"/>
      <c r="CW40" s="656"/>
      <c r="CX40" s="656"/>
      <c r="CY40" s="656"/>
      <c r="CZ40" s="656"/>
      <c r="DA40" s="656"/>
      <c r="DB40" s="656"/>
      <c r="DC40" s="656"/>
      <c r="DD40" s="656"/>
      <c r="DE40" s="656"/>
      <c r="DF40" s="656"/>
      <c r="DG40" s="656"/>
      <c r="DH40" s="656"/>
      <c r="DI40" s="656"/>
      <c r="DJ40" s="656"/>
      <c r="DK40" s="656"/>
      <c r="DL40" s="656"/>
      <c r="DM40" s="656"/>
      <c r="DN40" s="656"/>
      <c r="DO40" s="656"/>
      <c r="DP40" s="656"/>
      <c r="DQ40" s="656"/>
      <c r="DR40" s="656"/>
      <c r="DS40" s="656"/>
      <c r="DT40" s="656"/>
      <c r="DU40" s="656"/>
      <c r="DV40" s="656"/>
      <c r="DW40" s="656"/>
      <c r="DX40" s="656"/>
      <c r="DY40" s="656"/>
      <c r="DZ40" s="656"/>
      <c r="EA40" s="656"/>
      <c r="EB40" s="656"/>
      <c r="EC40" s="656"/>
      <c r="ED40" s="656"/>
      <c r="EE40" s="656"/>
      <c r="EF40" s="656"/>
      <c r="EG40" s="656"/>
      <c r="EH40" s="656"/>
      <c r="EI40" s="656"/>
      <c r="EJ40" s="656"/>
      <c r="EK40" s="656"/>
      <c r="EL40" s="656"/>
      <c r="EM40" s="656"/>
      <c r="EN40" s="656"/>
      <c r="EO40" s="656"/>
      <c r="EP40" s="656"/>
      <c r="EQ40" s="656"/>
      <c r="ER40" s="656"/>
      <c r="ES40" s="656"/>
      <c r="ET40" s="656"/>
      <c r="EU40" s="656"/>
      <c r="EV40" s="656"/>
      <c r="EW40" s="656"/>
      <c r="EX40" s="656"/>
      <c r="EY40" s="656"/>
      <c r="EZ40" s="656"/>
      <c r="FA40" s="656"/>
      <c r="FB40" s="656"/>
      <c r="FC40" s="656"/>
      <c r="FD40" s="656"/>
      <c r="FE40" s="656"/>
      <c r="FF40" s="656"/>
      <c r="FG40" s="656"/>
      <c r="FH40" s="656"/>
      <c r="FI40" s="656"/>
      <c r="FJ40" s="656"/>
      <c r="FK40" s="656"/>
      <c r="FL40" s="656"/>
      <c r="FM40" s="656"/>
      <c r="FN40" s="656"/>
      <c r="FO40" s="656"/>
      <c r="FP40" s="656"/>
      <c r="FQ40" s="656"/>
      <c r="FR40" s="656"/>
      <c r="FS40" s="656"/>
      <c r="FT40" s="656"/>
      <c r="FU40" s="656"/>
      <c r="FV40" s="656"/>
      <c r="FW40" s="656"/>
      <c r="FX40" s="656"/>
      <c r="FY40" s="656"/>
      <c r="FZ40" s="656"/>
      <c r="GA40" s="656"/>
      <c r="GB40" s="656"/>
      <c r="GC40" s="656"/>
      <c r="GD40" s="656"/>
      <c r="GE40" s="656"/>
      <c r="GF40" s="656"/>
      <c r="GG40" s="656"/>
      <c r="GH40" s="656"/>
      <c r="GI40" s="656"/>
      <c r="GJ40" s="656"/>
      <c r="GK40" s="656"/>
      <c r="GL40" s="656"/>
      <c r="GM40" s="656"/>
      <c r="GN40" s="656"/>
      <c r="GO40" s="656"/>
      <c r="GP40" s="656"/>
      <c r="GQ40" s="656"/>
      <c r="GR40" s="656"/>
      <c r="GS40" s="656"/>
      <c r="GT40" s="656"/>
      <c r="GU40" s="656"/>
      <c r="GV40" s="656"/>
      <c r="GW40" s="656"/>
      <c r="GX40" s="656"/>
      <c r="GY40" s="656"/>
      <c r="GZ40" s="656"/>
      <c r="HA40" s="656"/>
      <c r="HB40" s="656"/>
      <c r="HC40" s="656"/>
      <c r="HD40" s="656"/>
      <c r="HE40" s="656"/>
      <c r="HF40" s="656"/>
      <c r="HG40" s="656"/>
      <c r="HH40" s="656"/>
      <c r="HI40" s="656"/>
      <c r="HJ40" s="656"/>
      <c r="HK40" s="656"/>
      <c r="HL40" s="656"/>
      <c r="HM40" s="656"/>
      <c r="HN40" s="656"/>
      <c r="HO40" s="656"/>
      <c r="HP40" s="656"/>
      <c r="HQ40" s="656"/>
      <c r="HR40" s="656"/>
      <c r="HS40" s="656"/>
      <c r="HT40" s="656"/>
      <c r="HU40" s="656"/>
      <c r="HV40" s="656"/>
      <c r="HW40" s="656"/>
    </row>
    <row r="41" spans="1:231" s="657" customFormat="1" x14ac:dyDescent="0.25">
      <c r="A41" s="646">
        <v>25</v>
      </c>
      <c r="B41" s="680" t="s">
        <v>997</v>
      </c>
      <c r="C41" s="690" t="s">
        <v>105</v>
      </c>
      <c r="D41" s="682" t="s">
        <v>14</v>
      </c>
      <c r="E41" s="683">
        <v>7</v>
      </c>
      <c r="F41" s="684">
        <v>100972.34</v>
      </c>
      <c r="G41" s="684">
        <v>706806</v>
      </c>
      <c r="H41" s="688">
        <v>7.01</v>
      </c>
      <c r="I41" s="688">
        <v>0</v>
      </c>
      <c r="J41" s="689">
        <v>14.01</v>
      </c>
      <c r="K41" s="684">
        <v>1414622</v>
      </c>
      <c r="L41" s="683">
        <v>0</v>
      </c>
      <c r="M41" s="684">
        <v>0</v>
      </c>
      <c r="N41" s="683">
        <v>0</v>
      </c>
      <c r="O41" s="687">
        <v>0</v>
      </c>
      <c r="P41" s="656"/>
      <c r="Q41" s="656"/>
      <c r="R41" s="656"/>
      <c r="S41" s="656"/>
      <c r="T41" s="656"/>
      <c r="U41" s="656"/>
      <c r="V41" s="656"/>
      <c r="W41" s="656"/>
      <c r="X41" s="656"/>
      <c r="Y41" s="656"/>
      <c r="Z41" s="656"/>
      <c r="AA41" s="656"/>
      <c r="AB41" s="656"/>
      <c r="AC41" s="656"/>
      <c r="AD41" s="656"/>
      <c r="AE41" s="656"/>
      <c r="AF41" s="656"/>
      <c r="AG41" s="656"/>
      <c r="AH41" s="656"/>
      <c r="AI41" s="656"/>
      <c r="AJ41" s="656"/>
      <c r="AK41" s="656"/>
      <c r="AL41" s="656"/>
      <c r="AM41" s="656"/>
      <c r="AN41" s="656"/>
      <c r="AO41" s="656"/>
      <c r="AP41" s="656"/>
      <c r="AQ41" s="656"/>
      <c r="AR41" s="656"/>
      <c r="AS41" s="656"/>
      <c r="AT41" s="656"/>
      <c r="AU41" s="656"/>
      <c r="AV41" s="656"/>
      <c r="AW41" s="656"/>
      <c r="AX41" s="656"/>
      <c r="AY41" s="656"/>
      <c r="AZ41" s="656"/>
      <c r="BA41" s="656"/>
      <c r="BB41" s="656"/>
      <c r="BC41" s="656"/>
      <c r="BD41" s="656"/>
      <c r="BE41" s="656"/>
      <c r="BF41" s="656"/>
      <c r="BG41" s="656"/>
      <c r="BH41" s="656"/>
      <c r="BI41" s="656"/>
      <c r="BJ41" s="656"/>
      <c r="BK41" s="656"/>
      <c r="BL41" s="656"/>
      <c r="BM41" s="656"/>
      <c r="BN41" s="656"/>
      <c r="BO41" s="656"/>
      <c r="BP41" s="656"/>
      <c r="BQ41" s="656"/>
      <c r="BR41" s="656"/>
      <c r="BS41" s="656"/>
      <c r="BT41" s="656"/>
      <c r="BU41" s="656"/>
      <c r="BV41" s="656"/>
      <c r="BW41" s="656"/>
      <c r="BX41" s="656"/>
      <c r="BY41" s="656"/>
      <c r="BZ41" s="656"/>
      <c r="CA41" s="656"/>
      <c r="CB41" s="656"/>
      <c r="CC41" s="656"/>
      <c r="CD41" s="656"/>
      <c r="CE41" s="656"/>
      <c r="CF41" s="656"/>
      <c r="CG41" s="656"/>
      <c r="CH41" s="656"/>
      <c r="CI41" s="656"/>
      <c r="CJ41" s="656"/>
      <c r="CK41" s="656"/>
      <c r="CL41" s="656"/>
      <c r="CM41" s="656"/>
      <c r="CN41" s="656"/>
      <c r="CO41" s="656"/>
      <c r="CP41" s="656"/>
      <c r="CQ41" s="656"/>
      <c r="CR41" s="656"/>
      <c r="CS41" s="656"/>
      <c r="CT41" s="656"/>
      <c r="CU41" s="656"/>
      <c r="CV41" s="656"/>
      <c r="CW41" s="656"/>
      <c r="CX41" s="656"/>
      <c r="CY41" s="656"/>
      <c r="CZ41" s="656"/>
      <c r="DA41" s="656"/>
      <c r="DB41" s="656"/>
      <c r="DC41" s="656"/>
      <c r="DD41" s="656"/>
      <c r="DE41" s="656"/>
      <c r="DF41" s="656"/>
      <c r="DG41" s="656"/>
      <c r="DH41" s="656"/>
      <c r="DI41" s="656"/>
      <c r="DJ41" s="656"/>
      <c r="DK41" s="656"/>
      <c r="DL41" s="656"/>
      <c r="DM41" s="656"/>
      <c r="DN41" s="656"/>
      <c r="DO41" s="656"/>
      <c r="DP41" s="656"/>
      <c r="DQ41" s="656"/>
      <c r="DR41" s="656"/>
      <c r="DS41" s="656"/>
      <c r="DT41" s="656"/>
      <c r="DU41" s="656"/>
      <c r="DV41" s="656"/>
      <c r="DW41" s="656"/>
      <c r="DX41" s="656"/>
      <c r="DY41" s="656"/>
      <c r="DZ41" s="656"/>
      <c r="EA41" s="656"/>
      <c r="EB41" s="656"/>
      <c r="EC41" s="656"/>
      <c r="ED41" s="656"/>
      <c r="EE41" s="656"/>
      <c r="EF41" s="656"/>
      <c r="EG41" s="656"/>
      <c r="EH41" s="656"/>
      <c r="EI41" s="656"/>
      <c r="EJ41" s="656"/>
      <c r="EK41" s="656"/>
      <c r="EL41" s="656"/>
      <c r="EM41" s="656"/>
      <c r="EN41" s="656"/>
      <c r="EO41" s="656"/>
      <c r="EP41" s="656"/>
      <c r="EQ41" s="656"/>
      <c r="ER41" s="656"/>
      <c r="ES41" s="656"/>
      <c r="ET41" s="656"/>
      <c r="EU41" s="656"/>
      <c r="EV41" s="656"/>
      <c r="EW41" s="656"/>
      <c r="EX41" s="656"/>
      <c r="EY41" s="656"/>
      <c r="EZ41" s="656"/>
      <c r="FA41" s="656"/>
      <c r="FB41" s="656"/>
      <c r="FC41" s="656"/>
      <c r="FD41" s="656"/>
      <c r="FE41" s="656"/>
      <c r="FF41" s="656"/>
      <c r="FG41" s="656"/>
      <c r="FH41" s="656"/>
      <c r="FI41" s="656"/>
      <c r="FJ41" s="656"/>
      <c r="FK41" s="656"/>
      <c r="FL41" s="656"/>
      <c r="FM41" s="656"/>
      <c r="FN41" s="656"/>
      <c r="FO41" s="656"/>
      <c r="FP41" s="656"/>
      <c r="FQ41" s="656"/>
      <c r="FR41" s="656"/>
      <c r="FS41" s="656"/>
      <c r="FT41" s="656"/>
      <c r="FU41" s="656"/>
      <c r="FV41" s="656"/>
      <c r="FW41" s="656"/>
      <c r="FX41" s="656"/>
      <c r="FY41" s="656"/>
      <c r="FZ41" s="656"/>
      <c r="GA41" s="656"/>
      <c r="GB41" s="656"/>
      <c r="GC41" s="656"/>
      <c r="GD41" s="656"/>
      <c r="GE41" s="656"/>
      <c r="GF41" s="656"/>
      <c r="GG41" s="656"/>
      <c r="GH41" s="656"/>
      <c r="GI41" s="656"/>
      <c r="GJ41" s="656"/>
      <c r="GK41" s="656"/>
      <c r="GL41" s="656"/>
      <c r="GM41" s="656"/>
      <c r="GN41" s="656"/>
      <c r="GO41" s="656"/>
      <c r="GP41" s="656"/>
      <c r="GQ41" s="656"/>
      <c r="GR41" s="656"/>
      <c r="GS41" s="656"/>
      <c r="GT41" s="656"/>
      <c r="GU41" s="656"/>
      <c r="GV41" s="656"/>
      <c r="GW41" s="656"/>
      <c r="GX41" s="656"/>
      <c r="GY41" s="656"/>
      <c r="GZ41" s="656"/>
      <c r="HA41" s="656"/>
      <c r="HB41" s="656"/>
      <c r="HC41" s="656"/>
      <c r="HD41" s="656"/>
      <c r="HE41" s="656"/>
      <c r="HF41" s="656"/>
      <c r="HG41" s="656"/>
      <c r="HH41" s="656"/>
      <c r="HI41" s="656"/>
      <c r="HJ41" s="656"/>
      <c r="HK41" s="656"/>
      <c r="HL41" s="656"/>
      <c r="HM41" s="656"/>
      <c r="HN41" s="656"/>
      <c r="HO41" s="656"/>
      <c r="HP41" s="656"/>
      <c r="HQ41" s="656"/>
      <c r="HR41" s="656"/>
      <c r="HS41" s="656"/>
      <c r="HT41" s="656"/>
      <c r="HU41" s="656"/>
      <c r="HV41" s="656"/>
      <c r="HW41" s="656"/>
    </row>
    <row r="42" spans="1:231" s="657" customFormat="1" x14ac:dyDescent="0.25">
      <c r="A42" s="646">
        <v>26</v>
      </c>
      <c r="B42" s="680" t="s">
        <v>998</v>
      </c>
      <c r="C42" s="690" t="s">
        <v>866</v>
      </c>
      <c r="D42" s="682" t="s">
        <v>14</v>
      </c>
      <c r="E42" s="683">
        <v>8</v>
      </c>
      <c r="F42" s="684">
        <v>69101.759999999995</v>
      </c>
      <c r="G42" s="684">
        <v>552814</v>
      </c>
      <c r="H42" s="688">
        <v>2.4000000000000004</v>
      </c>
      <c r="I42" s="688"/>
      <c r="J42" s="689">
        <v>10.4</v>
      </c>
      <c r="K42" s="684">
        <v>718658</v>
      </c>
      <c r="L42" s="683">
        <v>0</v>
      </c>
      <c r="M42" s="684">
        <v>0</v>
      </c>
      <c r="N42" s="683">
        <v>0</v>
      </c>
      <c r="O42" s="687">
        <v>0</v>
      </c>
      <c r="P42" s="656"/>
      <c r="Q42" s="656"/>
      <c r="R42" s="656"/>
      <c r="S42" s="656"/>
      <c r="T42" s="656"/>
      <c r="U42" s="656"/>
      <c r="V42" s="656"/>
      <c r="W42" s="656"/>
      <c r="X42" s="656"/>
      <c r="Y42" s="656"/>
      <c r="Z42" s="656"/>
      <c r="AA42" s="656"/>
      <c r="AB42" s="656"/>
      <c r="AC42" s="656"/>
      <c r="AD42" s="656"/>
      <c r="AE42" s="656"/>
      <c r="AF42" s="656"/>
      <c r="AG42" s="656"/>
      <c r="AH42" s="656"/>
      <c r="AI42" s="656"/>
      <c r="AJ42" s="656"/>
      <c r="AK42" s="656"/>
      <c r="AL42" s="656"/>
      <c r="AM42" s="656"/>
      <c r="AN42" s="656"/>
      <c r="AO42" s="656"/>
      <c r="AP42" s="656"/>
      <c r="AQ42" s="656"/>
      <c r="AR42" s="656"/>
      <c r="AS42" s="656"/>
      <c r="AT42" s="656"/>
      <c r="AU42" s="656"/>
      <c r="AV42" s="656"/>
      <c r="AW42" s="656"/>
      <c r="AX42" s="656"/>
      <c r="AY42" s="656"/>
      <c r="AZ42" s="656"/>
      <c r="BA42" s="656"/>
      <c r="BB42" s="656"/>
      <c r="BC42" s="656"/>
      <c r="BD42" s="656"/>
      <c r="BE42" s="656"/>
      <c r="BF42" s="656"/>
      <c r="BG42" s="656"/>
      <c r="BH42" s="656"/>
      <c r="BI42" s="656"/>
      <c r="BJ42" s="656"/>
      <c r="BK42" s="656"/>
      <c r="BL42" s="656"/>
      <c r="BM42" s="656"/>
      <c r="BN42" s="656"/>
      <c r="BO42" s="656"/>
      <c r="BP42" s="656"/>
      <c r="BQ42" s="656"/>
      <c r="BR42" s="656"/>
      <c r="BS42" s="656"/>
      <c r="BT42" s="656"/>
      <c r="BU42" s="656"/>
      <c r="BV42" s="656"/>
      <c r="BW42" s="656"/>
      <c r="BX42" s="656"/>
      <c r="BY42" s="656"/>
      <c r="BZ42" s="656"/>
      <c r="CA42" s="656"/>
      <c r="CB42" s="656"/>
      <c r="CC42" s="656"/>
      <c r="CD42" s="656"/>
      <c r="CE42" s="656"/>
      <c r="CF42" s="656"/>
      <c r="CG42" s="656"/>
      <c r="CH42" s="656"/>
      <c r="CI42" s="656"/>
      <c r="CJ42" s="656"/>
      <c r="CK42" s="656"/>
      <c r="CL42" s="656"/>
      <c r="CM42" s="656"/>
      <c r="CN42" s="656"/>
      <c r="CO42" s="656"/>
      <c r="CP42" s="656"/>
      <c r="CQ42" s="656"/>
      <c r="CR42" s="656"/>
      <c r="CS42" s="656"/>
      <c r="CT42" s="656"/>
      <c r="CU42" s="656"/>
      <c r="CV42" s="656"/>
      <c r="CW42" s="656"/>
      <c r="CX42" s="656"/>
      <c r="CY42" s="656"/>
      <c r="CZ42" s="656"/>
      <c r="DA42" s="656"/>
      <c r="DB42" s="656"/>
      <c r="DC42" s="656"/>
      <c r="DD42" s="656"/>
      <c r="DE42" s="656"/>
      <c r="DF42" s="656"/>
      <c r="DG42" s="656"/>
      <c r="DH42" s="656"/>
      <c r="DI42" s="656"/>
      <c r="DJ42" s="656"/>
      <c r="DK42" s="656"/>
      <c r="DL42" s="656"/>
      <c r="DM42" s="656"/>
      <c r="DN42" s="656"/>
      <c r="DO42" s="656"/>
      <c r="DP42" s="656"/>
      <c r="DQ42" s="656"/>
      <c r="DR42" s="656"/>
      <c r="DS42" s="656"/>
      <c r="DT42" s="656"/>
      <c r="DU42" s="656"/>
      <c r="DV42" s="656"/>
      <c r="DW42" s="656"/>
      <c r="DX42" s="656"/>
      <c r="DY42" s="656"/>
      <c r="DZ42" s="656"/>
      <c r="EA42" s="656"/>
      <c r="EB42" s="656"/>
      <c r="EC42" s="656"/>
      <c r="ED42" s="656"/>
      <c r="EE42" s="656"/>
      <c r="EF42" s="656"/>
      <c r="EG42" s="656"/>
      <c r="EH42" s="656"/>
      <c r="EI42" s="656"/>
      <c r="EJ42" s="656"/>
      <c r="EK42" s="656"/>
      <c r="EL42" s="656"/>
      <c r="EM42" s="656"/>
      <c r="EN42" s="656"/>
      <c r="EO42" s="656"/>
      <c r="EP42" s="656"/>
      <c r="EQ42" s="656"/>
      <c r="ER42" s="656"/>
      <c r="ES42" s="656"/>
      <c r="ET42" s="656"/>
      <c r="EU42" s="656"/>
      <c r="EV42" s="656"/>
      <c r="EW42" s="656"/>
      <c r="EX42" s="656"/>
      <c r="EY42" s="656"/>
      <c r="EZ42" s="656"/>
      <c r="FA42" s="656"/>
      <c r="FB42" s="656"/>
      <c r="FC42" s="656"/>
      <c r="FD42" s="656"/>
      <c r="FE42" s="656"/>
      <c r="FF42" s="656"/>
      <c r="FG42" s="656"/>
      <c r="FH42" s="656"/>
      <c r="FI42" s="656"/>
      <c r="FJ42" s="656"/>
      <c r="FK42" s="656"/>
      <c r="FL42" s="656"/>
      <c r="FM42" s="656"/>
      <c r="FN42" s="656"/>
      <c r="FO42" s="656"/>
      <c r="FP42" s="656"/>
      <c r="FQ42" s="656"/>
      <c r="FR42" s="656"/>
      <c r="FS42" s="656"/>
      <c r="FT42" s="656"/>
      <c r="FU42" s="656"/>
      <c r="FV42" s="656"/>
      <c r="FW42" s="656"/>
      <c r="FX42" s="656"/>
      <c r="FY42" s="656"/>
      <c r="FZ42" s="656"/>
      <c r="GA42" s="656"/>
      <c r="GB42" s="656"/>
      <c r="GC42" s="656"/>
      <c r="GD42" s="656"/>
      <c r="GE42" s="656"/>
      <c r="GF42" s="656"/>
      <c r="GG42" s="656"/>
      <c r="GH42" s="656"/>
      <c r="GI42" s="656"/>
      <c r="GJ42" s="656"/>
      <c r="GK42" s="656"/>
      <c r="GL42" s="656"/>
      <c r="GM42" s="656"/>
      <c r="GN42" s="656"/>
      <c r="GO42" s="656"/>
      <c r="GP42" s="656"/>
      <c r="GQ42" s="656"/>
      <c r="GR42" s="656"/>
      <c r="GS42" s="656"/>
      <c r="GT42" s="656"/>
      <c r="GU42" s="656"/>
      <c r="GV42" s="656"/>
      <c r="GW42" s="656"/>
      <c r="GX42" s="656"/>
      <c r="GY42" s="656"/>
      <c r="GZ42" s="656"/>
      <c r="HA42" s="656"/>
      <c r="HB42" s="656"/>
      <c r="HC42" s="656"/>
      <c r="HD42" s="656"/>
      <c r="HE42" s="656"/>
      <c r="HF42" s="656"/>
      <c r="HG42" s="656"/>
      <c r="HH42" s="656"/>
      <c r="HI42" s="656"/>
      <c r="HJ42" s="656"/>
      <c r="HK42" s="656"/>
      <c r="HL42" s="656"/>
      <c r="HM42" s="656"/>
      <c r="HN42" s="656"/>
      <c r="HO42" s="656"/>
      <c r="HP42" s="656"/>
      <c r="HQ42" s="656"/>
      <c r="HR42" s="656"/>
      <c r="HS42" s="656"/>
      <c r="HT42" s="656"/>
      <c r="HU42" s="656"/>
      <c r="HV42" s="656"/>
      <c r="HW42" s="656"/>
    </row>
    <row r="43" spans="1:231" s="657" customFormat="1" ht="28.5" x14ac:dyDescent="0.25">
      <c r="A43" s="646">
        <v>27</v>
      </c>
      <c r="B43" s="680" t="s">
        <v>999</v>
      </c>
      <c r="C43" s="681" t="s">
        <v>1000</v>
      </c>
      <c r="D43" s="682" t="s">
        <v>14</v>
      </c>
      <c r="E43" s="683">
        <v>15</v>
      </c>
      <c r="F43" s="684">
        <v>159938.94</v>
      </c>
      <c r="G43" s="684">
        <v>2399084</v>
      </c>
      <c r="H43" s="685">
        <v>0</v>
      </c>
      <c r="I43" s="686">
        <v>-15</v>
      </c>
      <c r="J43" s="683">
        <v>0</v>
      </c>
      <c r="K43" s="684">
        <v>0</v>
      </c>
      <c r="L43" s="683">
        <v>0</v>
      </c>
      <c r="M43" s="684">
        <v>0</v>
      </c>
      <c r="N43" s="683">
        <v>0</v>
      </c>
      <c r="O43" s="687">
        <v>0</v>
      </c>
      <c r="P43" s="656"/>
      <c r="Q43" s="656"/>
      <c r="R43" s="656"/>
      <c r="S43" s="656"/>
      <c r="T43" s="656"/>
      <c r="U43" s="656"/>
      <c r="V43" s="656"/>
      <c r="W43" s="656"/>
      <c r="X43" s="656"/>
      <c r="Y43" s="656"/>
      <c r="Z43" s="656"/>
      <c r="AA43" s="656"/>
      <c r="AB43" s="656"/>
      <c r="AC43" s="656"/>
      <c r="AD43" s="656"/>
      <c r="AE43" s="656"/>
      <c r="AF43" s="656"/>
      <c r="AG43" s="656"/>
      <c r="AH43" s="656"/>
      <c r="AI43" s="656"/>
      <c r="AJ43" s="656"/>
      <c r="AK43" s="656"/>
      <c r="AL43" s="656"/>
      <c r="AM43" s="656"/>
      <c r="AN43" s="656"/>
      <c r="AO43" s="656"/>
      <c r="AP43" s="656"/>
      <c r="AQ43" s="656"/>
      <c r="AR43" s="656"/>
      <c r="AS43" s="656"/>
      <c r="AT43" s="656"/>
      <c r="AU43" s="656"/>
      <c r="AV43" s="656"/>
      <c r="AW43" s="656"/>
      <c r="AX43" s="656"/>
      <c r="AY43" s="656"/>
      <c r="AZ43" s="656"/>
      <c r="BA43" s="656"/>
      <c r="BB43" s="656"/>
      <c r="BC43" s="656"/>
      <c r="BD43" s="656"/>
      <c r="BE43" s="656"/>
      <c r="BF43" s="656"/>
      <c r="BG43" s="656"/>
      <c r="BH43" s="656"/>
      <c r="BI43" s="656"/>
      <c r="BJ43" s="656"/>
      <c r="BK43" s="656"/>
      <c r="BL43" s="656"/>
      <c r="BM43" s="656"/>
      <c r="BN43" s="656"/>
      <c r="BO43" s="656"/>
      <c r="BP43" s="656"/>
      <c r="BQ43" s="656"/>
      <c r="BR43" s="656"/>
      <c r="BS43" s="656"/>
      <c r="BT43" s="656"/>
      <c r="BU43" s="656"/>
      <c r="BV43" s="656"/>
      <c r="BW43" s="656"/>
      <c r="BX43" s="656"/>
      <c r="BY43" s="656"/>
      <c r="BZ43" s="656"/>
      <c r="CA43" s="656"/>
      <c r="CB43" s="656"/>
      <c r="CC43" s="656"/>
      <c r="CD43" s="656"/>
      <c r="CE43" s="656"/>
      <c r="CF43" s="656"/>
      <c r="CG43" s="656"/>
      <c r="CH43" s="656"/>
      <c r="CI43" s="656"/>
      <c r="CJ43" s="656"/>
      <c r="CK43" s="656"/>
      <c r="CL43" s="656"/>
      <c r="CM43" s="656"/>
      <c r="CN43" s="656"/>
      <c r="CO43" s="656"/>
      <c r="CP43" s="656"/>
      <c r="CQ43" s="656"/>
      <c r="CR43" s="656"/>
      <c r="CS43" s="656"/>
      <c r="CT43" s="656"/>
      <c r="CU43" s="656"/>
      <c r="CV43" s="656"/>
      <c r="CW43" s="656"/>
      <c r="CX43" s="656"/>
      <c r="CY43" s="656"/>
      <c r="CZ43" s="656"/>
      <c r="DA43" s="656"/>
      <c r="DB43" s="656"/>
      <c r="DC43" s="656"/>
      <c r="DD43" s="656"/>
      <c r="DE43" s="656"/>
      <c r="DF43" s="656"/>
      <c r="DG43" s="656"/>
      <c r="DH43" s="656"/>
      <c r="DI43" s="656"/>
      <c r="DJ43" s="656"/>
      <c r="DK43" s="656"/>
      <c r="DL43" s="656"/>
      <c r="DM43" s="656"/>
      <c r="DN43" s="656"/>
      <c r="DO43" s="656"/>
      <c r="DP43" s="656"/>
      <c r="DQ43" s="656"/>
      <c r="DR43" s="656"/>
      <c r="DS43" s="656"/>
      <c r="DT43" s="656"/>
      <c r="DU43" s="656"/>
      <c r="DV43" s="656"/>
      <c r="DW43" s="656"/>
      <c r="DX43" s="656"/>
      <c r="DY43" s="656"/>
      <c r="DZ43" s="656"/>
      <c r="EA43" s="656"/>
      <c r="EB43" s="656"/>
      <c r="EC43" s="656"/>
      <c r="ED43" s="656"/>
      <c r="EE43" s="656"/>
      <c r="EF43" s="656"/>
      <c r="EG43" s="656"/>
      <c r="EH43" s="656"/>
      <c r="EI43" s="656"/>
      <c r="EJ43" s="656"/>
      <c r="EK43" s="656"/>
      <c r="EL43" s="656"/>
      <c r="EM43" s="656"/>
      <c r="EN43" s="656"/>
      <c r="EO43" s="656"/>
      <c r="EP43" s="656"/>
      <c r="EQ43" s="656"/>
      <c r="ER43" s="656"/>
      <c r="ES43" s="656"/>
      <c r="ET43" s="656"/>
      <c r="EU43" s="656"/>
      <c r="EV43" s="656"/>
      <c r="EW43" s="656"/>
      <c r="EX43" s="656"/>
      <c r="EY43" s="656"/>
      <c r="EZ43" s="656"/>
      <c r="FA43" s="656"/>
      <c r="FB43" s="656"/>
      <c r="FC43" s="656"/>
      <c r="FD43" s="656"/>
      <c r="FE43" s="656"/>
      <c r="FF43" s="656"/>
      <c r="FG43" s="656"/>
      <c r="FH43" s="656"/>
      <c r="FI43" s="656"/>
      <c r="FJ43" s="656"/>
      <c r="FK43" s="656"/>
      <c r="FL43" s="656"/>
      <c r="FM43" s="656"/>
      <c r="FN43" s="656"/>
      <c r="FO43" s="656"/>
      <c r="FP43" s="656"/>
      <c r="FQ43" s="656"/>
      <c r="FR43" s="656"/>
      <c r="FS43" s="656"/>
      <c r="FT43" s="656"/>
      <c r="FU43" s="656"/>
      <c r="FV43" s="656"/>
      <c r="FW43" s="656"/>
      <c r="FX43" s="656"/>
      <c r="FY43" s="656"/>
      <c r="FZ43" s="656"/>
      <c r="GA43" s="656"/>
      <c r="GB43" s="656"/>
      <c r="GC43" s="656"/>
      <c r="GD43" s="656"/>
      <c r="GE43" s="656"/>
      <c r="GF43" s="656"/>
      <c r="GG43" s="656"/>
      <c r="GH43" s="656"/>
      <c r="GI43" s="656"/>
      <c r="GJ43" s="656"/>
      <c r="GK43" s="656"/>
      <c r="GL43" s="656"/>
      <c r="GM43" s="656"/>
      <c r="GN43" s="656"/>
      <c r="GO43" s="656"/>
      <c r="GP43" s="656"/>
      <c r="GQ43" s="656"/>
      <c r="GR43" s="656"/>
      <c r="GS43" s="656"/>
      <c r="GT43" s="656"/>
      <c r="GU43" s="656"/>
      <c r="GV43" s="656"/>
      <c r="GW43" s="656"/>
      <c r="GX43" s="656"/>
      <c r="GY43" s="656"/>
      <c r="GZ43" s="656"/>
      <c r="HA43" s="656"/>
      <c r="HB43" s="656"/>
      <c r="HC43" s="656"/>
      <c r="HD43" s="656"/>
      <c r="HE43" s="656"/>
      <c r="HF43" s="656"/>
      <c r="HG43" s="656"/>
      <c r="HH43" s="656"/>
      <c r="HI43" s="656"/>
      <c r="HJ43" s="656"/>
      <c r="HK43" s="656"/>
      <c r="HL43" s="656"/>
      <c r="HM43" s="656"/>
      <c r="HN43" s="656"/>
      <c r="HO43" s="656"/>
      <c r="HP43" s="656"/>
      <c r="HQ43" s="656"/>
      <c r="HR43" s="656"/>
      <c r="HS43" s="656"/>
      <c r="HT43" s="656"/>
      <c r="HU43" s="656"/>
      <c r="HV43" s="656"/>
      <c r="HW43" s="656"/>
    </row>
    <row r="44" spans="1:231" s="657" customFormat="1" x14ac:dyDescent="0.25">
      <c r="A44" s="646">
        <v>28</v>
      </c>
      <c r="B44" s="680" t="s">
        <v>1001</v>
      </c>
      <c r="C44" s="690" t="s">
        <v>1002</v>
      </c>
      <c r="D44" s="682" t="s">
        <v>6</v>
      </c>
      <c r="E44" s="683">
        <v>2</v>
      </c>
      <c r="F44" s="684">
        <v>120482.18</v>
      </c>
      <c r="G44" s="684">
        <v>240964</v>
      </c>
      <c r="H44" s="688">
        <v>0</v>
      </c>
      <c r="I44" s="688">
        <v>-2</v>
      </c>
      <c r="J44" s="689">
        <v>0</v>
      </c>
      <c r="K44" s="684">
        <v>0</v>
      </c>
      <c r="L44" s="683">
        <v>0</v>
      </c>
      <c r="M44" s="684">
        <v>0</v>
      </c>
      <c r="N44" s="683">
        <v>0</v>
      </c>
      <c r="O44" s="687">
        <v>0</v>
      </c>
      <c r="P44" s="656"/>
      <c r="Q44" s="656"/>
      <c r="R44" s="656"/>
      <c r="S44" s="656"/>
      <c r="T44" s="656"/>
      <c r="U44" s="656"/>
      <c r="V44" s="656"/>
      <c r="W44" s="656"/>
      <c r="X44" s="656"/>
      <c r="Y44" s="656"/>
      <c r="Z44" s="656"/>
      <c r="AA44" s="656"/>
      <c r="AB44" s="656"/>
      <c r="AC44" s="656"/>
      <c r="AD44" s="656"/>
      <c r="AE44" s="656"/>
      <c r="AF44" s="656"/>
      <c r="AG44" s="656"/>
      <c r="AH44" s="656"/>
      <c r="AI44" s="656"/>
      <c r="AJ44" s="656"/>
      <c r="AK44" s="656"/>
      <c r="AL44" s="656"/>
      <c r="AM44" s="656"/>
      <c r="AN44" s="656"/>
      <c r="AO44" s="656"/>
      <c r="AP44" s="656"/>
      <c r="AQ44" s="656"/>
      <c r="AR44" s="656"/>
      <c r="AS44" s="656"/>
      <c r="AT44" s="656"/>
      <c r="AU44" s="656"/>
      <c r="AV44" s="656"/>
      <c r="AW44" s="656"/>
      <c r="AX44" s="656"/>
      <c r="AY44" s="656"/>
      <c r="AZ44" s="656"/>
      <c r="BA44" s="656"/>
      <c r="BB44" s="656"/>
      <c r="BC44" s="656"/>
      <c r="BD44" s="656"/>
      <c r="BE44" s="656"/>
      <c r="BF44" s="656"/>
      <c r="BG44" s="656"/>
      <c r="BH44" s="656"/>
      <c r="BI44" s="656"/>
      <c r="BJ44" s="656"/>
      <c r="BK44" s="656"/>
      <c r="BL44" s="656"/>
      <c r="BM44" s="656"/>
      <c r="BN44" s="656"/>
      <c r="BO44" s="656"/>
      <c r="BP44" s="656"/>
      <c r="BQ44" s="656"/>
      <c r="BR44" s="656"/>
      <c r="BS44" s="656"/>
      <c r="BT44" s="656"/>
      <c r="BU44" s="656"/>
      <c r="BV44" s="656"/>
      <c r="BW44" s="656"/>
      <c r="BX44" s="656"/>
      <c r="BY44" s="656"/>
      <c r="BZ44" s="656"/>
      <c r="CA44" s="656"/>
      <c r="CB44" s="656"/>
      <c r="CC44" s="656"/>
      <c r="CD44" s="656"/>
      <c r="CE44" s="656"/>
      <c r="CF44" s="656"/>
      <c r="CG44" s="656"/>
      <c r="CH44" s="656"/>
      <c r="CI44" s="656"/>
      <c r="CJ44" s="656"/>
      <c r="CK44" s="656"/>
      <c r="CL44" s="656"/>
      <c r="CM44" s="656"/>
      <c r="CN44" s="656"/>
      <c r="CO44" s="656"/>
      <c r="CP44" s="656"/>
      <c r="CQ44" s="656"/>
      <c r="CR44" s="656"/>
      <c r="CS44" s="656"/>
      <c r="CT44" s="656"/>
      <c r="CU44" s="656"/>
      <c r="CV44" s="656"/>
      <c r="CW44" s="656"/>
      <c r="CX44" s="656"/>
      <c r="CY44" s="656"/>
      <c r="CZ44" s="656"/>
      <c r="DA44" s="656"/>
      <c r="DB44" s="656"/>
      <c r="DC44" s="656"/>
      <c r="DD44" s="656"/>
      <c r="DE44" s="656"/>
      <c r="DF44" s="656"/>
      <c r="DG44" s="656"/>
      <c r="DH44" s="656"/>
      <c r="DI44" s="656"/>
      <c r="DJ44" s="656"/>
      <c r="DK44" s="656"/>
      <c r="DL44" s="656"/>
      <c r="DM44" s="656"/>
      <c r="DN44" s="656"/>
      <c r="DO44" s="656"/>
      <c r="DP44" s="656"/>
      <c r="DQ44" s="656"/>
      <c r="DR44" s="656"/>
      <c r="DS44" s="656"/>
      <c r="DT44" s="656"/>
      <c r="DU44" s="656"/>
      <c r="DV44" s="656"/>
      <c r="DW44" s="656"/>
      <c r="DX44" s="656"/>
      <c r="DY44" s="656"/>
      <c r="DZ44" s="656"/>
      <c r="EA44" s="656"/>
      <c r="EB44" s="656"/>
      <c r="EC44" s="656"/>
      <c r="ED44" s="656"/>
      <c r="EE44" s="656"/>
      <c r="EF44" s="656"/>
      <c r="EG44" s="656"/>
      <c r="EH44" s="656"/>
      <c r="EI44" s="656"/>
      <c r="EJ44" s="656"/>
      <c r="EK44" s="656"/>
      <c r="EL44" s="656"/>
      <c r="EM44" s="656"/>
      <c r="EN44" s="656"/>
      <c r="EO44" s="656"/>
      <c r="EP44" s="656"/>
      <c r="EQ44" s="656"/>
      <c r="ER44" s="656"/>
      <c r="ES44" s="656"/>
      <c r="ET44" s="656"/>
      <c r="EU44" s="656"/>
      <c r="EV44" s="656"/>
      <c r="EW44" s="656"/>
      <c r="EX44" s="656"/>
      <c r="EY44" s="656"/>
      <c r="EZ44" s="656"/>
      <c r="FA44" s="656"/>
      <c r="FB44" s="656"/>
      <c r="FC44" s="656"/>
      <c r="FD44" s="656"/>
      <c r="FE44" s="656"/>
      <c r="FF44" s="656"/>
      <c r="FG44" s="656"/>
      <c r="FH44" s="656"/>
      <c r="FI44" s="656"/>
      <c r="FJ44" s="656"/>
      <c r="FK44" s="656"/>
      <c r="FL44" s="656"/>
      <c r="FM44" s="656"/>
      <c r="FN44" s="656"/>
      <c r="FO44" s="656"/>
      <c r="FP44" s="656"/>
      <c r="FQ44" s="656"/>
      <c r="FR44" s="656"/>
      <c r="FS44" s="656"/>
      <c r="FT44" s="656"/>
      <c r="FU44" s="656"/>
      <c r="FV44" s="656"/>
      <c r="FW44" s="656"/>
      <c r="FX44" s="656"/>
      <c r="FY44" s="656"/>
      <c r="FZ44" s="656"/>
      <c r="GA44" s="656"/>
      <c r="GB44" s="656"/>
      <c r="GC44" s="656"/>
      <c r="GD44" s="656"/>
      <c r="GE44" s="656"/>
      <c r="GF44" s="656"/>
      <c r="GG44" s="656"/>
      <c r="GH44" s="656"/>
      <c r="GI44" s="656"/>
      <c r="GJ44" s="656"/>
      <c r="GK44" s="656"/>
      <c r="GL44" s="656"/>
      <c r="GM44" s="656"/>
      <c r="GN44" s="656"/>
      <c r="GO44" s="656"/>
      <c r="GP44" s="656"/>
      <c r="GQ44" s="656"/>
      <c r="GR44" s="656"/>
      <c r="GS44" s="656"/>
      <c r="GT44" s="656"/>
      <c r="GU44" s="656"/>
      <c r="GV44" s="656"/>
      <c r="GW44" s="656"/>
      <c r="GX44" s="656"/>
      <c r="GY44" s="656"/>
      <c r="GZ44" s="656"/>
      <c r="HA44" s="656"/>
      <c r="HB44" s="656"/>
      <c r="HC44" s="656"/>
      <c r="HD44" s="656"/>
      <c r="HE44" s="656"/>
      <c r="HF44" s="656"/>
      <c r="HG44" s="656"/>
      <c r="HH44" s="656"/>
      <c r="HI44" s="656"/>
      <c r="HJ44" s="656"/>
      <c r="HK44" s="656"/>
      <c r="HL44" s="656"/>
      <c r="HM44" s="656"/>
      <c r="HN44" s="656"/>
      <c r="HO44" s="656"/>
      <c r="HP44" s="656"/>
      <c r="HQ44" s="656"/>
      <c r="HR44" s="656"/>
      <c r="HS44" s="656"/>
      <c r="HT44" s="656"/>
      <c r="HU44" s="656"/>
      <c r="HV44" s="656"/>
      <c r="HW44" s="656"/>
    </row>
    <row r="45" spans="1:231" s="657" customFormat="1" x14ac:dyDescent="0.25">
      <c r="A45" s="646">
        <v>29</v>
      </c>
      <c r="B45" s="680" t="s">
        <v>1003</v>
      </c>
      <c r="C45" s="690" t="s">
        <v>1004</v>
      </c>
      <c r="D45" s="682" t="s">
        <v>14</v>
      </c>
      <c r="E45" s="683">
        <v>150</v>
      </c>
      <c r="F45" s="684">
        <v>24731.279999999999</v>
      </c>
      <c r="G45" s="684">
        <v>3709692</v>
      </c>
      <c r="H45" s="685">
        <v>0</v>
      </c>
      <c r="I45" s="685">
        <v>-150</v>
      </c>
      <c r="J45" s="683">
        <v>0</v>
      </c>
      <c r="K45" s="684">
        <v>0</v>
      </c>
      <c r="L45" s="683">
        <v>0</v>
      </c>
      <c r="M45" s="684">
        <v>0</v>
      </c>
      <c r="N45" s="683">
        <v>0</v>
      </c>
      <c r="O45" s="687">
        <v>0</v>
      </c>
      <c r="P45" s="656"/>
      <c r="Q45" s="656"/>
      <c r="R45" s="656"/>
      <c r="S45" s="656"/>
      <c r="T45" s="656"/>
      <c r="U45" s="656"/>
      <c r="V45" s="656"/>
      <c r="W45" s="656"/>
      <c r="X45" s="656"/>
      <c r="Y45" s="656"/>
      <c r="Z45" s="656"/>
      <c r="AA45" s="656"/>
      <c r="AB45" s="656"/>
      <c r="AC45" s="656"/>
      <c r="AD45" s="656"/>
      <c r="AE45" s="656"/>
      <c r="AF45" s="656"/>
      <c r="AG45" s="656"/>
      <c r="AH45" s="656"/>
      <c r="AI45" s="656"/>
      <c r="AJ45" s="656"/>
      <c r="AK45" s="656"/>
      <c r="AL45" s="656"/>
      <c r="AM45" s="656"/>
      <c r="AN45" s="656"/>
      <c r="AO45" s="656"/>
      <c r="AP45" s="656"/>
      <c r="AQ45" s="656"/>
      <c r="AR45" s="656"/>
      <c r="AS45" s="656"/>
      <c r="AT45" s="656"/>
      <c r="AU45" s="656"/>
      <c r="AV45" s="656"/>
      <c r="AW45" s="656"/>
      <c r="AX45" s="656"/>
      <c r="AY45" s="656"/>
      <c r="AZ45" s="656"/>
      <c r="BA45" s="656"/>
      <c r="BB45" s="656"/>
      <c r="BC45" s="656"/>
      <c r="BD45" s="656"/>
      <c r="BE45" s="656"/>
      <c r="BF45" s="656"/>
      <c r="BG45" s="656"/>
      <c r="BH45" s="656"/>
      <c r="BI45" s="656"/>
      <c r="BJ45" s="656"/>
      <c r="BK45" s="656"/>
      <c r="BL45" s="656"/>
      <c r="BM45" s="656"/>
      <c r="BN45" s="656"/>
      <c r="BO45" s="656"/>
      <c r="BP45" s="656"/>
      <c r="BQ45" s="656"/>
      <c r="BR45" s="656"/>
      <c r="BS45" s="656"/>
      <c r="BT45" s="656"/>
      <c r="BU45" s="656"/>
      <c r="BV45" s="656"/>
      <c r="BW45" s="656"/>
      <c r="BX45" s="656"/>
      <c r="BY45" s="656"/>
      <c r="BZ45" s="656"/>
      <c r="CA45" s="656"/>
      <c r="CB45" s="656"/>
      <c r="CC45" s="656"/>
      <c r="CD45" s="656"/>
      <c r="CE45" s="656"/>
      <c r="CF45" s="656"/>
      <c r="CG45" s="656"/>
      <c r="CH45" s="656"/>
      <c r="CI45" s="656"/>
      <c r="CJ45" s="656"/>
      <c r="CK45" s="656"/>
      <c r="CL45" s="656"/>
      <c r="CM45" s="656"/>
      <c r="CN45" s="656"/>
      <c r="CO45" s="656"/>
      <c r="CP45" s="656"/>
      <c r="CQ45" s="656"/>
      <c r="CR45" s="656"/>
      <c r="CS45" s="656"/>
      <c r="CT45" s="656"/>
      <c r="CU45" s="656"/>
      <c r="CV45" s="656"/>
      <c r="CW45" s="656"/>
      <c r="CX45" s="656"/>
      <c r="CY45" s="656"/>
      <c r="CZ45" s="656"/>
      <c r="DA45" s="656"/>
      <c r="DB45" s="656"/>
      <c r="DC45" s="656"/>
      <c r="DD45" s="656"/>
      <c r="DE45" s="656"/>
      <c r="DF45" s="656"/>
      <c r="DG45" s="656"/>
      <c r="DH45" s="656"/>
      <c r="DI45" s="656"/>
      <c r="DJ45" s="656"/>
      <c r="DK45" s="656"/>
      <c r="DL45" s="656"/>
      <c r="DM45" s="656"/>
      <c r="DN45" s="656"/>
      <c r="DO45" s="656"/>
      <c r="DP45" s="656"/>
      <c r="DQ45" s="656"/>
      <c r="DR45" s="656"/>
      <c r="DS45" s="656"/>
      <c r="DT45" s="656"/>
      <c r="DU45" s="656"/>
      <c r="DV45" s="656"/>
      <c r="DW45" s="656"/>
      <c r="DX45" s="656"/>
      <c r="DY45" s="656"/>
      <c r="DZ45" s="656"/>
      <c r="EA45" s="656"/>
      <c r="EB45" s="656"/>
      <c r="EC45" s="656"/>
      <c r="ED45" s="656"/>
      <c r="EE45" s="656"/>
      <c r="EF45" s="656"/>
      <c r="EG45" s="656"/>
      <c r="EH45" s="656"/>
      <c r="EI45" s="656"/>
      <c r="EJ45" s="656"/>
      <c r="EK45" s="656"/>
      <c r="EL45" s="656"/>
      <c r="EM45" s="656"/>
      <c r="EN45" s="656"/>
      <c r="EO45" s="656"/>
      <c r="EP45" s="656"/>
      <c r="EQ45" s="656"/>
      <c r="ER45" s="656"/>
      <c r="ES45" s="656"/>
      <c r="ET45" s="656"/>
      <c r="EU45" s="656"/>
      <c r="EV45" s="656"/>
      <c r="EW45" s="656"/>
      <c r="EX45" s="656"/>
      <c r="EY45" s="656"/>
      <c r="EZ45" s="656"/>
      <c r="FA45" s="656"/>
      <c r="FB45" s="656"/>
      <c r="FC45" s="656"/>
      <c r="FD45" s="656"/>
      <c r="FE45" s="656"/>
      <c r="FF45" s="656"/>
      <c r="FG45" s="656"/>
      <c r="FH45" s="656"/>
      <c r="FI45" s="656"/>
      <c r="FJ45" s="656"/>
      <c r="FK45" s="656"/>
      <c r="FL45" s="656"/>
      <c r="FM45" s="656"/>
      <c r="FN45" s="656"/>
      <c r="FO45" s="656"/>
      <c r="FP45" s="656"/>
      <c r="FQ45" s="656"/>
      <c r="FR45" s="656"/>
      <c r="FS45" s="656"/>
      <c r="FT45" s="656"/>
      <c r="FU45" s="656"/>
      <c r="FV45" s="656"/>
      <c r="FW45" s="656"/>
      <c r="FX45" s="656"/>
      <c r="FY45" s="656"/>
      <c r="FZ45" s="656"/>
      <c r="GA45" s="656"/>
      <c r="GB45" s="656"/>
      <c r="GC45" s="656"/>
      <c r="GD45" s="656"/>
      <c r="GE45" s="656"/>
      <c r="GF45" s="656"/>
      <c r="GG45" s="656"/>
      <c r="GH45" s="656"/>
      <c r="GI45" s="656"/>
      <c r="GJ45" s="656"/>
      <c r="GK45" s="656"/>
      <c r="GL45" s="656"/>
      <c r="GM45" s="656"/>
      <c r="GN45" s="656"/>
      <c r="GO45" s="656"/>
      <c r="GP45" s="656"/>
      <c r="GQ45" s="656"/>
      <c r="GR45" s="656"/>
      <c r="GS45" s="656"/>
      <c r="GT45" s="656"/>
      <c r="GU45" s="656"/>
      <c r="GV45" s="656"/>
      <c r="GW45" s="656"/>
      <c r="GX45" s="656"/>
      <c r="GY45" s="656"/>
      <c r="GZ45" s="656"/>
      <c r="HA45" s="656"/>
      <c r="HB45" s="656"/>
      <c r="HC45" s="656"/>
      <c r="HD45" s="656"/>
      <c r="HE45" s="656"/>
      <c r="HF45" s="656"/>
      <c r="HG45" s="656"/>
      <c r="HH45" s="656"/>
      <c r="HI45" s="656"/>
      <c r="HJ45" s="656"/>
      <c r="HK45" s="656"/>
      <c r="HL45" s="656"/>
      <c r="HM45" s="656"/>
      <c r="HN45" s="656"/>
      <c r="HO45" s="656"/>
      <c r="HP45" s="656"/>
      <c r="HQ45" s="656"/>
      <c r="HR45" s="656"/>
      <c r="HS45" s="656"/>
      <c r="HT45" s="656"/>
      <c r="HU45" s="656"/>
      <c r="HV45" s="656"/>
      <c r="HW45" s="656"/>
    </row>
    <row r="46" spans="1:231" s="657" customFormat="1" x14ac:dyDescent="0.25">
      <c r="A46" s="646">
        <v>30</v>
      </c>
      <c r="B46" s="680" t="s">
        <v>1005</v>
      </c>
      <c r="C46" s="681" t="s">
        <v>1006</v>
      </c>
      <c r="D46" s="691" t="s">
        <v>19</v>
      </c>
      <c r="E46" s="681">
        <v>90</v>
      </c>
      <c r="F46" s="684">
        <v>20415.36</v>
      </c>
      <c r="G46" s="684">
        <v>1837382</v>
      </c>
      <c r="H46" s="685">
        <v>0</v>
      </c>
      <c r="I46" s="686">
        <v>-24.79079999999999</v>
      </c>
      <c r="J46" s="683">
        <v>65.20920000000001</v>
      </c>
      <c r="K46" s="684">
        <v>1331269</v>
      </c>
      <c r="L46" s="683">
        <v>65.20920000000001</v>
      </c>
      <c r="M46" s="684">
        <v>1331269</v>
      </c>
      <c r="N46" s="683">
        <v>65.20920000000001</v>
      </c>
      <c r="O46" s="687">
        <v>1331269</v>
      </c>
      <c r="P46" s="656"/>
      <c r="Q46" s="656"/>
      <c r="R46" s="656"/>
      <c r="S46" s="656"/>
      <c r="T46" s="656"/>
      <c r="U46" s="656"/>
      <c r="V46" s="656"/>
      <c r="W46" s="656"/>
      <c r="X46" s="656"/>
      <c r="Y46" s="656"/>
      <c r="Z46" s="656"/>
      <c r="AA46" s="656"/>
      <c r="AB46" s="656"/>
      <c r="AC46" s="656"/>
      <c r="AD46" s="656"/>
      <c r="AE46" s="656"/>
      <c r="AF46" s="656"/>
      <c r="AG46" s="656"/>
      <c r="AH46" s="656"/>
      <c r="AI46" s="656"/>
      <c r="AJ46" s="656"/>
      <c r="AK46" s="656"/>
      <c r="AL46" s="656"/>
      <c r="AM46" s="656"/>
      <c r="AN46" s="656"/>
      <c r="AO46" s="656"/>
      <c r="AP46" s="656"/>
      <c r="AQ46" s="656"/>
      <c r="AR46" s="656"/>
      <c r="AS46" s="656"/>
      <c r="AT46" s="656"/>
      <c r="AU46" s="656"/>
      <c r="AV46" s="656"/>
      <c r="AW46" s="656"/>
      <c r="AX46" s="656"/>
      <c r="AY46" s="656"/>
      <c r="AZ46" s="656"/>
      <c r="BA46" s="656"/>
      <c r="BB46" s="656"/>
      <c r="BC46" s="656"/>
      <c r="BD46" s="656"/>
      <c r="BE46" s="656"/>
      <c r="BF46" s="656"/>
      <c r="BG46" s="656"/>
      <c r="BH46" s="656"/>
      <c r="BI46" s="656"/>
      <c r="BJ46" s="656"/>
      <c r="BK46" s="656"/>
      <c r="BL46" s="656"/>
      <c r="BM46" s="656"/>
      <c r="BN46" s="656"/>
      <c r="BO46" s="656"/>
      <c r="BP46" s="656"/>
      <c r="BQ46" s="656"/>
      <c r="BR46" s="656"/>
      <c r="BS46" s="656"/>
      <c r="BT46" s="656"/>
      <c r="BU46" s="656"/>
      <c r="BV46" s="656"/>
      <c r="BW46" s="656"/>
      <c r="BX46" s="656"/>
      <c r="BY46" s="656"/>
      <c r="BZ46" s="656"/>
      <c r="CA46" s="656"/>
      <c r="CB46" s="656"/>
      <c r="CC46" s="656"/>
      <c r="CD46" s="656"/>
      <c r="CE46" s="656"/>
      <c r="CF46" s="656"/>
      <c r="CG46" s="656"/>
      <c r="CH46" s="656"/>
      <c r="CI46" s="656"/>
      <c r="CJ46" s="656"/>
      <c r="CK46" s="656"/>
      <c r="CL46" s="656"/>
      <c r="CM46" s="656"/>
      <c r="CN46" s="656"/>
      <c r="CO46" s="656"/>
      <c r="CP46" s="656"/>
      <c r="CQ46" s="656"/>
      <c r="CR46" s="656"/>
      <c r="CS46" s="656"/>
      <c r="CT46" s="656"/>
      <c r="CU46" s="656"/>
      <c r="CV46" s="656"/>
      <c r="CW46" s="656"/>
      <c r="CX46" s="656"/>
      <c r="CY46" s="656"/>
      <c r="CZ46" s="656"/>
      <c r="DA46" s="656"/>
      <c r="DB46" s="656"/>
      <c r="DC46" s="656"/>
      <c r="DD46" s="656"/>
      <c r="DE46" s="656"/>
      <c r="DF46" s="656"/>
      <c r="DG46" s="656"/>
      <c r="DH46" s="656"/>
      <c r="DI46" s="656"/>
      <c r="DJ46" s="656"/>
      <c r="DK46" s="656"/>
      <c r="DL46" s="656"/>
      <c r="DM46" s="656"/>
      <c r="DN46" s="656"/>
      <c r="DO46" s="656"/>
      <c r="DP46" s="656"/>
      <c r="DQ46" s="656"/>
      <c r="DR46" s="656"/>
      <c r="DS46" s="656"/>
      <c r="DT46" s="656"/>
      <c r="DU46" s="656"/>
      <c r="DV46" s="656"/>
      <c r="DW46" s="656"/>
      <c r="DX46" s="656"/>
      <c r="DY46" s="656"/>
      <c r="DZ46" s="656"/>
      <c r="EA46" s="656"/>
      <c r="EB46" s="656"/>
      <c r="EC46" s="656"/>
      <c r="ED46" s="656"/>
      <c r="EE46" s="656"/>
      <c r="EF46" s="656"/>
      <c r="EG46" s="656"/>
      <c r="EH46" s="656"/>
      <c r="EI46" s="656"/>
      <c r="EJ46" s="656"/>
      <c r="EK46" s="656"/>
      <c r="EL46" s="656"/>
      <c r="EM46" s="656"/>
      <c r="EN46" s="656"/>
      <c r="EO46" s="656"/>
      <c r="EP46" s="656"/>
      <c r="EQ46" s="656"/>
      <c r="ER46" s="656"/>
      <c r="ES46" s="656"/>
      <c r="ET46" s="656"/>
      <c r="EU46" s="656"/>
      <c r="EV46" s="656"/>
      <c r="EW46" s="656"/>
      <c r="EX46" s="656"/>
      <c r="EY46" s="656"/>
      <c r="EZ46" s="656"/>
      <c r="FA46" s="656"/>
      <c r="FB46" s="656"/>
      <c r="FC46" s="656"/>
      <c r="FD46" s="656"/>
      <c r="FE46" s="656"/>
      <c r="FF46" s="656"/>
      <c r="FG46" s="656"/>
      <c r="FH46" s="656"/>
      <c r="FI46" s="656"/>
      <c r="FJ46" s="656"/>
      <c r="FK46" s="656"/>
      <c r="FL46" s="656"/>
      <c r="FM46" s="656"/>
      <c r="FN46" s="656"/>
      <c r="FO46" s="656"/>
      <c r="FP46" s="656"/>
      <c r="FQ46" s="656"/>
      <c r="FR46" s="656"/>
      <c r="FS46" s="656"/>
      <c r="FT46" s="656"/>
      <c r="FU46" s="656"/>
      <c r="FV46" s="656"/>
      <c r="FW46" s="656"/>
      <c r="FX46" s="656"/>
      <c r="FY46" s="656"/>
      <c r="FZ46" s="656"/>
      <c r="GA46" s="656"/>
      <c r="GB46" s="656"/>
      <c r="GC46" s="656"/>
      <c r="GD46" s="656"/>
      <c r="GE46" s="656"/>
      <c r="GF46" s="656"/>
      <c r="GG46" s="656"/>
      <c r="GH46" s="656"/>
      <c r="GI46" s="656"/>
      <c r="GJ46" s="656"/>
      <c r="GK46" s="656"/>
      <c r="GL46" s="656"/>
      <c r="GM46" s="656"/>
      <c r="GN46" s="656"/>
      <c r="GO46" s="656"/>
      <c r="GP46" s="656"/>
      <c r="GQ46" s="656"/>
      <c r="GR46" s="656"/>
      <c r="GS46" s="656"/>
      <c r="GT46" s="656"/>
      <c r="GU46" s="656"/>
      <c r="GV46" s="656"/>
      <c r="GW46" s="656"/>
      <c r="GX46" s="656"/>
      <c r="GY46" s="656"/>
      <c r="GZ46" s="656"/>
      <c r="HA46" s="656"/>
      <c r="HB46" s="656"/>
      <c r="HC46" s="656"/>
      <c r="HD46" s="656"/>
      <c r="HE46" s="656"/>
      <c r="HF46" s="656"/>
      <c r="HG46" s="656"/>
      <c r="HH46" s="656"/>
      <c r="HI46" s="656"/>
      <c r="HJ46" s="656"/>
      <c r="HK46" s="656"/>
      <c r="HL46" s="656"/>
      <c r="HM46" s="656"/>
      <c r="HN46" s="656"/>
      <c r="HO46" s="656"/>
      <c r="HP46" s="656"/>
      <c r="HQ46" s="656"/>
      <c r="HR46" s="656"/>
      <c r="HS46" s="656"/>
      <c r="HT46" s="656"/>
      <c r="HU46" s="656"/>
      <c r="HV46" s="656"/>
      <c r="HW46" s="656"/>
    </row>
    <row r="47" spans="1:231" s="657" customFormat="1" ht="28.5" x14ac:dyDescent="0.25">
      <c r="A47" s="646">
        <v>31</v>
      </c>
      <c r="B47" s="680" t="s">
        <v>1007</v>
      </c>
      <c r="C47" s="681" t="s">
        <v>1008</v>
      </c>
      <c r="D47" s="691" t="s">
        <v>19</v>
      </c>
      <c r="E47" s="681">
        <v>30</v>
      </c>
      <c r="F47" s="684">
        <v>117211.92</v>
      </c>
      <c r="G47" s="684">
        <v>3516358</v>
      </c>
      <c r="H47" s="685">
        <v>19.413000000000004</v>
      </c>
      <c r="I47" s="686">
        <v>0</v>
      </c>
      <c r="J47" s="683">
        <v>49.413000000000004</v>
      </c>
      <c r="K47" s="684">
        <v>5791793</v>
      </c>
      <c r="L47" s="683">
        <v>49.413000000000004</v>
      </c>
      <c r="M47" s="684">
        <v>5791793</v>
      </c>
      <c r="N47" s="683">
        <v>49.413000000000004</v>
      </c>
      <c r="O47" s="687">
        <v>5791793</v>
      </c>
      <c r="P47" s="656"/>
      <c r="Q47" s="656"/>
      <c r="R47" s="656"/>
      <c r="S47" s="656"/>
      <c r="T47" s="656"/>
      <c r="U47" s="656"/>
      <c r="V47" s="656"/>
      <c r="W47" s="656"/>
      <c r="X47" s="656"/>
      <c r="Y47" s="656"/>
      <c r="Z47" s="656"/>
      <c r="AA47" s="656"/>
      <c r="AB47" s="656"/>
      <c r="AC47" s="656"/>
      <c r="AD47" s="656"/>
      <c r="AE47" s="656"/>
      <c r="AF47" s="656"/>
      <c r="AG47" s="656"/>
      <c r="AH47" s="656"/>
      <c r="AI47" s="656"/>
      <c r="AJ47" s="656"/>
      <c r="AK47" s="656"/>
      <c r="AL47" s="656"/>
      <c r="AM47" s="656"/>
      <c r="AN47" s="656"/>
      <c r="AO47" s="656"/>
      <c r="AP47" s="656"/>
      <c r="AQ47" s="656"/>
      <c r="AR47" s="656"/>
      <c r="AS47" s="656"/>
      <c r="AT47" s="656"/>
      <c r="AU47" s="656"/>
      <c r="AV47" s="656"/>
      <c r="AW47" s="656"/>
      <c r="AX47" s="656"/>
      <c r="AY47" s="656"/>
      <c r="AZ47" s="656"/>
      <c r="BA47" s="656"/>
      <c r="BB47" s="656"/>
      <c r="BC47" s="656"/>
      <c r="BD47" s="656"/>
      <c r="BE47" s="656"/>
      <c r="BF47" s="656"/>
      <c r="BG47" s="656"/>
      <c r="BH47" s="656"/>
      <c r="BI47" s="656"/>
      <c r="BJ47" s="656"/>
      <c r="BK47" s="656"/>
      <c r="BL47" s="656"/>
      <c r="BM47" s="656"/>
      <c r="BN47" s="656"/>
      <c r="BO47" s="656"/>
      <c r="BP47" s="656"/>
      <c r="BQ47" s="656"/>
      <c r="BR47" s="656"/>
      <c r="BS47" s="656"/>
      <c r="BT47" s="656"/>
      <c r="BU47" s="656"/>
      <c r="BV47" s="656"/>
      <c r="BW47" s="656"/>
      <c r="BX47" s="656"/>
      <c r="BY47" s="656"/>
      <c r="BZ47" s="656"/>
      <c r="CA47" s="656"/>
      <c r="CB47" s="656"/>
      <c r="CC47" s="656"/>
      <c r="CD47" s="656"/>
      <c r="CE47" s="656"/>
      <c r="CF47" s="656"/>
      <c r="CG47" s="656"/>
      <c r="CH47" s="656"/>
      <c r="CI47" s="656"/>
      <c r="CJ47" s="656"/>
      <c r="CK47" s="656"/>
      <c r="CL47" s="656"/>
      <c r="CM47" s="656"/>
      <c r="CN47" s="656"/>
      <c r="CO47" s="656"/>
      <c r="CP47" s="656"/>
      <c r="CQ47" s="656"/>
      <c r="CR47" s="656"/>
      <c r="CS47" s="656"/>
      <c r="CT47" s="656"/>
      <c r="CU47" s="656"/>
      <c r="CV47" s="656"/>
      <c r="CW47" s="656"/>
      <c r="CX47" s="656"/>
      <c r="CY47" s="656"/>
      <c r="CZ47" s="656"/>
      <c r="DA47" s="656"/>
      <c r="DB47" s="656"/>
      <c r="DC47" s="656"/>
      <c r="DD47" s="656"/>
      <c r="DE47" s="656"/>
      <c r="DF47" s="656"/>
      <c r="DG47" s="656"/>
      <c r="DH47" s="656"/>
      <c r="DI47" s="656"/>
      <c r="DJ47" s="656"/>
      <c r="DK47" s="656"/>
      <c r="DL47" s="656"/>
      <c r="DM47" s="656"/>
      <c r="DN47" s="656"/>
      <c r="DO47" s="656"/>
      <c r="DP47" s="656"/>
      <c r="DQ47" s="656"/>
      <c r="DR47" s="656"/>
      <c r="DS47" s="656"/>
      <c r="DT47" s="656"/>
      <c r="DU47" s="656"/>
      <c r="DV47" s="656"/>
      <c r="DW47" s="656"/>
      <c r="DX47" s="656"/>
      <c r="DY47" s="656"/>
      <c r="DZ47" s="656"/>
      <c r="EA47" s="656"/>
      <c r="EB47" s="656"/>
      <c r="EC47" s="656"/>
      <c r="ED47" s="656"/>
      <c r="EE47" s="656"/>
      <c r="EF47" s="656"/>
      <c r="EG47" s="656"/>
      <c r="EH47" s="656"/>
      <c r="EI47" s="656"/>
      <c r="EJ47" s="656"/>
      <c r="EK47" s="656"/>
      <c r="EL47" s="656"/>
      <c r="EM47" s="656"/>
      <c r="EN47" s="656"/>
      <c r="EO47" s="656"/>
      <c r="EP47" s="656"/>
      <c r="EQ47" s="656"/>
      <c r="ER47" s="656"/>
      <c r="ES47" s="656"/>
      <c r="ET47" s="656"/>
      <c r="EU47" s="656"/>
      <c r="EV47" s="656"/>
      <c r="EW47" s="656"/>
      <c r="EX47" s="656"/>
      <c r="EY47" s="656"/>
      <c r="EZ47" s="656"/>
      <c r="FA47" s="656"/>
      <c r="FB47" s="656"/>
      <c r="FC47" s="656"/>
      <c r="FD47" s="656"/>
      <c r="FE47" s="656"/>
      <c r="FF47" s="656"/>
      <c r="FG47" s="656"/>
      <c r="FH47" s="656"/>
      <c r="FI47" s="656"/>
      <c r="FJ47" s="656"/>
      <c r="FK47" s="656"/>
      <c r="FL47" s="656"/>
      <c r="FM47" s="656"/>
      <c r="FN47" s="656"/>
      <c r="FO47" s="656"/>
      <c r="FP47" s="656"/>
      <c r="FQ47" s="656"/>
      <c r="FR47" s="656"/>
      <c r="FS47" s="656"/>
      <c r="FT47" s="656"/>
      <c r="FU47" s="656"/>
      <c r="FV47" s="656"/>
      <c r="FW47" s="656"/>
      <c r="FX47" s="656"/>
      <c r="FY47" s="656"/>
      <c r="FZ47" s="656"/>
      <c r="GA47" s="656"/>
      <c r="GB47" s="656"/>
      <c r="GC47" s="656"/>
      <c r="GD47" s="656"/>
      <c r="GE47" s="656"/>
      <c r="GF47" s="656"/>
      <c r="GG47" s="656"/>
      <c r="GH47" s="656"/>
      <c r="GI47" s="656"/>
      <c r="GJ47" s="656"/>
      <c r="GK47" s="656"/>
      <c r="GL47" s="656"/>
      <c r="GM47" s="656"/>
      <c r="GN47" s="656"/>
      <c r="GO47" s="656"/>
      <c r="GP47" s="656"/>
      <c r="GQ47" s="656"/>
      <c r="GR47" s="656"/>
      <c r="GS47" s="656"/>
      <c r="GT47" s="656"/>
      <c r="GU47" s="656"/>
      <c r="GV47" s="656"/>
      <c r="GW47" s="656"/>
      <c r="GX47" s="656"/>
      <c r="GY47" s="656"/>
      <c r="GZ47" s="656"/>
      <c r="HA47" s="656"/>
      <c r="HB47" s="656"/>
      <c r="HC47" s="656"/>
      <c r="HD47" s="656"/>
      <c r="HE47" s="656"/>
      <c r="HF47" s="656"/>
      <c r="HG47" s="656"/>
      <c r="HH47" s="656"/>
      <c r="HI47" s="656"/>
      <c r="HJ47" s="656"/>
      <c r="HK47" s="656"/>
      <c r="HL47" s="656"/>
      <c r="HM47" s="656"/>
      <c r="HN47" s="656"/>
      <c r="HO47" s="656"/>
      <c r="HP47" s="656"/>
      <c r="HQ47" s="656"/>
      <c r="HR47" s="656"/>
      <c r="HS47" s="656"/>
      <c r="HT47" s="656"/>
      <c r="HU47" s="656"/>
      <c r="HV47" s="656"/>
      <c r="HW47" s="656"/>
    </row>
    <row r="48" spans="1:231" s="657" customFormat="1" ht="35.1" customHeight="1" x14ac:dyDescent="0.25">
      <c r="A48" s="646">
        <v>32</v>
      </c>
      <c r="B48" s="680" t="s">
        <v>1009</v>
      </c>
      <c r="C48" s="681" t="s">
        <v>1010</v>
      </c>
      <c r="D48" s="691" t="s">
        <v>19</v>
      </c>
      <c r="E48" s="681">
        <v>20</v>
      </c>
      <c r="F48" s="684">
        <v>106376.06</v>
      </c>
      <c r="G48" s="684">
        <v>2127521</v>
      </c>
      <c r="H48" s="685">
        <v>0</v>
      </c>
      <c r="I48" s="686">
        <v>-4.2037999999999993</v>
      </c>
      <c r="J48" s="683">
        <v>15.796200000000001</v>
      </c>
      <c r="K48" s="684">
        <v>1680338</v>
      </c>
      <c r="L48" s="683">
        <v>15.796200000000001</v>
      </c>
      <c r="M48" s="684">
        <v>1680338</v>
      </c>
      <c r="N48" s="683">
        <v>15.796200000000001</v>
      </c>
      <c r="O48" s="687">
        <v>1680338</v>
      </c>
      <c r="P48" s="656"/>
      <c r="Q48" s="656"/>
      <c r="R48" s="656"/>
      <c r="S48" s="656"/>
      <c r="T48" s="656"/>
      <c r="U48" s="656"/>
      <c r="V48" s="656"/>
      <c r="W48" s="656"/>
      <c r="X48" s="656"/>
      <c r="Y48" s="656"/>
      <c r="Z48" s="656"/>
      <c r="AA48" s="656"/>
      <c r="AB48" s="656"/>
      <c r="AC48" s="656"/>
      <c r="AD48" s="656"/>
      <c r="AE48" s="656"/>
      <c r="AF48" s="656"/>
      <c r="AG48" s="656"/>
      <c r="AH48" s="656"/>
      <c r="AI48" s="656"/>
      <c r="AJ48" s="656"/>
      <c r="AK48" s="656"/>
      <c r="AL48" s="656"/>
      <c r="AM48" s="656"/>
      <c r="AN48" s="656"/>
      <c r="AO48" s="656"/>
      <c r="AP48" s="656"/>
      <c r="AQ48" s="656"/>
      <c r="AR48" s="656"/>
      <c r="AS48" s="656"/>
      <c r="AT48" s="656"/>
      <c r="AU48" s="656"/>
      <c r="AV48" s="656"/>
      <c r="AW48" s="656"/>
      <c r="AX48" s="656"/>
      <c r="AY48" s="656"/>
      <c r="AZ48" s="656"/>
      <c r="BA48" s="656"/>
      <c r="BB48" s="656"/>
      <c r="BC48" s="656"/>
      <c r="BD48" s="656"/>
      <c r="BE48" s="656"/>
      <c r="BF48" s="656"/>
      <c r="BG48" s="656"/>
      <c r="BH48" s="656"/>
      <c r="BI48" s="656"/>
      <c r="BJ48" s="656"/>
      <c r="BK48" s="656"/>
      <c r="BL48" s="656"/>
      <c r="BM48" s="656"/>
      <c r="BN48" s="656"/>
      <c r="BO48" s="656"/>
      <c r="BP48" s="656"/>
      <c r="BQ48" s="656"/>
      <c r="BR48" s="656"/>
      <c r="BS48" s="656"/>
      <c r="BT48" s="656"/>
      <c r="BU48" s="656"/>
      <c r="BV48" s="656"/>
      <c r="BW48" s="656"/>
      <c r="BX48" s="656"/>
      <c r="BY48" s="656"/>
      <c r="BZ48" s="656"/>
      <c r="CA48" s="656"/>
      <c r="CB48" s="656"/>
      <c r="CC48" s="656"/>
      <c r="CD48" s="656"/>
      <c r="CE48" s="656"/>
      <c r="CF48" s="656"/>
      <c r="CG48" s="656"/>
      <c r="CH48" s="656"/>
      <c r="CI48" s="656"/>
      <c r="CJ48" s="656"/>
      <c r="CK48" s="656"/>
      <c r="CL48" s="656"/>
      <c r="CM48" s="656"/>
      <c r="CN48" s="656"/>
      <c r="CO48" s="656"/>
      <c r="CP48" s="656"/>
      <c r="CQ48" s="656"/>
      <c r="CR48" s="656"/>
      <c r="CS48" s="656"/>
      <c r="CT48" s="656"/>
      <c r="CU48" s="656"/>
      <c r="CV48" s="656"/>
      <c r="CW48" s="656"/>
      <c r="CX48" s="656"/>
      <c r="CY48" s="656"/>
      <c r="CZ48" s="656"/>
      <c r="DA48" s="656"/>
      <c r="DB48" s="656"/>
      <c r="DC48" s="656"/>
      <c r="DD48" s="656"/>
      <c r="DE48" s="656"/>
      <c r="DF48" s="656"/>
      <c r="DG48" s="656"/>
      <c r="DH48" s="656"/>
      <c r="DI48" s="656"/>
      <c r="DJ48" s="656"/>
      <c r="DK48" s="656"/>
      <c r="DL48" s="656"/>
      <c r="DM48" s="656"/>
      <c r="DN48" s="656"/>
      <c r="DO48" s="656"/>
      <c r="DP48" s="656"/>
      <c r="DQ48" s="656"/>
      <c r="DR48" s="656"/>
      <c r="DS48" s="656"/>
      <c r="DT48" s="656"/>
      <c r="DU48" s="656"/>
      <c r="DV48" s="656"/>
      <c r="DW48" s="656"/>
      <c r="DX48" s="656"/>
      <c r="DY48" s="656"/>
      <c r="DZ48" s="656"/>
      <c r="EA48" s="656"/>
      <c r="EB48" s="656"/>
      <c r="EC48" s="656"/>
      <c r="ED48" s="656"/>
      <c r="EE48" s="656"/>
      <c r="EF48" s="656"/>
      <c r="EG48" s="656"/>
      <c r="EH48" s="656"/>
      <c r="EI48" s="656"/>
      <c r="EJ48" s="656"/>
      <c r="EK48" s="656"/>
      <c r="EL48" s="656"/>
      <c r="EM48" s="656"/>
      <c r="EN48" s="656"/>
      <c r="EO48" s="656"/>
      <c r="EP48" s="656"/>
      <c r="EQ48" s="656"/>
      <c r="ER48" s="656"/>
      <c r="ES48" s="656"/>
      <c r="ET48" s="656"/>
      <c r="EU48" s="656"/>
      <c r="EV48" s="656"/>
      <c r="EW48" s="656"/>
      <c r="EX48" s="656"/>
      <c r="EY48" s="656"/>
      <c r="EZ48" s="656"/>
      <c r="FA48" s="656"/>
      <c r="FB48" s="656"/>
      <c r="FC48" s="656"/>
      <c r="FD48" s="656"/>
      <c r="FE48" s="656"/>
      <c r="FF48" s="656"/>
      <c r="FG48" s="656"/>
      <c r="FH48" s="656"/>
      <c r="FI48" s="656"/>
      <c r="FJ48" s="656"/>
      <c r="FK48" s="656"/>
      <c r="FL48" s="656"/>
      <c r="FM48" s="656"/>
      <c r="FN48" s="656"/>
      <c r="FO48" s="656"/>
      <c r="FP48" s="656"/>
      <c r="FQ48" s="656"/>
      <c r="FR48" s="656"/>
      <c r="FS48" s="656"/>
      <c r="FT48" s="656"/>
      <c r="FU48" s="656"/>
      <c r="FV48" s="656"/>
      <c r="FW48" s="656"/>
      <c r="FX48" s="656"/>
      <c r="FY48" s="656"/>
      <c r="FZ48" s="656"/>
      <c r="GA48" s="656"/>
      <c r="GB48" s="656"/>
      <c r="GC48" s="656"/>
      <c r="GD48" s="656"/>
      <c r="GE48" s="656"/>
      <c r="GF48" s="656"/>
      <c r="GG48" s="656"/>
      <c r="GH48" s="656"/>
      <c r="GI48" s="656"/>
      <c r="GJ48" s="656"/>
      <c r="GK48" s="656"/>
      <c r="GL48" s="656"/>
      <c r="GM48" s="656"/>
      <c r="GN48" s="656"/>
      <c r="GO48" s="656"/>
      <c r="GP48" s="656"/>
      <c r="GQ48" s="656"/>
      <c r="GR48" s="656"/>
      <c r="GS48" s="656"/>
      <c r="GT48" s="656"/>
      <c r="GU48" s="656"/>
      <c r="GV48" s="656"/>
      <c r="GW48" s="656"/>
      <c r="GX48" s="656"/>
      <c r="GY48" s="656"/>
      <c r="GZ48" s="656"/>
      <c r="HA48" s="656"/>
      <c r="HB48" s="656"/>
      <c r="HC48" s="656"/>
      <c r="HD48" s="656"/>
      <c r="HE48" s="656"/>
      <c r="HF48" s="656"/>
      <c r="HG48" s="656"/>
      <c r="HH48" s="656"/>
      <c r="HI48" s="656"/>
      <c r="HJ48" s="656"/>
      <c r="HK48" s="656"/>
      <c r="HL48" s="656"/>
      <c r="HM48" s="656"/>
      <c r="HN48" s="656"/>
      <c r="HO48" s="656"/>
      <c r="HP48" s="656"/>
      <c r="HQ48" s="656"/>
      <c r="HR48" s="656"/>
      <c r="HS48" s="656"/>
      <c r="HT48" s="656"/>
      <c r="HU48" s="656"/>
      <c r="HV48" s="656"/>
      <c r="HW48" s="656"/>
    </row>
    <row r="49" spans="1:231" s="657" customFormat="1" ht="57" x14ac:dyDescent="0.25">
      <c r="A49" s="646">
        <v>33</v>
      </c>
      <c r="B49" s="680" t="s">
        <v>1011</v>
      </c>
      <c r="C49" s="681" t="s">
        <v>1012</v>
      </c>
      <c r="D49" s="691" t="s">
        <v>14</v>
      </c>
      <c r="E49" s="681">
        <v>2</v>
      </c>
      <c r="F49" s="684">
        <v>991532.64</v>
      </c>
      <c r="G49" s="684">
        <v>1983065</v>
      </c>
      <c r="H49" s="685">
        <v>0.8</v>
      </c>
      <c r="I49" s="686">
        <v>0</v>
      </c>
      <c r="J49" s="683">
        <v>2.8</v>
      </c>
      <c r="K49" s="684">
        <v>2776291</v>
      </c>
      <c r="L49" s="683">
        <v>2.8</v>
      </c>
      <c r="M49" s="684">
        <v>2776291</v>
      </c>
      <c r="N49" s="683">
        <v>2.8</v>
      </c>
      <c r="O49" s="687">
        <v>2776291</v>
      </c>
      <c r="P49" s="656"/>
      <c r="Q49" s="656"/>
      <c r="R49" s="656"/>
      <c r="S49" s="656"/>
      <c r="T49" s="656"/>
      <c r="U49" s="656"/>
      <c r="V49" s="656"/>
      <c r="W49" s="656"/>
      <c r="X49" s="656"/>
      <c r="Y49" s="656"/>
      <c r="Z49" s="656"/>
      <c r="AA49" s="656"/>
      <c r="AB49" s="656"/>
      <c r="AC49" s="656"/>
      <c r="AD49" s="656"/>
      <c r="AE49" s="656"/>
      <c r="AF49" s="656"/>
      <c r="AG49" s="656"/>
      <c r="AH49" s="656"/>
      <c r="AI49" s="656"/>
      <c r="AJ49" s="656"/>
      <c r="AK49" s="656"/>
      <c r="AL49" s="656"/>
      <c r="AM49" s="656"/>
      <c r="AN49" s="656"/>
      <c r="AO49" s="656"/>
      <c r="AP49" s="656"/>
      <c r="AQ49" s="656"/>
      <c r="AR49" s="656"/>
      <c r="AS49" s="656"/>
      <c r="AT49" s="656"/>
      <c r="AU49" s="656"/>
      <c r="AV49" s="656"/>
      <c r="AW49" s="656"/>
      <c r="AX49" s="656"/>
      <c r="AY49" s="656"/>
      <c r="AZ49" s="656"/>
      <c r="BA49" s="656"/>
      <c r="BB49" s="656"/>
      <c r="BC49" s="656"/>
      <c r="BD49" s="656"/>
      <c r="BE49" s="656"/>
      <c r="BF49" s="656"/>
      <c r="BG49" s="656"/>
      <c r="BH49" s="656"/>
      <c r="BI49" s="656"/>
      <c r="BJ49" s="656"/>
      <c r="BK49" s="656"/>
      <c r="BL49" s="656"/>
      <c r="BM49" s="656"/>
      <c r="BN49" s="656"/>
      <c r="BO49" s="656"/>
      <c r="BP49" s="656"/>
      <c r="BQ49" s="656"/>
      <c r="BR49" s="656"/>
      <c r="BS49" s="656"/>
      <c r="BT49" s="656"/>
      <c r="BU49" s="656"/>
      <c r="BV49" s="656"/>
      <c r="BW49" s="656"/>
      <c r="BX49" s="656"/>
      <c r="BY49" s="656"/>
      <c r="BZ49" s="656"/>
      <c r="CA49" s="656"/>
      <c r="CB49" s="656"/>
      <c r="CC49" s="656"/>
      <c r="CD49" s="656"/>
      <c r="CE49" s="656"/>
      <c r="CF49" s="656"/>
      <c r="CG49" s="656"/>
      <c r="CH49" s="656"/>
      <c r="CI49" s="656"/>
      <c r="CJ49" s="656"/>
      <c r="CK49" s="656"/>
      <c r="CL49" s="656"/>
      <c r="CM49" s="656"/>
      <c r="CN49" s="656"/>
      <c r="CO49" s="656"/>
      <c r="CP49" s="656"/>
      <c r="CQ49" s="656"/>
      <c r="CR49" s="656"/>
      <c r="CS49" s="656"/>
      <c r="CT49" s="656"/>
      <c r="CU49" s="656"/>
      <c r="CV49" s="656"/>
      <c r="CW49" s="656"/>
      <c r="CX49" s="656"/>
      <c r="CY49" s="656"/>
      <c r="CZ49" s="656"/>
      <c r="DA49" s="656"/>
      <c r="DB49" s="656"/>
      <c r="DC49" s="656"/>
      <c r="DD49" s="656"/>
      <c r="DE49" s="656"/>
      <c r="DF49" s="656"/>
      <c r="DG49" s="656"/>
      <c r="DH49" s="656"/>
      <c r="DI49" s="656"/>
      <c r="DJ49" s="656"/>
      <c r="DK49" s="656"/>
      <c r="DL49" s="656"/>
      <c r="DM49" s="656"/>
      <c r="DN49" s="656"/>
      <c r="DO49" s="656"/>
      <c r="DP49" s="656"/>
      <c r="DQ49" s="656"/>
      <c r="DR49" s="656"/>
      <c r="DS49" s="656"/>
      <c r="DT49" s="656"/>
      <c r="DU49" s="656"/>
      <c r="DV49" s="656"/>
      <c r="DW49" s="656"/>
      <c r="DX49" s="656"/>
      <c r="DY49" s="656"/>
      <c r="DZ49" s="656"/>
      <c r="EA49" s="656"/>
      <c r="EB49" s="656"/>
      <c r="EC49" s="656"/>
      <c r="ED49" s="656"/>
      <c r="EE49" s="656"/>
      <c r="EF49" s="656"/>
      <c r="EG49" s="656"/>
      <c r="EH49" s="656"/>
      <c r="EI49" s="656"/>
      <c r="EJ49" s="656"/>
      <c r="EK49" s="656"/>
      <c r="EL49" s="656"/>
      <c r="EM49" s="656"/>
      <c r="EN49" s="656"/>
      <c r="EO49" s="656"/>
      <c r="EP49" s="656"/>
      <c r="EQ49" s="656"/>
      <c r="ER49" s="656"/>
      <c r="ES49" s="656"/>
      <c r="ET49" s="656"/>
      <c r="EU49" s="656"/>
      <c r="EV49" s="656"/>
      <c r="EW49" s="656"/>
      <c r="EX49" s="656"/>
      <c r="EY49" s="656"/>
      <c r="EZ49" s="656"/>
      <c r="FA49" s="656"/>
      <c r="FB49" s="656"/>
      <c r="FC49" s="656"/>
      <c r="FD49" s="656"/>
      <c r="FE49" s="656"/>
      <c r="FF49" s="656"/>
      <c r="FG49" s="656"/>
      <c r="FH49" s="656"/>
      <c r="FI49" s="656"/>
      <c r="FJ49" s="656"/>
      <c r="FK49" s="656"/>
      <c r="FL49" s="656"/>
      <c r="FM49" s="656"/>
      <c r="FN49" s="656"/>
      <c r="FO49" s="656"/>
      <c r="FP49" s="656"/>
      <c r="FQ49" s="656"/>
      <c r="FR49" s="656"/>
      <c r="FS49" s="656"/>
      <c r="FT49" s="656"/>
      <c r="FU49" s="656"/>
      <c r="FV49" s="656"/>
      <c r="FW49" s="656"/>
      <c r="FX49" s="656"/>
      <c r="FY49" s="656"/>
      <c r="FZ49" s="656"/>
      <c r="GA49" s="656"/>
      <c r="GB49" s="656"/>
      <c r="GC49" s="656"/>
      <c r="GD49" s="656"/>
      <c r="GE49" s="656"/>
      <c r="GF49" s="656"/>
      <c r="GG49" s="656"/>
      <c r="GH49" s="656"/>
      <c r="GI49" s="656"/>
      <c r="GJ49" s="656"/>
      <c r="GK49" s="656"/>
      <c r="GL49" s="656"/>
      <c r="GM49" s="656"/>
      <c r="GN49" s="656"/>
      <c r="GO49" s="656"/>
      <c r="GP49" s="656"/>
      <c r="GQ49" s="656"/>
      <c r="GR49" s="656"/>
      <c r="GS49" s="656"/>
      <c r="GT49" s="656"/>
      <c r="GU49" s="656"/>
      <c r="GV49" s="656"/>
      <c r="GW49" s="656"/>
      <c r="GX49" s="656"/>
      <c r="GY49" s="656"/>
      <c r="GZ49" s="656"/>
      <c r="HA49" s="656"/>
      <c r="HB49" s="656"/>
      <c r="HC49" s="656"/>
      <c r="HD49" s="656"/>
      <c r="HE49" s="656"/>
      <c r="HF49" s="656"/>
      <c r="HG49" s="656"/>
      <c r="HH49" s="656"/>
      <c r="HI49" s="656"/>
      <c r="HJ49" s="656"/>
      <c r="HK49" s="656"/>
      <c r="HL49" s="656"/>
      <c r="HM49" s="656"/>
      <c r="HN49" s="656"/>
      <c r="HO49" s="656"/>
      <c r="HP49" s="656"/>
      <c r="HQ49" s="656"/>
      <c r="HR49" s="656"/>
      <c r="HS49" s="656"/>
      <c r="HT49" s="656"/>
      <c r="HU49" s="656"/>
      <c r="HV49" s="656"/>
      <c r="HW49" s="656"/>
    </row>
    <row r="50" spans="1:231" s="657" customFormat="1" x14ac:dyDescent="0.25">
      <c r="A50" s="646">
        <v>34</v>
      </c>
      <c r="B50" s="680" t="s">
        <v>1013</v>
      </c>
      <c r="C50" s="681" t="s">
        <v>1014</v>
      </c>
      <c r="D50" s="691" t="s">
        <v>6</v>
      </c>
      <c r="E50" s="681">
        <v>12</v>
      </c>
      <c r="F50" s="684">
        <v>38873.659999999996</v>
      </c>
      <c r="G50" s="684">
        <v>466484</v>
      </c>
      <c r="H50" s="685">
        <v>0</v>
      </c>
      <c r="I50" s="686">
        <v>0</v>
      </c>
      <c r="J50" s="683">
        <v>12</v>
      </c>
      <c r="K50" s="684">
        <v>466484</v>
      </c>
      <c r="L50" s="683">
        <v>12</v>
      </c>
      <c r="M50" s="684">
        <v>466484</v>
      </c>
      <c r="N50" s="683">
        <v>12</v>
      </c>
      <c r="O50" s="687">
        <v>466484</v>
      </c>
      <c r="P50" s="656"/>
      <c r="Q50" s="656"/>
      <c r="R50" s="656"/>
      <c r="S50" s="656"/>
      <c r="T50" s="656"/>
      <c r="U50" s="656"/>
      <c r="V50" s="656"/>
      <c r="W50" s="656"/>
      <c r="X50" s="656"/>
      <c r="Y50" s="656"/>
      <c r="Z50" s="656"/>
      <c r="AA50" s="656"/>
      <c r="AB50" s="656"/>
      <c r="AC50" s="656"/>
      <c r="AD50" s="656"/>
      <c r="AE50" s="656"/>
      <c r="AF50" s="656"/>
      <c r="AG50" s="656"/>
      <c r="AH50" s="656"/>
      <c r="AI50" s="656"/>
      <c r="AJ50" s="656"/>
      <c r="AK50" s="656"/>
      <c r="AL50" s="656"/>
      <c r="AM50" s="656"/>
      <c r="AN50" s="656"/>
      <c r="AO50" s="656"/>
      <c r="AP50" s="656"/>
      <c r="AQ50" s="656"/>
      <c r="AR50" s="656"/>
      <c r="AS50" s="656"/>
      <c r="AT50" s="656"/>
      <c r="AU50" s="656"/>
      <c r="AV50" s="656"/>
      <c r="AW50" s="656"/>
      <c r="AX50" s="656"/>
      <c r="AY50" s="656"/>
      <c r="AZ50" s="656"/>
      <c r="BA50" s="656"/>
      <c r="BB50" s="656"/>
      <c r="BC50" s="656"/>
      <c r="BD50" s="656"/>
      <c r="BE50" s="656"/>
      <c r="BF50" s="656"/>
      <c r="BG50" s="656"/>
      <c r="BH50" s="656"/>
      <c r="BI50" s="656"/>
      <c r="BJ50" s="656"/>
      <c r="BK50" s="656"/>
      <c r="BL50" s="656"/>
      <c r="BM50" s="656"/>
      <c r="BN50" s="656"/>
      <c r="BO50" s="656"/>
      <c r="BP50" s="656"/>
      <c r="BQ50" s="656"/>
      <c r="BR50" s="656"/>
      <c r="BS50" s="656"/>
      <c r="BT50" s="656"/>
      <c r="BU50" s="656"/>
      <c r="BV50" s="656"/>
      <c r="BW50" s="656"/>
      <c r="BX50" s="656"/>
      <c r="BY50" s="656"/>
      <c r="BZ50" s="656"/>
      <c r="CA50" s="656"/>
      <c r="CB50" s="656"/>
      <c r="CC50" s="656"/>
      <c r="CD50" s="656"/>
      <c r="CE50" s="656"/>
      <c r="CF50" s="656"/>
      <c r="CG50" s="656"/>
      <c r="CH50" s="656"/>
      <c r="CI50" s="656"/>
      <c r="CJ50" s="656"/>
      <c r="CK50" s="656"/>
      <c r="CL50" s="656"/>
      <c r="CM50" s="656"/>
      <c r="CN50" s="656"/>
      <c r="CO50" s="656"/>
      <c r="CP50" s="656"/>
      <c r="CQ50" s="656"/>
      <c r="CR50" s="656"/>
      <c r="CS50" s="656"/>
      <c r="CT50" s="656"/>
      <c r="CU50" s="656"/>
      <c r="CV50" s="656"/>
      <c r="CW50" s="656"/>
      <c r="CX50" s="656"/>
      <c r="CY50" s="656"/>
      <c r="CZ50" s="656"/>
      <c r="DA50" s="656"/>
      <c r="DB50" s="656"/>
      <c r="DC50" s="656"/>
      <c r="DD50" s="656"/>
      <c r="DE50" s="656"/>
      <c r="DF50" s="656"/>
      <c r="DG50" s="656"/>
      <c r="DH50" s="656"/>
      <c r="DI50" s="656"/>
      <c r="DJ50" s="656"/>
      <c r="DK50" s="656"/>
      <c r="DL50" s="656"/>
      <c r="DM50" s="656"/>
      <c r="DN50" s="656"/>
      <c r="DO50" s="656"/>
      <c r="DP50" s="656"/>
      <c r="DQ50" s="656"/>
      <c r="DR50" s="656"/>
      <c r="DS50" s="656"/>
      <c r="DT50" s="656"/>
      <c r="DU50" s="656"/>
      <c r="DV50" s="656"/>
      <c r="DW50" s="656"/>
      <c r="DX50" s="656"/>
      <c r="DY50" s="656"/>
      <c r="DZ50" s="656"/>
      <c r="EA50" s="656"/>
      <c r="EB50" s="656"/>
      <c r="EC50" s="656"/>
      <c r="ED50" s="656"/>
      <c r="EE50" s="656"/>
      <c r="EF50" s="656"/>
      <c r="EG50" s="656"/>
      <c r="EH50" s="656"/>
      <c r="EI50" s="656"/>
      <c r="EJ50" s="656"/>
      <c r="EK50" s="656"/>
      <c r="EL50" s="656"/>
      <c r="EM50" s="656"/>
      <c r="EN50" s="656"/>
      <c r="EO50" s="656"/>
      <c r="EP50" s="656"/>
      <c r="EQ50" s="656"/>
      <c r="ER50" s="656"/>
      <c r="ES50" s="656"/>
      <c r="ET50" s="656"/>
      <c r="EU50" s="656"/>
      <c r="EV50" s="656"/>
      <c r="EW50" s="656"/>
      <c r="EX50" s="656"/>
      <c r="EY50" s="656"/>
      <c r="EZ50" s="656"/>
      <c r="FA50" s="656"/>
      <c r="FB50" s="656"/>
      <c r="FC50" s="656"/>
      <c r="FD50" s="656"/>
      <c r="FE50" s="656"/>
      <c r="FF50" s="656"/>
      <c r="FG50" s="656"/>
      <c r="FH50" s="656"/>
      <c r="FI50" s="656"/>
      <c r="FJ50" s="656"/>
      <c r="FK50" s="656"/>
      <c r="FL50" s="656"/>
      <c r="FM50" s="656"/>
      <c r="FN50" s="656"/>
      <c r="FO50" s="656"/>
      <c r="FP50" s="656"/>
      <c r="FQ50" s="656"/>
      <c r="FR50" s="656"/>
      <c r="FS50" s="656"/>
      <c r="FT50" s="656"/>
      <c r="FU50" s="656"/>
      <c r="FV50" s="656"/>
      <c r="FW50" s="656"/>
      <c r="FX50" s="656"/>
      <c r="FY50" s="656"/>
      <c r="FZ50" s="656"/>
      <c r="GA50" s="656"/>
      <c r="GB50" s="656"/>
      <c r="GC50" s="656"/>
      <c r="GD50" s="656"/>
      <c r="GE50" s="656"/>
      <c r="GF50" s="656"/>
      <c r="GG50" s="656"/>
      <c r="GH50" s="656"/>
      <c r="GI50" s="656"/>
      <c r="GJ50" s="656"/>
      <c r="GK50" s="656"/>
      <c r="GL50" s="656"/>
      <c r="GM50" s="656"/>
      <c r="GN50" s="656"/>
      <c r="GO50" s="656"/>
      <c r="GP50" s="656"/>
      <c r="GQ50" s="656"/>
      <c r="GR50" s="656"/>
      <c r="GS50" s="656"/>
      <c r="GT50" s="656"/>
      <c r="GU50" s="656"/>
      <c r="GV50" s="656"/>
      <c r="GW50" s="656"/>
      <c r="GX50" s="656"/>
      <c r="GY50" s="656"/>
      <c r="GZ50" s="656"/>
      <c r="HA50" s="656"/>
      <c r="HB50" s="656"/>
      <c r="HC50" s="656"/>
      <c r="HD50" s="656"/>
      <c r="HE50" s="656"/>
      <c r="HF50" s="656"/>
      <c r="HG50" s="656"/>
      <c r="HH50" s="656"/>
      <c r="HI50" s="656"/>
      <c r="HJ50" s="656"/>
      <c r="HK50" s="656"/>
      <c r="HL50" s="656"/>
      <c r="HM50" s="656"/>
      <c r="HN50" s="656"/>
      <c r="HO50" s="656"/>
      <c r="HP50" s="656"/>
      <c r="HQ50" s="656"/>
      <c r="HR50" s="656"/>
      <c r="HS50" s="656"/>
      <c r="HT50" s="656"/>
      <c r="HU50" s="656"/>
      <c r="HV50" s="656"/>
      <c r="HW50" s="656"/>
    </row>
    <row r="51" spans="1:231" s="657" customFormat="1" x14ac:dyDescent="0.25">
      <c r="A51" s="646">
        <v>35</v>
      </c>
      <c r="B51" s="680" t="s">
        <v>1015</v>
      </c>
      <c r="C51" s="681" t="s">
        <v>1016</v>
      </c>
      <c r="D51" s="691" t="s">
        <v>6</v>
      </c>
      <c r="E51" s="681">
        <v>2</v>
      </c>
      <c r="F51" s="684">
        <v>65282.7</v>
      </c>
      <c r="G51" s="684">
        <v>130565</v>
      </c>
      <c r="H51" s="685">
        <v>0</v>
      </c>
      <c r="I51" s="686">
        <v>-1</v>
      </c>
      <c r="J51" s="683">
        <v>1</v>
      </c>
      <c r="K51" s="684">
        <v>65283</v>
      </c>
      <c r="L51" s="683">
        <v>1</v>
      </c>
      <c r="M51" s="684">
        <v>65283</v>
      </c>
      <c r="N51" s="683">
        <v>1</v>
      </c>
      <c r="O51" s="687">
        <v>65283</v>
      </c>
      <c r="P51" s="656"/>
      <c r="Q51" s="656"/>
      <c r="R51" s="656"/>
      <c r="S51" s="656"/>
      <c r="T51" s="656"/>
      <c r="U51" s="656"/>
      <c r="V51" s="656"/>
      <c r="W51" s="656"/>
      <c r="X51" s="656"/>
      <c r="Y51" s="656"/>
      <c r="Z51" s="656"/>
      <c r="AA51" s="656"/>
      <c r="AB51" s="656"/>
      <c r="AC51" s="656"/>
      <c r="AD51" s="656"/>
      <c r="AE51" s="656"/>
      <c r="AF51" s="656"/>
      <c r="AG51" s="656"/>
      <c r="AH51" s="656"/>
      <c r="AI51" s="656"/>
      <c r="AJ51" s="656"/>
      <c r="AK51" s="656"/>
      <c r="AL51" s="656"/>
      <c r="AM51" s="656"/>
      <c r="AN51" s="656"/>
      <c r="AO51" s="656"/>
      <c r="AP51" s="656"/>
      <c r="AQ51" s="656"/>
      <c r="AR51" s="656"/>
      <c r="AS51" s="656"/>
      <c r="AT51" s="656"/>
      <c r="AU51" s="656"/>
      <c r="AV51" s="656"/>
      <c r="AW51" s="656"/>
      <c r="AX51" s="656"/>
      <c r="AY51" s="656"/>
      <c r="AZ51" s="656"/>
      <c r="BA51" s="656"/>
      <c r="BB51" s="656"/>
      <c r="BC51" s="656"/>
      <c r="BD51" s="656"/>
      <c r="BE51" s="656"/>
      <c r="BF51" s="656"/>
      <c r="BG51" s="656"/>
      <c r="BH51" s="656"/>
      <c r="BI51" s="656"/>
      <c r="BJ51" s="656"/>
      <c r="BK51" s="656"/>
      <c r="BL51" s="656"/>
      <c r="BM51" s="656"/>
      <c r="BN51" s="656"/>
      <c r="BO51" s="656"/>
      <c r="BP51" s="656"/>
      <c r="BQ51" s="656"/>
      <c r="BR51" s="656"/>
      <c r="BS51" s="656"/>
      <c r="BT51" s="656"/>
      <c r="BU51" s="656"/>
      <c r="BV51" s="656"/>
      <c r="BW51" s="656"/>
      <c r="BX51" s="656"/>
      <c r="BY51" s="656"/>
      <c r="BZ51" s="656"/>
      <c r="CA51" s="656"/>
      <c r="CB51" s="656"/>
      <c r="CC51" s="656"/>
      <c r="CD51" s="656"/>
      <c r="CE51" s="656"/>
      <c r="CF51" s="656"/>
      <c r="CG51" s="656"/>
      <c r="CH51" s="656"/>
      <c r="CI51" s="656"/>
      <c r="CJ51" s="656"/>
      <c r="CK51" s="656"/>
      <c r="CL51" s="656"/>
      <c r="CM51" s="656"/>
      <c r="CN51" s="656"/>
      <c r="CO51" s="656"/>
      <c r="CP51" s="656"/>
      <c r="CQ51" s="656"/>
      <c r="CR51" s="656"/>
      <c r="CS51" s="656"/>
      <c r="CT51" s="656"/>
      <c r="CU51" s="656"/>
      <c r="CV51" s="656"/>
      <c r="CW51" s="656"/>
      <c r="CX51" s="656"/>
      <c r="CY51" s="656"/>
      <c r="CZ51" s="656"/>
      <c r="DA51" s="656"/>
      <c r="DB51" s="656"/>
      <c r="DC51" s="656"/>
      <c r="DD51" s="656"/>
      <c r="DE51" s="656"/>
      <c r="DF51" s="656"/>
      <c r="DG51" s="656"/>
      <c r="DH51" s="656"/>
      <c r="DI51" s="656"/>
      <c r="DJ51" s="656"/>
      <c r="DK51" s="656"/>
      <c r="DL51" s="656"/>
      <c r="DM51" s="656"/>
      <c r="DN51" s="656"/>
      <c r="DO51" s="656"/>
      <c r="DP51" s="656"/>
      <c r="DQ51" s="656"/>
      <c r="DR51" s="656"/>
      <c r="DS51" s="656"/>
      <c r="DT51" s="656"/>
      <c r="DU51" s="656"/>
      <c r="DV51" s="656"/>
      <c r="DW51" s="656"/>
      <c r="DX51" s="656"/>
      <c r="DY51" s="656"/>
      <c r="DZ51" s="656"/>
      <c r="EA51" s="656"/>
      <c r="EB51" s="656"/>
      <c r="EC51" s="656"/>
      <c r="ED51" s="656"/>
      <c r="EE51" s="656"/>
      <c r="EF51" s="656"/>
      <c r="EG51" s="656"/>
      <c r="EH51" s="656"/>
      <c r="EI51" s="656"/>
      <c r="EJ51" s="656"/>
      <c r="EK51" s="656"/>
      <c r="EL51" s="656"/>
      <c r="EM51" s="656"/>
      <c r="EN51" s="656"/>
      <c r="EO51" s="656"/>
      <c r="EP51" s="656"/>
      <c r="EQ51" s="656"/>
      <c r="ER51" s="656"/>
      <c r="ES51" s="656"/>
      <c r="ET51" s="656"/>
      <c r="EU51" s="656"/>
      <c r="EV51" s="656"/>
      <c r="EW51" s="656"/>
      <c r="EX51" s="656"/>
      <c r="EY51" s="656"/>
      <c r="EZ51" s="656"/>
      <c r="FA51" s="656"/>
      <c r="FB51" s="656"/>
      <c r="FC51" s="656"/>
      <c r="FD51" s="656"/>
      <c r="FE51" s="656"/>
      <c r="FF51" s="656"/>
      <c r="FG51" s="656"/>
      <c r="FH51" s="656"/>
      <c r="FI51" s="656"/>
      <c r="FJ51" s="656"/>
      <c r="FK51" s="656"/>
      <c r="FL51" s="656"/>
      <c r="FM51" s="656"/>
      <c r="FN51" s="656"/>
      <c r="FO51" s="656"/>
      <c r="FP51" s="656"/>
      <c r="FQ51" s="656"/>
      <c r="FR51" s="656"/>
      <c r="FS51" s="656"/>
      <c r="FT51" s="656"/>
      <c r="FU51" s="656"/>
      <c r="FV51" s="656"/>
      <c r="FW51" s="656"/>
      <c r="FX51" s="656"/>
      <c r="FY51" s="656"/>
      <c r="FZ51" s="656"/>
      <c r="GA51" s="656"/>
      <c r="GB51" s="656"/>
      <c r="GC51" s="656"/>
      <c r="GD51" s="656"/>
      <c r="GE51" s="656"/>
      <c r="GF51" s="656"/>
      <c r="GG51" s="656"/>
      <c r="GH51" s="656"/>
      <c r="GI51" s="656"/>
      <c r="GJ51" s="656"/>
      <c r="GK51" s="656"/>
      <c r="GL51" s="656"/>
      <c r="GM51" s="656"/>
      <c r="GN51" s="656"/>
      <c r="GO51" s="656"/>
      <c r="GP51" s="656"/>
      <c r="GQ51" s="656"/>
      <c r="GR51" s="656"/>
      <c r="GS51" s="656"/>
      <c r="GT51" s="656"/>
      <c r="GU51" s="656"/>
      <c r="GV51" s="656"/>
      <c r="GW51" s="656"/>
      <c r="GX51" s="656"/>
      <c r="GY51" s="656"/>
      <c r="GZ51" s="656"/>
      <c r="HA51" s="656"/>
      <c r="HB51" s="656"/>
      <c r="HC51" s="656"/>
      <c r="HD51" s="656"/>
      <c r="HE51" s="656"/>
      <c r="HF51" s="656"/>
      <c r="HG51" s="656"/>
      <c r="HH51" s="656"/>
      <c r="HI51" s="656"/>
      <c r="HJ51" s="656"/>
      <c r="HK51" s="656"/>
      <c r="HL51" s="656"/>
      <c r="HM51" s="656"/>
      <c r="HN51" s="656"/>
      <c r="HO51" s="656"/>
      <c r="HP51" s="656"/>
      <c r="HQ51" s="656"/>
      <c r="HR51" s="656"/>
      <c r="HS51" s="656"/>
      <c r="HT51" s="656"/>
      <c r="HU51" s="656"/>
      <c r="HV51" s="656"/>
      <c r="HW51" s="656"/>
    </row>
    <row r="52" spans="1:231" s="657" customFormat="1" x14ac:dyDescent="0.25">
      <c r="A52" s="646">
        <v>36</v>
      </c>
      <c r="B52" s="680" t="s">
        <v>1017</v>
      </c>
      <c r="C52" s="681" t="s">
        <v>1018</v>
      </c>
      <c r="D52" s="691" t="s">
        <v>6</v>
      </c>
      <c r="E52" s="681">
        <v>5</v>
      </c>
      <c r="F52" s="684">
        <v>48343.4</v>
      </c>
      <c r="G52" s="684">
        <v>241717</v>
      </c>
      <c r="H52" s="685"/>
      <c r="I52" s="686">
        <v>-4</v>
      </c>
      <c r="J52" s="683">
        <v>1</v>
      </c>
      <c r="K52" s="684">
        <v>48343</v>
      </c>
      <c r="L52" s="683">
        <v>1</v>
      </c>
      <c r="M52" s="684">
        <v>48343</v>
      </c>
      <c r="N52" s="683">
        <v>1</v>
      </c>
      <c r="O52" s="687">
        <v>48343</v>
      </c>
      <c r="P52" s="656"/>
      <c r="Q52" s="656"/>
      <c r="R52" s="656"/>
      <c r="S52" s="656"/>
      <c r="T52" s="656"/>
      <c r="U52" s="656"/>
      <c r="V52" s="656"/>
      <c r="W52" s="656"/>
      <c r="X52" s="656"/>
      <c r="Y52" s="656"/>
      <c r="Z52" s="656"/>
      <c r="AA52" s="656"/>
      <c r="AB52" s="656"/>
      <c r="AC52" s="656"/>
      <c r="AD52" s="656"/>
      <c r="AE52" s="656"/>
      <c r="AF52" s="656"/>
      <c r="AG52" s="656"/>
      <c r="AH52" s="656"/>
      <c r="AI52" s="656"/>
      <c r="AJ52" s="656"/>
      <c r="AK52" s="656"/>
      <c r="AL52" s="656"/>
      <c r="AM52" s="656"/>
      <c r="AN52" s="656"/>
      <c r="AO52" s="656"/>
      <c r="AP52" s="656"/>
      <c r="AQ52" s="656"/>
      <c r="AR52" s="656"/>
      <c r="AS52" s="656"/>
      <c r="AT52" s="656"/>
      <c r="AU52" s="656"/>
      <c r="AV52" s="656"/>
      <c r="AW52" s="656"/>
      <c r="AX52" s="656"/>
      <c r="AY52" s="656"/>
      <c r="AZ52" s="656"/>
      <c r="BA52" s="656"/>
      <c r="BB52" s="656"/>
      <c r="BC52" s="656"/>
      <c r="BD52" s="656"/>
      <c r="BE52" s="656"/>
      <c r="BF52" s="656"/>
      <c r="BG52" s="656"/>
      <c r="BH52" s="656"/>
      <c r="BI52" s="656"/>
      <c r="BJ52" s="656"/>
      <c r="BK52" s="656"/>
      <c r="BL52" s="656"/>
      <c r="BM52" s="656"/>
      <c r="BN52" s="656"/>
      <c r="BO52" s="656"/>
      <c r="BP52" s="656"/>
      <c r="BQ52" s="656"/>
      <c r="BR52" s="656"/>
      <c r="BS52" s="656"/>
      <c r="BT52" s="656"/>
      <c r="BU52" s="656"/>
      <c r="BV52" s="656"/>
      <c r="BW52" s="656"/>
      <c r="BX52" s="656"/>
      <c r="BY52" s="656"/>
      <c r="BZ52" s="656"/>
      <c r="CA52" s="656"/>
      <c r="CB52" s="656"/>
      <c r="CC52" s="656"/>
      <c r="CD52" s="656"/>
      <c r="CE52" s="656"/>
      <c r="CF52" s="656"/>
      <c r="CG52" s="656"/>
      <c r="CH52" s="656"/>
      <c r="CI52" s="656"/>
      <c r="CJ52" s="656"/>
      <c r="CK52" s="656"/>
      <c r="CL52" s="656"/>
      <c r="CM52" s="656"/>
      <c r="CN52" s="656"/>
      <c r="CO52" s="656"/>
      <c r="CP52" s="656"/>
      <c r="CQ52" s="656"/>
      <c r="CR52" s="656"/>
      <c r="CS52" s="656"/>
      <c r="CT52" s="656"/>
      <c r="CU52" s="656"/>
      <c r="CV52" s="656"/>
      <c r="CW52" s="656"/>
      <c r="CX52" s="656"/>
      <c r="CY52" s="656"/>
      <c r="CZ52" s="656"/>
      <c r="DA52" s="656"/>
      <c r="DB52" s="656"/>
      <c r="DC52" s="656"/>
      <c r="DD52" s="656"/>
      <c r="DE52" s="656"/>
      <c r="DF52" s="656"/>
      <c r="DG52" s="656"/>
      <c r="DH52" s="656"/>
      <c r="DI52" s="656"/>
      <c r="DJ52" s="656"/>
      <c r="DK52" s="656"/>
      <c r="DL52" s="656"/>
      <c r="DM52" s="656"/>
      <c r="DN52" s="656"/>
      <c r="DO52" s="656"/>
      <c r="DP52" s="656"/>
      <c r="DQ52" s="656"/>
      <c r="DR52" s="656"/>
      <c r="DS52" s="656"/>
      <c r="DT52" s="656"/>
      <c r="DU52" s="656"/>
      <c r="DV52" s="656"/>
      <c r="DW52" s="656"/>
      <c r="DX52" s="656"/>
      <c r="DY52" s="656"/>
      <c r="DZ52" s="656"/>
      <c r="EA52" s="656"/>
      <c r="EB52" s="656"/>
      <c r="EC52" s="656"/>
      <c r="ED52" s="656"/>
      <c r="EE52" s="656"/>
      <c r="EF52" s="656"/>
      <c r="EG52" s="656"/>
      <c r="EH52" s="656"/>
      <c r="EI52" s="656"/>
      <c r="EJ52" s="656"/>
      <c r="EK52" s="656"/>
      <c r="EL52" s="656"/>
      <c r="EM52" s="656"/>
      <c r="EN52" s="656"/>
      <c r="EO52" s="656"/>
      <c r="EP52" s="656"/>
      <c r="EQ52" s="656"/>
      <c r="ER52" s="656"/>
      <c r="ES52" s="656"/>
      <c r="ET52" s="656"/>
      <c r="EU52" s="656"/>
      <c r="EV52" s="656"/>
      <c r="EW52" s="656"/>
      <c r="EX52" s="656"/>
      <c r="EY52" s="656"/>
      <c r="EZ52" s="656"/>
      <c r="FA52" s="656"/>
      <c r="FB52" s="656"/>
      <c r="FC52" s="656"/>
      <c r="FD52" s="656"/>
      <c r="FE52" s="656"/>
      <c r="FF52" s="656"/>
      <c r="FG52" s="656"/>
      <c r="FH52" s="656"/>
      <c r="FI52" s="656"/>
      <c r="FJ52" s="656"/>
      <c r="FK52" s="656"/>
      <c r="FL52" s="656"/>
      <c r="FM52" s="656"/>
      <c r="FN52" s="656"/>
      <c r="FO52" s="656"/>
      <c r="FP52" s="656"/>
      <c r="FQ52" s="656"/>
      <c r="FR52" s="656"/>
      <c r="FS52" s="656"/>
      <c r="FT52" s="656"/>
      <c r="FU52" s="656"/>
      <c r="FV52" s="656"/>
      <c r="FW52" s="656"/>
      <c r="FX52" s="656"/>
      <c r="FY52" s="656"/>
      <c r="FZ52" s="656"/>
      <c r="GA52" s="656"/>
      <c r="GB52" s="656"/>
      <c r="GC52" s="656"/>
      <c r="GD52" s="656"/>
      <c r="GE52" s="656"/>
      <c r="GF52" s="656"/>
      <c r="GG52" s="656"/>
      <c r="GH52" s="656"/>
      <c r="GI52" s="656"/>
      <c r="GJ52" s="656"/>
      <c r="GK52" s="656"/>
      <c r="GL52" s="656"/>
      <c r="GM52" s="656"/>
      <c r="GN52" s="656"/>
      <c r="GO52" s="656"/>
      <c r="GP52" s="656"/>
      <c r="GQ52" s="656"/>
      <c r="GR52" s="656"/>
      <c r="GS52" s="656"/>
      <c r="GT52" s="656"/>
      <c r="GU52" s="656"/>
      <c r="GV52" s="656"/>
      <c r="GW52" s="656"/>
      <c r="GX52" s="656"/>
      <c r="GY52" s="656"/>
      <c r="GZ52" s="656"/>
      <c r="HA52" s="656"/>
      <c r="HB52" s="656"/>
      <c r="HC52" s="656"/>
      <c r="HD52" s="656"/>
      <c r="HE52" s="656"/>
      <c r="HF52" s="656"/>
      <c r="HG52" s="656"/>
      <c r="HH52" s="656"/>
      <c r="HI52" s="656"/>
      <c r="HJ52" s="656"/>
      <c r="HK52" s="656"/>
      <c r="HL52" s="656"/>
      <c r="HM52" s="656"/>
      <c r="HN52" s="656"/>
      <c r="HO52" s="656"/>
      <c r="HP52" s="656"/>
      <c r="HQ52" s="656"/>
      <c r="HR52" s="656"/>
      <c r="HS52" s="656"/>
      <c r="HT52" s="656"/>
      <c r="HU52" s="656"/>
      <c r="HV52" s="656"/>
      <c r="HW52" s="656"/>
    </row>
    <row r="53" spans="1:231" s="657" customFormat="1" ht="28.5" x14ac:dyDescent="0.25">
      <c r="A53" s="646">
        <v>37</v>
      </c>
      <c r="B53" s="680" t="s">
        <v>1019</v>
      </c>
      <c r="C53" s="681" t="s">
        <v>1020</v>
      </c>
      <c r="D53" s="691" t="s">
        <v>6</v>
      </c>
      <c r="E53" s="681">
        <v>5</v>
      </c>
      <c r="F53" s="684">
        <v>350120.68</v>
      </c>
      <c r="G53" s="684">
        <v>1750603</v>
      </c>
      <c r="H53" s="685"/>
      <c r="I53" s="686">
        <v>-1</v>
      </c>
      <c r="J53" s="683">
        <v>4</v>
      </c>
      <c r="K53" s="684">
        <v>1400483</v>
      </c>
      <c r="L53" s="683">
        <v>4</v>
      </c>
      <c r="M53" s="684">
        <v>1400483</v>
      </c>
      <c r="N53" s="683">
        <v>4</v>
      </c>
      <c r="O53" s="687">
        <v>1400483</v>
      </c>
      <c r="P53" s="656"/>
      <c r="Q53" s="656"/>
      <c r="R53" s="656"/>
      <c r="S53" s="656"/>
      <c r="T53" s="656"/>
      <c r="U53" s="656"/>
      <c r="V53" s="656"/>
      <c r="W53" s="656"/>
      <c r="X53" s="656"/>
      <c r="Y53" s="656"/>
      <c r="Z53" s="656"/>
      <c r="AA53" s="656"/>
      <c r="AB53" s="656"/>
      <c r="AC53" s="656"/>
      <c r="AD53" s="656"/>
      <c r="AE53" s="656"/>
      <c r="AF53" s="656"/>
      <c r="AG53" s="656"/>
      <c r="AH53" s="656"/>
      <c r="AI53" s="656"/>
      <c r="AJ53" s="656"/>
      <c r="AK53" s="656"/>
      <c r="AL53" s="656"/>
      <c r="AM53" s="656"/>
      <c r="AN53" s="656"/>
      <c r="AO53" s="656"/>
      <c r="AP53" s="656"/>
      <c r="AQ53" s="656"/>
      <c r="AR53" s="656"/>
      <c r="AS53" s="656"/>
      <c r="AT53" s="656"/>
      <c r="AU53" s="656"/>
      <c r="AV53" s="656"/>
      <c r="AW53" s="656"/>
      <c r="AX53" s="656"/>
      <c r="AY53" s="656"/>
      <c r="AZ53" s="656"/>
      <c r="BA53" s="656"/>
      <c r="BB53" s="656"/>
      <c r="BC53" s="656"/>
      <c r="BD53" s="656"/>
      <c r="BE53" s="656"/>
      <c r="BF53" s="656"/>
      <c r="BG53" s="656"/>
      <c r="BH53" s="656"/>
      <c r="BI53" s="656"/>
      <c r="BJ53" s="656"/>
      <c r="BK53" s="656"/>
      <c r="BL53" s="656"/>
      <c r="BM53" s="656"/>
      <c r="BN53" s="656"/>
      <c r="BO53" s="656"/>
      <c r="BP53" s="656"/>
      <c r="BQ53" s="656"/>
      <c r="BR53" s="656"/>
      <c r="BS53" s="656"/>
      <c r="BT53" s="656"/>
      <c r="BU53" s="656"/>
      <c r="BV53" s="656"/>
      <c r="BW53" s="656"/>
      <c r="BX53" s="656"/>
      <c r="BY53" s="656"/>
      <c r="BZ53" s="656"/>
      <c r="CA53" s="656"/>
      <c r="CB53" s="656"/>
      <c r="CC53" s="656"/>
      <c r="CD53" s="656"/>
      <c r="CE53" s="656"/>
      <c r="CF53" s="656"/>
      <c r="CG53" s="656"/>
      <c r="CH53" s="656"/>
      <c r="CI53" s="656"/>
      <c r="CJ53" s="656"/>
      <c r="CK53" s="656"/>
      <c r="CL53" s="656"/>
      <c r="CM53" s="656"/>
      <c r="CN53" s="656"/>
      <c r="CO53" s="656"/>
      <c r="CP53" s="656"/>
      <c r="CQ53" s="656"/>
      <c r="CR53" s="656"/>
      <c r="CS53" s="656"/>
      <c r="CT53" s="656"/>
      <c r="CU53" s="656"/>
      <c r="CV53" s="656"/>
      <c r="CW53" s="656"/>
      <c r="CX53" s="656"/>
      <c r="CY53" s="656"/>
      <c r="CZ53" s="656"/>
      <c r="DA53" s="656"/>
      <c r="DB53" s="656"/>
      <c r="DC53" s="656"/>
      <c r="DD53" s="656"/>
      <c r="DE53" s="656"/>
      <c r="DF53" s="656"/>
      <c r="DG53" s="656"/>
      <c r="DH53" s="656"/>
      <c r="DI53" s="656"/>
      <c r="DJ53" s="656"/>
      <c r="DK53" s="656"/>
      <c r="DL53" s="656"/>
      <c r="DM53" s="656"/>
      <c r="DN53" s="656"/>
      <c r="DO53" s="656"/>
      <c r="DP53" s="656"/>
      <c r="DQ53" s="656"/>
      <c r="DR53" s="656"/>
      <c r="DS53" s="656"/>
      <c r="DT53" s="656"/>
      <c r="DU53" s="656"/>
      <c r="DV53" s="656"/>
      <c r="DW53" s="656"/>
      <c r="DX53" s="656"/>
      <c r="DY53" s="656"/>
      <c r="DZ53" s="656"/>
      <c r="EA53" s="656"/>
      <c r="EB53" s="656"/>
      <c r="EC53" s="656"/>
      <c r="ED53" s="656"/>
      <c r="EE53" s="656"/>
      <c r="EF53" s="656"/>
      <c r="EG53" s="656"/>
      <c r="EH53" s="656"/>
      <c r="EI53" s="656"/>
      <c r="EJ53" s="656"/>
      <c r="EK53" s="656"/>
      <c r="EL53" s="656"/>
      <c r="EM53" s="656"/>
      <c r="EN53" s="656"/>
      <c r="EO53" s="656"/>
      <c r="EP53" s="656"/>
      <c r="EQ53" s="656"/>
      <c r="ER53" s="656"/>
      <c r="ES53" s="656"/>
      <c r="ET53" s="656"/>
      <c r="EU53" s="656"/>
      <c r="EV53" s="656"/>
      <c r="EW53" s="656"/>
      <c r="EX53" s="656"/>
      <c r="EY53" s="656"/>
      <c r="EZ53" s="656"/>
      <c r="FA53" s="656"/>
      <c r="FB53" s="656"/>
      <c r="FC53" s="656"/>
      <c r="FD53" s="656"/>
      <c r="FE53" s="656"/>
      <c r="FF53" s="656"/>
      <c r="FG53" s="656"/>
      <c r="FH53" s="656"/>
      <c r="FI53" s="656"/>
      <c r="FJ53" s="656"/>
      <c r="FK53" s="656"/>
      <c r="FL53" s="656"/>
      <c r="FM53" s="656"/>
      <c r="FN53" s="656"/>
      <c r="FO53" s="656"/>
      <c r="FP53" s="656"/>
      <c r="FQ53" s="656"/>
      <c r="FR53" s="656"/>
      <c r="FS53" s="656"/>
      <c r="FT53" s="656"/>
      <c r="FU53" s="656"/>
      <c r="FV53" s="656"/>
      <c r="FW53" s="656"/>
      <c r="FX53" s="656"/>
      <c r="FY53" s="656"/>
      <c r="FZ53" s="656"/>
      <c r="GA53" s="656"/>
      <c r="GB53" s="656"/>
      <c r="GC53" s="656"/>
      <c r="GD53" s="656"/>
      <c r="GE53" s="656"/>
      <c r="GF53" s="656"/>
      <c r="GG53" s="656"/>
      <c r="GH53" s="656"/>
      <c r="GI53" s="656"/>
      <c r="GJ53" s="656"/>
      <c r="GK53" s="656"/>
      <c r="GL53" s="656"/>
      <c r="GM53" s="656"/>
      <c r="GN53" s="656"/>
      <c r="GO53" s="656"/>
      <c r="GP53" s="656"/>
      <c r="GQ53" s="656"/>
      <c r="GR53" s="656"/>
      <c r="GS53" s="656"/>
      <c r="GT53" s="656"/>
      <c r="GU53" s="656"/>
      <c r="GV53" s="656"/>
      <c r="GW53" s="656"/>
      <c r="GX53" s="656"/>
      <c r="GY53" s="656"/>
      <c r="GZ53" s="656"/>
      <c r="HA53" s="656"/>
      <c r="HB53" s="656"/>
      <c r="HC53" s="656"/>
      <c r="HD53" s="656"/>
      <c r="HE53" s="656"/>
      <c r="HF53" s="656"/>
      <c r="HG53" s="656"/>
      <c r="HH53" s="656"/>
      <c r="HI53" s="656"/>
      <c r="HJ53" s="656"/>
      <c r="HK53" s="656"/>
      <c r="HL53" s="656"/>
      <c r="HM53" s="656"/>
      <c r="HN53" s="656"/>
      <c r="HO53" s="656"/>
      <c r="HP53" s="656"/>
      <c r="HQ53" s="656"/>
      <c r="HR53" s="656"/>
      <c r="HS53" s="656"/>
      <c r="HT53" s="656"/>
      <c r="HU53" s="656"/>
      <c r="HV53" s="656"/>
      <c r="HW53" s="656"/>
    </row>
    <row r="54" spans="1:231" s="657" customFormat="1" x14ac:dyDescent="0.25">
      <c r="A54" s="646">
        <v>38</v>
      </c>
      <c r="B54" s="680" t="s">
        <v>1021</v>
      </c>
      <c r="C54" s="681" t="s">
        <v>1022</v>
      </c>
      <c r="D54" s="691" t="s">
        <v>6</v>
      </c>
      <c r="E54" s="681">
        <v>3</v>
      </c>
      <c r="F54" s="684">
        <v>495452.72</v>
      </c>
      <c r="G54" s="684">
        <v>1486358</v>
      </c>
      <c r="H54" s="685">
        <v>0</v>
      </c>
      <c r="I54" s="686">
        <v>-2</v>
      </c>
      <c r="J54" s="683">
        <v>1</v>
      </c>
      <c r="K54" s="684">
        <v>495453</v>
      </c>
      <c r="L54" s="683">
        <v>1</v>
      </c>
      <c r="M54" s="684">
        <v>495453</v>
      </c>
      <c r="N54" s="683">
        <v>1</v>
      </c>
      <c r="O54" s="687">
        <v>495453</v>
      </c>
      <c r="P54" s="656"/>
      <c r="Q54" s="656"/>
      <c r="R54" s="656"/>
      <c r="S54" s="656"/>
      <c r="T54" s="656"/>
      <c r="U54" s="656"/>
      <c r="V54" s="656"/>
      <c r="W54" s="656"/>
      <c r="X54" s="656"/>
      <c r="Y54" s="656"/>
      <c r="Z54" s="656"/>
      <c r="AA54" s="656"/>
      <c r="AB54" s="656"/>
      <c r="AC54" s="656"/>
      <c r="AD54" s="656"/>
      <c r="AE54" s="656"/>
      <c r="AF54" s="656"/>
      <c r="AG54" s="656"/>
      <c r="AH54" s="656"/>
      <c r="AI54" s="656"/>
      <c r="AJ54" s="656"/>
      <c r="AK54" s="656"/>
      <c r="AL54" s="656"/>
      <c r="AM54" s="656"/>
      <c r="AN54" s="656"/>
      <c r="AO54" s="656"/>
      <c r="AP54" s="656"/>
      <c r="AQ54" s="656"/>
      <c r="AR54" s="656"/>
      <c r="AS54" s="656"/>
      <c r="AT54" s="656"/>
      <c r="AU54" s="656"/>
      <c r="AV54" s="656"/>
      <c r="AW54" s="656"/>
      <c r="AX54" s="656"/>
      <c r="AY54" s="656"/>
      <c r="AZ54" s="656"/>
      <c r="BA54" s="656"/>
      <c r="BB54" s="656"/>
      <c r="BC54" s="656"/>
      <c r="BD54" s="656"/>
      <c r="BE54" s="656"/>
      <c r="BF54" s="656"/>
      <c r="BG54" s="656"/>
      <c r="BH54" s="656"/>
      <c r="BI54" s="656"/>
      <c r="BJ54" s="656"/>
      <c r="BK54" s="656"/>
      <c r="BL54" s="656"/>
      <c r="BM54" s="656"/>
      <c r="BN54" s="656"/>
      <c r="BO54" s="656"/>
      <c r="BP54" s="656"/>
      <c r="BQ54" s="656"/>
      <c r="BR54" s="656"/>
      <c r="BS54" s="656"/>
      <c r="BT54" s="656"/>
      <c r="BU54" s="656"/>
      <c r="BV54" s="656"/>
      <c r="BW54" s="656"/>
      <c r="BX54" s="656"/>
      <c r="BY54" s="656"/>
      <c r="BZ54" s="656"/>
      <c r="CA54" s="656"/>
      <c r="CB54" s="656"/>
      <c r="CC54" s="656"/>
      <c r="CD54" s="656"/>
      <c r="CE54" s="656"/>
      <c r="CF54" s="656"/>
      <c r="CG54" s="656"/>
      <c r="CH54" s="656"/>
      <c r="CI54" s="656"/>
      <c r="CJ54" s="656"/>
      <c r="CK54" s="656"/>
      <c r="CL54" s="656"/>
      <c r="CM54" s="656"/>
      <c r="CN54" s="656"/>
      <c r="CO54" s="656"/>
      <c r="CP54" s="656"/>
      <c r="CQ54" s="656"/>
      <c r="CR54" s="656"/>
      <c r="CS54" s="656"/>
      <c r="CT54" s="656"/>
      <c r="CU54" s="656"/>
      <c r="CV54" s="656"/>
      <c r="CW54" s="656"/>
      <c r="CX54" s="656"/>
      <c r="CY54" s="656"/>
      <c r="CZ54" s="656"/>
      <c r="DA54" s="656"/>
      <c r="DB54" s="656"/>
      <c r="DC54" s="656"/>
      <c r="DD54" s="656"/>
      <c r="DE54" s="656"/>
      <c r="DF54" s="656"/>
      <c r="DG54" s="656"/>
      <c r="DH54" s="656"/>
      <c r="DI54" s="656"/>
      <c r="DJ54" s="656"/>
      <c r="DK54" s="656"/>
      <c r="DL54" s="656"/>
      <c r="DM54" s="656"/>
      <c r="DN54" s="656"/>
      <c r="DO54" s="656"/>
      <c r="DP54" s="656"/>
      <c r="DQ54" s="656"/>
      <c r="DR54" s="656"/>
      <c r="DS54" s="656"/>
      <c r="DT54" s="656"/>
      <c r="DU54" s="656"/>
      <c r="DV54" s="656"/>
      <c r="DW54" s="656"/>
      <c r="DX54" s="656"/>
      <c r="DY54" s="656"/>
      <c r="DZ54" s="656"/>
      <c r="EA54" s="656"/>
      <c r="EB54" s="656"/>
      <c r="EC54" s="656"/>
      <c r="ED54" s="656"/>
      <c r="EE54" s="656"/>
      <c r="EF54" s="656"/>
      <c r="EG54" s="656"/>
      <c r="EH54" s="656"/>
      <c r="EI54" s="656"/>
      <c r="EJ54" s="656"/>
      <c r="EK54" s="656"/>
      <c r="EL54" s="656"/>
      <c r="EM54" s="656"/>
      <c r="EN54" s="656"/>
      <c r="EO54" s="656"/>
      <c r="EP54" s="656"/>
      <c r="EQ54" s="656"/>
      <c r="ER54" s="656"/>
      <c r="ES54" s="656"/>
      <c r="ET54" s="656"/>
      <c r="EU54" s="656"/>
      <c r="EV54" s="656"/>
      <c r="EW54" s="656"/>
      <c r="EX54" s="656"/>
      <c r="EY54" s="656"/>
      <c r="EZ54" s="656"/>
      <c r="FA54" s="656"/>
      <c r="FB54" s="656"/>
      <c r="FC54" s="656"/>
      <c r="FD54" s="656"/>
      <c r="FE54" s="656"/>
      <c r="FF54" s="656"/>
      <c r="FG54" s="656"/>
      <c r="FH54" s="656"/>
      <c r="FI54" s="656"/>
      <c r="FJ54" s="656"/>
      <c r="FK54" s="656"/>
      <c r="FL54" s="656"/>
      <c r="FM54" s="656"/>
      <c r="FN54" s="656"/>
      <c r="FO54" s="656"/>
      <c r="FP54" s="656"/>
      <c r="FQ54" s="656"/>
      <c r="FR54" s="656"/>
      <c r="FS54" s="656"/>
      <c r="FT54" s="656"/>
      <c r="FU54" s="656"/>
      <c r="FV54" s="656"/>
      <c r="FW54" s="656"/>
      <c r="FX54" s="656"/>
      <c r="FY54" s="656"/>
      <c r="FZ54" s="656"/>
      <c r="GA54" s="656"/>
      <c r="GB54" s="656"/>
      <c r="GC54" s="656"/>
      <c r="GD54" s="656"/>
      <c r="GE54" s="656"/>
      <c r="GF54" s="656"/>
      <c r="GG54" s="656"/>
      <c r="GH54" s="656"/>
      <c r="GI54" s="656"/>
      <c r="GJ54" s="656"/>
      <c r="GK54" s="656"/>
      <c r="GL54" s="656"/>
      <c r="GM54" s="656"/>
      <c r="GN54" s="656"/>
      <c r="GO54" s="656"/>
      <c r="GP54" s="656"/>
      <c r="GQ54" s="656"/>
      <c r="GR54" s="656"/>
      <c r="GS54" s="656"/>
      <c r="GT54" s="656"/>
      <c r="GU54" s="656"/>
      <c r="GV54" s="656"/>
      <c r="GW54" s="656"/>
      <c r="GX54" s="656"/>
      <c r="GY54" s="656"/>
      <c r="GZ54" s="656"/>
      <c r="HA54" s="656"/>
      <c r="HB54" s="656"/>
      <c r="HC54" s="656"/>
      <c r="HD54" s="656"/>
      <c r="HE54" s="656"/>
      <c r="HF54" s="656"/>
      <c r="HG54" s="656"/>
      <c r="HH54" s="656"/>
      <c r="HI54" s="656"/>
      <c r="HJ54" s="656"/>
      <c r="HK54" s="656"/>
      <c r="HL54" s="656"/>
      <c r="HM54" s="656"/>
      <c r="HN54" s="656"/>
      <c r="HO54" s="656"/>
      <c r="HP54" s="656"/>
      <c r="HQ54" s="656"/>
      <c r="HR54" s="656"/>
      <c r="HS54" s="656"/>
      <c r="HT54" s="656"/>
      <c r="HU54" s="656"/>
      <c r="HV54" s="656"/>
      <c r="HW54" s="656"/>
    </row>
    <row r="55" spans="1:231" s="657" customFormat="1" ht="28.5" x14ac:dyDescent="0.25">
      <c r="A55" s="646">
        <v>39</v>
      </c>
      <c r="B55" s="680" t="s">
        <v>1023</v>
      </c>
      <c r="C55" s="690" t="s">
        <v>1024</v>
      </c>
      <c r="D55" s="691" t="s">
        <v>19</v>
      </c>
      <c r="E55" s="681">
        <v>3</v>
      </c>
      <c r="F55" s="684">
        <v>242387.32</v>
      </c>
      <c r="G55" s="684">
        <v>727162</v>
      </c>
      <c r="H55" s="685">
        <v>0</v>
      </c>
      <c r="I55" s="686">
        <v>-0.20000000000000018</v>
      </c>
      <c r="J55" s="683">
        <v>2.8</v>
      </c>
      <c r="K55" s="684">
        <v>678684</v>
      </c>
      <c r="L55" s="683">
        <v>2.8</v>
      </c>
      <c r="M55" s="684">
        <v>678684</v>
      </c>
      <c r="N55" s="683">
        <v>2.8</v>
      </c>
      <c r="O55" s="687">
        <v>678684</v>
      </c>
      <c r="P55" s="656"/>
      <c r="Q55" s="656"/>
      <c r="R55" s="656"/>
      <c r="S55" s="656"/>
      <c r="T55" s="656"/>
      <c r="U55" s="656"/>
      <c r="V55" s="656"/>
      <c r="W55" s="656"/>
      <c r="X55" s="656"/>
      <c r="Y55" s="656"/>
      <c r="Z55" s="656"/>
      <c r="AA55" s="656"/>
      <c r="AB55" s="656"/>
      <c r="AC55" s="656"/>
      <c r="AD55" s="656"/>
      <c r="AE55" s="656"/>
      <c r="AF55" s="656"/>
      <c r="AG55" s="656"/>
      <c r="AH55" s="656"/>
      <c r="AI55" s="656"/>
      <c r="AJ55" s="656"/>
      <c r="AK55" s="656"/>
      <c r="AL55" s="656"/>
      <c r="AM55" s="656"/>
      <c r="AN55" s="656"/>
      <c r="AO55" s="656"/>
      <c r="AP55" s="656"/>
      <c r="AQ55" s="656"/>
      <c r="AR55" s="656"/>
      <c r="AS55" s="656"/>
      <c r="AT55" s="656"/>
      <c r="AU55" s="656"/>
      <c r="AV55" s="656"/>
      <c r="AW55" s="656"/>
      <c r="AX55" s="656"/>
      <c r="AY55" s="656"/>
      <c r="AZ55" s="656"/>
      <c r="BA55" s="656"/>
      <c r="BB55" s="656"/>
      <c r="BC55" s="656"/>
      <c r="BD55" s="656"/>
      <c r="BE55" s="656"/>
      <c r="BF55" s="656"/>
      <c r="BG55" s="656"/>
      <c r="BH55" s="656"/>
      <c r="BI55" s="656"/>
      <c r="BJ55" s="656"/>
      <c r="BK55" s="656"/>
      <c r="BL55" s="656"/>
      <c r="BM55" s="656"/>
      <c r="BN55" s="656"/>
      <c r="BO55" s="656"/>
      <c r="BP55" s="656"/>
      <c r="BQ55" s="656"/>
      <c r="BR55" s="656"/>
      <c r="BS55" s="656"/>
      <c r="BT55" s="656"/>
      <c r="BU55" s="656"/>
      <c r="BV55" s="656"/>
      <c r="BW55" s="656"/>
      <c r="BX55" s="656"/>
      <c r="BY55" s="656"/>
      <c r="BZ55" s="656"/>
      <c r="CA55" s="656"/>
      <c r="CB55" s="656"/>
      <c r="CC55" s="656"/>
      <c r="CD55" s="656"/>
      <c r="CE55" s="656"/>
      <c r="CF55" s="656"/>
      <c r="CG55" s="656"/>
      <c r="CH55" s="656"/>
      <c r="CI55" s="656"/>
      <c r="CJ55" s="656"/>
      <c r="CK55" s="656"/>
      <c r="CL55" s="656"/>
      <c r="CM55" s="656"/>
      <c r="CN55" s="656"/>
      <c r="CO55" s="656"/>
      <c r="CP55" s="656"/>
      <c r="CQ55" s="656"/>
      <c r="CR55" s="656"/>
      <c r="CS55" s="656"/>
      <c r="CT55" s="656"/>
      <c r="CU55" s="656"/>
      <c r="CV55" s="656"/>
      <c r="CW55" s="656"/>
      <c r="CX55" s="656"/>
      <c r="CY55" s="656"/>
      <c r="CZ55" s="656"/>
      <c r="DA55" s="656"/>
      <c r="DB55" s="656"/>
      <c r="DC55" s="656"/>
      <c r="DD55" s="656"/>
      <c r="DE55" s="656"/>
      <c r="DF55" s="656"/>
      <c r="DG55" s="656"/>
      <c r="DH55" s="656"/>
      <c r="DI55" s="656"/>
      <c r="DJ55" s="656"/>
      <c r="DK55" s="656"/>
      <c r="DL55" s="656"/>
      <c r="DM55" s="656"/>
      <c r="DN55" s="656"/>
      <c r="DO55" s="656"/>
      <c r="DP55" s="656"/>
      <c r="DQ55" s="656"/>
      <c r="DR55" s="656"/>
      <c r="DS55" s="656"/>
      <c r="DT55" s="656"/>
      <c r="DU55" s="656"/>
      <c r="DV55" s="656"/>
      <c r="DW55" s="656"/>
      <c r="DX55" s="656"/>
      <c r="DY55" s="656"/>
      <c r="DZ55" s="656"/>
      <c r="EA55" s="656"/>
      <c r="EB55" s="656"/>
      <c r="EC55" s="656"/>
      <c r="ED55" s="656"/>
      <c r="EE55" s="656"/>
      <c r="EF55" s="656"/>
      <c r="EG55" s="656"/>
      <c r="EH55" s="656"/>
      <c r="EI55" s="656"/>
      <c r="EJ55" s="656"/>
      <c r="EK55" s="656"/>
      <c r="EL55" s="656"/>
      <c r="EM55" s="656"/>
      <c r="EN55" s="656"/>
      <c r="EO55" s="656"/>
      <c r="EP55" s="656"/>
      <c r="EQ55" s="656"/>
      <c r="ER55" s="656"/>
      <c r="ES55" s="656"/>
      <c r="ET55" s="656"/>
      <c r="EU55" s="656"/>
      <c r="EV55" s="656"/>
      <c r="EW55" s="656"/>
      <c r="EX55" s="656"/>
      <c r="EY55" s="656"/>
      <c r="EZ55" s="656"/>
      <c r="FA55" s="656"/>
      <c r="FB55" s="656"/>
      <c r="FC55" s="656"/>
      <c r="FD55" s="656"/>
      <c r="FE55" s="656"/>
      <c r="FF55" s="656"/>
      <c r="FG55" s="656"/>
      <c r="FH55" s="656"/>
      <c r="FI55" s="656"/>
      <c r="FJ55" s="656"/>
      <c r="FK55" s="656"/>
      <c r="FL55" s="656"/>
      <c r="FM55" s="656"/>
      <c r="FN55" s="656"/>
      <c r="FO55" s="656"/>
      <c r="FP55" s="656"/>
      <c r="FQ55" s="656"/>
      <c r="FR55" s="656"/>
      <c r="FS55" s="656"/>
      <c r="FT55" s="656"/>
      <c r="FU55" s="656"/>
      <c r="FV55" s="656"/>
      <c r="FW55" s="656"/>
      <c r="FX55" s="656"/>
      <c r="FY55" s="656"/>
      <c r="FZ55" s="656"/>
      <c r="GA55" s="656"/>
      <c r="GB55" s="656"/>
      <c r="GC55" s="656"/>
      <c r="GD55" s="656"/>
      <c r="GE55" s="656"/>
      <c r="GF55" s="656"/>
      <c r="GG55" s="656"/>
      <c r="GH55" s="656"/>
      <c r="GI55" s="656"/>
      <c r="GJ55" s="656"/>
      <c r="GK55" s="656"/>
      <c r="GL55" s="656"/>
      <c r="GM55" s="656"/>
      <c r="GN55" s="656"/>
      <c r="GO55" s="656"/>
      <c r="GP55" s="656"/>
      <c r="GQ55" s="656"/>
      <c r="GR55" s="656"/>
      <c r="GS55" s="656"/>
      <c r="GT55" s="656"/>
      <c r="GU55" s="656"/>
      <c r="GV55" s="656"/>
      <c r="GW55" s="656"/>
      <c r="GX55" s="656"/>
      <c r="GY55" s="656"/>
      <c r="GZ55" s="656"/>
      <c r="HA55" s="656"/>
      <c r="HB55" s="656"/>
      <c r="HC55" s="656"/>
      <c r="HD55" s="656"/>
      <c r="HE55" s="656"/>
      <c r="HF55" s="656"/>
      <c r="HG55" s="656"/>
      <c r="HH55" s="656"/>
      <c r="HI55" s="656"/>
      <c r="HJ55" s="656"/>
      <c r="HK55" s="656"/>
      <c r="HL55" s="656"/>
      <c r="HM55" s="656"/>
      <c r="HN55" s="656"/>
      <c r="HO55" s="656"/>
      <c r="HP55" s="656"/>
      <c r="HQ55" s="656"/>
      <c r="HR55" s="656"/>
      <c r="HS55" s="656"/>
      <c r="HT55" s="656"/>
      <c r="HU55" s="656"/>
      <c r="HV55" s="656"/>
      <c r="HW55" s="656"/>
    </row>
    <row r="56" spans="1:231" s="657" customFormat="1" ht="28.5" x14ac:dyDescent="0.25">
      <c r="A56" s="646">
        <v>40</v>
      </c>
      <c r="B56" s="680" t="s">
        <v>1025</v>
      </c>
      <c r="C56" s="1541" t="s">
        <v>1026</v>
      </c>
      <c r="D56" s="691" t="s">
        <v>14</v>
      </c>
      <c r="E56" s="681">
        <v>20</v>
      </c>
      <c r="F56" s="684">
        <v>38658.06</v>
      </c>
      <c r="G56" s="684">
        <v>773161</v>
      </c>
      <c r="H56" s="685">
        <v>0</v>
      </c>
      <c r="I56" s="686">
        <v>-5.9499999999999993</v>
      </c>
      <c r="J56" s="683">
        <v>14.05</v>
      </c>
      <c r="K56" s="684">
        <v>543146</v>
      </c>
      <c r="L56" s="683">
        <v>14.05</v>
      </c>
      <c r="M56" s="684">
        <v>543146</v>
      </c>
      <c r="N56" s="683">
        <v>14.05</v>
      </c>
      <c r="O56" s="687">
        <v>543146</v>
      </c>
      <c r="P56" s="656"/>
      <c r="Q56" s="656"/>
      <c r="R56" s="656"/>
      <c r="S56" s="656"/>
      <c r="T56" s="656"/>
      <c r="U56" s="656"/>
      <c r="V56" s="656"/>
      <c r="W56" s="656"/>
      <c r="X56" s="656"/>
      <c r="Y56" s="656"/>
      <c r="Z56" s="656"/>
      <c r="AA56" s="656"/>
      <c r="AB56" s="656"/>
      <c r="AC56" s="656"/>
      <c r="AD56" s="656"/>
      <c r="AE56" s="656"/>
      <c r="AF56" s="656"/>
      <c r="AG56" s="656"/>
      <c r="AH56" s="656"/>
      <c r="AI56" s="656"/>
      <c r="AJ56" s="656"/>
      <c r="AK56" s="656"/>
      <c r="AL56" s="656"/>
      <c r="AM56" s="656"/>
      <c r="AN56" s="656"/>
      <c r="AO56" s="656"/>
      <c r="AP56" s="656"/>
      <c r="AQ56" s="656"/>
      <c r="AR56" s="656"/>
      <c r="AS56" s="656"/>
      <c r="AT56" s="656"/>
      <c r="AU56" s="656"/>
      <c r="AV56" s="656"/>
      <c r="AW56" s="656"/>
      <c r="AX56" s="656"/>
      <c r="AY56" s="656"/>
      <c r="AZ56" s="656"/>
      <c r="BA56" s="656"/>
      <c r="BB56" s="656"/>
      <c r="BC56" s="656"/>
      <c r="BD56" s="656"/>
      <c r="BE56" s="656"/>
      <c r="BF56" s="656"/>
      <c r="BG56" s="656"/>
      <c r="BH56" s="656"/>
      <c r="BI56" s="656"/>
      <c r="BJ56" s="656"/>
      <c r="BK56" s="656"/>
      <c r="BL56" s="656"/>
      <c r="BM56" s="656"/>
      <c r="BN56" s="656"/>
      <c r="BO56" s="656"/>
      <c r="BP56" s="656"/>
      <c r="BQ56" s="656"/>
      <c r="BR56" s="656"/>
      <c r="BS56" s="656"/>
      <c r="BT56" s="656"/>
      <c r="BU56" s="656"/>
      <c r="BV56" s="656"/>
      <c r="BW56" s="656"/>
      <c r="BX56" s="656"/>
      <c r="BY56" s="656"/>
      <c r="BZ56" s="656"/>
      <c r="CA56" s="656"/>
      <c r="CB56" s="656"/>
      <c r="CC56" s="656"/>
      <c r="CD56" s="656"/>
      <c r="CE56" s="656"/>
      <c r="CF56" s="656"/>
      <c r="CG56" s="656"/>
      <c r="CH56" s="656"/>
      <c r="CI56" s="656"/>
      <c r="CJ56" s="656"/>
      <c r="CK56" s="656"/>
      <c r="CL56" s="656"/>
      <c r="CM56" s="656"/>
      <c r="CN56" s="656"/>
      <c r="CO56" s="656"/>
      <c r="CP56" s="656"/>
      <c r="CQ56" s="656"/>
      <c r="CR56" s="656"/>
      <c r="CS56" s="656"/>
      <c r="CT56" s="656"/>
      <c r="CU56" s="656"/>
      <c r="CV56" s="656"/>
      <c r="CW56" s="656"/>
      <c r="CX56" s="656"/>
      <c r="CY56" s="656"/>
      <c r="CZ56" s="656"/>
      <c r="DA56" s="656"/>
      <c r="DB56" s="656"/>
      <c r="DC56" s="656"/>
      <c r="DD56" s="656"/>
      <c r="DE56" s="656"/>
      <c r="DF56" s="656"/>
      <c r="DG56" s="656"/>
      <c r="DH56" s="656"/>
      <c r="DI56" s="656"/>
      <c r="DJ56" s="656"/>
      <c r="DK56" s="656"/>
      <c r="DL56" s="656"/>
      <c r="DM56" s="656"/>
      <c r="DN56" s="656"/>
      <c r="DO56" s="656"/>
      <c r="DP56" s="656"/>
      <c r="DQ56" s="656"/>
      <c r="DR56" s="656"/>
      <c r="DS56" s="656"/>
      <c r="DT56" s="656"/>
      <c r="DU56" s="656"/>
      <c r="DV56" s="656"/>
      <c r="DW56" s="656"/>
      <c r="DX56" s="656"/>
      <c r="DY56" s="656"/>
      <c r="DZ56" s="656"/>
      <c r="EA56" s="656"/>
      <c r="EB56" s="656"/>
      <c r="EC56" s="656"/>
      <c r="ED56" s="656"/>
      <c r="EE56" s="656"/>
      <c r="EF56" s="656"/>
      <c r="EG56" s="656"/>
      <c r="EH56" s="656"/>
      <c r="EI56" s="656"/>
      <c r="EJ56" s="656"/>
      <c r="EK56" s="656"/>
      <c r="EL56" s="656"/>
      <c r="EM56" s="656"/>
      <c r="EN56" s="656"/>
      <c r="EO56" s="656"/>
      <c r="EP56" s="656"/>
      <c r="EQ56" s="656"/>
      <c r="ER56" s="656"/>
      <c r="ES56" s="656"/>
      <c r="ET56" s="656"/>
      <c r="EU56" s="656"/>
      <c r="EV56" s="656"/>
      <c r="EW56" s="656"/>
      <c r="EX56" s="656"/>
      <c r="EY56" s="656"/>
      <c r="EZ56" s="656"/>
      <c r="FA56" s="656"/>
      <c r="FB56" s="656"/>
      <c r="FC56" s="656"/>
      <c r="FD56" s="656"/>
      <c r="FE56" s="656"/>
      <c r="FF56" s="656"/>
      <c r="FG56" s="656"/>
      <c r="FH56" s="656"/>
      <c r="FI56" s="656"/>
      <c r="FJ56" s="656"/>
      <c r="FK56" s="656"/>
      <c r="FL56" s="656"/>
      <c r="FM56" s="656"/>
      <c r="FN56" s="656"/>
      <c r="FO56" s="656"/>
      <c r="FP56" s="656"/>
      <c r="FQ56" s="656"/>
      <c r="FR56" s="656"/>
      <c r="FS56" s="656"/>
      <c r="FT56" s="656"/>
      <c r="FU56" s="656"/>
      <c r="FV56" s="656"/>
      <c r="FW56" s="656"/>
      <c r="FX56" s="656"/>
      <c r="FY56" s="656"/>
      <c r="FZ56" s="656"/>
      <c r="GA56" s="656"/>
      <c r="GB56" s="656"/>
      <c r="GC56" s="656"/>
      <c r="GD56" s="656"/>
      <c r="GE56" s="656"/>
      <c r="GF56" s="656"/>
      <c r="GG56" s="656"/>
      <c r="GH56" s="656"/>
      <c r="GI56" s="656"/>
      <c r="GJ56" s="656"/>
      <c r="GK56" s="656"/>
      <c r="GL56" s="656"/>
      <c r="GM56" s="656"/>
      <c r="GN56" s="656"/>
      <c r="GO56" s="656"/>
      <c r="GP56" s="656"/>
      <c r="GQ56" s="656"/>
      <c r="GR56" s="656"/>
      <c r="GS56" s="656"/>
      <c r="GT56" s="656"/>
      <c r="GU56" s="656"/>
      <c r="GV56" s="656"/>
      <c r="GW56" s="656"/>
      <c r="GX56" s="656"/>
      <c r="GY56" s="656"/>
      <c r="GZ56" s="656"/>
      <c r="HA56" s="656"/>
      <c r="HB56" s="656"/>
      <c r="HC56" s="656"/>
      <c r="HD56" s="656"/>
      <c r="HE56" s="656"/>
      <c r="HF56" s="656"/>
      <c r="HG56" s="656"/>
      <c r="HH56" s="656"/>
      <c r="HI56" s="656"/>
      <c r="HJ56" s="656"/>
      <c r="HK56" s="656"/>
      <c r="HL56" s="656"/>
      <c r="HM56" s="656"/>
      <c r="HN56" s="656"/>
      <c r="HO56" s="656"/>
      <c r="HP56" s="656"/>
      <c r="HQ56" s="656"/>
      <c r="HR56" s="656"/>
      <c r="HS56" s="656"/>
      <c r="HT56" s="656"/>
      <c r="HU56" s="656"/>
      <c r="HV56" s="656"/>
      <c r="HW56" s="656"/>
    </row>
    <row r="57" spans="1:231" s="657" customFormat="1" ht="28.5" x14ac:dyDescent="0.25">
      <c r="A57" s="646">
        <v>41</v>
      </c>
      <c r="B57" s="680" t="s">
        <v>1027</v>
      </c>
      <c r="C57" s="681" t="s">
        <v>1028</v>
      </c>
      <c r="D57" s="691" t="s">
        <v>14</v>
      </c>
      <c r="E57" s="681">
        <v>3</v>
      </c>
      <c r="F57" s="684">
        <v>47390.84</v>
      </c>
      <c r="G57" s="684">
        <v>142173</v>
      </c>
      <c r="H57" s="685">
        <v>0</v>
      </c>
      <c r="I57" s="686">
        <v>-3</v>
      </c>
      <c r="J57" s="683">
        <v>0</v>
      </c>
      <c r="K57" s="684">
        <v>0</v>
      </c>
      <c r="L57" s="683">
        <v>0</v>
      </c>
      <c r="M57" s="684">
        <v>0</v>
      </c>
      <c r="N57" s="683">
        <v>0</v>
      </c>
      <c r="O57" s="687">
        <v>0</v>
      </c>
      <c r="P57" s="656"/>
      <c r="Q57" s="656"/>
      <c r="R57" s="656"/>
      <c r="S57" s="656"/>
      <c r="T57" s="656"/>
      <c r="U57" s="656"/>
      <c r="V57" s="656"/>
      <c r="W57" s="656"/>
      <c r="X57" s="656"/>
      <c r="Y57" s="656"/>
      <c r="Z57" s="656"/>
      <c r="AA57" s="656"/>
      <c r="AB57" s="656"/>
      <c r="AC57" s="656"/>
      <c r="AD57" s="656"/>
      <c r="AE57" s="656"/>
      <c r="AF57" s="656"/>
      <c r="AG57" s="656"/>
      <c r="AH57" s="656"/>
      <c r="AI57" s="656"/>
      <c r="AJ57" s="656"/>
      <c r="AK57" s="656"/>
      <c r="AL57" s="656"/>
      <c r="AM57" s="656"/>
      <c r="AN57" s="656"/>
      <c r="AO57" s="656"/>
      <c r="AP57" s="656"/>
      <c r="AQ57" s="656"/>
      <c r="AR57" s="656"/>
      <c r="AS57" s="656"/>
      <c r="AT57" s="656"/>
      <c r="AU57" s="656"/>
      <c r="AV57" s="656"/>
      <c r="AW57" s="656"/>
      <c r="AX57" s="656"/>
      <c r="AY57" s="656"/>
      <c r="AZ57" s="656"/>
      <c r="BA57" s="656"/>
      <c r="BB57" s="656"/>
      <c r="BC57" s="656"/>
      <c r="BD57" s="656"/>
      <c r="BE57" s="656"/>
      <c r="BF57" s="656"/>
      <c r="BG57" s="656"/>
      <c r="BH57" s="656"/>
      <c r="BI57" s="656"/>
      <c r="BJ57" s="656"/>
      <c r="BK57" s="656"/>
      <c r="BL57" s="656"/>
      <c r="BM57" s="656"/>
      <c r="BN57" s="656"/>
      <c r="BO57" s="656"/>
      <c r="BP57" s="656"/>
      <c r="BQ57" s="656"/>
      <c r="BR57" s="656"/>
      <c r="BS57" s="656"/>
      <c r="BT57" s="656"/>
      <c r="BU57" s="656"/>
      <c r="BV57" s="656"/>
      <c r="BW57" s="656"/>
      <c r="BX57" s="656"/>
      <c r="BY57" s="656"/>
      <c r="BZ57" s="656"/>
      <c r="CA57" s="656"/>
      <c r="CB57" s="656"/>
      <c r="CC57" s="656"/>
      <c r="CD57" s="656"/>
      <c r="CE57" s="656"/>
      <c r="CF57" s="656"/>
      <c r="CG57" s="656"/>
      <c r="CH57" s="656"/>
      <c r="CI57" s="656"/>
      <c r="CJ57" s="656"/>
      <c r="CK57" s="656"/>
      <c r="CL57" s="656"/>
      <c r="CM57" s="656"/>
      <c r="CN57" s="656"/>
      <c r="CO57" s="656"/>
      <c r="CP57" s="656"/>
      <c r="CQ57" s="656"/>
      <c r="CR57" s="656"/>
      <c r="CS57" s="656"/>
      <c r="CT57" s="656"/>
      <c r="CU57" s="656"/>
      <c r="CV57" s="656"/>
      <c r="CW57" s="656"/>
      <c r="CX57" s="656"/>
      <c r="CY57" s="656"/>
      <c r="CZ57" s="656"/>
      <c r="DA57" s="656"/>
      <c r="DB57" s="656"/>
      <c r="DC57" s="656"/>
      <c r="DD57" s="656"/>
      <c r="DE57" s="656"/>
      <c r="DF57" s="656"/>
      <c r="DG57" s="656"/>
      <c r="DH57" s="656"/>
      <c r="DI57" s="656"/>
      <c r="DJ57" s="656"/>
      <c r="DK57" s="656"/>
      <c r="DL57" s="656"/>
      <c r="DM57" s="656"/>
      <c r="DN57" s="656"/>
      <c r="DO57" s="656"/>
      <c r="DP57" s="656"/>
      <c r="DQ57" s="656"/>
      <c r="DR57" s="656"/>
      <c r="DS57" s="656"/>
      <c r="DT57" s="656"/>
      <c r="DU57" s="656"/>
      <c r="DV57" s="656"/>
      <c r="DW57" s="656"/>
      <c r="DX57" s="656"/>
      <c r="DY57" s="656"/>
      <c r="DZ57" s="656"/>
      <c r="EA57" s="656"/>
      <c r="EB57" s="656"/>
      <c r="EC57" s="656"/>
      <c r="ED57" s="656"/>
      <c r="EE57" s="656"/>
      <c r="EF57" s="656"/>
      <c r="EG57" s="656"/>
      <c r="EH57" s="656"/>
      <c r="EI57" s="656"/>
      <c r="EJ57" s="656"/>
      <c r="EK57" s="656"/>
      <c r="EL57" s="656"/>
      <c r="EM57" s="656"/>
      <c r="EN57" s="656"/>
      <c r="EO57" s="656"/>
      <c r="EP57" s="656"/>
      <c r="EQ57" s="656"/>
      <c r="ER57" s="656"/>
      <c r="ES57" s="656"/>
      <c r="ET57" s="656"/>
      <c r="EU57" s="656"/>
      <c r="EV57" s="656"/>
      <c r="EW57" s="656"/>
      <c r="EX57" s="656"/>
      <c r="EY57" s="656"/>
      <c r="EZ57" s="656"/>
      <c r="FA57" s="656"/>
      <c r="FB57" s="656"/>
      <c r="FC57" s="656"/>
      <c r="FD57" s="656"/>
      <c r="FE57" s="656"/>
      <c r="FF57" s="656"/>
      <c r="FG57" s="656"/>
      <c r="FH57" s="656"/>
      <c r="FI57" s="656"/>
      <c r="FJ57" s="656"/>
      <c r="FK57" s="656"/>
      <c r="FL57" s="656"/>
      <c r="FM57" s="656"/>
      <c r="FN57" s="656"/>
      <c r="FO57" s="656"/>
      <c r="FP57" s="656"/>
      <c r="FQ57" s="656"/>
      <c r="FR57" s="656"/>
      <c r="FS57" s="656"/>
      <c r="FT57" s="656"/>
      <c r="FU57" s="656"/>
      <c r="FV57" s="656"/>
      <c r="FW57" s="656"/>
      <c r="FX57" s="656"/>
      <c r="FY57" s="656"/>
      <c r="FZ57" s="656"/>
      <c r="GA57" s="656"/>
      <c r="GB57" s="656"/>
      <c r="GC57" s="656"/>
      <c r="GD57" s="656"/>
      <c r="GE57" s="656"/>
      <c r="GF57" s="656"/>
      <c r="GG57" s="656"/>
      <c r="GH57" s="656"/>
      <c r="GI57" s="656"/>
      <c r="GJ57" s="656"/>
      <c r="GK57" s="656"/>
      <c r="GL57" s="656"/>
      <c r="GM57" s="656"/>
      <c r="GN57" s="656"/>
      <c r="GO57" s="656"/>
      <c r="GP57" s="656"/>
      <c r="GQ57" s="656"/>
      <c r="GR57" s="656"/>
      <c r="GS57" s="656"/>
      <c r="GT57" s="656"/>
      <c r="GU57" s="656"/>
      <c r="GV57" s="656"/>
      <c r="GW57" s="656"/>
      <c r="GX57" s="656"/>
      <c r="GY57" s="656"/>
      <c r="GZ57" s="656"/>
      <c r="HA57" s="656"/>
      <c r="HB57" s="656"/>
      <c r="HC57" s="656"/>
      <c r="HD57" s="656"/>
      <c r="HE57" s="656"/>
      <c r="HF57" s="656"/>
      <c r="HG57" s="656"/>
      <c r="HH57" s="656"/>
      <c r="HI57" s="656"/>
      <c r="HJ57" s="656"/>
      <c r="HK57" s="656"/>
      <c r="HL57" s="656"/>
      <c r="HM57" s="656"/>
      <c r="HN57" s="656"/>
      <c r="HO57" s="656"/>
      <c r="HP57" s="656"/>
      <c r="HQ57" s="656"/>
      <c r="HR57" s="656"/>
      <c r="HS57" s="656"/>
      <c r="HT57" s="656"/>
      <c r="HU57" s="656"/>
      <c r="HV57" s="656"/>
      <c r="HW57" s="656"/>
    </row>
    <row r="58" spans="1:231" s="657" customFormat="1" x14ac:dyDescent="0.25">
      <c r="A58" s="646">
        <v>42</v>
      </c>
      <c r="B58" s="680" t="s">
        <v>1029</v>
      </c>
      <c r="C58" s="690" t="s">
        <v>1030</v>
      </c>
      <c r="D58" s="691" t="s">
        <v>6</v>
      </c>
      <c r="E58" s="681">
        <v>2</v>
      </c>
      <c r="F58" s="684">
        <v>106630.86</v>
      </c>
      <c r="G58" s="684">
        <v>213262</v>
      </c>
      <c r="H58" s="685">
        <v>0</v>
      </c>
      <c r="I58" s="686">
        <v>-2</v>
      </c>
      <c r="J58" s="683">
        <v>0</v>
      </c>
      <c r="K58" s="684">
        <v>0</v>
      </c>
      <c r="L58" s="683">
        <v>0</v>
      </c>
      <c r="M58" s="684">
        <v>0</v>
      </c>
      <c r="N58" s="683">
        <v>0</v>
      </c>
      <c r="O58" s="687">
        <v>0</v>
      </c>
      <c r="P58" s="656"/>
      <c r="Q58" s="656"/>
      <c r="R58" s="656"/>
      <c r="S58" s="656"/>
      <c r="T58" s="656"/>
      <c r="U58" s="656"/>
      <c r="V58" s="656"/>
      <c r="W58" s="656"/>
      <c r="X58" s="656"/>
      <c r="Y58" s="656"/>
      <c r="Z58" s="656"/>
      <c r="AA58" s="656"/>
      <c r="AB58" s="656"/>
      <c r="AC58" s="656"/>
      <c r="AD58" s="656"/>
      <c r="AE58" s="656"/>
      <c r="AF58" s="656"/>
      <c r="AG58" s="656"/>
      <c r="AH58" s="656"/>
      <c r="AI58" s="656"/>
      <c r="AJ58" s="656"/>
      <c r="AK58" s="656"/>
      <c r="AL58" s="656"/>
      <c r="AM58" s="656"/>
      <c r="AN58" s="656"/>
      <c r="AO58" s="656"/>
      <c r="AP58" s="656"/>
      <c r="AQ58" s="656"/>
      <c r="AR58" s="656"/>
      <c r="AS58" s="656"/>
      <c r="AT58" s="656"/>
      <c r="AU58" s="656"/>
      <c r="AV58" s="656"/>
      <c r="AW58" s="656"/>
      <c r="AX58" s="656"/>
      <c r="AY58" s="656"/>
      <c r="AZ58" s="656"/>
      <c r="BA58" s="656"/>
      <c r="BB58" s="656"/>
      <c r="BC58" s="656"/>
      <c r="BD58" s="656"/>
      <c r="BE58" s="656"/>
      <c r="BF58" s="656"/>
      <c r="BG58" s="656"/>
      <c r="BH58" s="656"/>
      <c r="BI58" s="656"/>
      <c r="BJ58" s="656"/>
      <c r="BK58" s="656"/>
      <c r="BL58" s="656"/>
      <c r="BM58" s="656"/>
      <c r="BN58" s="656"/>
      <c r="BO58" s="656"/>
      <c r="BP58" s="656"/>
      <c r="BQ58" s="656"/>
      <c r="BR58" s="656"/>
      <c r="BS58" s="656"/>
      <c r="BT58" s="656"/>
      <c r="BU58" s="656"/>
      <c r="BV58" s="656"/>
      <c r="BW58" s="656"/>
      <c r="BX58" s="656"/>
      <c r="BY58" s="656"/>
      <c r="BZ58" s="656"/>
      <c r="CA58" s="656"/>
      <c r="CB58" s="656"/>
      <c r="CC58" s="656"/>
      <c r="CD58" s="656"/>
      <c r="CE58" s="656"/>
      <c r="CF58" s="656"/>
      <c r="CG58" s="656"/>
      <c r="CH58" s="656"/>
      <c r="CI58" s="656"/>
      <c r="CJ58" s="656"/>
      <c r="CK58" s="656"/>
      <c r="CL58" s="656"/>
      <c r="CM58" s="656"/>
      <c r="CN58" s="656"/>
      <c r="CO58" s="656"/>
      <c r="CP58" s="656"/>
      <c r="CQ58" s="656"/>
      <c r="CR58" s="656"/>
      <c r="CS58" s="656"/>
      <c r="CT58" s="656"/>
      <c r="CU58" s="656"/>
      <c r="CV58" s="656"/>
      <c r="CW58" s="656"/>
      <c r="CX58" s="656"/>
      <c r="CY58" s="656"/>
      <c r="CZ58" s="656"/>
      <c r="DA58" s="656"/>
      <c r="DB58" s="656"/>
      <c r="DC58" s="656"/>
      <c r="DD58" s="656"/>
      <c r="DE58" s="656"/>
      <c r="DF58" s="656"/>
      <c r="DG58" s="656"/>
      <c r="DH58" s="656"/>
      <c r="DI58" s="656"/>
      <c r="DJ58" s="656"/>
      <c r="DK58" s="656"/>
      <c r="DL58" s="656"/>
      <c r="DM58" s="656"/>
      <c r="DN58" s="656"/>
      <c r="DO58" s="656"/>
      <c r="DP58" s="656"/>
      <c r="DQ58" s="656"/>
      <c r="DR58" s="656"/>
      <c r="DS58" s="656"/>
      <c r="DT58" s="656"/>
      <c r="DU58" s="656"/>
      <c r="DV58" s="656"/>
      <c r="DW58" s="656"/>
      <c r="DX58" s="656"/>
      <c r="DY58" s="656"/>
      <c r="DZ58" s="656"/>
      <c r="EA58" s="656"/>
      <c r="EB58" s="656"/>
      <c r="EC58" s="656"/>
      <c r="ED58" s="656"/>
      <c r="EE58" s="656"/>
      <c r="EF58" s="656"/>
      <c r="EG58" s="656"/>
      <c r="EH58" s="656"/>
      <c r="EI58" s="656"/>
      <c r="EJ58" s="656"/>
      <c r="EK58" s="656"/>
      <c r="EL58" s="656"/>
      <c r="EM58" s="656"/>
      <c r="EN58" s="656"/>
      <c r="EO58" s="656"/>
      <c r="EP58" s="656"/>
      <c r="EQ58" s="656"/>
      <c r="ER58" s="656"/>
      <c r="ES58" s="656"/>
      <c r="ET58" s="656"/>
      <c r="EU58" s="656"/>
      <c r="EV58" s="656"/>
      <c r="EW58" s="656"/>
      <c r="EX58" s="656"/>
      <c r="EY58" s="656"/>
      <c r="EZ58" s="656"/>
      <c r="FA58" s="656"/>
      <c r="FB58" s="656"/>
      <c r="FC58" s="656"/>
      <c r="FD58" s="656"/>
      <c r="FE58" s="656"/>
      <c r="FF58" s="656"/>
      <c r="FG58" s="656"/>
      <c r="FH58" s="656"/>
      <c r="FI58" s="656"/>
      <c r="FJ58" s="656"/>
      <c r="FK58" s="656"/>
      <c r="FL58" s="656"/>
      <c r="FM58" s="656"/>
      <c r="FN58" s="656"/>
      <c r="FO58" s="656"/>
      <c r="FP58" s="656"/>
      <c r="FQ58" s="656"/>
      <c r="FR58" s="656"/>
      <c r="FS58" s="656"/>
      <c r="FT58" s="656"/>
      <c r="FU58" s="656"/>
      <c r="FV58" s="656"/>
      <c r="FW58" s="656"/>
      <c r="FX58" s="656"/>
      <c r="FY58" s="656"/>
      <c r="FZ58" s="656"/>
      <c r="GA58" s="656"/>
      <c r="GB58" s="656"/>
      <c r="GC58" s="656"/>
      <c r="GD58" s="656"/>
      <c r="GE58" s="656"/>
      <c r="GF58" s="656"/>
      <c r="GG58" s="656"/>
      <c r="GH58" s="656"/>
      <c r="GI58" s="656"/>
      <c r="GJ58" s="656"/>
      <c r="GK58" s="656"/>
      <c r="GL58" s="656"/>
      <c r="GM58" s="656"/>
      <c r="GN58" s="656"/>
      <c r="GO58" s="656"/>
      <c r="GP58" s="656"/>
      <c r="GQ58" s="656"/>
      <c r="GR58" s="656"/>
      <c r="GS58" s="656"/>
      <c r="GT58" s="656"/>
      <c r="GU58" s="656"/>
      <c r="GV58" s="656"/>
      <c r="GW58" s="656"/>
      <c r="GX58" s="656"/>
      <c r="GY58" s="656"/>
      <c r="GZ58" s="656"/>
      <c r="HA58" s="656"/>
      <c r="HB58" s="656"/>
      <c r="HC58" s="656"/>
      <c r="HD58" s="656"/>
      <c r="HE58" s="656"/>
      <c r="HF58" s="656"/>
      <c r="HG58" s="656"/>
      <c r="HH58" s="656"/>
      <c r="HI58" s="656"/>
      <c r="HJ58" s="656"/>
      <c r="HK58" s="656"/>
      <c r="HL58" s="656"/>
      <c r="HM58" s="656"/>
      <c r="HN58" s="656"/>
      <c r="HO58" s="656"/>
      <c r="HP58" s="656"/>
      <c r="HQ58" s="656"/>
      <c r="HR58" s="656"/>
      <c r="HS58" s="656"/>
      <c r="HT58" s="656"/>
      <c r="HU58" s="656"/>
      <c r="HV58" s="656"/>
      <c r="HW58" s="656"/>
    </row>
    <row r="59" spans="1:231" s="657" customFormat="1" x14ac:dyDescent="0.25">
      <c r="A59" s="646">
        <v>43</v>
      </c>
      <c r="B59" s="680" t="s">
        <v>1031</v>
      </c>
      <c r="C59" s="681" t="s">
        <v>1032</v>
      </c>
      <c r="D59" s="691" t="s">
        <v>6</v>
      </c>
      <c r="E59" s="681">
        <v>5</v>
      </c>
      <c r="F59" s="684">
        <v>501085.76</v>
      </c>
      <c r="G59" s="684">
        <v>2505429</v>
      </c>
      <c r="H59" s="685">
        <v>1</v>
      </c>
      <c r="I59" s="686">
        <v>0</v>
      </c>
      <c r="J59" s="683">
        <v>6</v>
      </c>
      <c r="K59" s="684">
        <v>3006515</v>
      </c>
      <c r="L59" s="683">
        <v>6</v>
      </c>
      <c r="M59" s="684">
        <v>3006515</v>
      </c>
      <c r="N59" s="683">
        <v>6</v>
      </c>
      <c r="O59" s="687">
        <v>3006515</v>
      </c>
      <c r="P59" s="656"/>
      <c r="Q59" s="656"/>
      <c r="R59" s="656"/>
      <c r="S59" s="656"/>
      <c r="T59" s="656"/>
      <c r="U59" s="656"/>
      <c r="V59" s="656"/>
      <c r="W59" s="656"/>
      <c r="X59" s="656"/>
      <c r="Y59" s="656"/>
      <c r="Z59" s="656"/>
      <c r="AA59" s="656"/>
      <c r="AB59" s="656"/>
      <c r="AC59" s="656"/>
      <c r="AD59" s="656"/>
      <c r="AE59" s="656"/>
      <c r="AF59" s="656"/>
      <c r="AG59" s="656"/>
      <c r="AH59" s="656"/>
      <c r="AI59" s="656"/>
      <c r="AJ59" s="656"/>
      <c r="AK59" s="656"/>
      <c r="AL59" s="656"/>
      <c r="AM59" s="656"/>
      <c r="AN59" s="656"/>
      <c r="AO59" s="656"/>
      <c r="AP59" s="656"/>
      <c r="AQ59" s="656"/>
      <c r="AR59" s="656"/>
      <c r="AS59" s="656"/>
      <c r="AT59" s="656"/>
      <c r="AU59" s="656"/>
      <c r="AV59" s="656"/>
      <c r="AW59" s="656"/>
      <c r="AX59" s="656"/>
      <c r="AY59" s="656"/>
      <c r="AZ59" s="656"/>
      <c r="BA59" s="656"/>
      <c r="BB59" s="656"/>
      <c r="BC59" s="656"/>
      <c r="BD59" s="656"/>
      <c r="BE59" s="656"/>
      <c r="BF59" s="656"/>
      <c r="BG59" s="656"/>
      <c r="BH59" s="656"/>
      <c r="BI59" s="656"/>
      <c r="BJ59" s="656"/>
      <c r="BK59" s="656"/>
      <c r="BL59" s="656"/>
      <c r="BM59" s="656"/>
      <c r="BN59" s="656"/>
      <c r="BO59" s="656"/>
      <c r="BP59" s="656"/>
      <c r="BQ59" s="656"/>
      <c r="BR59" s="656"/>
      <c r="BS59" s="656"/>
      <c r="BT59" s="656"/>
      <c r="BU59" s="656"/>
      <c r="BV59" s="656"/>
      <c r="BW59" s="656"/>
      <c r="BX59" s="656"/>
      <c r="BY59" s="656"/>
      <c r="BZ59" s="656"/>
      <c r="CA59" s="656"/>
      <c r="CB59" s="656"/>
      <c r="CC59" s="656"/>
      <c r="CD59" s="656"/>
      <c r="CE59" s="656"/>
      <c r="CF59" s="656"/>
      <c r="CG59" s="656"/>
      <c r="CH59" s="656"/>
      <c r="CI59" s="656"/>
      <c r="CJ59" s="656"/>
      <c r="CK59" s="656"/>
      <c r="CL59" s="656"/>
      <c r="CM59" s="656"/>
      <c r="CN59" s="656"/>
      <c r="CO59" s="656"/>
      <c r="CP59" s="656"/>
      <c r="CQ59" s="656"/>
      <c r="CR59" s="656"/>
      <c r="CS59" s="656"/>
      <c r="CT59" s="656"/>
      <c r="CU59" s="656"/>
      <c r="CV59" s="656"/>
      <c r="CW59" s="656"/>
      <c r="CX59" s="656"/>
      <c r="CY59" s="656"/>
      <c r="CZ59" s="656"/>
      <c r="DA59" s="656"/>
      <c r="DB59" s="656"/>
      <c r="DC59" s="656"/>
      <c r="DD59" s="656"/>
      <c r="DE59" s="656"/>
      <c r="DF59" s="656"/>
      <c r="DG59" s="656"/>
      <c r="DH59" s="656"/>
      <c r="DI59" s="656"/>
      <c r="DJ59" s="656"/>
      <c r="DK59" s="656"/>
      <c r="DL59" s="656"/>
      <c r="DM59" s="656"/>
      <c r="DN59" s="656"/>
      <c r="DO59" s="656"/>
      <c r="DP59" s="656"/>
      <c r="DQ59" s="656"/>
      <c r="DR59" s="656"/>
      <c r="DS59" s="656"/>
      <c r="DT59" s="656"/>
      <c r="DU59" s="656"/>
      <c r="DV59" s="656"/>
      <c r="DW59" s="656"/>
      <c r="DX59" s="656"/>
      <c r="DY59" s="656"/>
      <c r="DZ59" s="656"/>
      <c r="EA59" s="656"/>
      <c r="EB59" s="656"/>
      <c r="EC59" s="656"/>
      <c r="ED59" s="656"/>
      <c r="EE59" s="656"/>
      <c r="EF59" s="656"/>
      <c r="EG59" s="656"/>
      <c r="EH59" s="656"/>
      <c r="EI59" s="656"/>
      <c r="EJ59" s="656"/>
      <c r="EK59" s="656"/>
      <c r="EL59" s="656"/>
      <c r="EM59" s="656"/>
      <c r="EN59" s="656"/>
      <c r="EO59" s="656"/>
      <c r="EP59" s="656"/>
      <c r="EQ59" s="656"/>
      <c r="ER59" s="656"/>
      <c r="ES59" s="656"/>
      <c r="ET59" s="656"/>
      <c r="EU59" s="656"/>
      <c r="EV59" s="656"/>
      <c r="EW59" s="656"/>
      <c r="EX59" s="656"/>
      <c r="EY59" s="656"/>
      <c r="EZ59" s="656"/>
      <c r="FA59" s="656"/>
      <c r="FB59" s="656"/>
      <c r="FC59" s="656"/>
      <c r="FD59" s="656"/>
      <c r="FE59" s="656"/>
      <c r="FF59" s="656"/>
      <c r="FG59" s="656"/>
      <c r="FH59" s="656"/>
      <c r="FI59" s="656"/>
      <c r="FJ59" s="656"/>
      <c r="FK59" s="656"/>
      <c r="FL59" s="656"/>
      <c r="FM59" s="656"/>
      <c r="FN59" s="656"/>
      <c r="FO59" s="656"/>
      <c r="FP59" s="656"/>
      <c r="FQ59" s="656"/>
      <c r="FR59" s="656"/>
      <c r="FS59" s="656"/>
      <c r="FT59" s="656"/>
      <c r="FU59" s="656"/>
      <c r="FV59" s="656"/>
      <c r="FW59" s="656"/>
      <c r="FX59" s="656"/>
      <c r="FY59" s="656"/>
      <c r="FZ59" s="656"/>
      <c r="GA59" s="656"/>
      <c r="GB59" s="656"/>
      <c r="GC59" s="656"/>
      <c r="GD59" s="656"/>
      <c r="GE59" s="656"/>
      <c r="GF59" s="656"/>
      <c r="GG59" s="656"/>
      <c r="GH59" s="656"/>
      <c r="GI59" s="656"/>
      <c r="GJ59" s="656"/>
      <c r="GK59" s="656"/>
      <c r="GL59" s="656"/>
      <c r="GM59" s="656"/>
      <c r="GN59" s="656"/>
      <c r="GO59" s="656"/>
      <c r="GP59" s="656"/>
      <c r="GQ59" s="656"/>
      <c r="GR59" s="656"/>
      <c r="GS59" s="656"/>
      <c r="GT59" s="656"/>
      <c r="GU59" s="656"/>
      <c r="GV59" s="656"/>
      <c r="GW59" s="656"/>
      <c r="GX59" s="656"/>
      <c r="GY59" s="656"/>
      <c r="GZ59" s="656"/>
      <c r="HA59" s="656"/>
      <c r="HB59" s="656"/>
      <c r="HC59" s="656"/>
      <c r="HD59" s="656"/>
      <c r="HE59" s="656"/>
      <c r="HF59" s="656"/>
      <c r="HG59" s="656"/>
      <c r="HH59" s="656"/>
      <c r="HI59" s="656"/>
      <c r="HJ59" s="656"/>
      <c r="HK59" s="656"/>
      <c r="HL59" s="656"/>
      <c r="HM59" s="656"/>
      <c r="HN59" s="656"/>
      <c r="HO59" s="656"/>
      <c r="HP59" s="656"/>
      <c r="HQ59" s="656"/>
      <c r="HR59" s="656"/>
      <c r="HS59" s="656"/>
      <c r="HT59" s="656"/>
      <c r="HU59" s="656"/>
      <c r="HV59" s="656"/>
      <c r="HW59" s="656"/>
    </row>
    <row r="60" spans="1:231" s="657" customFormat="1" ht="28.5" x14ac:dyDescent="0.25">
      <c r="A60" s="646">
        <v>44</v>
      </c>
      <c r="B60" s="680" t="s">
        <v>1033</v>
      </c>
      <c r="C60" s="681" t="s">
        <v>1034</v>
      </c>
      <c r="D60" s="691" t="s">
        <v>6</v>
      </c>
      <c r="E60" s="681">
        <v>3</v>
      </c>
      <c r="F60" s="684">
        <v>56777.279999999999</v>
      </c>
      <c r="G60" s="684">
        <v>170332</v>
      </c>
      <c r="H60" s="685">
        <v>0</v>
      </c>
      <c r="I60" s="686">
        <v>-1</v>
      </c>
      <c r="J60" s="683">
        <v>2</v>
      </c>
      <c r="K60" s="684">
        <v>113555</v>
      </c>
      <c r="L60" s="683">
        <v>2</v>
      </c>
      <c r="M60" s="684">
        <v>113555</v>
      </c>
      <c r="N60" s="683">
        <v>2</v>
      </c>
      <c r="O60" s="687">
        <v>113555</v>
      </c>
      <c r="P60" s="656"/>
      <c r="Q60" s="656"/>
      <c r="R60" s="656"/>
      <c r="S60" s="656"/>
      <c r="T60" s="656"/>
      <c r="U60" s="656"/>
      <c r="V60" s="656"/>
      <c r="W60" s="656"/>
      <c r="X60" s="656"/>
      <c r="Y60" s="656"/>
      <c r="Z60" s="656"/>
      <c r="AA60" s="656"/>
      <c r="AB60" s="656"/>
      <c r="AC60" s="656"/>
      <c r="AD60" s="656"/>
      <c r="AE60" s="656"/>
      <c r="AF60" s="656"/>
      <c r="AG60" s="656"/>
      <c r="AH60" s="656"/>
      <c r="AI60" s="656"/>
      <c r="AJ60" s="656"/>
      <c r="AK60" s="656"/>
      <c r="AL60" s="656"/>
      <c r="AM60" s="656"/>
      <c r="AN60" s="656"/>
      <c r="AO60" s="656"/>
      <c r="AP60" s="656"/>
      <c r="AQ60" s="656"/>
      <c r="AR60" s="656"/>
      <c r="AS60" s="656"/>
      <c r="AT60" s="656"/>
      <c r="AU60" s="656"/>
      <c r="AV60" s="656"/>
      <c r="AW60" s="656"/>
      <c r="AX60" s="656"/>
      <c r="AY60" s="656"/>
      <c r="AZ60" s="656"/>
      <c r="BA60" s="656"/>
      <c r="BB60" s="656"/>
      <c r="BC60" s="656"/>
      <c r="BD60" s="656"/>
      <c r="BE60" s="656"/>
      <c r="BF60" s="656"/>
      <c r="BG60" s="656"/>
      <c r="BH60" s="656"/>
      <c r="BI60" s="656"/>
      <c r="BJ60" s="656"/>
      <c r="BK60" s="656"/>
      <c r="BL60" s="656"/>
      <c r="BM60" s="656"/>
      <c r="BN60" s="656"/>
      <c r="BO60" s="656"/>
      <c r="BP60" s="656"/>
      <c r="BQ60" s="656"/>
      <c r="BR60" s="656"/>
      <c r="BS60" s="656"/>
      <c r="BT60" s="656"/>
      <c r="BU60" s="656"/>
      <c r="BV60" s="656"/>
      <c r="BW60" s="656"/>
      <c r="BX60" s="656"/>
      <c r="BY60" s="656"/>
      <c r="BZ60" s="656"/>
      <c r="CA60" s="656"/>
      <c r="CB60" s="656"/>
      <c r="CC60" s="656"/>
      <c r="CD60" s="656"/>
      <c r="CE60" s="656"/>
      <c r="CF60" s="656"/>
      <c r="CG60" s="656"/>
      <c r="CH60" s="656"/>
      <c r="CI60" s="656"/>
      <c r="CJ60" s="656"/>
      <c r="CK60" s="656"/>
      <c r="CL60" s="656"/>
      <c r="CM60" s="656"/>
      <c r="CN60" s="656"/>
      <c r="CO60" s="656"/>
      <c r="CP60" s="656"/>
      <c r="CQ60" s="656"/>
      <c r="CR60" s="656"/>
      <c r="CS60" s="656"/>
      <c r="CT60" s="656"/>
      <c r="CU60" s="656"/>
      <c r="CV60" s="656"/>
      <c r="CW60" s="656"/>
      <c r="CX60" s="656"/>
      <c r="CY60" s="656"/>
      <c r="CZ60" s="656"/>
      <c r="DA60" s="656"/>
      <c r="DB60" s="656"/>
      <c r="DC60" s="656"/>
      <c r="DD60" s="656"/>
      <c r="DE60" s="656"/>
      <c r="DF60" s="656"/>
      <c r="DG60" s="656"/>
      <c r="DH60" s="656"/>
      <c r="DI60" s="656"/>
      <c r="DJ60" s="656"/>
      <c r="DK60" s="656"/>
      <c r="DL60" s="656"/>
      <c r="DM60" s="656"/>
      <c r="DN60" s="656"/>
      <c r="DO60" s="656"/>
      <c r="DP60" s="656"/>
      <c r="DQ60" s="656"/>
      <c r="DR60" s="656"/>
      <c r="DS60" s="656"/>
      <c r="DT60" s="656"/>
      <c r="DU60" s="656"/>
      <c r="DV60" s="656"/>
      <c r="DW60" s="656"/>
      <c r="DX60" s="656"/>
      <c r="DY60" s="656"/>
      <c r="DZ60" s="656"/>
      <c r="EA60" s="656"/>
      <c r="EB60" s="656"/>
      <c r="EC60" s="656"/>
      <c r="ED60" s="656"/>
      <c r="EE60" s="656"/>
      <c r="EF60" s="656"/>
      <c r="EG60" s="656"/>
      <c r="EH60" s="656"/>
      <c r="EI60" s="656"/>
      <c r="EJ60" s="656"/>
      <c r="EK60" s="656"/>
      <c r="EL60" s="656"/>
      <c r="EM60" s="656"/>
      <c r="EN60" s="656"/>
      <c r="EO60" s="656"/>
      <c r="EP60" s="656"/>
      <c r="EQ60" s="656"/>
      <c r="ER60" s="656"/>
      <c r="ES60" s="656"/>
      <c r="ET60" s="656"/>
      <c r="EU60" s="656"/>
      <c r="EV60" s="656"/>
      <c r="EW60" s="656"/>
      <c r="EX60" s="656"/>
      <c r="EY60" s="656"/>
      <c r="EZ60" s="656"/>
      <c r="FA60" s="656"/>
      <c r="FB60" s="656"/>
      <c r="FC60" s="656"/>
      <c r="FD60" s="656"/>
      <c r="FE60" s="656"/>
      <c r="FF60" s="656"/>
      <c r="FG60" s="656"/>
      <c r="FH60" s="656"/>
      <c r="FI60" s="656"/>
      <c r="FJ60" s="656"/>
      <c r="FK60" s="656"/>
      <c r="FL60" s="656"/>
      <c r="FM60" s="656"/>
      <c r="FN60" s="656"/>
      <c r="FO60" s="656"/>
      <c r="FP60" s="656"/>
      <c r="FQ60" s="656"/>
      <c r="FR60" s="656"/>
      <c r="FS60" s="656"/>
      <c r="FT60" s="656"/>
      <c r="FU60" s="656"/>
      <c r="FV60" s="656"/>
      <c r="FW60" s="656"/>
      <c r="FX60" s="656"/>
      <c r="FY60" s="656"/>
      <c r="FZ60" s="656"/>
      <c r="GA60" s="656"/>
      <c r="GB60" s="656"/>
      <c r="GC60" s="656"/>
      <c r="GD60" s="656"/>
      <c r="GE60" s="656"/>
      <c r="GF60" s="656"/>
      <c r="GG60" s="656"/>
      <c r="GH60" s="656"/>
      <c r="GI60" s="656"/>
      <c r="GJ60" s="656"/>
      <c r="GK60" s="656"/>
      <c r="GL60" s="656"/>
      <c r="GM60" s="656"/>
      <c r="GN60" s="656"/>
      <c r="GO60" s="656"/>
      <c r="GP60" s="656"/>
      <c r="GQ60" s="656"/>
      <c r="GR60" s="656"/>
      <c r="GS60" s="656"/>
      <c r="GT60" s="656"/>
      <c r="GU60" s="656"/>
      <c r="GV60" s="656"/>
      <c r="GW60" s="656"/>
      <c r="GX60" s="656"/>
      <c r="GY60" s="656"/>
      <c r="GZ60" s="656"/>
      <c r="HA60" s="656"/>
      <c r="HB60" s="656"/>
      <c r="HC60" s="656"/>
      <c r="HD60" s="656"/>
      <c r="HE60" s="656"/>
      <c r="HF60" s="656"/>
      <c r="HG60" s="656"/>
      <c r="HH60" s="656"/>
      <c r="HI60" s="656"/>
      <c r="HJ60" s="656"/>
      <c r="HK60" s="656"/>
      <c r="HL60" s="656"/>
      <c r="HM60" s="656"/>
      <c r="HN60" s="656"/>
      <c r="HO60" s="656"/>
      <c r="HP60" s="656"/>
      <c r="HQ60" s="656"/>
      <c r="HR60" s="656"/>
      <c r="HS60" s="656"/>
      <c r="HT60" s="656"/>
      <c r="HU60" s="656"/>
      <c r="HV60" s="656"/>
      <c r="HW60" s="656"/>
    </row>
    <row r="61" spans="1:231" s="657" customFormat="1" x14ac:dyDescent="0.25">
      <c r="A61" s="646">
        <v>45</v>
      </c>
      <c r="B61" s="680" t="s">
        <v>1035</v>
      </c>
      <c r="C61" s="681" t="s">
        <v>1036</v>
      </c>
      <c r="D61" s="691" t="s">
        <v>14</v>
      </c>
      <c r="E61" s="681">
        <v>17</v>
      </c>
      <c r="F61" s="684">
        <v>18628.82</v>
      </c>
      <c r="G61" s="684">
        <v>316690</v>
      </c>
      <c r="H61" s="685">
        <v>0</v>
      </c>
      <c r="I61" s="686">
        <v>0</v>
      </c>
      <c r="J61" s="683">
        <v>0</v>
      </c>
      <c r="K61" s="684">
        <v>0</v>
      </c>
      <c r="L61" s="683">
        <v>0</v>
      </c>
      <c r="M61" s="684">
        <v>0</v>
      </c>
      <c r="N61" s="683">
        <v>0</v>
      </c>
      <c r="O61" s="687">
        <v>0</v>
      </c>
      <c r="P61" s="656"/>
      <c r="Q61" s="656"/>
      <c r="R61" s="656"/>
      <c r="S61" s="656"/>
      <c r="T61" s="656"/>
      <c r="U61" s="656"/>
      <c r="V61" s="656"/>
      <c r="W61" s="656"/>
      <c r="X61" s="656"/>
      <c r="Y61" s="656"/>
      <c r="Z61" s="656"/>
      <c r="AA61" s="656"/>
      <c r="AB61" s="656"/>
      <c r="AC61" s="656"/>
      <c r="AD61" s="656"/>
      <c r="AE61" s="656"/>
      <c r="AF61" s="656"/>
      <c r="AG61" s="656"/>
      <c r="AH61" s="656"/>
      <c r="AI61" s="656"/>
      <c r="AJ61" s="656"/>
      <c r="AK61" s="656"/>
      <c r="AL61" s="656"/>
      <c r="AM61" s="656"/>
      <c r="AN61" s="656"/>
      <c r="AO61" s="656"/>
      <c r="AP61" s="656"/>
      <c r="AQ61" s="656"/>
      <c r="AR61" s="656"/>
      <c r="AS61" s="656"/>
      <c r="AT61" s="656"/>
      <c r="AU61" s="656"/>
      <c r="AV61" s="656"/>
      <c r="AW61" s="656"/>
      <c r="AX61" s="656"/>
      <c r="AY61" s="656"/>
      <c r="AZ61" s="656"/>
      <c r="BA61" s="656"/>
      <c r="BB61" s="656"/>
      <c r="BC61" s="656"/>
      <c r="BD61" s="656"/>
      <c r="BE61" s="656"/>
      <c r="BF61" s="656"/>
      <c r="BG61" s="656"/>
      <c r="BH61" s="656"/>
      <c r="BI61" s="656"/>
      <c r="BJ61" s="656"/>
      <c r="BK61" s="656"/>
      <c r="BL61" s="656"/>
      <c r="BM61" s="656"/>
      <c r="BN61" s="656"/>
      <c r="BO61" s="656"/>
      <c r="BP61" s="656"/>
      <c r="BQ61" s="656"/>
      <c r="BR61" s="656"/>
      <c r="BS61" s="656"/>
      <c r="BT61" s="656"/>
      <c r="BU61" s="656"/>
      <c r="BV61" s="656"/>
      <c r="BW61" s="656"/>
      <c r="BX61" s="656"/>
      <c r="BY61" s="656"/>
      <c r="BZ61" s="656"/>
      <c r="CA61" s="656"/>
      <c r="CB61" s="656"/>
      <c r="CC61" s="656"/>
      <c r="CD61" s="656"/>
      <c r="CE61" s="656"/>
      <c r="CF61" s="656"/>
      <c r="CG61" s="656"/>
      <c r="CH61" s="656"/>
      <c r="CI61" s="656"/>
      <c r="CJ61" s="656"/>
      <c r="CK61" s="656"/>
      <c r="CL61" s="656"/>
      <c r="CM61" s="656"/>
      <c r="CN61" s="656"/>
      <c r="CO61" s="656"/>
      <c r="CP61" s="656"/>
      <c r="CQ61" s="656"/>
      <c r="CR61" s="656"/>
      <c r="CS61" s="656"/>
      <c r="CT61" s="656"/>
      <c r="CU61" s="656"/>
      <c r="CV61" s="656"/>
      <c r="CW61" s="656"/>
      <c r="CX61" s="656"/>
      <c r="CY61" s="656"/>
      <c r="CZ61" s="656"/>
      <c r="DA61" s="656"/>
      <c r="DB61" s="656"/>
      <c r="DC61" s="656"/>
      <c r="DD61" s="656"/>
      <c r="DE61" s="656"/>
      <c r="DF61" s="656"/>
      <c r="DG61" s="656"/>
      <c r="DH61" s="656"/>
      <c r="DI61" s="656"/>
      <c r="DJ61" s="656"/>
      <c r="DK61" s="656"/>
      <c r="DL61" s="656"/>
      <c r="DM61" s="656"/>
      <c r="DN61" s="656"/>
      <c r="DO61" s="656"/>
      <c r="DP61" s="656"/>
      <c r="DQ61" s="656"/>
      <c r="DR61" s="656"/>
      <c r="DS61" s="656"/>
      <c r="DT61" s="656"/>
      <c r="DU61" s="656"/>
      <c r="DV61" s="656"/>
      <c r="DW61" s="656"/>
      <c r="DX61" s="656"/>
      <c r="DY61" s="656"/>
      <c r="DZ61" s="656"/>
      <c r="EA61" s="656"/>
      <c r="EB61" s="656"/>
      <c r="EC61" s="656"/>
      <c r="ED61" s="656"/>
      <c r="EE61" s="656"/>
      <c r="EF61" s="656"/>
      <c r="EG61" s="656"/>
      <c r="EH61" s="656"/>
      <c r="EI61" s="656"/>
      <c r="EJ61" s="656"/>
      <c r="EK61" s="656"/>
      <c r="EL61" s="656"/>
      <c r="EM61" s="656"/>
      <c r="EN61" s="656"/>
      <c r="EO61" s="656"/>
      <c r="EP61" s="656"/>
      <c r="EQ61" s="656"/>
      <c r="ER61" s="656"/>
      <c r="ES61" s="656"/>
      <c r="ET61" s="656"/>
      <c r="EU61" s="656"/>
      <c r="EV61" s="656"/>
      <c r="EW61" s="656"/>
      <c r="EX61" s="656"/>
      <c r="EY61" s="656"/>
      <c r="EZ61" s="656"/>
      <c r="FA61" s="656"/>
      <c r="FB61" s="656"/>
      <c r="FC61" s="656"/>
      <c r="FD61" s="656"/>
      <c r="FE61" s="656"/>
      <c r="FF61" s="656"/>
      <c r="FG61" s="656"/>
      <c r="FH61" s="656"/>
      <c r="FI61" s="656"/>
      <c r="FJ61" s="656"/>
      <c r="FK61" s="656"/>
      <c r="FL61" s="656"/>
      <c r="FM61" s="656"/>
      <c r="FN61" s="656"/>
      <c r="FO61" s="656"/>
      <c r="FP61" s="656"/>
      <c r="FQ61" s="656"/>
      <c r="FR61" s="656"/>
      <c r="FS61" s="656"/>
      <c r="FT61" s="656"/>
      <c r="FU61" s="656"/>
      <c r="FV61" s="656"/>
      <c r="FW61" s="656"/>
      <c r="FX61" s="656"/>
      <c r="FY61" s="656"/>
      <c r="FZ61" s="656"/>
      <c r="GA61" s="656"/>
      <c r="GB61" s="656"/>
      <c r="GC61" s="656"/>
      <c r="GD61" s="656"/>
      <c r="GE61" s="656"/>
      <c r="GF61" s="656"/>
      <c r="GG61" s="656"/>
      <c r="GH61" s="656"/>
      <c r="GI61" s="656"/>
      <c r="GJ61" s="656"/>
      <c r="GK61" s="656"/>
      <c r="GL61" s="656"/>
      <c r="GM61" s="656"/>
      <c r="GN61" s="656"/>
      <c r="GO61" s="656"/>
      <c r="GP61" s="656"/>
      <c r="GQ61" s="656"/>
      <c r="GR61" s="656"/>
      <c r="GS61" s="656"/>
      <c r="GT61" s="656"/>
      <c r="GU61" s="656"/>
      <c r="GV61" s="656"/>
      <c r="GW61" s="656"/>
      <c r="GX61" s="656"/>
      <c r="GY61" s="656"/>
      <c r="GZ61" s="656"/>
      <c r="HA61" s="656"/>
      <c r="HB61" s="656"/>
      <c r="HC61" s="656"/>
      <c r="HD61" s="656"/>
      <c r="HE61" s="656"/>
      <c r="HF61" s="656"/>
      <c r="HG61" s="656"/>
      <c r="HH61" s="656"/>
      <c r="HI61" s="656"/>
      <c r="HJ61" s="656"/>
      <c r="HK61" s="656"/>
      <c r="HL61" s="656"/>
      <c r="HM61" s="656"/>
      <c r="HN61" s="656"/>
      <c r="HO61" s="656"/>
      <c r="HP61" s="656"/>
      <c r="HQ61" s="656"/>
      <c r="HR61" s="656"/>
      <c r="HS61" s="656"/>
      <c r="HT61" s="656"/>
      <c r="HU61" s="656"/>
      <c r="HV61" s="656"/>
      <c r="HW61" s="656"/>
    </row>
    <row r="62" spans="1:231" s="657" customFormat="1" x14ac:dyDescent="0.25">
      <c r="A62" s="646">
        <v>46</v>
      </c>
      <c r="B62" s="680" t="s">
        <v>1037</v>
      </c>
      <c r="C62" s="681" t="s">
        <v>1038</v>
      </c>
      <c r="D62" s="691" t="s">
        <v>14</v>
      </c>
      <c r="E62" s="681">
        <v>4</v>
      </c>
      <c r="F62" s="684">
        <v>18445.560000000001</v>
      </c>
      <c r="G62" s="684">
        <v>73782</v>
      </c>
      <c r="H62" s="685">
        <v>15.649999999999999</v>
      </c>
      <c r="I62" s="686">
        <v>0</v>
      </c>
      <c r="J62" s="683">
        <v>19.649999999999999</v>
      </c>
      <c r="K62" s="684">
        <v>362455</v>
      </c>
      <c r="L62" s="683">
        <v>19.649999999999999</v>
      </c>
      <c r="M62" s="684">
        <v>362455</v>
      </c>
      <c r="N62" s="683">
        <v>19.649999999999999</v>
      </c>
      <c r="O62" s="687">
        <v>362455</v>
      </c>
      <c r="P62" s="656"/>
      <c r="Q62" s="656"/>
      <c r="R62" s="656"/>
      <c r="S62" s="656"/>
      <c r="T62" s="656"/>
      <c r="U62" s="656"/>
      <c r="V62" s="656"/>
      <c r="W62" s="656"/>
      <c r="X62" s="656"/>
      <c r="Y62" s="656"/>
      <c r="Z62" s="656"/>
      <c r="AA62" s="656"/>
      <c r="AB62" s="656"/>
      <c r="AC62" s="656"/>
      <c r="AD62" s="656"/>
      <c r="AE62" s="656"/>
      <c r="AF62" s="656"/>
      <c r="AG62" s="656"/>
      <c r="AH62" s="656"/>
      <c r="AI62" s="656"/>
      <c r="AJ62" s="656"/>
      <c r="AK62" s="656"/>
      <c r="AL62" s="656"/>
      <c r="AM62" s="656"/>
      <c r="AN62" s="656"/>
      <c r="AO62" s="656"/>
      <c r="AP62" s="656"/>
      <c r="AQ62" s="656"/>
      <c r="AR62" s="656"/>
      <c r="AS62" s="656"/>
      <c r="AT62" s="656"/>
      <c r="AU62" s="656"/>
      <c r="AV62" s="656"/>
      <c r="AW62" s="656"/>
      <c r="AX62" s="656"/>
      <c r="AY62" s="656"/>
      <c r="AZ62" s="656"/>
      <c r="BA62" s="656"/>
      <c r="BB62" s="656"/>
      <c r="BC62" s="656"/>
      <c r="BD62" s="656"/>
      <c r="BE62" s="656"/>
      <c r="BF62" s="656"/>
      <c r="BG62" s="656"/>
      <c r="BH62" s="656"/>
      <c r="BI62" s="656"/>
      <c r="BJ62" s="656"/>
      <c r="BK62" s="656"/>
      <c r="BL62" s="656"/>
      <c r="BM62" s="656"/>
      <c r="BN62" s="656"/>
      <c r="BO62" s="656"/>
      <c r="BP62" s="656"/>
      <c r="BQ62" s="656"/>
      <c r="BR62" s="656"/>
      <c r="BS62" s="656"/>
      <c r="BT62" s="656"/>
      <c r="BU62" s="656"/>
      <c r="BV62" s="656"/>
      <c r="BW62" s="656"/>
      <c r="BX62" s="656"/>
      <c r="BY62" s="656"/>
      <c r="BZ62" s="656"/>
      <c r="CA62" s="656"/>
      <c r="CB62" s="656"/>
      <c r="CC62" s="656"/>
      <c r="CD62" s="656"/>
      <c r="CE62" s="656"/>
      <c r="CF62" s="656"/>
      <c r="CG62" s="656"/>
      <c r="CH62" s="656"/>
      <c r="CI62" s="656"/>
      <c r="CJ62" s="656"/>
      <c r="CK62" s="656"/>
      <c r="CL62" s="656"/>
      <c r="CM62" s="656"/>
      <c r="CN62" s="656"/>
      <c r="CO62" s="656"/>
      <c r="CP62" s="656"/>
      <c r="CQ62" s="656"/>
      <c r="CR62" s="656"/>
      <c r="CS62" s="656"/>
      <c r="CT62" s="656"/>
      <c r="CU62" s="656"/>
      <c r="CV62" s="656"/>
      <c r="CW62" s="656"/>
      <c r="CX62" s="656"/>
      <c r="CY62" s="656"/>
      <c r="CZ62" s="656"/>
      <c r="DA62" s="656"/>
      <c r="DB62" s="656"/>
      <c r="DC62" s="656"/>
      <c r="DD62" s="656"/>
      <c r="DE62" s="656"/>
      <c r="DF62" s="656"/>
      <c r="DG62" s="656"/>
      <c r="DH62" s="656"/>
      <c r="DI62" s="656"/>
      <c r="DJ62" s="656"/>
      <c r="DK62" s="656"/>
      <c r="DL62" s="656"/>
      <c r="DM62" s="656"/>
      <c r="DN62" s="656"/>
      <c r="DO62" s="656"/>
      <c r="DP62" s="656"/>
      <c r="DQ62" s="656"/>
      <c r="DR62" s="656"/>
      <c r="DS62" s="656"/>
      <c r="DT62" s="656"/>
      <c r="DU62" s="656"/>
      <c r="DV62" s="656"/>
      <c r="DW62" s="656"/>
      <c r="DX62" s="656"/>
      <c r="DY62" s="656"/>
      <c r="DZ62" s="656"/>
      <c r="EA62" s="656"/>
      <c r="EB62" s="656"/>
      <c r="EC62" s="656"/>
      <c r="ED62" s="656"/>
      <c r="EE62" s="656"/>
      <c r="EF62" s="656"/>
      <c r="EG62" s="656"/>
      <c r="EH62" s="656"/>
      <c r="EI62" s="656"/>
      <c r="EJ62" s="656"/>
      <c r="EK62" s="656"/>
      <c r="EL62" s="656"/>
      <c r="EM62" s="656"/>
      <c r="EN62" s="656"/>
      <c r="EO62" s="656"/>
      <c r="EP62" s="656"/>
      <c r="EQ62" s="656"/>
      <c r="ER62" s="656"/>
      <c r="ES62" s="656"/>
      <c r="ET62" s="656"/>
      <c r="EU62" s="656"/>
      <c r="EV62" s="656"/>
      <c r="EW62" s="656"/>
      <c r="EX62" s="656"/>
      <c r="EY62" s="656"/>
      <c r="EZ62" s="656"/>
      <c r="FA62" s="656"/>
      <c r="FB62" s="656"/>
      <c r="FC62" s="656"/>
      <c r="FD62" s="656"/>
      <c r="FE62" s="656"/>
      <c r="FF62" s="656"/>
      <c r="FG62" s="656"/>
      <c r="FH62" s="656"/>
      <c r="FI62" s="656"/>
      <c r="FJ62" s="656"/>
      <c r="FK62" s="656"/>
      <c r="FL62" s="656"/>
      <c r="FM62" s="656"/>
      <c r="FN62" s="656"/>
      <c r="FO62" s="656"/>
      <c r="FP62" s="656"/>
      <c r="FQ62" s="656"/>
      <c r="FR62" s="656"/>
      <c r="FS62" s="656"/>
      <c r="FT62" s="656"/>
      <c r="FU62" s="656"/>
      <c r="FV62" s="656"/>
      <c r="FW62" s="656"/>
      <c r="FX62" s="656"/>
      <c r="FY62" s="656"/>
      <c r="FZ62" s="656"/>
      <c r="GA62" s="656"/>
      <c r="GB62" s="656"/>
      <c r="GC62" s="656"/>
      <c r="GD62" s="656"/>
      <c r="GE62" s="656"/>
      <c r="GF62" s="656"/>
      <c r="GG62" s="656"/>
      <c r="GH62" s="656"/>
      <c r="GI62" s="656"/>
      <c r="GJ62" s="656"/>
      <c r="GK62" s="656"/>
      <c r="GL62" s="656"/>
      <c r="GM62" s="656"/>
      <c r="GN62" s="656"/>
      <c r="GO62" s="656"/>
      <c r="GP62" s="656"/>
      <c r="GQ62" s="656"/>
      <c r="GR62" s="656"/>
      <c r="GS62" s="656"/>
      <c r="GT62" s="656"/>
      <c r="GU62" s="656"/>
      <c r="GV62" s="656"/>
      <c r="GW62" s="656"/>
      <c r="GX62" s="656"/>
      <c r="GY62" s="656"/>
      <c r="GZ62" s="656"/>
      <c r="HA62" s="656"/>
      <c r="HB62" s="656"/>
      <c r="HC62" s="656"/>
      <c r="HD62" s="656"/>
      <c r="HE62" s="656"/>
      <c r="HF62" s="656"/>
      <c r="HG62" s="656"/>
      <c r="HH62" s="656"/>
      <c r="HI62" s="656"/>
      <c r="HJ62" s="656"/>
      <c r="HK62" s="656"/>
      <c r="HL62" s="656"/>
      <c r="HM62" s="656"/>
      <c r="HN62" s="656"/>
      <c r="HO62" s="656"/>
      <c r="HP62" s="656"/>
      <c r="HQ62" s="656"/>
      <c r="HR62" s="656"/>
      <c r="HS62" s="656"/>
      <c r="HT62" s="656"/>
      <c r="HU62" s="656"/>
      <c r="HV62" s="656"/>
      <c r="HW62" s="656"/>
    </row>
    <row r="63" spans="1:231" s="657" customFormat="1" x14ac:dyDescent="0.25">
      <c r="A63" s="646">
        <v>47</v>
      </c>
      <c r="B63" s="680" t="s">
        <v>1039</v>
      </c>
      <c r="C63" s="681" t="s">
        <v>1040</v>
      </c>
      <c r="D63" s="691" t="s">
        <v>14</v>
      </c>
      <c r="E63" s="681">
        <v>3</v>
      </c>
      <c r="F63" s="684">
        <v>27551.72</v>
      </c>
      <c r="G63" s="684">
        <v>82655</v>
      </c>
      <c r="H63" s="685">
        <v>3.1400000000000006</v>
      </c>
      <c r="I63" s="686">
        <v>0</v>
      </c>
      <c r="J63" s="683">
        <v>6.1400000000000006</v>
      </c>
      <c r="K63" s="684">
        <v>169168</v>
      </c>
      <c r="L63" s="683">
        <v>6.1400000000000006</v>
      </c>
      <c r="M63" s="684">
        <v>169168</v>
      </c>
      <c r="N63" s="683">
        <v>6.1400000000000006</v>
      </c>
      <c r="O63" s="687">
        <v>169168</v>
      </c>
      <c r="P63" s="656"/>
      <c r="Q63" s="656"/>
      <c r="R63" s="656"/>
      <c r="S63" s="656"/>
      <c r="T63" s="656"/>
      <c r="U63" s="656"/>
      <c r="V63" s="656"/>
      <c r="W63" s="656"/>
      <c r="X63" s="656"/>
      <c r="Y63" s="656"/>
      <c r="Z63" s="656"/>
      <c r="AA63" s="656"/>
      <c r="AB63" s="656"/>
      <c r="AC63" s="656"/>
      <c r="AD63" s="656"/>
      <c r="AE63" s="656"/>
      <c r="AF63" s="656"/>
      <c r="AG63" s="656"/>
      <c r="AH63" s="656"/>
      <c r="AI63" s="656"/>
      <c r="AJ63" s="656"/>
      <c r="AK63" s="656"/>
      <c r="AL63" s="656"/>
      <c r="AM63" s="656"/>
      <c r="AN63" s="656"/>
      <c r="AO63" s="656"/>
      <c r="AP63" s="656"/>
      <c r="AQ63" s="656"/>
      <c r="AR63" s="656"/>
      <c r="AS63" s="656"/>
      <c r="AT63" s="656"/>
      <c r="AU63" s="656"/>
      <c r="AV63" s="656"/>
      <c r="AW63" s="656"/>
      <c r="AX63" s="656"/>
      <c r="AY63" s="656"/>
      <c r="AZ63" s="656"/>
      <c r="BA63" s="656"/>
      <c r="BB63" s="656"/>
      <c r="BC63" s="656"/>
      <c r="BD63" s="656"/>
      <c r="BE63" s="656"/>
      <c r="BF63" s="656"/>
      <c r="BG63" s="656"/>
      <c r="BH63" s="656"/>
      <c r="BI63" s="656"/>
      <c r="BJ63" s="656"/>
      <c r="BK63" s="656"/>
      <c r="BL63" s="656"/>
      <c r="BM63" s="656"/>
      <c r="BN63" s="656"/>
      <c r="BO63" s="656"/>
      <c r="BP63" s="656"/>
      <c r="BQ63" s="656"/>
      <c r="BR63" s="656"/>
      <c r="BS63" s="656"/>
      <c r="BT63" s="656"/>
      <c r="BU63" s="656"/>
      <c r="BV63" s="656"/>
      <c r="BW63" s="656"/>
      <c r="BX63" s="656"/>
      <c r="BY63" s="656"/>
      <c r="BZ63" s="656"/>
      <c r="CA63" s="656"/>
      <c r="CB63" s="656"/>
      <c r="CC63" s="656"/>
      <c r="CD63" s="656"/>
      <c r="CE63" s="656"/>
      <c r="CF63" s="656"/>
      <c r="CG63" s="656"/>
      <c r="CH63" s="656"/>
      <c r="CI63" s="656"/>
      <c r="CJ63" s="656"/>
      <c r="CK63" s="656"/>
      <c r="CL63" s="656"/>
      <c r="CM63" s="656"/>
      <c r="CN63" s="656"/>
      <c r="CO63" s="656"/>
      <c r="CP63" s="656"/>
      <c r="CQ63" s="656"/>
      <c r="CR63" s="656"/>
      <c r="CS63" s="656"/>
      <c r="CT63" s="656"/>
      <c r="CU63" s="656"/>
      <c r="CV63" s="656"/>
      <c r="CW63" s="656"/>
      <c r="CX63" s="656"/>
      <c r="CY63" s="656"/>
      <c r="CZ63" s="656"/>
      <c r="DA63" s="656"/>
      <c r="DB63" s="656"/>
      <c r="DC63" s="656"/>
      <c r="DD63" s="656"/>
      <c r="DE63" s="656"/>
      <c r="DF63" s="656"/>
      <c r="DG63" s="656"/>
      <c r="DH63" s="656"/>
      <c r="DI63" s="656"/>
      <c r="DJ63" s="656"/>
      <c r="DK63" s="656"/>
      <c r="DL63" s="656"/>
      <c r="DM63" s="656"/>
      <c r="DN63" s="656"/>
      <c r="DO63" s="656"/>
      <c r="DP63" s="656"/>
      <c r="DQ63" s="656"/>
      <c r="DR63" s="656"/>
      <c r="DS63" s="656"/>
      <c r="DT63" s="656"/>
      <c r="DU63" s="656"/>
      <c r="DV63" s="656"/>
      <c r="DW63" s="656"/>
      <c r="DX63" s="656"/>
      <c r="DY63" s="656"/>
      <c r="DZ63" s="656"/>
      <c r="EA63" s="656"/>
      <c r="EB63" s="656"/>
      <c r="EC63" s="656"/>
      <c r="ED63" s="656"/>
      <c r="EE63" s="656"/>
      <c r="EF63" s="656"/>
      <c r="EG63" s="656"/>
      <c r="EH63" s="656"/>
      <c r="EI63" s="656"/>
      <c r="EJ63" s="656"/>
      <c r="EK63" s="656"/>
      <c r="EL63" s="656"/>
      <c r="EM63" s="656"/>
      <c r="EN63" s="656"/>
      <c r="EO63" s="656"/>
      <c r="EP63" s="656"/>
      <c r="EQ63" s="656"/>
      <c r="ER63" s="656"/>
      <c r="ES63" s="656"/>
      <c r="ET63" s="656"/>
      <c r="EU63" s="656"/>
      <c r="EV63" s="656"/>
      <c r="EW63" s="656"/>
      <c r="EX63" s="656"/>
      <c r="EY63" s="656"/>
      <c r="EZ63" s="656"/>
      <c r="FA63" s="656"/>
      <c r="FB63" s="656"/>
      <c r="FC63" s="656"/>
      <c r="FD63" s="656"/>
      <c r="FE63" s="656"/>
      <c r="FF63" s="656"/>
      <c r="FG63" s="656"/>
      <c r="FH63" s="656"/>
      <c r="FI63" s="656"/>
      <c r="FJ63" s="656"/>
      <c r="FK63" s="656"/>
      <c r="FL63" s="656"/>
      <c r="FM63" s="656"/>
      <c r="FN63" s="656"/>
      <c r="FO63" s="656"/>
      <c r="FP63" s="656"/>
      <c r="FQ63" s="656"/>
      <c r="FR63" s="656"/>
      <c r="FS63" s="656"/>
      <c r="FT63" s="656"/>
      <c r="FU63" s="656"/>
      <c r="FV63" s="656"/>
      <c r="FW63" s="656"/>
      <c r="FX63" s="656"/>
      <c r="FY63" s="656"/>
      <c r="FZ63" s="656"/>
      <c r="GA63" s="656"/>
      <c r="GB63" s="656"/>
      <c r="GC63" s="656"/>
      <c r="GD63" s="656"/>
      <c r="GE63" s="656"/>
      <c r="GF63" s="656"/>
      <c r="GG63" s="656"/>
      <c r="GH63" s="656"/>
      <c r="GI63" s="656"/>
      <c r="GJ63" s="656"/>
      <c r="GK63" s="656"/>
      <c r="GL63" s="656"/>
      <c r="GM63" s="656"/>
      <c r="GN63" s="656"/>
      <c r="GO63" s="656"/>
      <c r="GP63" s="656"/>
      <c r="GQ63" s="656"/>
      <c r="GR63" s="656"/>
      <c r="GS63" s="656"/>
      <c r="GT63" s="656"/>
      <c r="GU63" s="656"/>
      <c r="GV63" s="656"/>
      <c r="GW63" s="656"/>
      <c r="GX63" s="656"/>
      <c r="GY63" s="656"/>
      <c r="GZ63" s="656"/>
      <c r="HA63" s="656"/>
      <c r="HB63" s="656"/>
      <c r="HC63" s="656"/>
      <c r="HD63" s="656"/>
      <c r="HE63" s="656"/>
      <c r="HF63" s="656"/>
      <c r="HG63" s="656"/>
      <c r="HH63" s="656"/>
      <c r="HI63" s="656"/>
      <c r="HJ63" s="656"/>
      <c r="HK63" s="656"/>
      <c r="HL63" s="656"/>
      <c r="HM63" s="656"/>
      <c r="HN63" s="656"/>
      <c r="HO63" s="656"/>
      <c r="HP63" s="656"/>
      <c r="HQ63" s="656"/>
      <c r="HR63" s="656"/>
      <c r="HS63" s="656"/>
      <c r="HT63" s="656"/>
      <c r="HU63" s="656"/>
      <c r="HV63" s="656"/>
      <c r="HW63" s="656"/>
    </row>
    <row r="64" spans="1:231" s="657" customFormat="1" x14ac:dyDescent="0.25">
      <c r="A64" s="646">
        <v>48</v>
      </c>
      <c r="B64" s="680" t="s">
        <v>1041</v>
      </c>
      <c r="C64" s="681" t="s">
        <v>1042</v>
      </c>
      <c r="D64" s="691" t="s">
        <v>14</v>
      </c>
      <c r="E64" s="681">
        <v>5</v>
      </c>
      <c r="F64" s="684">
        <v>34234.339999999997</v>
      </c>
      <c r="G64" s="684">
        <v>171172</v>
      </c>
      <c r="H64" s="685"/>
      <c r="I64" s="686"/>
      <c r="J64" s="683"/>
      <c r="K64" s="684">
        <v>0</v>
      </c>
      <c r="L64" s="683">
        <v>0</v>
      </c>
      <c r="M64" s="684">
        <v>0</v>
      </c>
      <c r="N64" s="683">
        <v>0</v>
      </c>
      <c r="O64" s="687">
        <v>0</v>
      </c>
      <c r="P64" s="656"/>
      <c r="Q64" s="656"/>
      <c r="R64" s="656"/>
      <c r="S64" s="656"/>
      <c r="T64" s="656"/>
      <c r="U64" s="656"/>
      <c r="V64" s="656"/>
      <c r="W64" s="656"/>
      <c r="X64" s="656"/>
      <c r="Y64" s="656"/>
      <c r="Z64" s="656"/>
      <c r="AA64" s="656"/>
      <c r="AB64" s="656"/>
      <c r="AC64" s="656"/>
      <c r="AD64" s="656"/>
      <c r="AE64" s="656"/>
      <c r="AF64" s="656"/>
      <c r="AG64" s="656"/>
      <c r="AH64" s="656"/>
      <c r="AI64" s="656"/>
      <c r="AJ64" s="656"/>
      <c r="AK64" s="656"/>
      <c r="AL64" s="656"/>
      <c r="AM64" s="656"/>
      <c r="AN64" s="656"/>
      <c r="AO64" s="656"/>
      <c r="AP64" s="656"/>
      <c r="AQ64" s="656"/>
      <c r="AR64" s="656"/>
      <c r="AS64" s="656"/>
      <c r="AT64" s="656"/>
      <c r="AU64" s="656"/>
      <c r="AV64" s="656"/>
      <c r="AW64" s="656"/>
      <c r="AX64" s="656"/>
      <c r="AY64" s="656"/>
      <c r="AZ64" s="656"/>
      <c r="BA64" s="656"/>
      <c r="BB64" s="656"/>
      <c r="BC64" s="656"/>
      <c r="BD64" s="656"/>
      <c r="BE64" s="656"/>
      <c r="BF64" s="656"/>
      <c r="BG64" s="656"/>
      <c r="BH64" s="656"/>
      <c r="BI64" s="656"/>
      <c r="BJ64" s="656"/>
      <c r="BK64" s="656"/>
      <c r="BL64" s="656"/>
      <c r="BM64" s="656"/>
      <c r="BN64" s="656"/>
      <c r="BO64" s="656"/>
      <c r="BP64" s="656"/>
      <c r="BQ64" s="656"/>
      <c r="BR64" s="656"/>
      <c r="BS64" s="656"/>
      <c r="BT64" s="656"/>
      <c r="BU64" s="656"/>
      <c r="BV64" s="656"/>
      <c r="BW64" s="656"/>
      <c r="BX64" s="656"/>
      <c r="BY64" s="656"/>
      <c r="BZ64" s="656"/>
      <c r="CA64" s="656"/>
      <c r="CB64" s="656"/>
      <c r="CC64" s="656"/>
      <c r="CD64" s="656"/>
      <c r="CE64" s="656"/>
      <c r="CF64" s="656"/>
      <c r="CG64" s="656"/>
      <c r="CH64" s="656"/>
      <c r="CI64" s="656"/>
      <c r="CJ64" s="656"/>
      <c r="CK64" s="656"/>
      <c r="CL64" s="656"/>
      <c r="CM64" s="656"/>
      <c r="CN64" s="656"/>
      <c r="CO64" s="656"/>
      <c r="CP64" s="656"/>
      <c r="CQ64" s="656"/>
      <c r="CR64" s="656"/>
      <c r="CS64" s="656"/>
      <c r="CT64" s="656"/>
      <c r="CU64" s="656"/>
      <c r="CV64" s="656"/>
      <c r="CW64" s="656"/>
      <c r="CX64" s="656"/>
      <c r="CY64" s="656"/>
      <c r="CZ64" s="656"/>
      <c r="DA64" s="656"/>
      <c r="DB64" s="656"/>
      <c r="DC64" s="656"/>
      <c r="DD64" s="656"/>
      <c r="DE64" s="656"/>
      <c r="DF64" s="656"/>
      <c r="DG64" s="656"/>
      <c r="DH64" s="656"/>
      <c r="DI64" s="656"/>
      <c r="DJ64" s="656"/>
      <c r="DK64" s="656"/>
      <c r="DL64" s="656"/>
      <c r="DM64" s="656"/>
      <c r="DN64" s="656"/>
      <c r="DO64" s="656"/>
      <c r="DP64" s="656"/>
      <c r="DQ64" s="656"/>
      <c r="DR64" s="656"/>
      <c r="DS64" s="656"/>
      <c r="DT64" s="656"/>
      <c r="DU64" s="656"/>
      <c r="DV64" s="656"/>
      <c r="DW64" s="656"/>
      <c r="DX64" s="656"/>
      <c r="DY64" s="656"/>
      <c r="DZ64" s="656"/>
      <c r="EA64" s="656"/>
      <c r="EB64" s="656"/>
      <c r="EC64" s="656"/>
      <c r="ED64" s="656"/>
      <c r="EE64" s="656"/>
      <c r="EF64" s="656"/>
      <c r="EG64" s="656"/>
      <c r="EH64" s="656"/>
      <c r="EI64" s="656"/>
      <c r="EJ64" s="656"/>
      <c r="EK64" s="656"/>
      <c r="EL64" s="656"/>
      <c r="EM64" s="656"/>
      <c r="EN64" s="656"/>
      <c r="EO64" s="656"/>
      <c r="EP64" s="656"/>
      <c r="EQ64" s="656"/>
      <c r="ER64" s="656"/>
      <c r="ES64" s="656"/>
      <c r="ET64" s="656"/>
      <c r="EU64" s="656"/>
      <c r="EV64" s="656"/>
      <c r="EW64" s="656"/>
      <c r="EX64" s="656"/>
      <c r="EY64" s="656"/>
      <c r="EZ64" s="656"/>
      <c r="FA64" s="656"/>
      <c r="FB64" s="656"/>
      <c r="FC64" s="656"/>
      <c r="FD64" s="656"/>
      <c r="FE64" s="656"/>
      <c r="FF64" s="656"/>
      <c r="FG64" s="656"/>
      <c r="FH64" s="656"/>
      <c r="FI64" s="656"/>
      <c r="FJ64" s="656"/>
      <c r="FK64" s="656"/>
      <c r="FL64" s="656"/>
      <c r="FM64" s="656"/>
      <c r="FN64" s="656"/>
      <c r="FO64" s="656"/>
      <c r="FP64" s="656"/>
      <c r="FQ64" s="656"/>
      <c r="FR64" s="656"/>
      <c r="FS64" s="656"/>
      <c r="FT64" s="656"/>
      <c r="FU64" s="656"/>
      <c r="FV64" s="656"/>
      <c r="FW64" s="656"/>
      <c r="FX64" s="656"/>
      <c r="FY64" s="656"/>
      <c r="FZ64" s="656"/>
      <c r="GA64" s="656"/>
      <c r="GB64" s="656"/>
      <c r="GC64" s="656"/>
      <c r="GD64" s="656"/>
      <c r="GE64" s="656"/>
      <c r="GF64" s="656"/>
      <c r="GG64" s="656"/>
      <c r="GH64" s="656"/>
      <c r="GI64" s="656"/>
      <c r="GJ64" s="656"/>
      <c r="GK64" s="656"/>
      <c r="GL64" s="656"/>
      <c r="GM64" s="656"/>
      <c r="GN64" s="656"/>
      <c r="GO64" s="656"/>
      <c r="GP64" s="656"/>
      <c r="GQ64" s="656"/>
      <c r="GR64" s="656"/>
      <c r="GS64" s="656"/>
      <c r="GT64" s="656"/>
      <c r="GU64" s="656"/>
      <c r="GV64" s="656"/>
      <c r="GW64" s="656"/>
      <c r="GX64" s="656"/>
      <c r="GY64" s="656"/>
      <c r="GZ64" s="656"/>
      <c r="HA64" s="656"/>
      <c r="HB64" s="656"/>
      <c r="HC64" s="656"/>
      <c r="HD64" s="656"/>
      <c r="HE64" s="656"/>
      <c r="HF64" s="656"/>
      <c r="HG64" s="656"/>
      <c r="HH64" s="656"/>
      <c r="HI64" s="656"/>
      <c r="HJ64" s="656"/>
      <c r="HK64" s="656"/>
      <c r="HL64" s="656"/>
      <c r="HM64" s="656"/>
      <c r="HN64" s="656"/>
      <c r="HO64" s="656"/>
      <c r="HP64" s="656"/>
      <c r="HQ64" s="656"/>
      <c r="HR64" s="656"/>
      <c r="HS64" s="656"/>
      <c r="HT64" s="656"/>
      <c r="HU64" s="656"/>
      <c r="HV64" s="656"/>
      <c r="HW64" s="656"/>
    </row>
    <row r="65" spans="1:231" s="657" customFormat="1" x14ac:dyDescent="0.25">
      <c r="A65" s="646">
        <v>49</v>
      </c>
      <c r="B65" s="680" t="s">
        <v>1043</v>
      </c>
      <c r="C65" s="681" t="s">
        <v>1044</v>
      </c>
      <c r="D65" s="691" t="s">
        <v>6</v>
      </c>
      <c r="E65" s="681">
        <v>14</v>
      </c>
      <c r="F65" s="684">
        <v>63103.18</v>
      </c>
      <c r="G65" s="684">
        <v>883445</v>
      </c>
      <c r="H65" s="685">
        <v>1</v>
      </c>
      <c r="I65" s="686">
        <v>0</v>
      </c>
      <c r="J65" s="683">
        <v>15</v>
      </c>
      <c r="K65" s="684">
        <v>946548</v>
      </c>
      <c r="L65" s="683">
        <v>15</v>
      </c>
      <c r="M65" s="684">
        <v>946548</v>
      </c>
      <c r="N65" s="683">
        <v>15</v>
      </c>
      <c r="O65" s="687">
        <v>946548</v>
      </c>
      <c r="P65" s="656"/>
      <c r="Q65" s="656"/>
      <c r="R65" s="656"/>
      <c r="S65" s="656"/>
      <c r="T65" s="656"/>
      <c r="U65" s="656"/>
      <c r="V65" s="656"/>
      <c r="W65" s="656"/>
      <c r="X65" s="656"/>
      <c r="Y65" s="656"/>
      <c r="Z65" s="656"/>
      <c r="AA65" s="656"/>
      <c r="AB65" s="656"/>
      <c r="AC65" s="656"/>
      <c r="AD65" s="656"/>
      <c r="AE65" s="656"/>
      <c r="AF65" s="656"/>
      <c r="AG65" s="656"/>
      <c r="AH65" s="656"/>
      <c r="AI65" s="656"/>
      <c r="AJ65" s="656"/>
      <c r="AK65" s="656"/>
      <c r="AL65" s="656"/>
      <c r="AM65" s="656"/>
      <c r="AN65" s="656"/>
      <c r="AO65" s="656"/>
      <c r="AP65" s="656"/>
      <c r="AQ65" s="656"/>
      <c r="AR65" s="656"/>
      <c r="AS65" s="656"/>
      <c r="AT65" s="656"/>
      <c r="AU65" s="656"/>
      <c r="AV65" s="656"/>
      <c r="AW65" s="656"/>
      <c r="AX65" s="656"/>
      <c r="AY65" s="656"/>
      <c r="AZ65" s="656"/>
      <c r="BA65" s="656"/>
      <c r="BB65" s="656"/>
      <c r="BC65" s="656"/>
      <c r="BD65" s="656"/>
      <c r="BE65" s="656"/>
      <c r="BF65" s="656"/>
      <c r="BG65" s="656"/>
      <c r="BH65" s="656"/>
      <c r="BI65" s="656"/>
      <c r="BJ65" s="656"/>
      <c r="BK65" s="656"/>
      <c r="BL65" s="656"/>
      <c r="BM65" s="656"/>
      <c r="BN65" s="656"/>
      <c r="BO65" s="656"/>
      <c r="BP65" s="656"/>
      <c r="BQ65" s="656"/>
      <c r="BR65" s="656"/>
      <c r="BS65" s="656"/>
      <c r="BT65" s="656"/>
      <c r="BU65" s="656"/>
      <c r="BV65" s="656"/>
      <c r="BW65" s="656"/>
      <c r="BX65" s="656"/>
      <c r="BY65" s="656"/>
      <c r="BZ65" s="656"/>
      <c r="CA65" s="656"/>
      <c r="CB65" s="656"/>
      <c r="CC65" s="656"/>
      <c r="CD65" s="656"/>
      <c r="CE65" s="656"/>
      <c r="CF65" s="656"/>
      <c r="CG65" s="656"/>
      <c r="CH65" s="656"/>
      <c r="CI65" s="656"/>
      <c r="CJ65" s="656"/>
      <c r="CK65" s="656"/>
      <c r="CL65" s="656"/>
      <c r="CM65" s="656"/>
      <c r="CN65" s="656"/>
      <c r="CO65" s="656"/>
      <c r="CP65" s="656"/>
      <c r="CQ65" s="656"/>
      <c r="CR65" s="656"/>
      <c r="CS65" s="656"/>
      <c r="CT65" s="656"/>
      <c r="CU65" s="656"/>
      <c r="CV65" s="656"/>
      <c r="CW65" s="656"/>
      <c r="CX65" s="656"/>
      <c r="CY65" s="656"/>
      <c r="CZ65" s="656"/>
      <c r="DA65" s="656"/>
      <c r="DB65" s="656"/>
      <c r="DC65" s="656"/>
      <c r="DD65" s="656"/>
      <c r="DE65" s="656"/>
      <c r="DF65" s="656"/>
      <c r="DG65" s="656"/>
      <c r="DH65" s="656"/>
      <c r="DI65" s="656"/>
      <c r="DJ65" s="656"/>
      <c r="DK65" s="656"/>
      <c r="DL65" s="656"/>
      <c r="DM65" s="656"/>
      <c r="DN65" s="656"/>
      <c r="DO65" s="656"/>
      <c r="DP65" s="656"/>
      <c r="DQ65" s="656"/>
      <c r="DR65" s="656"/>
      <c r="DS65" s="656"/>
      <c r="DT65" s="656"/>
      <c r="DU65" s="656"/>
      <c r="DV65" s="656"/>
      <c r="DW65" s="656"/>
      <c r="DX65" s="656"/>
      <c r="DY65" s="656"/>
      <c r="DZ65" s="656"/>
      <c r="EA65" s="656"/>
      <c r="EB65" s="656"/>
      <c r="EC65" s="656"/>
      <c r="ED65" s="656"/>
      <c r="EE65" s="656"/>
      <c r="EF65" s="656"/>
      <c r="EG65" s="656"/>
      <c r="EH65" s="656"/>
      <c r="EI65" s="656"/>
      <c r="EJ65" s="656"/>
      <c r="EK65" s="656"/>
      <c r="EL65" s="656"/>
      <c r="EM65" s="656"/>
      <c r="EN65" s="656"/>
      <c r="EO65" s="656"/>
      <c r="EP65" s="656"/>
      <c r="EQ65" s="656"/>
      <c r="ER65" s="656"/>
      <c r="ES65" s="656"/>
      <c r="ET65" s="656"/>
      <c r="EU65" s="656"/>
      <c r="EV65" s="656"/>
      <c r="EW65" s="656"/>
      <c r="EX65" s="656"/>
      <c r="EY65" s="656"/>
      <c r="EZ65" s="656"/>
      <c r="FA65" s="656"/>
      <c r="FB65" s="656"/>
      <c r="FC65" s="656"/>
      <c r="FD65" s="656"/>
      <c r="FE65" s="656"/>
      <c r="FF65" s="656"/>
      <c r="FG65" s="656"/>
      <c r="FH65" s="656"/>
      <c r="FI65" s="656"/>
      <c r="FJ65" s="656"/>
      <c r="FK65" s="656"/>
      <c r="FL65" s="656"/>
      <c r="FM65" s="656"/>
      <c r="FN65" s="656"/>
      <c r="FO65" s="656"/>
      <c r="FP65" s="656"/>
      <c r="FQ65" s="656"/>
      <c r="FR65" s="656"/>
      <c r="FS65" s="656"/>
      <c r="FT65" s="656"/>
      <c r="FU65" s="656"/>
      <c r="FV65" s="656"/>
      <c r="FW65" s="656"/>
      <c r="FX65" s="656"/>
      <c r="FY65" s="656"/>
      <c r="FZ65" s="656"/>
      <c r="GA65" s="656"/>
      <c r="GB65" s="656"/>
      <c r="GC65" s="656"/>
      <c r="GD65" s="656"/>
      <c r="GE65" s="656"/>
      <c r="GF65" s="656"/>
      <c r="GG65" s="656"/>
      <c r="GH65" s="656"/>
      <c r="GI65" s="656"/>
      <c r="GJ65" s="656"/>
      <c r="GK65" s="656"/>
      <c r="GL65" s="656"/>
      <c r="GM65" s="656"/>
      <c r="GN65" s="656"/>
      <c r="GO65" s="656"/>
      <c r="GP65" s="656"/>
      <c r="GQ65" s="656"/>
      <c r="GR65" s="656"/>
      <c r="GS65" s="656"/>
      <c r="GT65" s="656"/>
      <c r="GU65" s="656"/>
      <c r="GV65" s="656"/>
      <c r="GW65" s="656"/>
      <c r="GX65" s="656"/>
      <c r="GY65" s="656"/>
      <c r="GZ65" s="656"/>
      <c r="HA65" s="656"/>
      <c r="HB65" s="656"/>
      <c r="HC65" s="656"/>
      <c r="HD65" s="656"/>
      <c r="HE65" s="656"/>
      <c r="HF65" s="656"/>
      <c r="HG65" s="656"/>
      <c r="HH65" s="656"/>
      <c r="HI65" s="656"/>
      <c r="HJ65" s="656"/>
      <c r="HK65" s="656"/>
      <c r="HL65" s="656"/>
      <c r="HM65" s="656"/>
      <c r="HN65" s="656"/>
      <c r="HO65" s="656"/>
      <c r="HP65" s="656"/>
      <c r="HQ65" s="656"/>
      <c r="HR65" s="656"/>
      <c r="HS65" s="656"/>
      <c r="HT65" s="656"/>
      <c r="HU65" s="656"/>
      <c r="HV65" s="656"/>
      <c r="HW65" s="656"/>
    </row>
    <row r="66" spans="1:231" s="657" customFormat="1" x14ac:dyDescent="0.25">
      <c r="A66" s="646">
        <v>50</v>
      </c>
      <c r="B66" s="680" t="s">
        <v>1045</v>
      </c>
      <c r="C66" s="681" t="s">
        <v>1046</v>
      </c>
      <c r="D66" s="691" t="s">
        <v>6</v>
      </c>
      <c r="E66" s="681">
        <v>5</v>
      </c>
      <c r="F66" s="684">
        <v>395719.1</v>
      </c>
      <c r="G66" s="684">
        <v>1978596</v>
      </c>
      <c r="H66" s="685">
        <v>0</v>
      </c>
      <c r="I66" s="686">
        <v>-1</v>
      </c>
      <c r="J66" s="683">
        <v>4</v>
      </c>
      <c r="K66" s="684">
        <v>1582876</v>
      </c>
      <c r="L66" s="683">
        <v>4</v>
      </c>
      <c r="M66" s="684">
        <v>1582876</v>
      </c>
      <c r="N66" s="683">
        <v>4</v>
      </c>
      <c r="O66" s="687">
        <v>1582876</v>
      </c>
      <c r="P66" s="656"/>
      <c r="Q66" s="656"/>
      <c r="R66" s="656"/>
      <c r="S66" s="656"/>
      <c r="T66" s="656"/>
      <c r="U66" s="656"/>
      <c r="V66" s="656"/>
      <c r="W66" s="656"/>
      <c r="X66" s="656"/>
      <c r="Y66" s="656"/>
      <c r="Z66" s="656"/>
      <c r="AA66" s="656"/>
      <c r="AB66" s="656"/>
      <c r="AC66" s="656"/>
      <c r="AD66" s="656"/>
      <c r="AE66" s="656"/>
      <c r="AF66" s="656"/>
      <c r="AG66" s="656"/>
      <c r="AH66" s="656"/>
      <c r="AI66" s="656"/>
      <c r="AJ66" s="656"/>
      <c r="AK66" s="656"/>
      <c r="AL66" s="656"/>
      <c r="AM66" s="656"/>
      <c r="AN66" s="656"/>
      <c r="AO66" s="656"/>
      <c r="AP66" s="656"/>
      <c r="AQ66" s="656"/>
      <c r="AR66" s="656"/>
      <c r="AS66" s="656"/>
      <c r="AT66" s="656"/>
      <c r="AU66" s="656"/>
      <c r="AV66" s="656"/>
      <c r="AW66" s="656"/>
      <c r="AX66" s="656"/>
      <c r="AY66" s="656"/>
      <c r="AZ66" s="656"/>
      <c r="BA66" s="656"/>
      <c r="BB66" s="656"/>
      <c r="BC66" s="656"/>
      <c r="BD66" s="656"/>
      <c r="BE66" s="656"/>
      <c r="BF66" s="656"/>
      <c r="BG66" s="656"/>
      <c r="BH66" s="656"/>
      <c r="BI66" s="656"/>
      <c r="BJ66" s="656"/>
      <c r="BK66" s="656"/>
      <c r="BL66" s="656"/>
      <c r="BM66" s="656"/>
      <c r="BN66" s="656"/>
      <c r="BO66" s="656"/>
      <c r="BP66" s="656"/>
      <c r="BQ66" s="656"/>
      <c r="BR66" s="656"/>
      <c r="BS66" s="656"/>
      <c r="BT66" s="656"/>
      <c r="BU66" s="656"/>
      <c r="BV66" s="656"/>
      <c r="BW66" s="656"/>
      <c r="BX66" s="656"/>
      <c r="BY66" s="656"/>
      <c r="BZ66" s="656"/>
      <c r="CA66" s="656"/>
      <c r="CB66" s="656"/>
      <c r="CC66" s="656"/>
      <c r="CD66" s="656"/>
      <c r="CE66" s="656"/>
      <c r="CF66" s="656"/>
      <c r="CG66" s="656"/>
      <c r="CH66" s="656"/>
      <c r="CI66" s="656"/>
      <c r="CJ66" s="656"/>
      <c r="CK66" s="656"/>
      <c r="CL66" s="656"/>
      <c r="CM66" s="656"/>
      <c r="CN66" s="656"/>
      <c r="CO66" s="656"/>
      <c r="CP66" s="656"/>
      <c r="CQ66" s="656"/>
      <c r="CR66" s="656"/>
      <c r="CS66" s="656"/>
      <c r="CT66" s="656"/>
      <c r="CU66" s="656"/>
      <c r="CV66" s="656"/>
      <c r="CW66" s="656"/>
      <c r="CX66" s="656"/>
      <c r="CY66" s="656"/>
      <c r="CZ66" s="656"/>
      <c r="DA66" s="656"/>
      <c r="DB66" s="656"/>
      <c r="DC66" s="656"/>
      <c r="DD66" s="656"/>
      <c r="DE66" s="656"/>
      <c r="DF66" s="656"/>
      <c r="DG66" s="656"/>
      <c r="DH66" s="656"/>
      <c r="DI66" s="656"/>
      <c r="DJ66" s="656"/>
      <c r="DK66" s="656"/>
      <c r="DL66" s="656"/>
      <c r="DM66" s="656"/>
      <c r="DN66" s="656"/>
      <c r="DO66" s="656"/>
      <c r="DP66" s="656"/>
      <c r="DQ66" s="656"/>
      <c r="DR66" s="656"/>
      <c r="DS66" s="656"/>
      <c r="DT66" s="656"/>
      <c r="DU66" s="656"/>
      <c r="DV66" s="656"/>
      <c r="DW66" s="656"/>
      <c r="DX66" s="656"/>
      <c r="DY66" s="656"/>
      <c r="DZ66" s="656"/>
      <c r="EA66" s="656"/>
      <c r="EB66" s="656"/>
      <c r="EC66" s="656"/>
      <c r="ED66" s="656"/>
      <c r="EE66" s="656"/>
      <c r="EF66" s="656"/>
      <c r="EG66" s="656"/>
      <c r="EH66" s="656"/>
      <c r="EI66" s="656"/>
      <c r="EJ66" s="656"/>
      <c r="EK66" s="656"/>
      <c r="EL66" s="656"/>
      <c r="EM66" s="656"/>
      <c r="EN66" s="656"/>
      <c r="EO66" s="656"/>
      <c r="EP66" s="656"/>
      <c r="EQ66" s="656"/>
      <c r="ER66" s="656"/>
      <c r="ES66" s="656"/>
      <c r="ET66" s="656"/>
      <c r="EU66" s="656"/>
      <c r="EV66" s="656"/>
      <c r="EW66" s="656"/>
      <c r="EX66" s="656"/>
      <c r="EY66" s="656"/>
      <c r="EZ66" s="656"/>
      <c r="FA66" s="656"/>
      <c r="FB66" s="656"/>
      <c r="FC66" s="656"/>
      <c r="FD66" s="656"/>
      <c r="FE66" s="656"/>
      <c r="FF66" s="656"/>
      <c r="FG66" s="656"/>
      <c r="FH66" s="656"/>
      <c r="FI66" s="656"/>
      <c r="FJ66" s="656"/>
      <c r="FK66" s="656"/>
      <c r="FL66" s="656"/>
      <c r="FM66" s="656"/>
      <c r="FN66" s="656"/>
      <c r="FO66" s="656"/>
      <c r="FP66" s="656"/>
      <c r="FQ66" s="656"/>
      <c r="FR66" s="656"/>
      <c r="FS66" s="656"/>
      <c r="FT66" s="656"/>
      <c r="FU66" s="656"/>
      <c r="FV66" s="656"/>
      <c r="FW66" s="656"/>
      <c r="FX66" s="656"/>
      <c r="FY66" s="656"/>
      <c r="FZ66" s="656"/>
      <c r="GA66" s="656"/>
      <c r="GB66" s="656"/>
      <c r="GC66" s="656"/>
      <c r="GD66" s="656"/>
      <c r="GE66" s="656"/>
      <c r="GF66" s="656"/>
      <c r="GG66" s="656"/>
      <c r="GH66" s="656"/>
      <c r="GI66" s="656"/>
      <c r="GJ66" s="656"/>
      <c r="GK66" s="656"/>
      <c r="GL66" s="656"/>
      <c r="GM66" s="656"/>
      <c r="GN66" s="656"/>
      <c r="GO66" s="656"/>
      <c r="GP66" s="656"/>
      <c r="GQ66" s="656"/>
      <c r="GR66" s="656"/>
      <c r="GS66" s="656"/>
      <c r="GT66" s="656"/>
      <c r="GU66" s="656"/>
      <c r="GV66" s="656"/>
      <c r="GW66" s="656"/>
      <c r="GX66" s="656"/>
      <c r="GY66" s="656"/>
      <c r="GZ66" s="656"/>
      <c r="HA66" s="656"/>
      <c r="HB66" s="656"/>
      <c r="HC66" s="656"/>
      <c r="HD66" s="656"/>
      <c r="HE66" s="656"/>
      <c r="HF66" s="656"/>
      <c r="HG66" s="656"/>
      <c r="HH66" s="656"/>
      <c r="HI66" s="656"/>
      <c r="HJ66" s="656"/>
      <c r="HK66" s="656"/>
      <c r="HL66" s="656"/>
      <c r="HM66" s="656"/>
      <c r="HN66" s="656"/>
      <c r="HO66" s="656"/>
      <c r="HP66" s="656"/>
      <c r="HQ66" s="656"/>
      <c r="HR66" s="656"/>
      <c r="HS66" s="656"/>
      <c r="HT66" s="656"/>
      <c r="HU66" s="656"/>
      <c r="HV66" s="656"/>
      <c r="HW66" s="656"/>
    </row>
    <row r="67" spans="1:231" s="657" customFormat="1" x14ac:dyDescent="0.25">
      <c r="A67" s="646">
        <v>51</v>
      </c>
      <c r="B67" s="680" t="s">
        <v>1047</v>
      </c>
      <c r="C67" s="681" t="s">
        <v>1048</v>
      </c>
      <c r="D67" s="691" t="s">
        <v>6</v>
      </c>
      <c r="E67" s="681">
        <v>3</v>
      </c>
      <c r="F67" s="684">
        <v>88930.099999999991</v>
      </c>
      <c r="G67" s="684">
        <v>266790</v>
      </c>
      <c r="H67" s="685">
        <v>0</v>
      </c>
      <c r="I67" s="686">
        <v>-1</v>
      </c>
      <c r="J67" s="683">
        <v>2</v>
      </c>
      <c r="K67" s="684">
        <v>177860</v>
      </c>
      <c r="L67" s="683">
        <v>2</v>
      </c>
      <c r="M67" s="684">
        <v>177860</v>
      </c>
      <c r="N67" s="683">
        <v>2</v>
      </c>
      <c r="O67" s="687">
        <v>177860</v>
      </c>
      <c r="P67" s="656"/>
      <c r="Q67" s="656"/>
      <c r="R67" s="656"/>
      <c r="S67" s="656"/>
      <c r="T67" s="656"/>
      <c r="U67" s="656"/>
      <c r="V67" s="656"/>
      <c r="W67" s="656"/>
      <c r="X67" s="656"/>
      <c r="Y67" s="656"/>
      <c r="Z67" s="656"/>
      <c r="AA67" s="656"/>
      <c r="AB67" s="656"/>
      <c r="AC67" s="656"/>
      <c r="AD67" s="656"/>
      <c r="AE67" s="656"/>
      <c r="AF67" s="656"/>
      <c r="AG67" s="656"/>
      <c r="AH67" s="656"/>
      <c r="AI67" s="656"/>
      <c r="AJ67" s="656"/>
      <c r="AK67" s="656"/>
      <c r="AL67" s="656"/>
      <c r="AM67" s="656"/>
      <c r="AN67" s="656"/>
      <c r="AO67" s="656"/>
      <c r="AP67" s="656"/>
      <c r="AQ67" s="656"/>
      <c r="AR67" s="656"/>
      <c r="AS67" s="656"/>
      <c r="AT67" s="656"/>
      <c r="AU67" s="656"/>
      <c r="AV67" s="656"/>
      <c r="AW67" s="656"/>
      <c r="AX67" s="656"/>
      <c r="AY67" s="656"/>
      <c r="AZ67" s="656"/>
      <c r="BA67" s="656"/>
      <c r="BB67" s="656"/>
      <c r="BC67" s="656"/>
      <c r="BD67" s="656"/>
      <c r="BE67" s="656"/>
      <c r="BF67" s="656"/>
      <c r="BG67" s="656"/>
      <c r="BH67" s="656"/>
      <c r="BI67" s="656"/>
      <c r="BJ67" s="656"/>
      <c r="BK67" s="656"/>
      <c r="BL67" s="656"/>
      <c r="BM67" s="656"/>
      <c r="BN67" s="656"/>
      <c r="BO67" s="656"/>
      <c r="BP67" s="656"/>
      <c r="BQ67" s="656"/>
      <c r="BR67" s="656"/>
      <c r="BS67" s="656"/>
      <c r="BT67" s="656"/>
      <c r="BU67" s="656"/>
      <c r="BV67" s="656"/>
      <c r="BW67" s="656"/>
      <c r="BX67" s="656"/>
      <c r="BY67" s="656"/>
      <c r="BZ67" s="656"/>
      <c r="CA67" s="656"/>
      <c r="CB67" s="656"/>
      <c r="CC67" s="656"/>
      <c r="CD67" s="656"/>
      <c r="CE67" s="656"/>
      <c r="CF67" s="656"/>
      <c r="CG67" s="656"/>
      <c r="CH67" s="656"/>
      <c r="CI67" s="656"/>
      <c r="CJ67" s="656"/>
      <c r="CK67" s="656"/>
      <c r="CL67" s="656"/>
      <c r="CM67" s="656"/>
      <c r="CN67" s="656"/>
      <c r="CO67" s="656"/>
      <c r="CP67" s="656"/>
      <c r="CQ67" s="656"/>
      <c r="CR67" s="656"/>
      <c r="CS67" s="656"/>
      <c r="CT67" s="656"/>
      <c r="CU67" s="656"/>
      <c r="CV67" s="656"/>
      <c r="CW67" s="656"/>
      <c r="CX67" s="656"/>
      <c r="CY67" s="656"/>
      <c r="CZ67" s="656"/>
      <c r="DA67" s="656"/>
      <c r="DB67" s="656"/>
      <c r="DC67" s="656"/>
      <c r="DD67" s="656"/>
      <c r="DE67" s="656"/>
      <c r="DF67" s="656"/>
      <c r="DG67" s="656"/>
      <c r="DH67" s="656"/>
      <c r="DI67" s="656"/>
      <c r="DJ67" s="656"/>
      <c r="DK67" s="656"/>
      <c r="DL67" s="656"/>
      <c r="DM67" s="656"/>
      <c r="DN67" s="656"/>
      <c r="DO67" s="656"/>
      <c r="DP67" s="656"/>
      <c r="DQ67" s="656"/>
      <c r="DR67" s="656"/>
      <c r="DS67" s="656"/>
      <c r="DT67" s="656"/>
      <c r="DU67" s="656"/>
      <c r="DV67" s="656"/>
      <c r="DW67" s="656"/>
      <c r="DX67" s="656"/>
      <c r="DY67" s="656"/>
      <c r="DZ67" s="656"/>
      <c r="EA67" s="656"/>
      <c r="EB67" s="656"/>
      <c r="EC67" s="656"/>
      <c r="ED67" s="656"/>
      <c r="EE67" s="656"/>
      <c r="EF67" s="656"/>
      <c r="EG67" s="656"/>
      <c r="EH67" s="656"/>
      <c r="EI67" s="656"/>
      <c r="EJ67" s="656"/>
      <c r="EK67" s="656"/>
      <c r="EL67" s="656"/>
      <c r="EM67" s="656"/>
      <c r="EN67" s="656"/>
      <c r="EO67" s="656"/>
      <c r="EP67" s="656"/>
      <c r="EQ67" s="656"/>
      <c r="ER67" s="656"/>
      <c r="ES67" s="656"/>
      <c r="ET67" s="656"/>
      <c r="EU67" s="656"/>
      <c r="EV67" s="656"/>
      <c r="EW67" s="656"/>
      <c r="EX67" s="656"/>
      <c r="EY67" s="656"/>
      <c r="EZ67" s="656"/>
      <c r="FA67" s="656"/>
      <c r="FB67" s="656"/>
      <c r="FC67" s="656"/>
      <c r="FD67" s="656"/>
      <c r="FE67" s="656"/>
      <c r="FF67" s="656"/>
      <c r="FG67" s="656"/>
      <c r="FH67" s="656"/>
      <c r="FI67" s="656"/>
      <c r="FJ67" s="656"/>
      <c r="FK67" s="656"/>
      <c r="FL67" s="656"/>
      <c r="FM67" s="656"/>
      <c r="FN67" s="656"/>
      <c r="FO67" s="656"/>
      <c r="FP67" s="656"/>
      <c r="FQ67" s="656"/>
      <c r="FR67" s="656"/>
      <c r="FS67" s="656"/>
      <c r="FT67" s="656"/>
      <c r="FU67" s="656"/>
      <c r="FV67" s="656"/>
      <c r="FW67" s="656"/>
      <c r="FX67" s="656"/>
      <c r="FY67" s="656"/>
      <c r="FZ67" s="656"/>
      <c r="GA67" s="656"/>
      <c r="GB67" s="656"/>
      <c r="GC67" s="656"/>
      <c r="GD67" s="656"/>
      <c r="GE67" s="656"/>
      <c r="GF67" s="656"/>
      <c r="GG67" s="656"/>
      <c r="GH67" s="656"/>
      <c r="GI67" s="656"/>
      <c r="GJ67" s="656"/>
      <c r="GK67" s="656"/>
      <c r="GL67" s="656"/>
      <c r="GM67" s="656"/>
      <c r="GN67" s="656"/>
      <c r="GO67" s="656"/>
      <c r="GP67" s="656"/>
      <c r="GQ67" s="656"/>
      <c r="GR67" s="656"/>
      <c r="GS67" s="656"/>
      <c r="GT67" s="656"/>
      <c r="GU67" s="656"/>
      <c r="GV67" s="656"/>
      <c r="GW67" s="656"/>
      <c r="GX67" s="656"/>
      <c r="GY67" s="656"/>
      <c r="GZ67" s="656"/>
      <c r="HA67" s="656"/>
      <c r="HB67" s="656"/>
      <c r="HC67" s="656"/>
      <c r="HD67" s="656"/>
      <c r="HE67" s="656"/>
      <c r="HF67" s="656"/>
      <c r="HG67" s="656"/>
      <c r="HH67" s="656"/>
      <c r="HI67" s="656"/>
      <c r="HJ67" s="656"/>
      <c r="HK67" s="656"/>
      <c r="HL67" s="656"/>
      <c r="HM67" s="656"/>
      <c r="HN67" s="656"/>
      <c r="HO67" s="656"/>
      <c r="HP67" s="656"/>
      <c r="HQ67" s="656"/>
      <c r="HR67" s="656"/>
      <c r="HS67" s="656"/>
      <c r="HT67" s="656"/>
      <c r="HU67" s="656"/>
      <c r="HV67" s="656"/>
      <c r="HW67" s="656"/>
    </row>
    <row r="68" spans="1:231" s="657" customFormat="1" x14ac:dyDescent="0.25">
      <c r="A68" s="646">
        <v>52</v>
      </c>
      <c r="B68" s="680" t="s">
        <v>1049</v>
      </c>
      <c r="C68" s="681" t="s">
        <v>1050</v>
      </c>
      <c r="D68" s="691" t="s">
        <v>6</v>
      </c>
      <c r="E68" s="681">
        <v>10</v>
      </c>
      <c r="F68" s="684">
        <v>44752.68</v>
      </c>
      <c r="G68" s="684">
        <v>447527</v>
      </c>
      <c r="H68" s="685">
        <v>0</v>
      </c>
      <c r="I68" s="686">
        <v>-4</v>
      </c>
      <c r="J68" s="683">
        <v>6</v>
      </c>
      <c r="K68" s="684">
        <v>268516</v>
      </c>
      <c r="L68" s="683">
        <v>6</v>
      </c>
      <c r="M68" s="684">
        <v>268516</v>
      </c>
      <c r="N68" s="683">
        <v>6</v>
      </c>
      <c r="O68" s="687">
        <v>268516</v>
      </c>
      <c r="P68" s="656"/>
      <c r="Q68" s="656"/>
      <c r="R68" s="656"/>
      <c r="S68" s="656"/>
      <c r="T68" s="656"/>
      <c r="U68" s="656"/>
      <c r="V68" s="656"/>
      <c r="W68" s="656"/>
      <c r="X68" s="656"/>
      <c r="Y68" s="656"/>
      <c r="Z68" s="656"/>
      <c r="AA68" s="656"/>
      <c r="AB68" s="656"/>
      <c r="AC68" s="656"/>
      <c r="AD68" s="656"/>
      <c r="AE68" s="656"/>
      <c r="AF68" s="656"/>
      <c r="AG68" s="656"/>
      <c r="AH68" s="656"/>
      <c r="AI68" s="656"/>
      <c r="AJ68" s="656"/>
      <c r="AK68" s="656"/>
      <c r="AL68" s="656"/>
      <c r="AM68" s="656"/>
      <c r="AN68" s="656"/>
      <c r="AO68" s="656"/>
      <c r="AP68" s="656"/>
      <c r="AQ68" s="656"/>
      <c r="AR68" s="656"/>
      <c r="AS68" s="656"/>
      <c r="AT68" s="656"/>
      <c r="AU68" s="656"/>
      <c r="AV68" s="656"/>
      <c r="AW68" s="656"/>
      <c r="AX68" s="656"/>
      <c r="AY68" s="656"/>
      <c r="AZ68" s="656"/>
      <c r="BA68" s="656"/>
      <c r="BB68" s="656"/>
      <c r="BC68" s="656"/>
      <c r="BD68" s="656"/>
      <c r="BE68" s="656"/>
      <c r="BF68" s="656"/>
      <c r="BG68" s="656"/>
      <c r="BH68" s="656"/>
      <c r="BI68" s="656"/>
      <c r="BJ68" s="656"/>
      <c r="BK68" s="656"/>
      <c r="BL68" s="656"/>
      <c r="BM68" s="656"/>
      <c r="BN68" s="656"/>
      <c r="BO68" s="656"/>
      <c r="BP68" s="656"/>
      <c r="BQ68" s="656"/>
      <c r="BR68" s="656"/>
      <c r="BS68" s="656"/>
      <c r="BT68" s="656"/>
      <c r="BU68" s="656"/>
      <c r="BV68" s="656"/>
      <c r="BW68" s="656"/>
      <c r="BX68" s="656"/>
      <c r="BY68" s="656"/>
      <c r="BZ68" s="656"/>
      <c r="CA68" s="656"/>
      <c r="CB68" s="656"/>
      <c r="CC68" s="656"/>
      <c r="CD68" s="656"/>
      <c r="CE68" s="656"/>
      <c r="CF68" s="656"/>
      <c r="CG68" s="656"/>
      <c r="CH68" s="656"/>
      <c r="CI68" s="656"/>
      <c r="CJ68" s="656"/>
      <c r="CK68" s="656"/>
      <c r="CL68" s="656"/>
      <c r="CM68" s="656"/>
      <c r="CN68" s="656"/>
      <c r="CO68" s="656"/>
      <c r="CP68" s="656"/>
      <c r="CQ68" s="656"/>
      <c r="CR68" s="656"/>
      <c r="CS68" s="656"/>
      <c r="CT68" s="656"/>
      <c r="CU68" s="656"/>
      <c r="CV68" s="656"/>
      <c r="CW68" s="656"/>
      <c r="CX68" s="656"/>
      <c r="CY68" s="656"/>
      <c r="CZ68" s="656"/>
      <c r="DA68" s="656"/>
      <c r="DB68" s="656"/>
      <c r="DC68" s="656"/>
      <c r="DD68" s="656"/>
      <c r="DE68" s="656"/>
      <c r="DF68" s="656"/>
      <c r="DG68" s="656"/>
      <c r="DH68" s="656"/>
      <c r="DI68" s="656"/>
      <c r="DJ68" s="656"/>
      <c r="DK68" s="656"/>
      <c r="DL68" s="656"/>
      <c r="DM68" s="656"/>
      <c r="DN68" s="656"/>
      <c r="DO68" s="656"/>
      <c r="DP68" s="656"/>
      <c r="DQ68" s="656"/>
      <c r="DR68" s="656"/>
      <c r="DS68" s="656"/>
      <c r="DT68" s="656"/>
      <c r="DU68" s="656"/>
      <c r="DV68" s="656"/>
      <c r="DW68" s="656"/>
      <c r="DX68" s="656"/>
      <c r="DY68" s="656"/>
      <c r="DZ68" s="656"/>
      <c r="EA68" s="656"/>
      <c r="EB68" s="656"/>
      <c r="EC68" s="656"/>
      <c r="ED68" s="656"/>
      <c r="EE68" s="656"/>
      <c r="EF68" s="656"/>
      <c r="EG68" s="656"/>
      <c r="EH68" s="656"/>
      <c r="EI68" s="656"/>
      <c r="EJ68" s="656"/>
      <c r="EK68" s="656"/>
      <c r="EL68" s="656"/>
      <c r="EM68" s="656"/>
      <c r="EN68" s="656"/>
      <c r="EO68" s="656"/>
      <c r="EP68" s="656"/>
      <c r="EQ68" s="656"/>
      <c r="ER68" s="656"/>
      <c r="ES68" s="656"/>
      <c r="ET68" s="656"/>
      <c r="EU68" s="656"/>
      <c r="EV68" s="656"/>
      <c r="EW68" s="656"/>
      <c r="EX68" s="656"/>
      <c r="EY68" s="656"/>
      <c r="EZ68" s="656"/>
      <c r="FA68" s="656"/>
      <c r="FB68" s="656"/>
      <c r="FC68" s="656"/>
      <c r="FD68" s="656"/>
      <c r="FE68" s="656"/>
      <c r="FF68" s="656"/>
      <c r="FG68" s="656"/>
      <c r="FH68" s="656"/>
      <c r="FI68" s="656"/>
      <c r="FJ68" s="656"/>
      <c r="FK68" s="656"/>
      <c r="FL68" s="656"/>
      <c r="FM68" s="656"/>
      <c r="FN68" s="656"/>
      <c r="FO68" s="656"/>
      <c r="FP68" s="656"/>
      <c r="FQ68" s="656"/>
      <c r="FR68" s="656"/>
      <c r="FS68" s="656"/>
      <c r="FT68" s="656"/>
      <c r="FU68" s="656"/>
      <c r="FV68" s="656"/>
      <c r="FW68" s="656"/>
      <c r="FX68" s="656"/>
      <c r="FY68" s="656"/>
      <c r="FZ68" s="656"/>
      <c r="GA68" s="656"/>
      <c r="GB68" s="656"/>
      <c r="GC68" s="656"/>
      <c r="GD68" s="656"/>
      <c r="GE68" s="656"/>
      <c r="GF68" s="656"/>
      <c r="GG68" s="656"/>
      <c r="GH68" s="656"/>
      <c r="GI68" s="656"/>
      <c r="GJ68" s="656"/>
      <c r="GK68" s="656"/>
      <c r="GL68" s="656"/>
      <c r="GM68" s="656"/>
      <c r="GN68" s="656"/>
      <c r="GO68" s="656"/>
      <c r="GP68" s="656"/>
      <c r="GQ68" s="656"/>
      <c r="GR68" s="656"/>
      <c r="GS68" s="656"/>
      <c r="GT68" s="656"/>
      <c r="GU68" s="656"/>
      <c r="GV68" s="656"/>
      <c r="GW68" s="656"/>
      <c r="GX68" s="656"/>
      <c r="GY68" s="656"/>
      <c r="GZ68" s="656"/>
      <c r="HA68" s="656"/>
      <c r="HB68" s="656"/>
      <c r="HC68" s="656"/>
      <c r="HD68" s="656"/>
      <c r="HE68" s="656"/>
      <c r="HF68" s="656"/>
      <c r="HG68" s="656"/>
      <c r="HH68" s="656"/>
      <c r="HI68" s="656"/>
      <c r="HJ68" s="656"/>
      <c r="HK68" s="656"/>
      <c r="HL68" s="656"/>
      <c r="HM68" s="656"/>
      <c r="HN68" s="656"/>
      <c r="HO68" s="656"/>
      <c r="HP68" s="656"/>
      <c r="HQ68" s="656"/>
      <c r="HR68" s="656"/>
      <c r="HS68" s="656"/>
      <c r="HT68" s="656"/>
      <c r="HU68" s="656"/>
      <c r="HV68" s="656"/>
      <c r="HW68" s="656"/>
    </row>
    <row r="69" spans="1:231" s="657" customFormat="1" x14ac:dyDescent="0.25">
      <c r="A69" s="646">
        <v>53</v>
      </c>
      <c r="B69" s="680" t="s">
        <v>1051</v>
      </c>
      <c r="C69" s="681" t="s">
        <v>1052</v>
      </c>
      <c r="D69" s="691" t="s">
        <v>19</v>
      </c>
      <c r="E69" s="681">
        <v>15</v>
      </c>
      <c r="F69" s="684">
        <v>41440.28</v>
      </c>
      <c r="G69" s="684">
        <v>621604</v>
      </c>
      <c r="H69" s="685"/>
      <c r="I69" s="686">
        <v>0</v>
      </c>
      <c r="J69" s="683">
        <v>0</v>
      </c>
      <c r="K69" s="684">
        <v>0</v>
      </c>
      <c r="L69" s="683">
        <v>0</v>
      </c>
      <c r="M69" s="684">
        <v>0</v>
      </c>
      <c r="N69" s="683">
        <v>0</v>
      </c>
      <c r="O69" s="687">
        <v>0</v>
      </c>
      <c r="P69" s="656"/>
      <c r="Q69" s="656"/>
      <c r="R69" s="656"/>
      <c r="S69" s="656"/>
      <c r="T69" s="656"/>
      <c r="U69" s="656"/>
      <c r="V69" s="656"/>
      <c r="W69" s="656"/>
      <c r="X69" s="656"/>
      <c r="Y69" s="656"/>
      <c r="Z69" s="656"/>
      <c r="AA69" s="656"/>
      <c r="AB69" s="656"/>
      <c r="AC69" s="656"/>
      <c r="AD69" s="656"/>
      <c r="AE69" s="656"/>
      <c r="AF69" s="656"/>
      <c r="AG69" s="656"/>
      <c r="AH69" s="656"/>
      <c r="AI69" s="656"/>
      <c r="AJ69" s="656"/>
      <c r="AK69" s="656"/>
      <c r="AL69" s="656"/>
      <c r="AM69" s="656"/>
      <c r="AN69" s="656"/>
      <c r="AO69" s="656"/>
      <c r="AP69" s="656"/>
      <c r="AQ69" s="656"/>
      <c r="AR69" s="656"/>
      <c r="AS69" s="656"/>
      <c r="AT69" s="656"/>
      <c r="AU69" s="656"/>
      <c r="AV69" s="656"/>
      <c r="AW69" s="656"/>
      <c r="AX69" s="656"/>
      <c r="AY69" s="656"/>
      <c r="AZ69" s="656"/>
      <c r="BA69" s="656"/>
      <c r="BB69" s="656"/>
      <c r="BC69" s="656"/>
      <c r="BD69" s="656"/>
      <c r="BE69" s="656"/>
      <c r="BF69" s="656"/>
      <c r="BG69" s="656"/>
      <c r="BH69" s="656"/>
      <c r="BI69" s="656"/>
      <c r="BJ69" s="656"/>
      <c r="BK69" s="656"/>
      <c r="BL69" s="656"/>
      <c r="BM69" s="656"/>
      <c r="BN69" s="656"/>
      <c r="BO69" s="656"/>
      <c r="BP69" s="656"/>
      <c r="BQ69" s="656"/>
      <c r="BR69" s="656"/>
      <c r="BS69" s="656"/>
      <c r="BT69" s="656"/>
      <c r="BU69" s="656"/>
      <c r="BV69" s="656"/>
      <c r="BW69" s="656"/>
      <c r="BX69" s="656"/>
      <c r="BY69" s="656"/>
      <c r="BZ69" s="656"/>
      <c r="CA69" s="656"/>
      <c r="CB69" s="656"/>
      <c r="CC69" s="656"/>
      <c r="CD69" s="656"/>
      <c r="CE69" s="656"/>
      <c r="CF69" s="656"/>
      <c r="CG69" s="656"/>
      <c r="CH69" s="656"/>
      <c r="CI69" s="656"/>
      <c r="CJ69" s="656"/>
      <c r="CK69" s="656"/>
      <c r="CL69" s="656"/>
      <c r="CM69" s="656"/>
      <c r="CN69" s="656"/>
      <c r="CO69" s="656"/>
      <c r="CP69" s="656"/>
      <c r="CQ69" s="656"/>
      <c r="CR69" s="656"/>
      <c r="CS69" s="656"/>
      <c r="CT69" s="656"/>
      <c r="CU69" s="656"/>
      <c r="CV69" s="656"/>
      <c r="CW69" s="656"/>
      <c r="CX69" s="656"/>
      <c r="CY69" s="656"/>
      <c r="CZ69" s="656"/>
      <c r="DA69" s="656"/>
      <c r="DB69" s="656"/>
      <c r="DC69" s="656"/>
      <c r="DD69" s="656"/>
      <c r="DE69" s="656"/>
      <c r="DF69" s="656"/>
      <c r="DG69" s="656"/>
      <c r="DH69" s="656"/>
      <c r="DI69" s="656"/>
      <c r="DJ69" s="656"/>
      <c r="DK69" s="656"/>
      <c r="DL69" s="656"/>
      <c r="DM69" s="656"/>
      <c r="DN69" s="656"/>
      <c r="DO69" s="656"/>
      <c r="DP69" s="656"/>
      <c r="DQ69" s="656"/>
      <c r="DR69" s="656"/>
      <c r="DS69" s="656"/>
      <c r="DT69" s="656"/>
      <c r="DU69" s="656"/>
      <c r="DV69" s="656"/>
      <c r="DW69" s="656"/>
      <c r="DX69" s="656"/>
      <c r="DY69" s="656"/>
      <c r="DZ69" s="656"/>
      <c r="EA69" s="656"/>
      <c r="EB69" s="656"/>
      <c r="EC69" s="656"/>
      <c r="ED69" s="656"/>
      <c r="EE69" s="656"/>
      <c r="EF69" s="656"/>
      <c r="EG69" s="656"/>
      <c r="EH69" s="656"/>
      <c r="EI69" s="656"/>
      <c r="EJ69" s="656"/>
      <c r="EK69" s="656"/>
      <c r="EL69" s="656"/>
      <c r="EM69" s="656"/>
      <c r="EN69" s="656"/>
      <c r="EO69" s="656"/>
      <c r="EP69" s="656"/>
      <c r="EQ69" s="656"/>
      <c r="ER69" s="656"/>
      <c r="ES69" s="656"/>
      <c r="ET69" s="656"/>
      <c r="EU69" s="656"/>
      <c r="EV69" s="656"/>
      <c r="EW69" s="656"/>
      <c r="EX69" s="656"/>
      <c r="EY69" s="656"/>
      <c r="EZ69" s="656"/>
      <c r="FA69" s="656"/>
      <c r="FB69" s="656"/>
      <c r="FC69" s="656"/>
      <c r="FD69" s="656"/>
      <c r="FE69" s="656"/>
      <c r="FF69" s="656"/>
      <c r="FG69" s="656"/>
      <c r="FH69" s="656"/>
      <c r="FI69" s="656"/>
      <c r="FJ69" s="656"/>
      <c r="FK69" s="656"/>
      <c r="FL69" s="656"/>
      <c r="FM69" s="656"/>
      <c r="FN69" s="656"/>
      <c r="FO69" s="656"/>
      <c r="FP69" s="656"/>
      <c r="FQ69" s="656"/>
      <c r="FR69" s="656"/>
      <c r="FS69" s="656"/>
      <c r="FT69" s="656"/>
      <c r="FU69" s="656"/>
      <c r="FV69" s="656"/>
      <c r="FW69" s="656"/>
      <c r="FX69" s="656"/>
      <c r="FY69" s="656"/>
      <c r="FZ69" s="656"/>
      <c r="GA69" s="656"/>
      <c r="GB69" s="656"/>
      <c r="GC69" s="656"/>
      <c r="GD69" s="656"/>
      <c r="GE69" s="656"/>
      <c r="GF69" s="656"/>
      <c r="GG69" s="656"/>
      <c r="GH69" s="656"/>
      <c r="GI69" s="656"/>
      <c r="GJ69" s="656"/>
      <c r="GK69" s="656"/>
      <c r="GL69" s="656"/>
      <c r="GM69" s="656"/>
      <c r="GN69" s="656"/>
      <c r="GO69" s="656"/>
      <c r="GP69" s="656"/>
      <c r="GQ69" s="656"/>
      <c r="GR69" s="656"/>
      <c r="GS69" s="656"/>
      <c r="GT69" s="656"/>
      <c r="GU69" s="656"/>
      <c r="GV69" s="656"/>
      <c r="GW69" s="656"/>
      <c r="GX69" s="656"/>
      <c r="GY69" s="656"/>
      <c r="GZ69" s="656"/>
      <c r="HA69" s="656"/>
      <c r="HB69" s="656"/>
      <c r="HC69" s="656"/>
      <c r="HD69" s="656"/>
      <c r="HE69" s="656"/>
      <c r="HF69" s="656"/>
      <c r="HG69" s="656"/>
      <c r="HH69" s="656"/>
      <c r="HI69" s="656"/>
      <c r="HJ69" s="656"/>
      <c r="HK69" s="656"/>
      <c r="HL69" s="656"/>
      <c r="HM69" s="656"/>
      <c r="HN69" s="656"/>
      <c r="HO69" s="656"/>
      <c r="HP69" s="656"/>
      <c r="HQ69" s="656"/>
      <c r="HR69" s="656"/>
      <c r="HS69" s="656"/>
      <c r="HT69" s="656"/>
      <c r="HU69" s="656"/>
      <c r="HV69" s="656"/>
      <c r="HW69" s="656"/>
    </row>
    <row r="70" spans="1:231" s="657" customFormat="1" x14ac:dyDescent="0.25">
      <c r="A70" s="646">
        <v>54</v>
      </c>
      <c r="B70" s="680" t="s">
        <v>1053</v>
      </c>
      <c r="C70" s="681" t="s">
        <v>1054</v>
      </c>
      <c r="D70" s="691" t="s">
        <v>6</v>
      </c>
      <c r="E70" s="681">
        <v>7</v>
      </c>
      <c r="F70" s="684">
        <v>77631.679999999993</v>
      </c>
      <c r="G70" s="684">
        <v>543422</v>
      </c>
      <c r="H70" s="685">
        <v>0</v>
      </c>
      <c r="I70" s="686">
        <v>0</v>
      </c>
      <c r="J70" s="683">
        <v>7</v>
      </c>
      <c r="K70" s="684">
        <v>543422</v>
      </c>
      <c r="L70" s="683">
        <v>7</v>
      </c>
      <c r="M70" s="684">
        <v>543422</v>
      </c>
      <c r="N70" s="683">
        <v>7</v>
      </c>
      <c r="O70" s="687">
        <v>543422</v>
      </c>
      <c r="P70" s="656"/>
      <c r="Q70" s="656"/>
      <c r="R70" s="656"/>
      <c r="S70" s="656"/>
      <c r="T70" s="656"/>
      <c r="U70" s="656"/>
      <c r="V70" s="656"/>
      <c r="W70" s="656"/>
      <c r="X70" s="656"/>
      <c r="Y70" s="656"/>
      <c r="Z70" s="656"/>
      <c r="AA70" s="656"/>
      <c r="AB70" s="656"/>
      <c r="AC70" s="656"/>
      <c r="AD70" s="656"/>
      <c r="AE70" s="656"/>
      <c r="AF70" s="656"/>
      <c r="AG70" s="656"/>
      <c r="AH70" s="656"/>
      <c r="AI70" s="656"/>
      <c r="AJ70" s="656"/>
      <c r="AK70" s="656"/>
      <c r="AL70" s="656"/>
      <c r="AM70" s="656"/>
      <c r="AN70" s="656"/>
      <c r="AO70" s="656"/>
      <c r="AP70" s="656"/>
      <c r="AQ70" s="656"/>
      <c r="AR70" s="656"/>
      <c r="AS70" s="656"/>
      <c r="AT70" s="656"/>
      <c r="AU70" s="656"/>
      <c r="AV70" s="656"/>
      <c r="AW70" s="656"/>
      <c r="AX70" s="656"/>
      <c r="AY70" s="656"/>
      <c r="AZ70" s="656"/>
      <c r="BA70" s="656"/>
      <c r="BB70" s="656"/>
      <c r="BC70" s="656"/>
      <c r="BD70" s="656"/>
      <c r="BE70" s="656"/>
      <c r="BF70" s="656"/>
      <c r="BG70" s="656"/>
      <c r="BH70" s="656"/>
      <c r="BI70" s="656"/>
      <c r="BJ70" s="656"/>
      <c r="BK70" s="656"/>
      <c r="BL70" s="656"/>
      <c r="BM70" s="656"/>
      <c r="BN70" s="656"/>
      <c r="BO70" s="656"/>
      <c r="BP70" s="656"/>
      <c r="BQ70" s="656"/>
      <c r="BR70" s="656"/>
      <c r="BS70" s="656"/>
      <c r="BT70" s="656"/>
      <c r="BU70" s="656"/>
      <c r="BV70" s="656"/>
      <c r="BW70" s="656"/>
      <c r="BX70" s="656"/>
      <c r="BY70" s="656"/>
      <c r="BZ70" s="656"/>
      <c r="CA70" s="656"/>
      <c r="CB70" s="656"/>
      <c r="CC70" s="656"/>
      <c r="CD70" s="656"/>
      <c r="CE70" s="656"/>
      <c r="CF70" s="656"/>
      <c r="CG70" s="656"/>
      <c r="CH70" s="656"/>
      <c r="CI70" s="656"/>
      <c r="CJ70" s="656"/>
      <c r="CK70" s="656"/>
      <c r="CL70" s="656"/>
      <c r="CM70" s="656"/>
      <c r="CN70" s="656"/>
      <c r="CO70" s="656"/>
      <c r="CP70" s="656"/>
      <c r="CQ70" s="656"/>
      <c r="CR70" s="656"/>
      <c r="CS70" s="656"/>
      <c r="CT70" s="656"/>
      <c r="CU70" s="656"/>
      <c r="CV70" s="656"/>
      <c r="CW70" s="656"/>
      <c r="CX70" s="656"/>
      <c r="CY70" s="656"/>
      <c r="CZ70" s="656"/>
      <c r="DA70" s="656"/>
      <c r="DB70" s="656"/>
      <c r="DC70" s="656"/>
      <c r="DD70" s="656"/>
      <c r="DE70" s="656"/>
      <c r="DF70" s="656"/>
      <c r="DG70" s="656"/>
      <c r="DH70" s="656"/>
      <c r="DI70" s="656"/>
      <c r="DJ70" s="656"/>
      <c r="DK70" s="656"/>
      <c r="DL70" s="656"/>
      <c r="DM70" s="656"/>
      <c r="DN70" s="656"/>
      <c r="DO70" s="656"/>
      <c r="DP70" s="656"/>
      <c r="DQ70" s="656"/>
      <c r="DR70" s="656"/>
      <c r="DS70" s="656"/>
      <c r="DT70" s="656"/>
      <c r="DU70" s="656"/>
      <c r="DV70" s="656"/>
      <c r="DW70" s="656"/>
      <c r="DX70" s="656"/>
      <c r="DY70" s="656"/>
      <c r="DZ70" s="656"/>
      <c r="EA70" s="656"/>
      <c r="EB70" s="656"/>
      <c r="EC70" s="656"/>
      <c r="ED70" s="656"/>
      <c r="EE70" s="656"/>
      <c r="EF70" s="656"/>
      <c r="EG70" s="656"/>
      <c r="EH70" s="656"/>
      <c r="EI70" s="656"/>
      <c r="EJ70" s="656"/>
      <c r="EK70" s="656"/>
      <c r="EL70" s="656"/>
      <c r="EM70" s="656"/>
      <c r="EN70" s="656"/>
      <c r="EO70" s="656"/>
      <c r="EP70" s="656"/>
      <c r="EQ70" s="656"/>
      <c r="ER70" s="656"/>
      <c r="ES70" s="656"/>
      <c r="ET70" s="656"/>
      <c r="EU70" s="656"/>
      <c r="EV70" s="656"/>
      <c r="EW70" s="656"/>
      <c r="EX70" s="656"/>
      <c r="EY70" s="656"/>
      <c r="EZ70" s="656"/>
      <c r="FA70" s="656"/>
      <c r="FB70" s="656"/>
      <c r="FC70" s="656"/>
      <c r="FD70" s="656"/>
      <c r="FE70" s="656"/>
      <c r="FF70" s="656"/>
      <c r="FG70" s="656"/>
      <c r="FH70" s="656"/>
      <c r="FI70" s="656"/>
      <c r="FJ70" s="656"/>
      <c r="FK70" s="656"/>
      <c r="FL70" s="656"/>
      <c r="FM70" s="656"/>
      <c r="FN70" s="656"/>
      <c r="FO70" s="656"/>
      <c r="FP70" s="656"/>
      <c r="FQ70" s="656"/>
      <c r="FR70" s="656"/>
      <c r="FS70" s="656"/>
      <c r="FT70" s="656"/>
      <c r="FU70" s="656"/>
      <c r="FV70" s="656"/>
      <c r="FW70" s="656"/>
      <c r="FX70" s="656"/>
      <c r="FY70" s="656"/>
      <c r="FZ70" s="656"/>
      <c r="GA70" s="656"/>
      <c r="GB70" s="656"/>
      <c r="GC70" s="656"/>
      <c r="GD70" s="656"/>
      <c r="GE70" s="656"/>
      <c r="GF70" s="656"/>
      <c r="GG70" s="656"/>
      <c r="GH70" s="656"/>
      <c r="GI70" s="656"/>
      <c r="GJ70" s="656"/>
      <c r="GK70" s="656"/>
      <c r="GL70" s="656"/>
      <c r="GM70" s="656"/>
      <c r="GN70" s="656"/>
      <c r="GO70" s="656"/>
      <c r="GP70" s="656"/>
      <c r="GQ70" s="656"/>
      <c r="GR70" s="656"/>
      <c r="GS70" s="656"/>
      <c r="GT70" s="656"/>
      <c r="GU70" s="656"/>
      <c r="GV70" s="656"/>
      <c r="GW70" s="656"/>
      <c r="GX70" s="656"/>
      <c r="GY70" s="656"/>
      <c r="GZ70" s="656"/>
      <c r="HA70" s="656"/>
      <c r="HB70" s="656"/>
      <c r="HC70" s="656"/>
      <c r="HD70" s="656"/>
      <c r="HE70" s="656"/>
      <c r="HF70" s="656"/>
      <c r="HG70" s="656"/>
      <c r="HH70" s="656"/>
      <c r="HI70" s="656"/>
      <c r="HJ70" s="656"/>
      <c r="HK70" s="656"/>
      <c r="HL70" s="656"/>
      <c r="HM70" s="656"/>
      <c r="HN70" s="656"/>
      <c r="HO70" s="656"/>
      <c r="HP70" s="656"/>
      <c r="HQ70" s="656"/>
      <c r="HR70" s="656"/>
      <c r="HS70" s="656"/>
      <c r="HT70" s="656"/>
      <c r="HU70" s="656"/>
      <c r="HV70" s="656"/>
      <c r="HW70" s="656"/>
    </row>
    <row r="71" spans="1:231" s="657" customFormat="1" ht="57" x14ac:dyDescent="0.25">
      <c r="A71" s="646">
        <v>55</v>
      </c>
      <c r="B71" s="680" t="s">
        <v>1055</v>
      </c>
      <c r="C71" s="681" t="s">
        <v>1056</v>
      </c>
      <c r="D71" s="691" t="s">
        <v>14</v>
      </c>
      <c r="E71" s="681">
        <v>10</v>
      </c>
      <c r="F71" s="684">
        <v>150257.51999999999</v>
      </c>
      <c r="G71" s="684">
        <v>1502575</v>
      </c>
      <c r="H71" s="685">
        <v>0</v>
      </c>
      <c r="I71" s="686">
        <v>-10</v>
      </c>
      <c r="J71" s="683">
        <v>0</v>
      </c>
      <c r="K71" s="684">
        <v>0</v>
      </c>
      <c r="L71" s="683">
        <v>0</v>
      </c>
      <c r="M71" s="684">
        <v>0</v>
      </c>
      <c r="N71" s="683">
        <v>0</v>
      </c>
      <c r="O71" s="687">
        <v>0</v>
      </c>
      <c r="P71" s="656"/>
      <c r="Q71" s="656"/>
      <c r="R71" s="656"/>
      <c r="S71" s="656"/>
      <c r="T71" s="656"/>
      <c r="U71" s="656"/>
      <c r="V71" s="656"/>
      <c r="W71" s="656"/>
      <c r="X71" s="656"/>
      <c r="Y71" s="656"/>
      <c r="Z71" s="656"/>
      <c r="AA71" s="656"/>
      <c r="AB71" s="656"/>
      <c r="AC71" s="656"/>
      <c r="AD71" s="656"/>
      <c r="AE71" s="656"/>
      <c r="AF71" s="656"/>
      <c r="AG71" s="656"/>
      <c r="AH71" s="656"/>
      <c r="AI71" s="656"/>
      <c r="AJ71" s="656"/>
      <c r="AK71" s="656"/>
      <c r="AL71" s="656"/>
      <c r="AM71" s="656"/>
      <c r="AN71" s="656"/>
      <c r="AO71" s="656"/>
      <c r="AP71" s="656"/>
      <c r="AQ71" s="656"/>
      <c r="AR71" s="656"/>
      <c r="AS71" s="656"/>
      <c r="AT71" s="656"/>
      <c r="AU71" s="656"/>
      <c r="AV71" s="656"/>
      <c r="AW71" s="656"/>
      <c r="AX71" s="656"/>
      <c r="AY71" s="656"/>
      <c r="AZ71" s="656"/>
      <c r="BA71" s="656"/>
      <c r="BB71" s="656"/>
      <c r="BC71" s="656"/>
      <c r="BD71" s="656"/>
      <c r="BE71" s="656"/>
      <c r="BF71" s="656"/>
      <c r="BG71" s="656"/>
      <c r="BH71" s="656"/>
      <c r="BI71" s="656"/>
      <c r="BJ71" s="656"/>
      <c r="BK71" s="656"/>
      <c r="BL71" s="656"/>
      <c r="BM71" s="656"/>
      <c r="BN71" s="656"/>
      <c r="BO71" s="656"/>
      <c r="BP71" s="656"/>
      <c r="BQ71" s="656"/>
      <c r="BR71" s="656"/>
      <c r="BS71" s="656"/>
      <c r="BT71" s="656"/>
      <c r="BU71" s="656"/>
      <c r="BV71" s="656"/>
      <c r="BW71" s="656"/>
      <c r="BX71" s="656"/>
      <c r="BY71" s="656"/>
      <c r="BZ71" s="656"/>
      <c r="CA71" s="656"/>
      <c r="CB71" s="656"/>
      <c r="CC71" s="656"/>
      <c r="CD71" s="656"/>
      <c r="CE71" s="656"/>
      <c r="CF71" s="656"/>
      <c r="CG71" s="656"/>
      <c r="CH71" s="656"/>
      <c r="CI71" s="656"/>
      <c r="CJ71" s="656"/>
      <c r="CK71" s="656"/>
      <c r="CL71" s="656"/>
      <c r="CM71" s="656"/>
      <c r="CN71" s="656"/>
      <c r="CO71" s="656"/>
      <c r="CP71" s="656"/>
      <c r="CQ71" s="656"/>
      <c r="CR71" s="656"/>
      <c r="CS71" s="656"/>
      <c r="CT71" s="656"/>
      <c r="CU71" s="656"/>
      <c r="CV71" s="656"/>
      <c r="CW71" s="656"/>
      <c r="CX71" s="656"/>
      <c r="CY71" s="656"/>
      <c r="CZ71" s="656"/>
      <c r="DA71" s="656"/>
      <c r="DB71" s="656"/>
      <c r="DC71" s="656"/>
      <c r="DD71" s="656"/>
      <c r="DE71" s="656"/>
      <c r="DF71" s="656"/>
      <c r="DG71" s="656"/>
      <c r="DH71" s="656"/>
      <c r="DI71" s="656"/>
      <c r="DJ71" s="656"/>
      <c r="DK71" s="656"/>
      <c r="DL71" s="656"/>
      <c r="DM71" s="656"/>
      <c r="DN71" s="656"/>
      <c r="DO71" s="656"/>
      <c r="DP71" s="656"/>
      <c r="DQ71" s="656"/>
      <c r="DR71" s="656"/>
      <c r="DS71" s="656"/>
      <c r="DT71" s="656"/>
      <c r="DU71" s="656"/>
      <c r="DV71" s="656"/>
      <c r="DW71" s="656"/>
      <c r="DX71" s="656"/>
      <c r="DY71" s="656"/>
      <c r="DZ71" s="656"/>
      <c r="EA71" s="656"/>
      <c r="EB71" s="656"/>
      <c r="EC71" s="656"/>
      <c r="ED71" s="656"/>
      <c r="EE71" s="656"/>
      <c r="EF71" s="656"/>
      <c r="EG71" s="656"/>
      <c r="EH71" s="656"/>
      <c r="EI71" s="656"/>
      <c r="EJ71" s="656"/>
      <c r="EK71" s="656"/>
      <c r="EL71" s="656"/>
      <c r="EM71" s="656"/>
      <c r="EN71" s="656"/>
      <c r="EO71" s="656"/>
      <c r="EP71" s="656"/>
      <c r="EQ71" s="656"/>
      <c r="ER71" s="656"/>
      <c r="ES71" s="656"/>
      <c r="ET71" s="656"/>
      <c r="EU71" s="656"/>
      <c r="EV71" s="656"/>
      <c r="EW71" s="656"/>
      <c r="EX71" s="656"/>
      <c r="EY71" s="656"/>
      <c r="EZ71" s="656"/>
      <c r="FA71" s="656"/>
      <c r="FB71" s="656"/>
      <c r="FC71" s="656"/>
      <c r="FD71" s="656"/>
      <c r="FE71" s="656"/>
      <c r="FF71" s="656"/>
      <c r="FG71" s="656"/>
      <c r="FH71" s="656"/>
      <c r="FI71" s="656"/>
      <c r="FJ71" s="656"/>
      <c r="FK71" s="656"/>
      <c r="FL71" s="656"/>
      <c r="FM71" s="656"/>
      <c r="FN71" s="656"/>
      <c r="FO71" s="656"/>
      <c r="FP71" s="656"/>
      <c r="FQ71" s="656"/>
      <c r="FR71" s="656"/>
      <c r="FS71" s="656"/>
      <c r="FT71" s="656"/>
      <c r="FU71" s="656"/>
      <c r="FV71" s="656"/>
      <c r="FW71" s="656"/>
      <c r="FX71" s="656"/>
      <c r="FY71" s="656"/>
      <c r="FZ71" s="656"/>
      <c r="GA71" s="656"/>
      <c r="GB71" s="656"/>
      <c r="GC71" s="656"/>
      <c r="GD71" s="656"/>
      <c r="GE71" s="656"/>
      <c r="GF71" s="656"/>
      <c r="GG71" s="656"/>
      <c r="GH71" s="656"/>
      <c r="GI71" s="656"/>
      <c r="GJ71" s="656"/>
      <c r="GK71" s="656"/>
      <c r="GL71" s="656"/>
      <c r="GM71" s="656"/>
      <c r="GN71" s="656"/>
      <c r="GO71" s="656"/>
      <c r="GP71" s="656"/>
      <c r="GQ71" s="656"/>
      <c r="GR71" s="656"/>
      <c r="GS71" s="656"/>
      <c r="GT71" s="656"/>
      <c r="GU71" s="656"/>
      <c r="GV71" s="656"/>
      <c r="GW71" s="656"/>
      <c r="GX71" s="656"/>
      <c r="GY71" s="656"/>
      <c r="GZ71" s="656"/>
      <c r="HA71" s="656"/>
      <c r="HB71" s="656"/>
      <c r="HC71" s="656"/>
      <c r="HD71" s="656"/>
      <c r="HE71" s="656"/>
      <c r="HF71" s="656"/>
      <c r="HG71" s="656"/>
      <c r="HH71" s="656"/>
      <c r="HI71" s="656"/>
      <c r="HJ71" s="656"/>
      <c r="HK71" s="656"/>
      <c r="HL71" s="656"/>
      <c r="HM71" s="656"/>
      <c r="HN71" s="656"/>
      <c r="HO71" s="656"/>
      <c r="HP71" s="656"/>
      <c r="HQ71" s="656"/>
      <c r="HR71" s="656"/>
      <c r="HS71" s="656"/>
      <c r="HT71" s="656"/>
      <c r="HU71" s="656"/>
      <c r="HV71" s="656"/>
      <c r="HW71" s="656"/>
    </row>
    <row r="72" spans="1:231" s="657" customFormat="1" x14ac:dyDescent="0.25">
      <c r="A72" s="646">
        <v>56</v>
      </c>
      <c r="B72" s="680" t="s">
        <v>1057</v>
      </c>
      <c r="C72" s="681" t="s">
        <v>1058</v>
      </c>
      <c r="D72" s="691" t="s">
        <v>14</v>
      </c>
      <c r="E72" s="681">
        <v>21</v>
      </c>
      <c r="F72" s="684">
        <v>19105.099999999999</v>
      </c>
      <c r="G72" s="684">
        <v>401207</v>
      </c>
      <c r="H72" s="685">
        <v>0</v>
      </c>
      <c r="I72" s="686">
        <v>-21</v>
      </c>
      <c r="J72" s="683">
        <v>0</v>
      </c>
      <c r="K72" s="684">
        <v>0</v>
      </c>
      <c r="L72" s="683">
        <v>0</v>
      </c>
      <c r="M72" s="684">
        <v>0</v>
      </c>
      <c r="N72" s="683">
        <v>0</v>
      </c>
      <c r="O72" s="687">
        <v>0</v>
      </c>
      <c r="P72" s="656"/>
      <c r="Q72" s="656"/>
      <c r="R72" s="656"/>
      <c r="S72" s="656"/>
      <c r="T72" s="656"/>
      <c r="U72" s="656"/>
      <c r="V72" s="656"/>
      <c r="W72" s="656"/>
      <c r="X72" s="656"/>
      <c r="Y72" s="656"/>
      <c r="Z72" s="656"/>
      <c r="AA72" s="656"/>
      <c r="AB72" s="656"/>
      <c r="AC72" s="656"/>
      <c r="AD72" s="656"/>
      <c r="AE72" s="656"/>
      <c r="AF72" s="656"/>
      <c r="AG72" s="656"/>
      <c r="AH72" s="656"/>
      <c r="AI72" s="656"/>
      <c r="AJ72" s="656"/>
      <c r="AK72" s="656"/>
      <c r="AL72" s="656"/>
      <c r="AM72" s="656"/>
      <c r="AN72" s="656"/>
      <c r="AO72" s="656"/>
      <c r="AP72" s="656"/>
      <c r="AQ72" s="656"/>
      <c r="AR72" s="656"/>
      <c r="AS72" s="656"/>
      <c r="AT72" s="656"/>
      <c r="AU72" s="656"/>
      <c r="AV72" s="656"/>
      <c r="AW72" s="656"/>
      <c r="AX72" s="656"/>
      <c r="AY72" s="656"/>
      <c r="AZ72" s="656"/>
      <c r="BA72" s="656"/>
      <c r="BB72" s="656"/>
      <c r="BC72" s="656"/>
      <c r="BD72" s="656"/>
      <c r="BE72" s="656"/>
      <c r="BF72" s="656"/>
      <c r="BG72" s="656"/>
      <c r="BH72" s="656"/>
      <c r="BI72" s="656"/>
      <c r="BJ72" s="656"/>
      <c r="BK72" s="656"/>
      <c r="BL72" s="656"/>
      <c r="BM72" s="656"/>
      <c r="BN72" s="656"/>
      <c r="BO72" s="656"/>
      <c r="BP72" s="656"/>
      <c r="BQ72" s="656"/>
      <c r="BR72" s="656"/>
      <c r="BS72" s="656"/>
      <c r="BT72" s="656"/>
      <c r="BU72" s="656"/>
      <c r="BV72" s="656"/>
      <c r="BW72" s="656"/>
      <c r="BX72" s="656"/>
      <c r="BY72" s="656"/>
      <c r="BZ72" s="656"/>
      <c r="CA72" s="656"/>
      <c r="CB72" s="656"/>
      <c r="CC72" s="656"/>
      <c r="CD72" s="656"/>
      <c r="CE72" s="656"/>
      <c r="CF72" s="656"/>
      <c r="CG72" s="656"/>
      <c r="CH72" s="656"/>
      <c r="CI72" s="656"/>
      <c r="CJ72" s="656"/>
      <c r="CK72" s="656"/>
      <c r="CL72" s="656"/>
      <c r="CM72" s="656"/>
      <c r="CN72" s="656"/>
      <c r="CO72" s="656"/>
      <c r="CP72" s="656"/>
      <c r="CQ72" s="656"/>
      <c r="CR72" s="656"/>
      <c r="CS72" s="656"/>
      <c r="CT72" s="656"/>
      <c r="CU72" s="656"/>
      <c r="CV72" s="656"/>
      <c r="CW72" s="656"/>
      <c r="CX72" s="656"/>
      <c r="CY72" s="656"/>
      <c r="CZ72" s="656"/>
      <c r="DA72" s="656"/>
      <c r="DB72" s="656"/>
      <c r="DC72" s="656"/>
      <c r="DD72" s="656"/>
      <c r="DE72" s="656"/>
      <c r="DF72" s="656"/>
      <c r="DG72" s="656"/>
      <c r="DH72" s="656"/>
      <c r="DI72" s="656"/>
      <c r="DJ72" s="656"/>
      <c r="DK72" s="656"/>
      <c r="DL72" s="656"/>
      <c r="DM72" s="656"/>
      <c r="DN72" s="656"/>
      <c r="DO72" s="656"/>
      <c r="DP72" s="656"/>
      <c r="DQ72" s="656"/>
      <c r="DR72" s="656"/>
      <c r="DS72" s="656"/>
      <c r="DT72" s="656"/>
      <c r="DU72" s="656"/>
      <c r="DV72" s="656"/>
      <c r="DW72" s="656"/>
      <c r="DX72" s="656"/>
      <c r="DY72" s="656"/>
      <c r="DZ72" s="656"/>
      <c r="EA72" s="656"/>
      <c r="EB72" s="656"/>
      <c r="EC72" s="656"/>
      <c r="ED72" s="656"/>
      <c r="EE72" s="656"/>
      <c r="EF72" s="656"/>
      <c r="EG72" s="656"/>
      <c r="EH72" s="656"/>
      <c r="EI72" s="656"/>
      <c r="EJ72" s="656"/>
      <c r="EK72" s="656"/>
      <c r="EL72" s="656"/>
      <c r="EM72" s="656"/>
      <c r="EN72" s="656"/>
      <c r="EO72" s="656"/>
      <c r="EP72" s="656"/>
      <c r="EQ72" s="656"/>
      <c r="ER72" s="656"/>
      <c r="ES72" s="656"/>
      <c r="ET72" s="656"/>
      <c r="EU72" s="656"/>
      <c r="EV72" s="656"/>
      <c r="EW72" s="656"/>
      <c r="EX72" s="656"/>
      <c r="EY72" s="656"/>
      <c r="EZ72" s="656"/>
      <c r="FA72" s="656"/>
      <c r="FB72" s="656"/>
      <c r="FC72" s="656"/>
      <c r="FD72" s="656"/>
      <c r="FE72" s="656"/>
      <c r="FF72" s="656"/>
      <c r="FG72" s="656"/>
      <c r="FH72" s="656"/>
      <c r="FI72" s="656"/>
      <c r="FJ72" s="656"/>
      <c r="FK72" s="656"/>
      <c r="FL72" s="656"/>
      <c r="FM72" s="656"/>
      <c r="FN72" s="656"/>
      <c r="FO72" s="656"/>
      <c r="FP72" s="656"/>
      <c r="FQ72" s="656"/>
      <c r="FR72" s="656"/>
      <c r="FS72" s="656"/>
      <c r="FT72" s="656"/>
      <c r="FU72" s="656"/>
      <c r="FV72" s="656"/>
      <c r="FW72" s="656"/>
      <c r="FX72" s="656"/>
      <c r="FY72" s="656"/>
      <c r="FZ72" s="656"/>
      <c r="GA72" s="656"/>
      <c r="GB72" s="656"/>
      <c r="GC72" s="656"/>
      <c r="GD72" s="656"/>
      <c r="GE72" s="656"/>
      <c r="GF72" s="656"/>
      <c r="GG72" s="656"/>
      <c r="GH72" s="656"/>
      <c r="GI72" s="656"/>
      <c r="GJ72" s="656"/>
      <c r="GK72" s="656"/>
      <c r="GL72" s="656"/>
      <c r="GM72" s="656"/>
      <c r="GN72" s="656"/>
      <c r="GO72" s="656"/>
      <c r="GP72" s="656"/>
      <c r="GQ72" s="656"/>
      <c r="GR72" s="656"/>
      <c r="GS72" s="656"/>
      <c r="GT72" s="656"/>
      <c r="GU72" s="656"/>
      <c r="GV72" s="656"/>
      <c r="GW72" s="656"/>
      <c r="GX72" s="656"/>
      <c r="GY72" s="656"/>
      <c r="GZ72" s="656"/>
      <c r="HA72" s="656"/>
      <c r="HB72" s="656"/>
      <c r="HC72" s="656"/>
      <c r="HD72" s="656"/>
      <c r="HE72" s="656"/>
      <c r="HF72" s="656"/>
      <c r="HG72" s="656"/>
      <c r="HH72" s="656"/>
      <c r="HI72" s="656"/>
      <c r="HJ72" s="656"/>
      <c r="HK72" s="656"/>
      <c r="HL72" s="656"/>
      <c r="HM72" s="656"/>
      <c r="HN72" s="656"/>
      <c r="HO72" s="656"/>
      <c r="HP72" s="656"/>
      <c r="HQ72" s="656"/>
      <c r="HR72" s="656"/>
      <c r="HS72" s="656"/>
      <c r="HT72" s="656"/>
      <c r="HU72" s="656"/>
      <c r="HV72" s="656"/>
      <c r="HW72" s="656"/>
    </row>
    <row r="73" spans="1:231" s="657" customFormat="1" ht="28.5" x14ac:dyDescent="0.25">
      <c r="A73" s="646">
        <v>57</v>
      </c>
      <c r="B73" s="680" t="s">
        <v>1059</v>
      </c>
      <c r="C73" s="681" t="s">
        <v>1060</v>
      </c>
      <c r="D73" s="691" t="s">
        <v>14</v>
      </c>
      <c r="E73" s="681">
        <v>3</v>
      </c>
      <c r="F73" s="684">
        <v>26460.98</v>
      </c>
      <c r="G73" s="684">
        <v>79383</v>
      </c>
      <c r="H73" s="685">
        <v>0</v>
      </c>
      <c r="I73" s="686">
        <v>0</v>
      </c>
      <c r="J73" s="683">
        <v>0</v>
      </c>
      <c r="K73" s="684">
        <v>0</v>
      </c>
      <c r="L73" s="683">
        <v>0</v>
      </c>
      <c r="M73" s="684">
        <v>0</v>
      </c>
      <c r="N73" s="683">
        <v>0</v>
      </c>
      <c r="O73" s="687">
        <v>0</v>
      </c>
      <c r="P73" s="656"/>
      <c r="Q73" s="656"/>
      <c r="R73" s="656"/>
      <c r="S73" s="656"/>
      <c r="T73" s="656"/>
      <c r="U73" s="656"/>
      <c r="V73" s="656"/>
      <c r="W73" s="656"/>
      <c r="X73" s="656"/>
      <c r="Y73" s="656"/>
      <c r="Z73" s="656"/>
      <c r="AA73" s="656"/>
      <c r="AB73" s="656"/>
      <c r="AC73" s="656"/>
      <c r="AD73" s="656"/>
      <c r="AE73" s="656"/>
      <c r="AF73" s="656"/>
      <c r="AG73" s="656"/>
      <c r="AH73" s="656"/>
      <c r="AI73" s="656"/>
      <c r="AJ73" s="656"/>
      <c r="AK73" s="656"/>
      <c r="AL73" s="656"/>
      <c r="AM73" s="656"/>
      <c r="AN73" s="656"/>
      <c r="AO73" s="656"/>
      <c r="AP73" s="656"/>
      <c r="AQ73" s="656"/>
      <c r="AR73" s="656"/>
      <c r="AS73" s="656"/>
      <c r="AT73" s="656"/>
      <c r="AU73" s="656"/>
      <c r="AV73" s="656"/>
      <c r="AW73" s="656"/>
      <c r="AX73" s="656"/>
      <c r="AY73" s="656"/>
      <c r="AZ73" s="656"/>
      <c r="BA73" s="656"/>
      <c r="BB73" s="656"/>
      <c r="BC73" s="656"/>
      <c r="BD73" s="656"/>
      <c r="BE73" s="656"/>
      <c r="BF73" s="656"/>
      <c r="BG73" s="656"/>
      <c r="BH73" s="656"/>
      <c r="BI73" s="656"/>
      <c r="BJ73" s="656"/>
      <c r="BK73" s="656"/>
      <c r="BL73" s="656"/>
      <c r="BM73" s="656"/>
      <c r="BN73" s="656"/>
      <c r="BO73" s="656"/>
      <c r="BP73" s="656"/>
      <c r="BQ73" s="656"/>
      <c r="BR73" s="656"/>
      <c r="BS73" s="656"/>
      <c r="BT73" s="656"/>
      <c r="BU73" s="656"/>
      <c r="BV73" s="656"/>
      <c r="BW73" s="656"/>
      <c r="BX73" s="656"/>
      <c r="BY73" s="656"/>
      <c r="BZ73" s="656"/>
      <c r="CA73" s="656"/>
      <c r="CB73" s="656"/>
      <c r="CC73" s="656"/>
      <c r="CD73" s="656"/>
      <c r="CE73" s="656"/>
      <c r="CF73" s="656"/>
      <c r="CG73" s="656"/>
      <c r="CH73" s="656"/>
      <c r="CI73" s="656"/>
      <c r="CJ73" s="656"/>
      <c r="CK73" s="656"/>
      <c r="CL73" s="656"/>
      <c r="CM73" s="656"/>
      <c r="CN73" s="656"/>
      <c r="CO73" s="656"/>
      <c r="CP73" s="656"/>
      <c r="CQ73" s="656"/>
      <c r="CR73" s="656"/>
      <c r="CS73" s="656"/>
      <c r="CT73" s="656"/>
      <c r="CU73" s="656"/>
      <c r="CV73" s="656"/>
      <c r="CW73" s="656"/>
      <c r="CX73" s="656"/>
      <c r="CY73" s="656"/>
      <c r="CZ73" s="656"/>
      <c r="DA73" s="656"/>
      <c r="DB73" s="656"/>
      <c r="DC73" s="656"/>
      <c r="DD73" s="656"/>
      <c r="DE73" s="656"/>
      <c r="DF73" s="656"/>
      <c r="DG73" s="656"/>
      <c r="DH73" s="656"/>
      <c r="DI73" s="656"/>
      <c r="DJ73" s="656"/>
      <c r="DK73" s="656"/>
      <c r="DL73" s="656"/>
      <c r="DM73" s="656"/>
      <c r="DN73" s="656"/>
      <c r="DO73" s="656"/>
      <c r="DP73" s="656"/>
      <c r="DQ73" s="656"/>
      <c r="DR73" s="656"/>
      <c r="DS73" s="656"/>
      <c r="DT73" s="656"/>
      <c r="DU73" s="656"/>
      <c r="DV73" s="656"/>
      <c r="DW73" s="656"/>
      <c r="DX73" s="656"/>
      <c r="DY73" s="656"/>
      <c r="DZ73" s="656"/>
      <c r="EA73" s="656"/>
      <c r="EB73" s="656"/>
      <c r="EC73" s="656"/>
      <c r="ED73" s="656"/>
      <c r="EE73" s="656"/>
      <c r="EF73" s="656"/>
      <c r="EG73" s="656"/>
      <c r="EH73" s="656"/>
      <c r="EI73" s="656"/>
      <c r="EJ73" s="656"/>
      <c r="EK73" s="656"/>
      <c r="EL73" s="656"/>
      <c r="EM73" s="656"/>
      <c r="EN73" s="656"/>
      <c r="EO73" s="656"/>
      <c r="EP73" s="656"/>
      <c r="EQ73" s="656"/>
      <c r="ER73" s="656"/>
      <c r="ES73" s="656"/>
      <c r="ET73" s="656"/>
      <c r="EU73" s="656"/>
      <c r="EV73" s="656"/>
      <c r="EW73" s="656"/>
      <c r="EX73" s="656"/>
      <c r="EY73" s="656"/>
      <c r="EZ73" s="656"/>
      <c r="FA73" s="656"/>
      <c r="FB73" s="656"/>
      <c r="FC73" s="656"/>
      <c r="FD73" s="656"/>
      <c r="FE73" s="656"/>
      <c r="FF73" s="656"/>
      <c r="FG73" s="656"/>
      <c r="FH73" s="656"/>
      <c r="FI73" s="656"/>
      <c r="FJ73" s="656"/>
      <c r="FK73" s="656"/>
      <c r="FL73" s="656"/>
      <c r="FM73" s="656"/>
      <c r="FN73" s="656"/>
      <c r="FO73" s="656"/>
      <c r="FP73" s="656"/>
      <c r="FQ73" s="656"/>
      <c r="FR73" s="656"/>
      <c r="FS73" s="656"/>
      <c r="FT73" s="656"/>
      <c r="FU73" s="656"/>
      <c r="FV73" s="656"/>
      <c r="FW73" s="656"/>
      <c r="FX73" s="656"/>
      <c r="FY73" s="656"/>
      <c r="FZ73" s="656"/>
      <c r="GA73" s="656"/>
      <c r="GB73" s="656"/>
      <c r="GC73" s="656"/>
      <c r="GD73" s="656"/>
      <c r="GE73" s="656"/>
      <c r="GF73" s="656"/>
      <c r="GG73" s="656"/>
      <c r="GH73" s="656"/>
      <c r="GI73" s="656"/>
      <c r="GJ73" s="656"/>
      <c r="GK73" s="656"/>
      <c r="GL73" s="656"/>
      <c r="GM73" s="656"/>
      <c r="GN73" s="656"/>
      <c r="GO73" s="656"/>
      <c r="GP73" s="656"/>
      <c r="GQ73" s="656"/>
      <c r="GR73" s="656"/>
      <c r="GS73" s="656"/>
      <c r="GT73" s="656"/>
      <c r="GU73" s="656"/>
      <c r="GV73" s="656"/>
      <c r="GW73" s="656"/>
      <c r="GX73" s="656"/>
      <c r="GY73" s="656"/>
      <c r="GZ73" s="656"/>
      <c r="HA73" s="656"/>
      <c r="HB73" s="656"/>
      <c r="HC73" s="656"/>
      <c r="HD73" s="656"/>
      <c r="HE73" s="656"/>
      <c r="HF73" s="656"/>
      <c r="HG73" s="656"/>
      <c r="HH73" s="656"/>
      <c r="HI73" s="656"/>
      <c r="HJ73" s="656"/>
      <c r="HK73" s="656"/>
      <c r="HL73" s="656"/>
      <c r="HM73" s="656"/>
      <c r="HN73" s="656"/>
      <c r="HO73" s="656"/>
      <c r="HP73" s="656"/>
      <c r="HQ73" s="656"/>
      <c r="HR73" s="656"/>
      <c r="HS73" s="656"/>
      <c r="HT73" s="656"/>
      <c r="HU73" s="656"/>
      <c r="HV73" s="656"/>
      <c r="HW73" s="656"/>
    </row>
    <row r="74" spans="1:231" s="657" customFormat="1" x14ac:dyDescent="0.25">
      <c r="A74" s="646">
        <v>58</v>
      </c>
      <c r="B74" s="680" t="s">
        <v>1061</v>
      </c>
      <c r="C74" s="681" t="s">
        <v>1062</v>
      </c>
      <c r="D74" s="691" t="s">
        <v>14</v>
      </c>
      <c r="E74" s="681">
        <v>20</v>
      </c>
      <c r="F74" s="684">
        <v>14651.98</v>
      </c>
      <c r="G74" s="684">
        <v>293040</v>
      </c>
      <c r="H74" s="685">
        <v>0</v>
      </c>
      <c r="I74" s="686">
        <v>0</v>
      </c>
      <c r="J74" s="683">
        <v>0</v>
      </c>
      <c r="K74" s="684">
        <v>0</v>
      </c>
      <c r="L74" s="683">
        <v>0</v>
      </c>
      <c r="M74" s="684">
        <v>0</v>
      </c>
      <c r="N74" s="683">
        <v>0</v>
      </c>
      <c r="O74" s="687">
        <v>0</v>
      </c>
      <c r="P74" s="656"/>
      <c r="Q74" s="656"/>
      <c r="R74" s="656"/>
      <c r="S74" s="656"/>
      <c r="T74" s="656"/>
      <c r="U74" s="656"/>
      <c r="V74" s="656"/>
      <c r="W74" s="656"/>
      <c r="X74" s="656"/>
      <c r="Y74" s="656"/>
      <c r="Z74" s="656"/>
      <c r="AA74" s="656"/>
      <c r="AB74" s="656"/>
      <c r="AC74" s="656"/>
      <c r="AD74" s="656"/>
      <c r="AE74" s="656"/>
      <c r="AF74" s="656"/>
      <c r="AG74" s="656"/>
      <c r="AH74" s="656"/>
      <c r="AI74" s="656"/>
      <c r="AJ74" s="656"/>
      <c r="AK74" s="656"/>
      <c r="AL74" s="656"/>
      <c r="AM74" s="656"/>
      <c r="AN74" s="656"/>
      <c r="AO74" s="656"/>
      <c r="AP74" s="656"/>
      <c r="AQ74" s="656"/>
      <c r="AR74" s="656"/>
      <c r="AS74" s="656"/>
      <c r="AT74" s="656"/>
      <c r="AU74" s="656"/>
      <c r="AV74" s="656"/>
      <c r="AW74" s="656"/>
      <c r="AX74" s="656"/>
      <c r="AY74" s="656"/>
      <c r="AZ74" s="656"/>
      <c r="BA74" s="656"/>
      <c r="BB74" s="656"/>
      <c r="BC74" s="656"/>
      <c r="BD74" s="656"/>
      <c r="BE74" s="656"/>
      <c r="BF74" s="656"/>
      <c r="BG74" s="656"/>
      <c r="BH74" s="656"/>
      <c r="BI74" s="656"/>
      <c r="BJ74" s="656"/>
      <c r="BK74" s="656"/>
      <c r="BL74" s="656"/>
      <c r="BM74" s="656"/>
      <c r="BN74" s="656"/>
      <c r="BO74" s="656"/>
      <c r="BP74" s="656"/>
      <c r="BQ74" s="656"/>
      <c r="BR74" s="656"/>
      <c r="BS74" s="656"/>
      <c r="BT74" s="656"/>
      <c r="BU74" s="656"/>
      <c r="BV74" s="656"/>
      <c r="BW74" s="656"/>
      <c r="BX74" s="656"/>
      <c r="BY74" s="656"/>
      <c r="BZ74" s="656"/>
      <c r="CA74" s="656"/>
      <c r="CB74" s="656"/>
      <c r="CC74" s="656"/>
      <c r="CD74" s="656"/>
      <c r="CE74" s="656"/>
      <c r="CF74" s="656"/>
      <c r="CG74" s="656"/>
      <c r="CH74" s="656"/>
      <c r="CI74" s="656"/>
      <c r="CJ74" s="656"/>
      <c r="CK74" s="656"/>
      <c r="CL74" s="656"/>
      <c r="CM74" s="656"/>
      <c r="CN74" s="656"/>
      <c r="CO74" s="656"/>
      <c r="CP74" s="656"/>
      <c r="CQ74" s="656"/>
      <c r="CR74" s="656"/>
      <c r="CS74" s="656"/>
      <c r="CT74" s="656"/>
      <c r="CU74" s="656"/>
      <c r="CV74" s="656"/>
      <c r="CW74" s="656"/>
      <c r="CX74" s="656"/>
      <c r="CY74" s="656"/>
      <c r="CZ74" s="656"/>
      <c r="DA74" s="656"/>
      <c r="DB74" s="656"/>
      <c r="DC74" s="656"/>
      <c r="DD74" s="656"/>
      <c r="DE74" s="656"/>
      <c r="DF74" s="656"/>
      <c r="DG74" s="656"/>
      <c r="DH74" s="656"/>
      <c r="DI74" s="656"/>
      <c r="DJ74" s="656"/>
      <c r="DK74" s="656"/>
      <c r="DL74" s="656"/>
      <c r="DM74" s="656"/>
      <c r="DN74" s="656"/>
      <c r="DO74" s="656"/>
      <c r="DP74" s="656"/>
      <c r="DQ74" s="656"/>
      <c r="DR74" s="656"/>
      <c r="DS74" s="656"/>
      <c r="DT74" s="656"/>
      <c r="DU74" s="656"/>
      <c r="DV74" s="656"/>
      <c r="DW74" s="656"/>
      <c r="DX74" s="656"/>
      <c r="DY74" s="656"/>
      <c r="DZ74" s="656"/>
      <c r="EA74" s="656"/>
      <c r="EB74" s="656"/>
      <c r="EC74" s="656"/>
      <c r="ED74" s="656"/>
      <c r="EE74" s="656"/>
      <c r="EF74" s="656"/>
      <c r="EG74" s="656"/>
      <c r="EH74" s="656"/>
      <c r="EI74" s="656"/>
      <c r="EJ74" s="656"/>
      <c r="EK74" s="656"/>
      <c r="EL74" s="656"/>
      <c r="EM74" s="656"/>
      <c r="EN74" s="656"/>
      <c r="EO74" s="656"/>
      <c r="EP74" s="656"/>
      <c r="EQ74" s="656"/>
      <c r="ER74" s="656"/>
      <c r="ES74" s="656"/>
      <c r="ET74" s="656"/>
      <c r="EU74" s="656"/>
      <c r="EV74" s="656"/>
      <c r="EW74" s="656"/>
      <c r="EX74" s="656"/>
      <c r="EY74" s="656"/>
      <c r="EZ74" s="656"/>
      <c r="FA74" s="656"/>
      <c r="FB74" s="656"/>
      <c r="FC74" s="656"/>
      <c r="FD74" s="656"/>
      <c r="FE74" s="656"/>
      <c r="FF74" s="656"/>
      <c r="FG74" s="656"/>
      <c r="FH74" s="656"/>
      <c r="FI74" s="656"/>
      <c r="FJ74" s="656"/>
      <c r="FK74" s="656"/>
      <c r="FL74" s="656"/>
      <c r="FM74" s="656"/>
      <c r="FN74" s="656"/>
      <c r="FO74" s="656"/>
      <c r="FP74" s="656"/>
      <c r="FQ74" s="656"/>
      <c r="FR74" s="656"/>
      <c r="FS74" s="656"/>
      <c r="FT74" s="656"/>
      <c r="FU74" s="656"/>
      <c r="FV74" s="656"/>
      <c r="FW74" s="656"/>
      <c r="FX74" s="656"/>
      <c r="FY74" s="656"/>
      <c r="FZ74" s="656"/>
      <c r="GA74" s="656"/>
      <c r="GB74" s="656"/>
      <c r="GC74" s="656"/>
      <c r="GD74" s="656"/>
      <c r="GE74" s="656"/>
      <c r="GF74" s="656"/>
      <c r="GG74" s="656"/>
      <c r="GH74" s="656"/>
      <c r="GI74" s="656"/>
      <c r="GJ74" s="656"/>
      <c r="GK74" s="656"/>
      <c r="GL74" s="656"/>
      <c r="GM74" s="656"/>
      <c r="GN74" s="656"/>
      <c r="GO74" s="656"/>
      <c r="GP74" s="656"/>
      <c r="GQ74" s="656"/>
      <c r="GR74" s="656"/>
      <c r="GS74" s="656"/>
      <c r="GT74" s="656"/>
      <c r="GU74" s="656"/>
      <c r="GV74" s="656"/>
      <c r="GW74" s="656"/>
      <c r="GX74" s="656"/>
      <c r="GY74" s="656"/>
      <c r="GZ74" s="656"/>
      <c r="HA74" s="656"/>
      <c r="HB74" s="656"/>
      <c r="HC74" s="656"/>
      <c r="HD74" s="656"/>
      <c r="HE74" s="656"/>
      <c r="HF74" s="656"/>
      <c r="HG74" s="656"/>
      <c r="HH74" s="656"/>
      <c r="HI74" s="656"/>
      <c r="HJ74" s="656"/>
      <c r="HK74" s="656"/>
      <c r="HL74" s="656"/>
      <c r="HM74" s="656"/>
      <c r="HN74" s="656"/>
      <c r="HO74" s="656"/>
      <c r="HP74" s="656"/>
      <c r="HQ74" s="656"/>
      <c r="HR74" s="656"/>
      <c r="HS74" s="656"/>
      <c r="HT74" s="656"/>
      <c r="HU74" s="656"/>
      <c r="HV74" s="656"/>
      <c r="HW74" s="656"/>
    </row>
    <row r="75" spans="1:231" s="657" customFormat="1" x14ac:dyDescent="0.25">
      <c r="A75" s="646">
        <v>59</v>
      </c>
      <c r="B75" s="680" t="s">
        <v>1063</v>
      </c>
      <c r="C75" s="681" t="s">
        <v>1064</v>
      </c>
      <c r="D75" s="691" t="s">
        <v>14</v>
      </c>
      <c r="E75" s="681">
        <v>12</v>
      </c>
      <c r="F75" s="684">
        <v>16679.599999999999</v>
      </c>
      <c r="G75" s="684">
        <v>200155</v>
      </c>
      <c r="H75" s="685">
        <v>5.92</v>
      </c>
      <c r="I75" s="686">
        <v>0</v>
      </c>
      <c r="J75" s="683">
        <v>17.916412863617836</v>
      </c>
      <c r="K75" s="684">
        <v>298839</v>
      </c>
      <c r="L75" s="683">
        <v>17.916412863617836</v>
      </c>
      <c r="M75" s="684">
        <v>298839</v>
      </c>
      <c r="N75" s="683">
        <v>17.916412863617836</v>
      </c>
      <c r="O75" s="687">
        <v>298839</v>
      </c>
      <c r="P75" s="656"/>
      <c r="Q75" s="656"/>
      <c r="R75" s="656"/>
      <c r="S75" s="656"/>
      <c r="T75" s="656"/>
      <c r="U75" s="656"/>
      <c r="V75" s="656"/>
      <c r="W75" s="656"/>
      <c r="X75" s="656"/>
      <c r="Y75" s="656"/>
      <c r="Z75" s="656"/>
      <c r="AA75" s="656"/>
      <c r="AB75" s="656"/>
      <c r="AC75" s="656"/>
      <c r="AD75" s="656"/>
      <c r="AE75" s="656"/>
      <c r="AF75" s="656"/>
      <c r="AG75" s="656"/>
      <c r="AH75" s="656"/>
      <c r="AI75" s="656"/>
      <c r="AJ75" s="656"/>
      <c r="AK75" s="656"/>
      <c r="AL75" s="656"/>
      <c r="AM75" s="656"/>
      <c r="AN75" s="656"/>
      <c r="AO75" s="656"/>
      <c r="AP75" s="656"/>
      <c r="AQ75" s="656"/>
      <c r="AR75" s="656"/>
      <c r="AS75" s="656"/>
      <c r="AT75" s="656"/>
      <c r="AU75" s="656"/>
      <c r="AV75" s="656"/>
      <c r="AW75" s="656"/>
      <c r="AX75" s="656"/>
      <c r="AY75" s="656"/>
      <c r="AZ75" s="656"/>
      <c r="BA75" s="656"/>
      <c r="BB75" s="656"/>
      <c r="BC75" s="656"/>
      <c r="BD75" s="656"/>
      <c r="BE75" s="656"/>
      <c r="BF75" s="656"/>
      <c r="BG75" s="656"/>
      <c r="BH75" s="656"/>
      <c r="BI75" s="656"/>
      <c r="BJ75" s="656"/>
      <c r="BK75" s="656"/>
      <c r="BL75" s="656"/>
      <c r="BM75" s="656"/>
      <c r="BN75" s="656"/>
      <c r="BO75" s="656"/>
      <c r="BP75" s="656"/>
      <c r="BQ75" s="656"/>
      <c r="BR75" s="656"/>
      <c r="BS75" s="656"/>
      <c r="BT75" s="656"/>
      <c r="BU75" s="656"/>
      <c r="BV75" s="656"/>
      <c r="BW75" s="656"/>
      <c r="BX75" s="656"/>
      <c r="BY75" s="656"/>
      <c r="BZ75" s="656"/>
      <c r="CA75" s="656"/>
      <c r="CB75" s="656"/>
      <c r="CC75" s="656"/>
      <c r="CD75" s="656"/>
      <c r="CE75" s="656"/>
      <c r="CF75" s="656"/>
      <c r="CG75" s="656"/>
      <c r="CH75" s="656"/>
      <c r="CI75" s="656"/>
      <c r="CJ75" s="656"/>
      <c r="CK75" s="656"/>
      <c r="CL75" s="656"/>
      <c r="CM75" s="656"/>
      <c r="CN75" s="656"/>
      <c r="CO75" s="656"/>
      <c r="CP75" s="656"/>
      <c r="CQ75" s="656"/>
      <c r="CR75" s="656"/>
      <c r="CS75" s="656"/>
      <c r="CT75" s="656"/>
      <c r="CU75" s="656"/>
      <c r="CV75" s="656"/>
      <c r="CW75" s="656"/>
      <c r="CX75" s="656"/>
      <c r="CY75" s="656"/>
      <c r="CZ75" s="656"/>
      <c r="DA75" s="656"/>
      <c r="DB75" s="656"/>
      <c r="DC75" s="656"/>
      <c r="DD75" s="656"/>
      <c r="DE75" s="656"/>
      <c r="DF75" s="656"/>
      <c r="DG75" s="656"/>
      <c r="DH75" s="656"/>
      <c r="DI75" s="656"/>
      <c r="DJ75" s="656"/>
      <c r="DK75" s="656"/>
      <c r="DL75" s="656"/>
      <c r="DM75" s="656"/>
      <c r="DN75" s="656"/>
      <c r="DO75" s="656"/>
      <c r="DP75" s="656"/>
      <c r="DQ75" s="656"/>
      <c r="DR75" s="656"/>
      <c r="DS75" s="656"/>
      <c r="DT75" s="656"/>
      <c r="DU75" s="656"/>
      <c r="DV75" s="656"/>
      <c r="DW75" s="656"/>
      <c r="DX75" s="656"/>
      <c r="DY75" s="656"/>
      <c r="DZ75" s="656"/>
      <c r="EA75" s="656"/>
      <c r="EB75" s="656"/>
      <c r="EC75" s="656"/>
      <c r="ED75" s="656"/>
      <c r="EE75" s="656"/>
      <c r="EF75" s="656"/>
      <c r="EG75" s="656"/>
      <c r="EH75" s="656"/>
      <c r="EI75" s="656"/>
      <c r="EJ75" s="656"/>
      <c r="EK75" s="656"/>
      <c r="EL75" s="656"/>
      <c r="EM75" s="656"/>
      <c r="EN75" s="656"/>
      <c r="EO75" s="656"/>
      <c r="EP75" s="656"/>
      <c r="EQ75" s="656"/>
      <c r="ER75" s="656"/>
      <c r="ES75" s="656"/>
      <c r="ET75" s="656"/>
      <c r="EU75" s="656"/>
      <c r="EV75" s="656"/>
      <c r="EW75" s="656"/>
      <c r="EX75" s="656"/>
      <c r="EY75" s="656"/>
      <c r="EZ75" s="656"/>
      <c r="FA75" s="656"/>
      <c r="FB75" s="656"/>
      <c r="FC75" s="656"/>
      <c r="FD75" s="656"/>
      <c r="FE75" s="656"/>
      <c r="FF75" s="656"/>
      <c r="FG75" s="656"/>
      <c r="FH75" s="656"/>
      <c r="FI75" s="656"/>
      <c r="FJ75" s="656"/>
      <c r="FK75" s="656"/>
      <c r="FL75" s="656"/>
      <c r="FM75" s="656"/>
      <c r="FN75" s="656"/>
      <c r="FO75" s="656"/>
      <c r="FP75" s="656"/>
      <c r="FQ75" s="656"/>
      <c r="FR75" s="656"/>
      <c r="FS75" s="656"/>
      <c r="FT75" s="656"/>
      <c r="FU75" s="656"/>
      <c r="FV75" s="656"/>
      <c r="FW75" s="656"/>
      <c r="FX75" s="656"/>
      <c r="FY75" s="656"/>
      <c r="FZ75" s="656"/>
      <c r="GA75" s="656"/>
      <c r="GB75" s="656"/>
      <c r="GC75" s="656"/>
      <c r="GD75" s="656"/>
      <c r="GE75" s="656"/>
      <c r="GF75" s="656"/>
      <c r="GG75" s="656"/>
      <c r="GH75" s="656"/>
      <c r="GI75" s="656"/>
      <c r="GJ75" s="656"/>
      <c r="GK75" s="656"/>
      <c r="GL75" s="656"/>
      <c r="GM75" s="656"/>
      <c r="GN75" s="656"/>
      <c r="GO75" s="656"/>
      <c r="GP75" s="656"/>
      <c r="GQ75" s="656"/>
      <c r="GR75" s="656"/>
      <c r="GS75" s="656"/>
      <c r="GT75" s="656"/>
      <c r="GU75" s="656"/>
      <c r="GV75" s="656"/>
      <c r="GW75" s="656"/>
      <c r="GX75" s="656"/>
      <c r="GY75" s="656"/>
      <c r="GZ75" s="656"/>
      <c r="HA75" s="656"/>
      <c r="HB75" s="656"/>
      <c r="HC75" s="656"/>
      <c r="HD75" s="656"/>
      <c r="HE75" s="656"/>
      <c r="HF75" s="656"/>
      <c r="HG75" s="656"/>
      <c r="HH75" s="656"/>
      <c r="HI75" s="656"/>
      <c r="HJ75" s="656"/>
      <c r="HK75" s="656"/>
      <c r="HL75" s="656"/>
      <c r="HM75" s="656"/>
      <c r="HN75" s="656"/>
      <c r="HO75" s="656"/>
      <c r="HP75" s="656"/>
      <c r="HQ75" s="656"/>
      <c r="HR75" s="656"/>
      <c r="HS75" s="656"/>
      <c r="HT75" s="656"/>
      <c r="HU75" s="656"/>
      <c r="HV75" s="656"/>
      <c r="HW75" s="656"/>
    </row>
    <row r="76" spans="1:231" s="657" customFormat="1" x14ac:dyDescent="0.25">
      <c r="A76" s="646">
        <v>60</v>
      </c>
      <c r="B76" s="680" t="s">
        <v>1065</v>
      </c>
      <c r="C76" s="681" t="s">
        <v>1066</v>
      </c>
      <c r="D76" s="691" t="s">
        <v>14</v>
      </c>
      <c r="E76" s="681">
        <v>6.9</v>
      </c>
      <c r="F76" s="684">
        <v>12741.96</v>
      </c>
      <c r="G76" s="684">
        <v>87920</v>
      </c>
      <c r="H76" s="685">
        <v>0</v>
      </c>
      <c r="I76" s="686">
        <v>-7</v>
      </c>
      <c r="J76" s="683">
        <v>0</v>
      </c>
      <c r="K76" s="684">
        <v>0</v>
      </c>
      <c r="L76" s="683">
        <v>0</v>
      </c>
      <c r="M76" s="684">
        <v>0</v>
      </c>
      <c r="N76" s="683">
        <v>0</v>
      </c>
      <c r="O76" s="687">
        <v>0</v>
      </c>
      <c r="P76" s="656"/>
      <c r="Q76" s="656"/>
      <c r="R76" s="656"/>
      <c r="S76" s="656"/>
      <c r="T76" s="656"/>
      <c r="U76" s="656"/>
      <c r="V76" s="656"/>
      <c r="W76" s="656"/>
      <c r="X76" s="656"/>
      <c r="Y76" s="656"/>
      <c r="Z76" s="656"/>
      <c r="AA76" s="656"/>
      <c r="AB76" s="656"/>
      <c r="AC76" s="656"/>
      <c r="AD76" s="656"/>
      <c r="AE76" s="656"/>
      <c r="AF76" s="656"/>
      <c r="AG76" s="656"/>
      <c r="AH76" s="656"/>
      <c r="AI76" s="656"/>
      <c r="AJ76" s="656"/>
      <c r="AK76" s="656"/>
      <c r="AL76" s="656"/>
      <c r="AM76" s="656"/>
      <c r="AN76" s="656"/>
      <c r="AO76" s="656"/>
      <c r="AP76" s="656"/>
      <c r="AQ76" s="656"/>
      <c r="AR76" s="656"/>
      <c r="AS76" s="656"/>
      <c r="AT76" s="656"/>
      <c r="AU76" s="656"/>
      <c r="AV76" s="656"/>
      <c r="AW76" s="656"/>
      <c r="AX76" s="656"/>
      <c r="AY76" s="656"/>
      <c r="AZ76" s="656"/>
      <c r="BA76" s="656"/>
      <c r="BB76" s="656"/>
      <c r="BC76" s="656"/>
      <c r="BD76" s="656"/>
      <c r="BE76" s="656"/>
      <c r="BF76" s="656"/>
      <c r="BG76" s="656"/>
      <c r="BH76" s="656"/>
      <c r="BI76" s="656"/>
      <c r="BJ76" s="656"/>
      <c r="BK76" s="656"/>
      <c r="BL76" s="656"/>
      <c r="BM76" s="656"/>
      <c r="BN76" s="656"/>
      <c r="BO76" s="656"/>
      <c r="BP76" s="656"/>
      <c r="BQ76" s="656"/>
      <c r="BR76" s="656"/>
      <c r="BS76" s="656"/>
      <c r="BT76" s="656"/>
      <c r="BU76" s="656"/>
      <c r="BV76" s="656"/>
      <c r="BW76" s="656"/>
      <c r="BX76" s="656"/>
      <c r="BY76" s="656"/>
      <c r="BZ76" s="656"/>
      <c r="CA76" s="656"/>
      <c r="CB76" s="656"/>
      <c r="CC76" s="656"/>
      <c r="CD76" s="656"/>
      <c r="CE76" s="656"/>
      <c r="CF76" s="656"/>
      <c r="CG76" s="656"/>
      <c r="CH76" s="656"/>
      <c r="CI76" s="656"/>
      <c r="CJ76" s="656"/>
      <c r="CK76" s="656"/>
      <c r="CL76" s="656"/>
      <c r="CM76" s="656"/>
      <c r="CN76" s="656"/>
      <c r="CO76" s="656"/>
      <c r="CP76" s="656"/>
      <c r="CQ76" s="656"/>
      <c r="CR76" s="656"/>
      <c r="CS76" s="656"/>
      <c r="CT76" s="656"/>
      <c r="CU76" s="656"/>
      <c r="CV76" s="656"/>
      <c r="CW76" s="656"/>
      <c r="CX76" s="656"/>
      <c r="CY76" s="656"/>
      <c r="CZ76" s="656"/>
      <c r="DA76" s="656"/>
      <c r="DB76" s="656"/>
      <c r="DC76" s="656"/>
      <c r="DD76" s="656"/>
      <c r="DE76" s="656"/>
      <c r="DF76" s="656"/>
      <c r="DG76" s="656"/>
      <c r="DH76" s="656"/>
      <c r="DI76" s="656"/>
      <c r="DJ76" s="656"/>
      <c r="DK76" s="656"/>
      <c r="DL76" s="656"/>
      <c r="DM76" s="656"/>
      <c r="DN76" s="656"/>
      <c r="DO76" s="656"/>
      <c r="DP76" s="656"/>
      <c r="DQ76" s="656"/>
      <c r="DR76" s="656"/>
      <c r="DS76" s="656"/>
      <c r="DT76" s="656"/>
      <c r="DU76" s="656"/>
      <c r="DV76" s="656"/>
      <c r="DW76" s="656"/>
      <c r="DX76" s="656"/>
      <c r="DY76" s="656"/>
      <c r="DZ76" s="656"/>
      <c r="EA76" s="656"/>
      <c r="EB76" s="656"/>
      <c r="EC76" s="656"/>
      <c r="ED76" s="656"/>
      <c r="EE76" s="656"/>
      <c r="EF76" s="656"/>
      <c r="EG76" s="656"/>
      <c r="EH76" s="656"/>
      <c r="EI76" s="656"/>
      <c r="EJ76" s="656"/>
      <c r="EK76" s="656"/>
      <c r="EL76" s="656"/>
      <c r="EM76" s="656"/>
      <c r="EN76" s="656"/>
      <c r="EO76" s="656"/>
      <c r="EP76" s="656"/>
      <c r="EQ76" s="656"/>
      <c r="ER76" s="656"/>
      <c r="ES76" s="656"/>
      <c r="ET76" s="656"/>
      <c r="EU76" s="656"/>
      <c r="EV76" s="656"/>
      <c r="EW76" s="656"/>
      <c r="EX76" s="656"/>
      <c r="EY76" s="656"/>
      <c r="EZ76" s="656"/>
      <c r="FA76" s="656"/>
      <c r="FB76" s="656"/>
      <c r="FC76" s="656"/>
      <c r="FD76" s="656"/>
      <c r="FE76" s="656"/>
      <c r="FF76" s="656"/>
      <c r="FG76" s="656"/>
      <c r="FH76" s="656"/>
      <c r="FI76" s="656"/>
      <c r="FJ76" s="656"/>
      <c r="FK76" s="656"/>
      <c r="FL76" s="656"/>
      <c r="FM76" s="656"/>
      <c r="FN76" s="656"/>
      <c r="FO76" s="656"/>
      <c r="FP76" s="656"/>
      <c r="FQ76" s="656"/>
      <c r="FR76" s="656"/>
      <c r="FS76" s="656"/>
      <c r="FT76" s="656"/>
      <c r="FU76" s="656"/>
      <c r="FV76" s="656"/>
      <c r="FW76" s="656"/>
      <c r="FX76" s="656"/>
      <c r="FY76" s="656"/>
      <c r="FZ76" s="656"/>
      <c r="GA76" s="656"/>
      <c r="GB76" s="656"/>
      <c r="GC76" s="656"/>
      <c r="GD76" s="656"/>
      <c r="GE76" s="656"/>
      <c r="GF76" s="656"/>
      <c r="GG76" s="656"/>
      <c r="GH76" s="656"/>
      <c r="GI76" s="656"/>
      <c r="GJ76" s="656"/>
      <c r="GK76" s="656"/>
      <c r="GL76" s="656"/>
      <c r="GM76" s="656"/>
      <c r="GN76" s="656"/>
      <c r="GO76" s="656"/>
      <c r="GP76" s="656"/>
      <c r="GQ76" s="656"/>
      <c r="GR76" s="656"/>
      <c r="GS76" s="656"/>
      <c r="GT76" s="656"/>
      <c r="GU76" s="656"/>
      <c r="GV76" s="656"/>
      <c r="GW76" s="656"/>
      <c r="GX76" s="656"/>
      <c r="GY76" s="656"/>
      <c r="GZ76" s="656"/>
      <c r="HA76" s="656"/>
      <c r="HB76" s="656"/>
      <c r="HC76" s="656"/>
      <c r="HD76" s="656"/>
      <c r="HE76" s="656"/>
      <c r="HF76" s="656"/>
      <c r="HG76" s="656"/>
      <c r="HH76" s="656"/>
      <c r="HI76" s="656"/>
      <c r="HJ76" s="656"/>
      <c r="HK76" s="656"/>
      <c r="HL76" s="656"/>
      <c r="HM76" s="656"/>
      <c r="HN76" s="656"/>
      <c r="HO76" s="656"/>
      <c r="HP76" s="656"/>
      <c r="HQ76" s="656"/>
      <c r="HR76" s="656"/>
      <c r="HS76" s="656"/>
      <c r="HT76" s="656"/>
      <c r="HU76" s="656"/>
      <c r="HV76" s="656"/>
      <c r="HW76" s="656"/>
    </row>
    <row r="77" spans="1:231" s="657" customFormat="1" x14ac:dyDescent="0.25">
      <c r="A77" s="646">
        <v>61</v>
      </c>
      <c r="B77" s="680" t="s">
        <v>1067</v>
      </c>
      <c r="C77" s="681" t="s">
        <v>1068</v>
      </c>
      <c r="D77" s="691" t="s">
        <v>19</v>
      </c>
      <c r="E77" s="681">
        <v>5</v>
      </c>
      <c r="F77" s="684">
        <v>86348.78</v>
      </c>
      <c r="G77" s="684">
        <v>431744</v>
      </c>
      <c r="H77" s="685">
        <v>0</v>
      </c>
      <c r="I77" s="686">
        <v>-5</v>
      </c>
      <c r="J77" s="683">
        <v>0</v>
      </c>
      <c r="K77" s="684">
        <v>0</v>
      </c>
      <c r="L77" s="683">
        <v>0</v>
      </c>
      <c r="M77" s="684">
        <v>0</v>
      </c>
      <c r="N77" s="683">
        <v>0</v>
      </c>
      <c r="O77" s="687">
        <v>0</v>
      </c>
      <c r="P77" s="656"/>
      <c r="Q77" s="656"/>
      <c r="R77" s="656"/>
      <c r="S77" s="656"/>
      <c r="T77" s="656"/>
      <c r="U77" s="656"/>
      <c r="V77" s="656"/>
      <c r="W77" s="656"/>
      <c r="X77" s="656"/>
      <c r="Y77" s="656"/>
      <c r="Z77" s="656"/>
      <c r="AA77" s="656"/>
      <c r="AB77" s="656"/>
      <c r="AC77" s="656"/>
      <c r="AD77" s="656"/>
      <c r="AE77" s="656"/>
      <c r="AF77" s="656"/>
      <c r="AG77" s="656"/>
      <c r="AH77" s="656"/>
      <c r="AI77" s="656"/>
      <c r="AJ77" s="656"/>
      <c r="AK77" s="656"/>
      <c r="AL77" s="656"/>
      <c r="AM77" s="656"/>
      <c r="AN77" s="656"/>
      <c r="AO77" s="656"/>
      <c r="AP77" s="656"/>
      <c r="AQ77" s="656"/>
      <c r="AR77" s="656"/>
      <c r="AS77" s="656"/>
      <c r="AT77" s="656"/>
      <c r="AU77" s="656"/>
      <c r="AV77" s="656"/>
      <c r="AW77" s="656"/>
      <c r="AX77" s="656"/>
      <c r="AY77" s="656"/>
      <c r="AZ77" s="656"/>
      <c r="BA77" s="656"/>
      <c r="BB77" s="656"/>
      <c r="BC77" s="656"/>
      <c r="BD77" s="656"/>
      <c r="BE77" s="656"/>
      <c r="BF77" s="656"/>
      <c r="BG77" s="656"/>
      <c r="BH77" s="656"/>
      <c r="BI77" s="656"/>
      <c r="BJ77" s="656"/>
      <c r="BK77" s="656"/>
      <c r="BL77" s="656"/>
      <c r="BM77" s="656"/>
      <c r="BN77" s="656"/>
      <c r="BO77" s="656"/>
      <c r="BP77" s="656"/>
      <c r="BQ77" s="656"/>
      <c r="BR77" s="656"/>
      <c r="BS77" s="656"/>
      <c r="BT77" s="656"/>
      <c r="BU77" s="656"/>
      <c r="BV77" s="656"/>
      <c r="BW77" s="656"/>
      <c r="BX77" s="656"/>
      <c r="BY77" s="656"/>
      <c r="BZ77" s="656"/>
      <c r="CA77" s="656"/>
      <c r="CB77" s="656"/>
      <c r="CC77" s="656"/>
      <c r="CD77" s="656"/>
      <c r="CE77" s="656"/>
      <c r="CF77" s="656"/>
      <c r="CG77" s="656"/>
      <c r="CH77" s="656"/>
      <c r="CI77" s="656"/>
      <c r="CJ77" s="656"/>
      <c r="CK77" s="656"/>
      <c r="CL77" s="656"/>
      <c r="CM77" s="656"/>
      <c r="CN77" s="656"/>
      <c r="CO77" s="656"/>
      <c r="CP77" s="656"/>
      <c r="CQ77" s="656"/>
      <c r="CR77" s="656"/>
      <c r="CS77" s="656"/>
      <c r="CT77" s="656"/>
      <c r="CU77" s="656"/>
      <c r="CV77" s="656"/>
      <c r="CW77" s="656"/>
      <c r="CX77" s="656"/>
      <c r="CY77" s="656"/>
      <c r="CZ77" s="656"/>
      <c r="DA77" s="656"/>
      <c r="DB77" s="656"/>
      <c r="DC77" s="656"/>
      <c r="DD77" s="656"/>
      <c r="DE77" s="656"/>
      <c r="DF77" s="656"/>
      <c r="DG77" s="656"/>
      <c r="DH77" s="656"/>
      <c r="DI77" s="656"/>
      <c r="DJ77" s="656"/>
      <c r="DK77" s="656"/>
      <c r="DL77" s="656"/>
      <c r="DM77" s="656"/>
      <c r="DN77" s="656"/>
      <c r="DO77" s="656"/>
      <c r="DP77" s="656"/>
      <c r="DQ77" s="656"/>
      <c r="DR77" s="656"/>
      <c r="DS77" s="656"/>
      <c r="DT77" s="656"/>
      <c r="DU77" s="656"/>
      <c r="DV77" s="656"/>
      <c r="DW77" s="656"/>
      <c r="DX77" s="656"/>
      <c r="DY77" s="656"/>
      <c r="DZ77" s="656"/>
      <c r="EA77" s="656"/>
      <c r="EB77" s="656"/>
      <c r="EC77" s="656"/>
      <c r="ED77" s="656"/>
      <c r="EE77" s="656"/>
      <c r="EF77" s="656"/>
      <c r="EG77" s="656"/>
      <c r="EH77" s="656"/>
      <c r="EI77" s="656"/>
      <c r="EJ77" s="656"/>
      <c r="EK77" s="656"/>
      <c r="EL77" s="656"/>
      <c r="EM77" s="656"/>
      <c r="EN77" s="656"/>
      <c r="EO77" s="656"/>
      <c r="EP77" s="656"/>
      <c r="EQ77" s="656"/>
      <c r="ER77" s="656"/>
      <c r="ES77" s="656"/>
      <c r="ET77" s="656"/>
      <c r="EU77" s="656"/>
      <c r="EV77" s="656"/>
      <c r="EW77" s="656"/>
      <c r="EX77" s="656"/>
      <c r="EY77" s="656"/>
      <c r="EZ77" s="656"/>
      <c r="FA77" s="656"/>
      <c r="FB77" s="656"/>
      <c r="FC77" s="656"/>
      <c r="FD77" s="656"/>
      <c r="FE77" s="656"/>
      <c r="FF77" s="656"/>
      <c r="FG77" s="656"/>
      <c r="FH77" s="656"/>
      <c r="FI77" s="656"/>
      <c r="FJ77" s="656"/>
      <c r="FK77" s="656"/>
      <c r="FL77" s="656"/>
      <c r="FM77" s="656"/>
      <c r="FN77" s="656"/>
      <c r="FO77" s="656"/>
      <c r="FP77" s="656"/>
      <c r="FQ77" s="656"/>
      <c r="FR77" s="656"/>
      <c r="FS77" s="656"/>
      <c r="FT77" s="656"/>
      <c r="FU77" s="656"/>
      <c r="FV77" s="656"/>
      <c r="FW77" s="656"/>
      <c r="FX77" s="656"/>
      <c r="FY77" s="656"/>
      <c r="FZ77" s="656"/>
      <c r="GA77" s="656"/>
      <c r="GB77" s="656"/>
      <c r="GC77" s="656"/>
      <c r="GD77" s="656"/>
      <c r="GE77" s="656"/>
      <c r="GF77" s="656"/>
      <c r="GG77" s="656"/>
      <c r="GH77" s="656"/>
      <c r="GI77" s="656"/>
      <c r="GJ77" s="656"/>
      <c r="GK77" s="656"/>
      <c r="GL77" s="656"/>
      <c r="GM77" s="656"/>
      <c r="GN77" s="656"/>
      <c r="GO77" s="656"/>
      <c r="GP77" s="656"/>
      <c r="GQ77" s="656"/>
      <c r="GR77" s="656"/>
      <c r="GS77" s="656"/>
      <c r="GT77" s="656"/>
      <c r="GU77" s="656"/>
      <c r="GV77" s="656"/>
      <c r="GW77" s="656"/>
      <c r="GX77" s="656"/>
      <c r="GY77" s="656"/>
      <c r="GZ77" s="656"/>
      <c r="HA77" s="656"/>
      <c r="HB77" s="656"/>
      <c r="HC77" s="656"/>
      <c r="HD77" s="656"/>
      <c r="HE77" s="656"/>
      <c r="HF77" s="656"/>
      <c r="HG77" s="656"/>
      <c r="HH77" s="656"/>
      <c r="HI77" s="656"/>
      <c r="HJ77" s="656"/>
      <c r="HK77" s="656"/>
      <c r="HL77" s="656"/>
      <c r="HM77" s="656"/>
      <c r="HN77" s="656"/>
      <c r="HO77" s="656"/>
      <c r="HP77" s="656"/>
      <c r="HQ77" s="656"/>
      <c r="HR77" s="656"/>
      <c r="HS77" s="656"/>
      <c r="HT77" s="656"/>
      <c r="HU77" s="656"/>
      <c r="HV77" s="656"/>
      <c r="HW77" s="656"/>
    </row>
    <row r="78" spans="1:231" s="657" customFormat="1" x14ac:dyDescent="0.25">
      <c r="A78" s="646">
        <v>62</v>
      </c>
      <c r="B78" s="680" t="s">
        <v>1069</v>
      </c>
      <c r="C78" s="681" t="s">
        <v>166</v>
      </c>
      <c r="D78" s="691" t="s">
        <v>150</v>
      </c>
      <c r="E78" s="681">
        <v>15</v>
      </c>
      <c r="F78" s="684">
        <v>73960.600000000006</v>
      </c>
      <c r="G78" s="684">
        <v>1109409</v>
      </c>
      <c r="H78" s="685">
        <v>17</v>
      </c>
      <c r="I78" s="686">
        <v>0</v>
      </c>
      <c r="J78" s="683">
        <v>32</v>
      </c>
      <c r="K78" s="684">
        <v>2366739</v>
      </c>
      <c r="L78" s="683">
        <v>17</v>
      </c>
      <c r="M78" s="684">
        <v>1257330</v>
      </c>
      <c r="N78" s="683">
        <v>17</v>
      </c>
      <c r="O78" s="687">
        <v>1257330</v>
      </c>
      <c r="P78" s="656"/>
      <c r="Q78" s="656"/>
      <c r="R78" s="656"/>
      <c r="S78" s="656"/>
      <c r="T78" s="656"/>
      <c r="U78" s="656"/>
      <c r="V78" s="656"/>
      <c r="W78" s="656"/>
      <c r="X78" s="656"/>
      <c r="Y78" s="656"/>
      <c r="Z78" s="656"/>
      <c r="AA78" s="656"/>
      <c r="AB78" s="656"/>
      <c r="AC78" s="656"/>
      <c r="AD78" s="656"/>
      <c r="AE78" s="656"/>
      <c r="AF78" s="656"/>
      <c r="AG78" s="656"/>
      <c r="AH78" s="656"/>
      <c r="AI78" s="656"/>
      <c r="AJ78" s="656"/>
      <c r="AK78" s="656"/>
      <c r="AL78" s="656"/>
      <c r="AM78" s="656"/>
      <c r="AN78" s="656"/>
      <c r="AO78" s="656"/>
      <c r="AP78" s="656"/>
      <c r="AQ78" s="656"/>
      <c r="AR78" s="656"/>
      <c r="AS78" s="656"/>
      <c r="AT78" s="656"/>
      <c r="AU78" s="656"/>
      <c r="AV78" s="656"/>
      <c r="AW78" s="656"/>
      <c r="AX78" s="656"/>
      <c r="AY78" s="656"/>
      <c r="AZ78" s="656"/>
      <c r="BA78" s="656"/>
      <c r="BB78" s="656"/>
      <c r="BC78" s="656"/>
      <c r="BD78" s="656"/>
      <c r="BE78" s="656"/>
      <c r="BF78" s="656"/>
      <c r="BG78" s="656"/>
      <c r="BH78" s="656"/>
      <c r="BI78" s="656"/>
      <c r="BJ78" s="656"/>
      <c r="BK78" s="656"/>
      <c r="BL78" s="656"/>
      <c r="BM78" s="656"/>
      <c r="BN78" s="656"/>
      <c r="BO78" s="656"/>
      <c r="BP78" s="656"/>
      <c r="BQ78" s="656"/>
      <c r="BR78" s="656"/>
      <c r="BS78" s="656"/>
      <c r="BT78" s="656"/>
      <c r="BU78" s="656"/>
      <c r="BV78" s="656"/>
      <c r="BW78" s="656"/>
      <c r="BX78" s="656"/>
      <c r="BY78" s="656"/>
      <c r="BZ78" s="656"/>
      <c r="CA78" s="656"/>
      <c r="CB78" s="656"/>
      <c r="CC78" s="656"/>
      <c r="CD78" s="656"/>
      <c r="CE78" s="656"/>
      <c r="CF78" s="656"/>
      <c r="CG78" s="656"/>
      <c r="CH78" s="656"/>
      <c r="CI78" s="656"/>
      <c r="CJ78" s="656"/>
      <c r="CK78" s="656"/>
      <c r="CL78" s="656"/>
      <c r="CM78" s="656"/>
      <c r="CN78" s="656"/>
      <c r="CO78" s="656"/>
      <c r="CP78" s="656"/>
      <c r="CQ78" s="656"/>
      <c r="CR78" s="656"/>
      <c r="CS78" s="656"/>
      <c r="CT78" s="656"/>
      <c r="CU78" s="656"/>
      <c r="CV78" s="656"/>
      <c r="CW78" s="656"/>
      <c r="CX78" s="656"/>
      <c r="CY78" s="656"/>
      <c r="CZ78" s="656"/>
      <c r="DA78" s="656"/>
      <c r="DB78" s="656"/>
      <c r="DC78" s="656"/>
      <c r="DD78" s="656"/>
      <c r="DE78" s="656"/>
      <c r="DF78" s="656"/>
      <c r="DG78" s="656"/>
      <c r="DH78" s="656"/>
      <c r="DI78" s="656"/>
      <c r="DJ78" s="656"/>
      <c r="DK78" s="656"/>
      <c r="DL78" s="656"/>
      <c r="DM78" s="656"/>
      <c r="DN78" s="656"/>
      <c r="DO78" s="656"/>
      <c r="DP78" s="656"/>
      <c r="DQ78" s="656"/>
      <c r="DR78" s="656"/>
      <c r="DS78" s="656"/>
      <c r="DT78" s="656"/>
      <c r="DU78" s="656"/>
      <c r="DV78" s="656"/>
      <c r="DW78" s="656"/>
      <c r="DX78" s="656"/>
      <c r="DY78" s="656"/>
      <c r="DZ78" s="656"/>
      <c r="EA78" s="656"/>
      <c r="EB78" s="656"/>
      <c r="EC78" s="656"/>
      <c r="ED78" s="656"/>
      <c r="EE78" s="656"/>
      <c r="EF78" s="656"/>
      <c r="EG78" s="656"/>
      <c r="EH78" s="656"/>
      <c r="EI78" s="656"/>
      <c r="EJ78" s="656"/>
      <c r="EK78" s="656"/>
      <c r="EL78" s="656"/>
      <c r="EM78" s="656"/>
      <c r="EN78" s="656"/>
      <c r="EO78" s="656"/>
      <c r="EP78" s="656"/>
      <c r="EQ78" s="656"/>
      <c r="ER78" s="656"/>
      <c r="ES78" s="656"/>
      <c r="ET78" s="656"/>
      <c r="EU78" s="656"/>
      <c r="EV78" s="656"/>
      <c r="EW78" s="656"/>
      <c r="EX78" s="656"/>
      <c r="EY78" s="656"/>
      <c r="EZ78" s="656"/>
      <c r="FA78" s="656"/>
      <c r="FB78" s="656"/>
      <c r="FC78" s="656"/>
      <c r="FD78" s="656"/>
      <c r="FE78" s="656"/>
      <c r="FF78" s="656"/>
      <c r="FG78" s="656"/>
      <c r="FH78" s="656"/>
      <c r="FI78" s="656"/>
      <c r="FJ78" s="656"/>
      <c r="FK78" s="656"/>
      <c r="FL78" s="656"/>
      <c r="FM78" s="656"/>
      <c r="FN78" s="656"/>
      <c r="FO78" s="656"/>
      <c r="FP78" s="656"/>
      <c r="FQ78" s="656"/>
      <c r="FR78" s="656"/>
      <c r="FS78" s="656"/>
      <c r="FT78" s="656"/>
      <c r="FU78" s="656"/>
      <c r="FV78" s="656"/>
      <c r="FW78" s="656"/>
      <c r="FX78" s="656"/>
      <c r="FY78" s="656"/>
      <c r="FZ78" s="656"/>
      <c r="GA78" s="656"/>
      <c r="GB78" s="656"/>
      <c r="GC78" s="656"/>
      <c r="GD78" s="656"/>
      <c r="GE78" s="656"/>
      <c r="GF78" s="656"/>
      <c r="GG78" s="656"/>
      <c r="GH78" s="656"/>
      <c r="GI78" s="656"/>
      <c r="GJ78" s="656"/>
      <c r="GK78" s="656"/>
      <c r="GL78" s="656"/>
      <c r="GM78" s="656"/>
      <c r="GN78" s="656"/>
      <c r="GO78" s="656"/>
      <c r="GP78" s="656"/>
      <c r="GQ78" s="656"/>
      <c r="GR78" s="656"/>
      <c r="GS78" s="656"/>
      <c r="GT78" s="656"/>
      <c r="GU78" s="656"/>
      <c r="GV78" s="656"/>
      <c r="GW78" s="656"/>
      <c r="GX78" s="656"/>
      <c r="GY78" s="656"/>
      <c r="GZ78" s="656"/>
      <c r="HA78" s="656"/>
      <c r="HB78" s="656"/>
      <c r="HC78" s="656"/>
      <c r="HD78" s="656"/>
      <c r="HE78" s="656"/>
      <c r="HF78" s="656"/>
      <c r="HG78" s="656"/>
      <c r="HH78" s="656"/>
      <c r="HI78" s="656"/>
      <c r="HJ78" s="656"/>
      <c r="HK78" s="656"/>
      <c r="HL78" s="656"/>
      <c r="HM78" s="656"/>
      <c r="HN78" s="656"/>
      <c r="HO78" s="656"/>
      <c r="HP78" s="656"/>
      <c r="HQ78" s="656"/>
      <c r="HR78" s="656"/>
      <c r="HS78" s="656"/>
      <c r="HT78" s="656"/>
      <c r="HU78" s="656"/>
      <c r="HV78" s="656"/>
      <c r="HW78" s="656"/>
    </row>
    <row r="79" spans="1:231" s="657" customFormat="1" x14ac:dyDescent="0.25">
      <c r="A79" s="646">
        <v>63</v>
      </c>
      <c r="B79" s="680" t="s">
        <v>1070</v>
      </c>
      <c r="C79" s="681" t="s">
        <v>1071</v>
      </c>
      <c r="D79" s="691" t="s">
        <v>14</v>
      </c>
      <c r="E79" s="681">
        <v>15</v>
      </c>
      <c r="F79" s="684">
        <v>9868.6</v>
      </c>
      <c r="G79" s="684">
        <v>148029</v>
      </c>
      <c r="H79" s="685">
        <v>0.83999999999999986</v>
      </c>
      <c r="I79" s="686">
        <v>0</v>
      </c>
      <c r="J79" s="683">
        <v>15.84</v>
      </c>
      <c r="K79" s="684">
        <v>156319</v>
      </c>
      <c r="L79" s="683">
        <v>15.84</v>
      </c>
      <c r="M79" s="684">
        <v>156319</v>
      </c>
      <c r="N79" s="683">
        <v>15.84</v>
      </c>
      <c r="O79" s="687">
        <v>156319</v>
      </c>
      <c r="P79" s="656"/>
      <c r="Q79" s="656"/>
      <c r="R79" s="656"/>
      <c r="S79" s="656"/>
      <c r="T79" s="656"/>
      <c r="U79" s="656"/>
      <c r="V79" s="656"/>
      <c r="W79" s="656"/>
      <c r="X79" s="656"/>
      <c r="Y79" s="656"/>
      <c r="Z79" s="656"/>
      <c r="AA79" s="656"/>
      <c r="AB79" s="656"/>
      <c r="AC79" s="656"/>
      <c r="AD79" s="656"/>
      <c r="AE79" s="656"/>
      <c r="AF79" s="656"/>
      <c r="AG79" s="656"/>
      <c r="AH79" s="656"/>
      <c r="AI79" s="656"/>
      <c r="AJ79" s="656"/>
      <c r="AK79" s="656"/>
      <c r="AL79" s="656"/>
      <c r="AM79" s="656"/>
      <c r="AN79" s="656"/>
      <c r="AO79" s="656"/>
      <c r="AP79" s="656"/>
      <c r="AQ79" s="656"/>
      <c r="AR79" s="656"/>
      <c r="AS79" s="656"/>
      <c r="AT79" s="656"/>
      <c r="AU79" s="656"/>
      <c r="AV79" s="656"/>
      <c r="AW79" s="656"/>
      <c r="AX79" s="656"/>
      <c r="AY79" s="656"/>
      <c r="AZ79" s="656"/>
      <c r="BA79" s="656"/>
      <c r="BB79" s="656"/>
      <c r="BC79" s="656"/>
      <c r="BD79" s="656"/>
      <c r="BE79" s="656"/>
      <c r="BF79" s="656"/>
      <c r="BG79" s="656"/>
      <c r="BH79" s="656"/>
      <c r="BI79" s="656"/>
      <c r="BJ79" s="656"/>
      <c r="BK79" s="656"/>
      <c r="BL79" s="656"/>
      <c r="BM79" s="656"/>
      <c r="BN79" s="656"/>
      <c r="BO79" s="656"/>
      <c r="BP79" s="656"/>
      <c r="BQ79" s="656"/>
      <c r="BR79" s="656"/>
      <c r="BS79" s="656"/>
      <c r="BT79" s="656"/>
      <c r="BU79" s="656"/>
      <c r="BV79" s="656"/>
      <c r="BW79" s="656"/>
      <c r="BX79" s="656"/>
      <c r="BY79" s="656"/>
      <c r="BZ79" s="656"/>
      <c r="CA79" s="656"/>
      <c r="CB79" s="656"/>
      <c r="CC79" s="656"/>
      <c r="CD79" s="656"/>
      <c r="CE79" s="656"/>
      <c r="CF79" s="656"/>
      <c r="CG79" s="656"/>
      <c r="CH79" s="656"/>
      <c r="CI79" s="656"/>
      <c r="CJ79" s="656"/>
      <c r="CK79" s="656"/>
      <c r="CL79" s="656"/>
      <c r="CM79" s="656"/>
      <c r="CN79" s="656"/>
      <c r="CO79" s="656"/>
      <c r="CP79" s="656"/>
      <c r="CQ79" s="656"/>
      <c r="CR79" s="656"/>
      <c r="CS79" s="656"/>
      <c r="CT79" s="656"/>
      <c r="CU79" s="656"/>
      <c r="CV79" s="656"/>
      <c r="CW79" s="656"/>
      <c r="CX79" s="656"/>
      <c r="CY79" s="656"/>
      <c r="CZ79" s="656"/>
      <c r="DA79" s="656"/>
      <c r="DB79" s="656"/>
      <c r="DC79" s="656"/>
      <c r="DD79" s="656"/>
      <c r="DE79" s="656"/>
      <c r="DF79" s="656"/>
      <c r="DG79" s="656"/>
      <c r="DH79" s="656"/>
      <c r="DI79" s="656"/>
      <c r="DJ79" s="656"/>
      <c r="DK79" s="656"/>
      <c r="DL79" s="656"/>
      <c r="DM79" s="656"/>
      <c r="DN79" s="656"/>
      <c r="DO79" s="656"/>
      <c r="DP79" s="656"/>
      <c r="DQ79" s="656"/>
      <c r="DR79" s="656"/>
      <c r="DS79" s="656"/>
      <c r="DT79" s="656"/>
      <c r="DU79" s="656"/>
      <c r="DV79" s="656"/>
      <c r="DW79" s="656"/>
      <c r="DX79" s="656"/>
      <c r="DY79" s="656"/>
      <c r="DZ79" s="656"/>
      <c r="EA79" s="656"/>
      <c r="EB79" s="656"/>
      <c r="EC79" s="656"/>
      <c r="ED79" s="656"/>
      <c r="EE79" s="656"/>
      <c r="EF79" s="656"/>
      <c r="EG79" s="656"/>
      <c r="EH79" s="656"/>
      <c r="EI79" s="656"/>
      <c r="EJ79" s="656"/>
      <c r="EK79" s="656"/>
      <c r="EL79" s="656"/>
      <c r="EM79" s="656"/>
      <c r="EN79" s="656"/>
      <c r="EO79" s="656"/>
      <c r="EP79" s="656"/>
      <c r="EQ79" s="656"/>
      <c r="ER79" s="656"/>
      <c r="ES79" s="656"/>
      <c r="ET79" s="656"/>
      <c r="EU79" s="656"/>
      <c r="EV79" s="656"/>
      <c r="EW79" s="656"/>
      <c r="EX79" s="656"/>
      <c r="EY79" s="656"/>
      <c r="EZ79" s="656"/>
      <c r="FA79" s="656"/>
      <c r="FB79" s="656"/>
      <c r="FC79" s="656"/>
      <c r="FD79" s="656"/>
      <c r="FE79" s="656"/>
      <c r="FF79" s="656"/>
      <c r="FG79" s="656"/>
      <c r="FH79" s="656"/>
      <c r="FI79" s="656"/>
      <c r="FJ79" s="656"/>
      <c r="FK79" s="656"/>
      <c r="FL79" s="656"/>
      <c r="FM79" s="656"/>
      <c r="FN79" s="656"/>
      <c r="FO79" s="656"/>
      <c r="FP79" s="656"/>
      <c r="FQ79" s="656"/>
      <c r="FR79" s="656"/>
      <c r="FS79" s="656"/>
      <c r="FT79" s="656"/>
      <c r="FU79" s="656"/>
      <c r="FV79" s="656"/>
      <c r="FW79" s="656"/>
      <c r="FX79" s="656"/>
      <c r="FY79" s="656"/>
      <c r="FZ79" s="656"/>
      <c r="GA79" s="656"/>
      <c r="GB79" s="656"/>
      <c r="GC79" s="656"/>
      <c r="GD79" s="656"/>
      <c r="GE79" s="656"/>
      <c r="GF79" s="656"/>
      <c r="GG79" s="656"/>
      <c r="GH79" s="656"/>
      <c r="GI79" s="656"/>
      <c r="GJ79" s="656"/>
      <c r="GK79" s="656"/>
      <c r="GL79" s="656"/>
      <c r="GM79" s="656"/>
      <c r="GN79" s="656"/>
      <c r="GO79" s="656"/>
      <c r="GP79" s="656"/>
      <c r="GQ79" s="656"/>
      <c r="GR79" s="656"/>
      <c r="GS79" s="656"/>
      <c r="GT79" s="656"/>
      <c r="GU79" s="656"/>
      <c r="GV79" s="656"/>
      <c r="GW79" s="656"/>
      <c r="GX79" s="656"/>
      <c r="GY79" s="656"/>
      <c r="GZ79" s="656"/>
      <c r="HA79" s="656"/>
      <c r="HB79" s="656"/>
      <c r="HC79" s="656"/>
      <c r="HD79" s="656"/>
      <c r="HE79" s="656"/>
      <c r="HF79" s="656"/>
      <c r="HG79" s="656"/>
      <c r="HH79" s="656"/>
      <c r="HI79" s="656"/>
      <c r="HJ79" s="656"/>
      <c r="HK79" s="656"/>
      <c r="HL79" s="656"/>
      <c r="HM79" s="656"/>
      <c r="HN79" s="656"/>
      <c r="HO79" s="656"/>
      <c r="HP79" s="656"/>
      <c r="HQ79" s="656"/>
      <c r="HR79" s="656"/>
      <c r="HS79" s="656"/>
      <c r="HT79" s="656"/>
      <c r="HU79" s="656"/>
      <c r="HV79" s="656"/>
      <c r="HW79" s="656"/>
    </row>
    <row r="80" spans="1:231" s="657" customFormat="1" ht="28.5" x14ac:dyDescent="0.25">
      <c r="A80" s="646">
        <v>64</v>
      </c>
      <c r="B80" s="680" t="s">
        <v>1072</v>
      </c>
      <c r="C80" s="681" t="s">
        <v>1073</v>
      </c>
      <c r="D80" s="691" t="s">
        <v>14</v>
      </c>
      <c r="E80" s="681">
        <v>1</v>
      </c>
      <c r="F80" s="684">
        <v>54799.64</v>
      </c>
      <c r="G80" s="684">
        <v>54800</v>
      </c>
      <c r="H80" s="685">
        <v>0</v>
      </c>
      <c r="I80" s="686">
        <v>0</v>
      </c>
      <c r="J80" s="683">
        <v>0</v>
      </c>
      <c r="K80" s="684">
        <v>0</v>
      </c>
      <c r="L80" s="683">
        <v>0</v>
      </c>
      <c r="M80" s="684">
        <v>0</v>
      </c>
      <c r="N80" s="683">
        <v>0</v>
      </c>
      <c r="O80" s="687">
        <v>0</v>
      </c>
      <c r="P80" s="656"/>
      <c r="Q80" s="656"/>
      <c r="R80" s="656"/>
      <c r="S80" s="656"/>
      <c r="T80" s="656"/>
      <c r="U80" s="656"/>
      <c r="V80" s="656"/>
      <c r="W80" s="656"/>
      <c r="X80" s="656"/>
      <c r="Y80" s="656"/>
      <c r="Z80" s="656"/>
      <c r="AA80" s="656"/>
      <c r="AB80" s="656"/>
      <c r="AC80" s="656"/>
      <c r="AD80" s="656"/>
      <c r="AE80" s="656"/>
      <c r="AF80" s="656"/>
      <c r="AG80" s="656"/>
      <c r="AH80" s="656"/>
      <c r="AI80" s="656"/>
      <c r="AJ80" s="656"/>
      <c r="AK80" s="656"/>
      <c r="AL80" s="656"/>
      <c r="AM80" s="656"/>
      <c r="AN80" s="656"/>
      <c r="AO80" s="656"/>
      <c r="AP80" s="656"/>
      <c r="AQ80" s="656"/>
      <c r="AR80" s="656"/>
      <c r="AS80" s="656"/>
      <c r="AT80" s="656"/>
      <c r="AU80" s="656"/>
      <c r="AV80" s="656"/>
      <c r="AW80" s="656"/>
      <c r="AX80" s="656"/>
      <c r="AY80" s="656"/>
      <c r="AZ80" s="656"/>
      <c r="BA80" s="656"/>
      <c r="BB80" s="656"/>
      <c r="BC80" s="656"/>
      <c r="BD80" s="656"/>
      <c r="BE80" s="656"/>
      <c r="BF80" s="656"/>
      <c r="BG80" s="656"/>
      <c r="BH80" s="656"/>
      <c r="BI80" s="656"/>
      <c r="BJ80" s="656"/>
      <c r="BK80" s="656"/>
      <c r="BL80" s="656"/>
      <c r="BM80" s="656"/>
      <c r="BN80" s="656"/>
      <c r="BO80" s="656"/>
      <c r="BP80" s="656"/>
      <c r="BQ80" s="656"/>
      <c r="BR80" s="656"/>
      <c r="BS80" s="656"/>
      <c r="BT80" s="656"/>
      <c r="BU80" s="656"/>
      <c r="BV80" s="656"/>
      <c r="BW80" s="656"/>
      <c r="BX80" s="656"/>
      <c r="BY80" s="656"/>
      <c r="BZ80" s="656"/>
      <c r="CA80" s="656"/>
      <c r="CB80" s="656"/>
      <c r="CC80" s="656"/>
      <c r="CD80" s="656"/>
      <c r="CE80" s="656"/>
      <c r="CF80" s="656"/>
      <c r="CG80" s="656"/>
      <c r="CH80" s="656"/>
      <c r="CI80" s="656"/>
      <c r="CJ80" s="656"/>
      <c r="CK80" s="656"/>
      <c r="CL80" s="656"/>
      <c r="CM80" s="656"/>
      <c r="CN80" s="656"/>
      <c r="CO80" s="656"/>
      <c r="CP80" s="656"/>
      <c r="CQ80" s="656"/>
      <c r="CR80" s="656"/>
      <c r="CS80" s="656"/>
      <c r="CT80" s="656"/>
      <c r="CU80" s="656"/>
      <c r="CV80" s="656"/>
      <c r="CW80" s="656"/>
      <c r="CX80" s="656"/>
      <c r="CY80" s="656"/>
      <c r="CZ80" s="656"/>
      <c r="DA80" s="656"/>
      <c r="DB80" s="656"/>
      <c r="DC80" s="656"/>
      <c r="DD80" s="656"/>
      <c r="DE80" s="656"/>
      <c r="DF80" s="656"/>
      <c r="DG80" s="656"/>
      <c r="DH80" s="656"/>
      <c r="DI80" s="656"/>
      <c r="DJ80" s="656"/>
      <c r="DK80" s="656"/>
      <c r="DL80" s="656"/>
      <c r="DM80" s="656"/>
      <c r="DN80" s="656"/>
      <c r="DO80" s="656"/>
      <c r="DP80" s="656"/>
      <c r="DQ80" s="656"/>
      <c r="DR80" s="656"/>
      <c r="DS80" s="656"/>
      <c r="DT80" s="656"/>
      <c r="DU80" s="656"/>
      <c r="DV80" s="656"/>
      <c r="DW80" s="656"/>
      <c r="DX80" s="656"/>
      <c r="DY80" s="656"/>
      <c r="DZ80" s="656"/>
      <c r="EA80" s="656"/>
      <c r="EB80" s="656"/>
      <c r="EC80" s="656"/>
      <c r="ED80" s="656"/>
      <c r="EE80" s="656"/>
      <c r="EF80" s="656"/>
      <c r="EG80" s="656"/>
      <c r="EH80" s="656"/>
      <c r="EI80" s="656"/>
      <c r="EJ80" s="656"/>
      <c r="EK80" s="656"/>
      <c r="EL80" s="656"/>
      <c r="EM80" s="656"/>
      <c r="EN80" s="656"/>
      <c r="EO80" s="656"/>
      <c r="EP80" s="656"/>
      <c r="EQ80" s="656"/>
      <c r="ER80" s="656"/>
      <c r="ES80" s="656"/>
      <c r="ET80" s="656"/>
      <c r="EU80" s="656"/>
      <c r="EV80" s="656"/>
      <c r="EW80" s="656"/>
      <c r="EX80" s="656"/>
      <c r="EY80" s="656"/>
      <c r="EZ80" s="656"/>
      <c r="FA80" s="656"/>
      <c r="FB80" s="656"/>
      <c r="FC80" s="656"/>
      <c r="FD80" s="656"/>
      <c r="FE80" s="656"/>
      <c r="FF80" s="656"/>
      <c r="FG80" s="656"/>
      <c r="FH80" s="656"/>
      <c r="FI80" s="656"/>
      <c r="FJ80" s="656"/>
      <c r="FK80" s="656"/>
      <c r="FL80" s="656"/>
      <c r="FM80" s="656"/>
      <c r="FN80" s="656"/>
      <c r="FO80" s="656"/>
      <c r="FP80" s="656"/>
      <c r="FQ80" s="656"/>
      <c r="FR80" s="656"/>
      <c r="FS80" s="656"/>
      <c r="FT80" s="656"/>
      <c r="FU80" s="656"/>
      <c r="FV80" s="656"/>
      <c r="FW80" s="656"/>
      <c r="FX80" s="656"/>
      <c r="FY80" s="656"/>
      <c r="FZ80" s="656"/>
      <c r="GA80" s="656"/>
      <c r="GB80" s="656"/>
      <c r="GC80" s="656"/>
      <c r="GD80" s="656"/>
      <c r="GE80" s="656"/>
      <c r="GF80" s="656"/>
      <c r="GG80" s="656"/>
      <c r="GH80" s="656"/>
      <c r="GI80" s="656"/>
      <c r="GJ80" s="656"/>
      <c r="GK80" s="656"/>
      <c r="GL80" s="656"/>
      <c r="GM80" s="656"/>
      <c r="GN80" s="656"/>
      <c r="GO80" s="656"/>
      <c r="GP80" s="656"/>
      <c r="GQ80" s="656"/>
      <c r="GR80" s="656"/>
      <c r="GS80" s="656"/>
      <c r="GT80" s="656"/>
      <c r="GU80" s="656"/>
      <c r="GV80" s="656"/>
      <c r="GW80" s="656"/>
      <c r="GX80" s="656"/>
      <c r="GY80" s="656"/>
      <c r="GZ80" s="656"/>
      <c r="HA80" s="656"/>
      <c r="HB80" s="656"/>
      <c r="HC80" s="656"/>
      <c r="HD80" s="656"/>
      <c r="HE80" s="656"/>
      <c r="HF80" s="656"/>
      <c r="HG80" s="656"/>
      <c r="HH80" s="656"/>
      <c r="HI80" s="656"/>
      <c r="HJ80" s="656"/>
      <c r="HK80" s="656"/>
      <c r="HL80" s="656"/>
      <c r="HM80" s="656"/>
      <c r="HN80" s="656"/>
      <c r="HO80" s="656"/>
      <c r="HP80" s="656"/>
      <c r="HQ80" s="656"/>
      <c r="HR80" s="656"/>
      <c r="HS80" s="656"/>
      <c r="HT80" s="656"/>
      <c r="HU80" s="656"/>
      <c r="HV80" s="656"/>
      <c r="HW80" s="656"/>
    </row>
    <row r="81" spans="1:231" s="657" customFormat="1" x14ac:dyDescent="0.25">
      <c r="A81" s="646">
        <v>65</v>
      </c>
      <c r="B81" s="680" t="s">
        <v>1074</v>
      </c>
      <c r="C81" s="681" t="s">
        <v>1075</v>
      </c>
      <c r="D81" s="691" t="s">
        <v>14</v>
      </c>
      <c r="E81" s="681">
        <v>3</v>
      </c>
      <c r="F81" s="684">
        <v>57760.22</v>
      </c>
      <c r="G81" s="684">
        <v>173281</v>
      </c>
      <c r="H81" s="685">
        <v>0</v>
      </c>
      <c r="I81" s="686">
        <v>-0.61</v>
      </c>
      <c r="J81" s="683">
        <v>2.3892500000000001</v>
      </c>
      <c r="K81" s="684">
        <v>138004</v>
      </c>
      <c r="L81" s="683">
        <v>2.3892500000000001</v>
      </c>
      <c r="M81" s="684">
        <v>138004</v>
      </c>
      <c r="N81" s="683">
        <v>2.3892500000000001</v>
      </c>
      <c r="O81" s="687">
        <v>138004</v>
      </c>
      <c r="P81" s="656"/>
      <c r="Q81" s="656"/>
      <c r="R81" s="656"/>
      <c r="S81" s="656"/>
      <c r="T81" s="656"/>
      <c r="U81" s="656"/>
      <c r="V81" s="656"/>
      <c r="W81" s="656"/>
      <c r="X81" s="656"/>
      <c r="Y81" s="656"/>
      <c r="Z81" s="656"/>
      <c r="AA81" s="656"/>
      <c r="AB81" s="656"/>
      <c r="AC81" s="656"/>
      <c r="AD81" s="656"/>
      <c r="AE81" s="656"/>
      <c r="AF81" s="656"/>
      <c r="AG81" s="656"/>
      <c r="AH81" s="656"/>
      <c r="AI81" s="656"/>
      <c r="AJ81" s="656"/>
      <c r="AK81" s="656"/>
      <c r="AL81" s="656"/>
      <c r="AM81" s="656"/>
      <c r="AN81" s="656"/>
      <c r="AO81" s="656"/>
      <c r="AP81" s="656"/>
      <c r="AQ81" s="656"/>
      <c r="AR81" s="656"/>
      <c r="AS81" s="656"/>
      <c r="AT81" s="656"/>
      <c r="AU81" s="656"/>
      <c r="AV81" s="656"/>
      <c r="AW81" s="656"/>
      <c r="AX81" s="656"/>
      <c r="AY81" s="656"/>
      <c r="AZ81" s="656"/>
      <c r="BA81" s="656"/>
      <c r="BB81" s="656"/>
      <c r="BC81" s="656"/>
      <c r="BD81" s="656"/>
      <c r="BE81" s="656"/>
      <c r="BF81" s="656"/>
      <c r="BG81" s="656"/>
      <c r="BH81" s="656"/>
      <c r="BI81" s="656"/>
      <c r="BJ81" s="656"/>
      <c r="BK81" s="656"/>
      <c r="BL81" s="656"/>
      <c r="BM81" s="656"/>
      <c r="BN81" s="656"/>
      <c r="BO81" s="656"/>
      <c r="BP81" s="656"/>
      <c r="BQ81" s="656"/>
      <c r="BR81" s="656"/>
      <c r="BS81" s="656"/>
      <c r="BT81" s="656"/>
      <c r="BU81" s="656"/>
      <c r="BV81" s="656"/>
      <c r="BW81" s="656"/>
      <c r="BX81" s="656"/>
      <c r="BY81" s="656"/>
      <c r="BZ81" s="656"/>
      <c r="CA81" s="656"/>
      <c r="CB81" s="656"/>
      <c r="CC81" s="656"/>
      <c r="CD81" s="656"/>
      <c r="CE81" s="656"/>
      <c r="CF81" s="656"/>
      <c r="CG81" s="656"/>
      <c r="CH81" s="656"/>
      <c r="CI81" s="656"/>
      <c r="CJ81" s="656"/>
      <c r="CK81" s="656"/>
      <c r="CL81" s="656"/>
      <c r="CM81" s="656"/>
      <c r="CN81" s="656"/>
      <c r="CO81" s="656"/>
      <c r="CP81" s="656"/>
      <c r="CQ81" s="656"/>
      <c r="CR81" s="656"/>
      <c r="CS81" s="656"/>
      <c r="CT81" s="656"/>
      <c r="CU81" s="656"/>
      <c r="CV81" s="656"/>
      <c r="CW81" s="656"/>
      <c r="CX81" s="656"/>
      <c r="CY81" s="656"/>
      <c r="CZ81" s="656"/>
      <c r="DA81" s="656"/>
      <c r="DB81" s="656"/>
      <c r="DC81" s="656"/>
      <c r="DD81" s="656"/>
      <c r="DE81" s="656"/>
      <c r="DF81" s="656"/>
      <c r="DG81" s="656"/>
      <c r="DH81" s="656"/>
      <c r="DI81" s="656"/>
      <c r="DJ81" s="656"/>
      <c r="DK81" s="656"/>
      <c r="DL81" s="656"/>
      <c r="DM81" s="656"/>
      <c r="DN81" s="656"/>
      <c r="DO81" s="656"/>
      <c r="DP81" s="656"/>
      <c r="DQ81" s="656"/>
      <c r="DR81" s="656"/>
      <c r="DS81" s="656"/>
      <c r="DT81" s="656"/>
      <c r="DU81" s="656"/>
      <c r="DV81" s="656"/>
      <c r="DW81" s="656"/>
      <c r="DX81" s="656"/>
      <c r="DY81" s="656"/>
      <c r="DZ81" s="656"/>
      <c r="EA81" s="656"/>
      <c r="EB81" s="656"/>
      <c r="EC81" s="656"/>
      <c r="ED81" s="656"/>
      <c r="EE81" s="656"/>
      <c r="EF81" s="656"/>
      <c r="EG81" s="656"/>
      <c r="EH81" s="656"/>
      <c r="EI81" s="656"/>
      <c r="EJ81" s="656"/>
      <c r="EK81" s="656"/>
      <c r="EL81" s="656"/>
      <c r="EM81" s="656"/>
      <c r="EN81" s="656"/>
      <c r="EO81" s="656"/>
      <c r="EP81" s="656"/>
      <c r="EQ81" s="656"/>
      <c r="ER81" s="656"/>
      <c r="ES81" s="656"/>
      <c r="ET81" s="656"/>
      <c r="EU81" s="656"/>
      <c r="EV81" s="656"/>
      <c r="EW81" s="656"/>
      <c r="EX81" s="656"/>
      <c r="EY81" s="656"/>
      <c r="EZ81" s="656"/>
      <c r="FA81" s="656"/>
      <c r="FB81" s="656"/>
      <c r="FC81" s="656"/>
      <c r="FD81" s="656"/>
      <c r="FE81" s="656"/>
      <c r="FF81" s="656"/>
      <c r="FG81" s="656"/>
      <c r="FH81" s="656"/>
      <c r="FI81" s="656"/>
      <c r="FJ81" s="656"/>
      <c r="FK81" s="656"/>
      <c r="FL81" s="656"/>
      <c r="FM81" s="656"/>
      <c r="FN81" s="656"/>
      <c r="FO81" s="656"/>
      <c r="FP81" s="656"/>
      <c r="FQ81" s="656"/>
      <c r="FR81" s="656"/>
      <c r="FS81" s="656"/>
      <c r="FT81" s="656"/>
      <c r="FU81" s="656"/>
      <c r="FV81" s="656"/>
      <c r="FW81" s="656"/>
      <c r="FX81" s="656"/>
      <c r="FY81" s="656"/>
      <c r="FZ81" s="656"/>
      <c r="GA81" s="656"/>
      <c r="GB81" s="656"/>
      <c r="GC81" s="656"/>
      <c r="GD81" s="656"/>
      <c r="GE81" s="656"/>
      <c r="GF81" s="656"/>
      <c r="GG81" s="656"/>
      <c r="GH81" s="656"/>
      <c r="GI81" s="656"/>
      <c r="GJ81" s="656"/>
      <c r="GK81" s="656"/>
      <c r="GL81" s="656"/>
      <c r="GM81" s="656"/>
      <c r="GN81" s="656"/>
      <c r="GO81" s="656"/>
      <c r="GP81" s="656"/>
      <c r="GQ81" s="656"/>
      <c r="GR81" s="656"/>
      <c r="GS81" s="656"/>
      <c r="GT81" s="656"/>
      <c r="GU81" s="656"/>
      <c r="GV81" s="656"/>
      <c r="GW81" s="656"/>
      <c r="GX81" s="656"/>
      <c r="GY81" s="656"/>
      <c r="GZ81" s="656"/>
      <c r="HA81" s="656"/>
      <c r="HB81" s="656"/>
      <c r="HC81" s="656"/>
      <c r="HD81" s="656"/>
      <c r="HE81" s="656"/>
      <c r="HF81" s="656"/>
      <c r="HG81" s="656"/>
      <c r="HH81" s="656"/>
      <c r="HI81" s="656"/>
      <c r="HJ81" s="656"/>
      <c r="HK81" s="656"/>
      <c r="HL81" s="656"/>
      <c r="HM81" s="656"/>
      <c r="HN81" s="656"/>
      <c r="HO81" s="656"/>
      <c r="HP81" s="656"/>
      <c r="HQ81" s="656"/>
      <c r="HR81" s="656"/>
      <c r="HS81" s="656"/>
      <c r="HT81" s="656"/>
      <c r="HU81" s="656"/>
      <c r="HV81" s="656"/>
      <c r="HW81" s="656"/>
    </row>
    <row r="82" spans="1:231" s="657" customFormat="1" x14ac:dyDescent="0.25">
      <c r="A82" s="646">
        <v>66</v>
      </c>
      <c r="B82" s="680" t="s">
        <v>1076</v>
      </c>
      <c r="C82" s="681" t="s">
        <v>1077</v>
      </c>
      <c r="D82" s="691" t="s">
        <v>14</v>
      </c>
      <c r="E82" s="681">
        <v>20</v>
      </c>
      <c r="F82" s="684">
        <v>8593.619999999999</v>
      </c>
      <c r="G82" s="684">
        <v>171872</v>
      </c>
      <c r="H82" s="685"/>
      <c r="I82" s="686"/>
      <c r="J82" s="683">
        <v>0</v>
      </c>
      <c r="K82" s="684">
        <v>0</v>
      </c>
      <c r="L82" s="683">
        <v>0</v>
      </c>
      <c r="M82" s="684">
        <v>0</v>
      </c>
      <c r="N82" s="683">
        <v>0</v>
      </c>
      <c r="O82" s="687">
        <v>0</v>
      </c>
      <c r="P82" s="656"/>
      <c r="Q82" s="656"/>
      <c r="R82" s="656"/>
      <c r="S82" s="656"/>
      <c r="T82" s="656"/>
      <c r="U82" s="656"/>
      <c r="V82" s="656"/>
      <c r="W82" s="656"/>
      <c r="X82" s="656"/>
      <c r="Y82" s="656"/>
      <c r="Z82" s="656"/>
      <c r="AA82" s="656"/>
      <c r="AB82" s="656"/>
      <c r="AC82" s="656"/>
      <c r="AD82" s="656"/>
      <c r="AE82" s="656"/>
      <c r="AF82" s="656"/>
      <c r="AG82" s="656"/>
      <c r="AH82" s="656"/>
      <c r="AI82" s="656"/>
      <c r="AJ82" s="656"/>
      <c r="AK82" s="656"/>
      <c r="AL82" s="656"/>
      <c r="AM82" s="656"/>
      <c r="AN82" s="656"/>
      <c r="AO82" s="656"/>
      <c r="AP82" s="656"/>
      <c r="AQ82" s="656"/>
      <c r="AR82" s="656"/>
      <c r="AS82" s="656"/>
      <c r="AT82" s="656"/>
      <c r="AU82" s="656"/>
      <c r="AV82" s="656"/>
      <c r="AW82" s="656"/>
      <c r="AX82" s="656"/>
      <c r="AY82" s="656"/>
      <c r="AZ82" s="656"/>
      <c r="BA82" s="656"/>
      <c r="BB82" s="656"/>
      <c r="BC82" s="656"/>
      <c r="BD82" s="656"/>
      <c r="BE82" s="656"/>
      <c r="BF82" s="656"/>
      <c r="BG82" s="656"/>
      <c r="BH82" s="656"/>
      <c r="BI82" s="656"/>
      <c r="BJ82" s="656"/>
      <c r="BK82" s="656"/>
      <c r="BL82" s="656"/>
      <c r="BM82" s="656"/>
      <c r="BN82" s="656"/>
      <c r="BO82" s="656"/>
      <c r="BP82" s="656"/>
      <c r="BQ82" s="656"/>
      <c r="BR82" s="656"/>
      <c r="BS82" s="656"/>
      <c r="BT82" s="656"/>
      <c r="BU82" s="656"/>
      <c r="BV82" s="656"/>
      <c r="BW82" s="656"/>
      <c r="BX82" s="656"/>
      <c r="BY82" s="656"/>
      <c r="BZ82" s="656"/>
      <c r="CA82" s="656"/>
      <c r="CB82" s="656"/>
      <c r="CC82" s="656"/>
      <c r="CD82" s="656"/>
      <c r="CE82" s="656"/>
      <c r="CF82" s="656"/>
      <c r="CG82" s="656"/>
      <c r="CH82" s="656"/>
      <c r="CI82" s="656"/>
      <c r="CJ82" s="656"/>
      <c r="CK82" s="656"/>
      <c r="CL82" s="656"/>
      <c r="CM82" s="656"/>
      <c r="CN82" s="656"/>
      <c r="CO82" s="656"/>
      <c r="CP82" s="656"/>
      <c r="CQ82" s="656"/>
      <c r="CR82" s="656"/>
      <c r="CS82" s="656"/>
      <c r="CT82" s="656"/>
      <c r="CU82" s="656"/>
      <c r="CV82" s="656"/>
      <c r="CW82" s="656"/>
      <c r="CX82" s="656"/>
      <c r="CY82" s="656"/>
      <c r="CZ82" s="656"/>
      <c r="DA82" s="656"/>
      <c r="DB82" s="656"/>
      <c r="DC82" s="656"/>
      <c r="DD82" s="656"/>
      <c r="DE82" s="656"/>
      <c r="DF82" s="656"/>
      <c r="DG82" s="656"/>
      <c r="DH82" s="656"/>
      <c r="DI82" s="656"/>
      <c r="DJ82" s="656"/>
      <c r="DK82" s="656"/>
      <c r="DL82" s="656"/>
      <c r="DM82" s="656"/>
      <c r="DN82" s="656"/>
      <c r="DO82" s="656"/>
      <c r="DP82" s="656"/>
      <c r="DQ82" s="656"/>
      <c r="DR82" s="656"/>
      <c r="DS82" s="656"/>
      <c r="DT82" s="656"/>
      <c r="DU82" s="656"/>
      <c r="DV82" s="656"/>
      <c r="DW82" s="656"/>
      <c r="DX82" s="656"/>
      <c r="DY82" s="656"/>
      <c r="DZ82" s="656"/>
      <c r="EA82" s="656"/>
      <c r="EB82" s="656"/>
      <c r="EC82" s="656"/>
      <c r="ED82" s="656"/>
      <c r="EE82" s="656"/>
      <c r="EF82" s="656"/>
      <c r="EG82" s="656"/>
      <c r="EH82" s="656"/>
      <c r="EI82" s="656"/>
      <c r="EJ82" s="656"/>
      <c r="EK82" s="656"/>
      <c r="EL82" s="656"/>
      <c r="EM82" s="656"/>
      <c r="EN82" s="656"/>
      <c r="EO82" s="656"/>
      <c r="EP82" s="656"/>
      <c r="EQ82" s="656"/>
      <c r="ER82" s="656"/>
      <c r="ES82" s="656"/>
      <c r="ET82" s="656"/>
      <c r="EU82" s="656"/>
      <c r="EV82" s="656"/>
      <c r="EW82" s="656"/>
      <c r="EX82" s="656"/>
      <c r="EY82" s="656"/>
      <c r="EZ82" s="656"/>
      <c r="FA82" s="656"/>
      <c r="FB82" s="656"/>
      <c r="FC82" s="656"/>
      <c r="FD82" s="656"/>
      <c r="FE82" s="656"/>
      <c r="FF82" s="656"/>
      <c r="FG82" s="656"/>
      <c r="FH82" s="656"/>
      <c r="FI82" s="656"/>
      <c r="FJ82" s="656"/>
      <c r="FK82" s="656"/>
      <c r="FL82" s="656"/>
      <c r="FM82" s="656"/>
      <c r="FN82" s="656"/>
      <c r="FO82" s="656"/>
      <c r="FP82" s="656"/>
      <c r="FQ82" s="656"/>
      <c r="FR82" s="656"/>
      <c r="FS82" s="656"/>
      <c r="FT82" s="656"/>
      <c r="FU82" s="656"/>
      <c r="FV82" s="656"/>
      <c r="FW82" s="656"/>
      <c r="FX82" s="656"/>
      <c r="FY82" s="656"/>
      <c r="FZ82" s="656"/>
      <c r="GA82" s="656"/>
      <c r="GB82" s="656"/>
      <c r="GC82" s="656"/>
      <c r="GD82" s="656"/>
      <c r="GE82" s="656"/>
      <c r="GF82" s="656"/>
      <c r="GG82" s="656"/>
      <c r="GH82" s="656"/>
      <c r="GI82" s="656"/>
      <c r="GJ82" s="656"/>
      <c r="GK82" s="656"/>
      <c r="GL82" s="656"/>
      <c r="GM82" s="656"/>
      <c r="GN82" s="656"/>
      <c r="GO82" s="656"/>
      <c r="GP82" s="656"/>
      <c r="GQ82" s="656"/>
      <c r="GR82" s="656"/>
      <c r="GS82" s="656"/>
      <c r="GT82" s="656"/>
      <c r="GU82" s="656"/>
      <c r="GV82" s="656"/>
      <c r="GW82" s="656"/>
      <c r="GX82" s="656"/>
      <c r="GY82" s="656"/>
      <c r="GZ82" s="656"/>
      <c r="HA82" s="656"/>
      <c r="HB82" s="656"/>
      <c r="HC82" s="656"/>
      <c r="HD82" s="656"/>
      <c r="HE82" s="656"/>
      <c r="HF82" s="656"/>
      <c r="HG82" s="656"/>
      <c r="HH82" s="656"/>
      <c r="HI82" s="656"/>
      <c r="HJ82" s="656"/>
      <c r="HK82" s="656"/>
      <c r="HL82" s="656"/>
      <c r="HM82" s="656"/>
      <c r="HN82" s="656"/>
      <c r="HO82" s="656"/>
      <c r="HP82" s="656"/>
      <c r="HQ82" s="656"/>
      <c r="HR82" s="656"/>
      <c r="HS82" s="656"/>
      <c r="HT82" s="656"/>
      <c r="HU82" s="656"/>
      <c r="HV82" s="656"/>
      <c r="HW82" s="656"/>
    </row>
    <row r="83" spans="1:231" s="657" customFormat="1" x14ac:dyDescent="0.25">
      <c r="A83" s="646">
        <v>67</v>
      </c>
      <c r="B83" s="680" t="s">
        <v>1078</v>
      </c>
      <c r="C83" s="681" t="s">
        <v>1079</v>
      </c>
      <c r="D83" s="691" t="s">
        <v>19</v>
      </c>
      <c r="E83" s="681">
        <v>30</v>
      </c>
      <c r="F83" s="684">
        <v>19174.68</v>
      </c>
      <c r="G83" s="684">
        <v>575240</v>
      </c>
      <c r="H83" s="685">
        <v>0</v>
      </c>
      <c r="I83" s="686">
        <v>0</v>
      </c>
      <c r="J83" s="683">
        <v>30</v>
      </c>
      <c r="K83" s="684">
        <v>575240</v>
      </c>
      <c r="L83" s="683">
        <v>30</v>
      </c>
      <c r="M83" s="684">
        <v>575240</v>
      </c>
      <c r="N83" s="683">
        <v>30</v>
      </c>
      <c r="O83" s="687">
        <v>575240</v>
      </c>
      <c r="P83" s="656"/>
      <c r="Q83" s="656"/>
      <c r="R83" s="656"/>
      <c r="S83" s="656"/>
      <c r="T83" s="656"/>
      <c r="U83" s="656"/>
      <c r="V83" s="656"/>
      <c r="W83" s="656"/>
      <c r="X83" s="656"/>
      <c r="Y83" s="656"/>
      <c r="Z83" s="656"/>
      <c r="AA83" s="656"/>
      <c r="AB83" s="656"/>
      <c r="AC83" s="656"/>
      <c r="AD83" s="656"/>
      <c r="AE83" s="656"/>
      <c r="AF83" s="656"/>
      <c r="AG83" s="656"/>
      <c r="AH83" s="656"/>
      <c r="AI83" s="656"/>
      <c r="AJ83" s="656"/>
      <c r="AK83" s="656"/>
      <c r="AL83" s="656"/>
      <c r="AM83" s="656"/>
      <c r="AN83" s="656"/>
      <c r="AO83" s="656"/>
      <c r="AP83" s="656"/>
      <c r="AQ83" s="656"/>
      <c r="AR83" s="656"/>
      <c r="AS83" s="656"/>
      <c r="AT83" s="656"/>
      <c r="AU83" s="656"/>
      <c r="AV83" s="656"/>
      <c r="AW83" s="656"/>
      <c r="AX83" s="656"/>
      <c r="AY83" s="656"/>
      <c r="AZ83" s="656"/>
      <c r="BA83" s="656"/>
      <c r="BB83" s="656"/>
      <c r="BC83" s="656"/>
      <c r="BD83" s="656"/>
      <c r="BE83" s="656"/>
      <c r="BF83" s="656"/>
      <c r="BG83" s="656"/>
      <c r="BH83" s="656"/>
      <c r="BI83" s="656"/>
      <c r="BJ83" s="656"/>
      <c r="BK83" s="656"/>
      <c r="BL83" s="656"/>
      <c r="BM83" s="656"/>
      <c r="BN83" s="656"/>
      <c r="BO83" s="656"/>
      <c r="BP83" s="656"/>
      <c r="BQ83" s="656"/>
      <c r="BR83" s="656"/>
      <c r="BS83" s="656"/>
      <c r="BT83" s="656"/>
      <c r="BU83" s="656"/>
      <c r="BV83" s="656"/>
      <c r="BW83" s="656"/>
      <c r="BX83" s="656"/>
      <c r="BY83" s="656"/>
      <c r="BZ83" s="656"/>
      <c r="CA83" s="656"/>
      <c r="CB83" s="656"/>
      <c r="CC83" s="656"/>
      <c r="CD83" s="656"/>
      <c r="CE83" s="656"/>
      <c r="CF83" s="656"/>
      <c r="CG83" s="656"/>
      <c r="CH83" s="656"/>
      <c r="CI83" s="656"/>
      <c r="CJ83" s="656"/>
      <c r="CK83" s="656"/>
      <c r="CL83" s="656"/>
      <c r="CM83" s="656"/>
      <c r="CN83" s="656"/>
      <c r="CO83" s="656"/>
      <c r="CP83" s="656"/>
      <c r="CQ83" s="656"/>
      <c r="CR83" s="656"/>
      <c r="CS83" s="656"/>
      <c r="CT83" s="656"/>
      <c r="CU83" s="656"/>
      <c r="CV83" s="656"/>
      <c r="CW83" s="656"/>
      <c r="CX83" s="656"/>
      <c r="CY83" s="656"/>
      <c r="CZ83" s="656"/>
      <c r="DA83" s="656"/>
      <c r="DB83" s="656"/>
      <c r="DC83" s="656"/>
      <c r="DD83" s="656"/>
      <c r="DE83" s="656"/>
      <c r="DF83" s="656"/>
      <c r="DG83" s="656"/>
      <c r="DH83" s="656"/>
      <c r="DI83" s="656"/>
      <c r="DJ83" s="656"/>
      <c r="DK83" s="656"/>
      <c r="DL83" s="656"/>
      <c r="DM83" s="656"/>
      <c r="DN83" s="656"/>
      <c r="DO83" s="656"/>
      <c r="DP83" s="656"/>
      <c r="DQ83" s="656"/>
      <c r="DR83" s="656"/>
      <c r="DS83" s="656"/>
      <c r="DT83" s="656"/>
      <c r="DU83" s="656"/>
      <c r="DV83" s="656"/>
      <c r="DW83" s="656"/>
      <c r="DX83" s="656"/>
      <c r="DY83" s="656"/>
      <c r="DZ83" s="656"/>
      <c r="EA83" s="656"/>
      <c r="EB83" s="656"/>
      <c r="EC83" s="656"/>
      <c r="ED83" s="656"/>
      <c r="EE83" s="656"/>
      <c r="EF83" s="656"/>
      <c r="EG83" s="656"/>
      <c r="EH83" s="656"/>
      <c r="EI83" s="656"/>
      <c r="EJ83" s="656"/>
      <c r="EK83" s="656"/>
      <c r="EL83" s="656"/>
      <c r="EM83" s="656"/>
      <c r="EN83" s="656"/>
      <c r="EO83" s="656"/>
      <c r="EP83" s="656"/>
      <c r="EQ83" s="656"/>
      <c r="ER83" s="656"/>
      <c r="ES83" s="656"/>
      <c r="ET83" s="656"/>
      <c r="EU83" s="656"/>
      <c r="EV83" s="656"/>
      <c r="EW83" s="656"/>
      <c r="EX83" s="656"/>
      <c r="EY83" s="656"/>
      <c r="EZ83" s="656"/>
      <c r="FA83" s="656"/>
      <c r="FB83" s="656"/>
      <c r="FC83" s="656"/>
      <c r="FD83" s="656"/>
      <c r="FE83" s="656"/>
      <c r="FF83" s="656"/>
      <c r="FG83" s="656"/>
      <c r="FH83" s="656"/>
      <c r="FI83" s="656"/>
      <c r="FJ83" s="656"/>
      <c r="FK83" s="656"/>
      <c r="FL83" s="656"/>
      <c r="FM83" s="656"/>
      <c r="FN83" s="656"/>
      <c r="FO83" s="656"/>
      <c r="FP83" s="656"/>
      <c r="FQ83" s="656"/>
      <c r="FR83" s="656"/>
      <c r="FS83" s="656"/>
      <c r="FT83" s="656"/>
      <c r="FU83" s="656"/>
      <c r="FV83" s="656"/>
      <c r="FW83" s="656"/>
      <c r="FX83" s="656"/>
      <c r="FY83" s="656"/>
      <c r="FZ83" s="656"/>
      <c r="GA83" s="656"/>
      <c r="GB83" s="656"/>
      <c r="GC83" s="656"/>
      <c r="GD83" s="656"/>
      <c r="GE83" s="656"/>
      <c r="GF83" s="656"/>
      <c r="GG83" s="656"/>
      <c r="GH83" s="656"/>
      <c r="GI83" s="656"/>
      <c r="GJ83" s="656"/>
      <c r="GK83" s="656"/>
      <c r="GL83" s="656"/>
      <c r="GM83" s="656"/>
      <c r="GN83" s="656"/>
      <c r="GO83" s="656"/>
      <c r="GP83" s="656"/>
      <c r="GQ83" s="656"/>
      <c r="GR83" s="656"/>
      <c r="GS83" s="656"/>
      <c r="GT83" s="656"/>
      <c r="GU83" s="656"/>
      <c r="GV83" s="656"/>
      <c r="GW83" s="656"/>
      <c r="GX83" s="656"/>
      <c r="GY83" s="656"/>
      <c r="GZ83" s="656"/>
      <c r="HA83" s="656"/>
      <c r="HB83" s="656"/>
      <c r="HC83" s="656"/>
      <c r="HD83" s="656"/>
      <c r="HE83" s="656"/>
      <c r="HF83" s="656"/>
      <c r="HG83" s="656"/>
      <c r="HH83" s="656"/>
      <c r="HI83" s="656"/>
      <c r="HJ83" s="656"/>
      <c r="HK83" s="656"/>
      <c r="HL83" s="656"/>
      <c r="HM83" s="656"/>
      <c r="HN83" s="656"/>
      <c r="HO83" s="656"/>
      <c r="HP83" s="656"/>
      <c r="HQ83" s="656"/>
      <c r="HR83" s="656"/>
      <c r="HS83" s="656"/>
      <c r="HT83" s="656"/>
      <c r="HU83" s="656"/>
      <c r="HV83" s="656"/>
      <c r="HW83" s="656"/>
    </row>
    <row r="84" spans="1:231" s="657" customFormat="1" ht="28.5" x14ac:dyDescent="0.25">
      <c r="A84" s="646">
        <v>68</v>
      </c>
      <c r="B84" s="680" t="s">
        <v>1080</v>
      </c>
      <c r="C84" s="681" t="s">
        <v>1081</v>
      </c>
      <c r="D84" s="691" t="s">
        <v>6</v>
      </c>
      <c r="E84" s="681">
        <v>3</v>
      </c>
      <c r="F84" s="684">
        <v>64703.519999999997</v>
      </c>
      <c r="G84" s="684">
        <v>194111</v>
      </c>
      <c r="H84" s="681">
        <v>0</v>
      </c>
      <c r="I84" s="692">
        <v>0</v>
      </c>
      <c r="J84" s="681">
        <v>3</v>
      </c>
      <c r="K84" s="684">
        <v>194111</v>
      </c>
      <c r="L84" s="683">
        <v>0</v>
      </c>
      <c r="M84" s="684">
        <v>0</v>
      </c>
      <c r="N84" s="683">
        <v>0</v>
      </c>
      <c r="O84" s="687">
        <v>0</v>
      </c>
      <c r="P84" s="656"/>
      <c r="Q84" s="656"/>
      <c r="R84" s="656"/>
      <c r="S84" s="656"/>
      <c r="T84" s="656"/>
      <c r="U84" s="656"/>
      <c r="V84" s="656"/>
      <c r="W84" s="656"/>
      <c r="X84" s="656"/>
      <c r="Y84" s="656"/>
      <c r="Z84" s="656"/>
      <c r="AA84" s="656"/>
      <c r="AB84" s="656"/>
      <c r="AC84" s="656"/>
      <c r="AD84" s="656"/>
      <c r="AE84" s="656"/>
      <c r="AF84" s="656"/>
      <c r="AG84" s="656"/>
      <c r="AH84" s="656"/>
      <c r="AI84" s="656"/>
      <c r="AJ84" s="656"/>
      <c r="AK84" s="656"/>
      <c r="AL84" s="656"/>
      <c r="AM84" s="656"/>
      <c r="AN84" s="656"/>
      <c r="AO84" s="656"/>
      <c r="AP84" s="656"/>
      <c r="AQ84" s="656"/>
      <c r="AR84" s="656"/>
      <c r="AS84" s="656"/>
      <c r="AT84" s="656"/>
      <c r="AU84" s="656"/>
      <c r="AV84" s="656"/>
      <c r="AW84" s="656"/>
      <c r="AX84" s="656"/>
      <c r="AY84" s="656"/>
      <c r="AZ84" s="656"/>
      <c r="BA84" s="656"/>
      <c r="BB84" s="656"/>
      <c r="BC84" s="656"/>
      <c r="BD84" s="656"/>
      <c r="BE84" s="656"/>
      <c r="BF84" s="656"/>
      <c r="BG84" s="656"/>
      <c r="BH84" s="656"/>
      <c r="BI84" s="656"/>
      <c r="BJ84" s="656"/>
      <c r="BK84" s="656"/>
      <c r="BL84" s="656"/>
      <c r="BM84" s="656"/>
      <c r="BN84" s="656"/>
      <c r="BO84" s="656"/>
      <c r="BP84" s="656"/>
      <c r="BQ84" s="656"/>
      <c r="BR84" s="656"/>
      <c r="BS84" s="656"/>
      <c r="BT84" s="656"/>
      <c r="BU84" s="656"/>
      <c r="BV84" s="656"/>
      <c r="BW84" s="656"/>
      <c r="BX84" s="656"/>
      <c r="BY84" s="656"/>
      <c r="BZ84" s="656"/>
      <c r="CA84" s="656"/>
      <c r="CB84" s="656"/>
      <c r="CC84" s="656"/>
      <c r="CD84" s="656"/>
      <c r="CE84" s="656"/>
      <c r="CF84" s="656"/>
      <c r="CG84" s="656"/>
      <c r="CH84" s="656"/>
      <c r="CI84" s="656"/>
      <c r="CJ84" s="656"/>
      <c r="CK84" s="656"/>
      <c r="CL84" s="656"/>
      <c r="CM84" s="656"/>
      <c r="CN84" s="656"/>
      <c r="CO84" s="656"/>
      <c r="CP84" s="656"/>
      <c r="CQ84" s="656"/>
      <c r="CR84" s="656"/>
      <c r="CS84" s="656"/>
      <c r="CT84" s="656"/>
      <c r="CU84" s="656"/>
      <c r="CV84" s="656"/>
      <c r="CW84" s="656"/>
      <c r="CX84" s="656"/>
      <c r="CY84" s="656"/>
      <c r="CZ84" s="656"/>
      <c r="DA84" s="656"/>
      <c r="DB84" s="656"/>
      <c r="DC84" s="656"/>
      <c r="DD84" s="656"/>
      <c r="DE84" s="656"/>
      <c r="DF84" s="656"/>
      <c r="DG84" s="656"/>
      <c r="DH84" s="656"/>
      <c r="DI84" s="656"/>
      <c r="DJ84" s="656"/>
      <c r="DK84" s="656"/>
      <c r="DL84" s="656"/>
      <c r="DM84" s="656"/>
      <c r="DN84" s="656"/>
      <c r="DO84" s="656"/>
      <c r="DP84" s="656"/>
      <c r="DQ84" s="656"/>
      <c r="DR84" s="656"/>
      <c r="DS84" s="656"/>
      <c r="DT84" s="656"/>
      <c r="DU84" s="656"/>
      <c r="DV84" s="656"/>
      <c r="DW84" s="656"/>
      <c r="DX84" s="656"/>
      <c r="DY84" s="656"/>
      <c r="DZ84" s="656"/>
      <c r="EA84" s="656"/>
      <c r="EB84" s="656"/>
      <c r="EC84" s="656"/>
      <c r="ED84" s="656"/>
      <c r="EE84" s="656"/>
      <c r="EF84" s="656"/>
      <c r="EG84" s="656"/>
      <c r="EH84" s="656"/>
      <c r="EI84" s="656"/>
      <c r="EJ84" s="656"/>
      <c r="EK84" s="656"/>
      <c r="EL84" s="656"/>
      <c r="EM84" s="656"/>
      <c r="EN84" s="656"/>
      <c r="EO84" s="656"/>
      <c r="EP84" s="656"/>
      <c r="EQ84" s="656"/>
      <c r="ER84" s="656"/>
      <c r="ES84" s="656"/>
      <c r="ET84" s="656"/>
      <c r="EU84" s="656"/>
      <c r="EV84" s="656"/>
      <c r="EW84" s="656"/>
      <c r="EX84" s="656"/>
      <c r="EY84" s="656"/>
      <c r="EZ84" s="656"/>
      <c r="FA84" s="656"/>
      <c r="FB84" s="656"/>
      <c r="FC84" s="656"/>
      <c r="FD84" s="656"/>
      <c r="FE84" s="656"/>
      <c r="FF84" s="656"/>
      <c r="FG84" s="656"/>
      <c r="FH84" s="656"/>
      <c r="FI84" s="656"/>
      <c r="FJ84" s="656"/>
      <c r="FK84" s="656"/>
      <c r="FL84" s="656"/>
      <c r="FM84" s="656"/>
      <c r="FN84" s="656"/>
      <c r="FO84" s="656"/>
      <c r="FP84" s="656"/>
      <c r="FQ84" s="656"/>
      <c r="FR84" s="656"/>
      <c r="FS84" s="656"/>
      <c r="FT84" s="656"/>
      <c r="FU84" s="656"/>
      <c r="FV84" s="656"/>
      <c r="FW84" s="656"/>
      <c r="FX84" s="656"/>
      <c r="FY84" s="656"/>
      <c r="FZ84" s="656"/>
      <c r="GA84" s="656"/>
      <c r="GB84" s="656"/>
      <c r="GC84" s="656"/>
      <c r="GD84" s="656"/>
      <c r="GE84" s="656"/>
      <c r="GF84" s="656"/>
      <c r="GG84" s="656"/>
      <c r="GH84" s="656"/>
      <c r="GI84" s="656"/>
      <c r="GJ84" s="656"/>
      <c r="GK84" s="656"/>
      <c r="GL84" s="656"/>
      <c r="GM84" s="656"/>
      <c r="GN84" s="656"/>
      <c r="GO84" s="656"/>
      <c r="GP84" s="656"/>
      <c r="GQ84" s="656"/>
      <c r="GR84" s="656"/>
      <c r="GS84" s="656"/>
      <c r="GT84" s="656"/>
      <c r="GU84" s="656"/>
      <c r="GV84" s="656"/>
      <c r="GW84" s="656"/>
      <c r="GX84" s="656"/>
      <c r="GY84" s="656"/>
      <c r="GZ84" s="656"/>
      <c r="HA84" s="656"/>
      <c r="HB84" s="656"/>
      <c r="HC84" s="656"/>
      <c r="HD84" s="656"/>
      <c r="HE84" s="656"/>
      <c r="HF84" s="656"/>
      <c r="HG84" s="656"/>
      <c r="HH84" s="656"/>
      <c r="HI84" s="656"/>
      <c r="HJ84" s="656"/>
      <c r="HK84" s="656"/>
      <c r="HL84" s="656"/>
      <c r="HM84" s="656"/>
      <c r="HN84" s="656"/>
      <c r="HO84" s="656"/>
      <c r="HP84" s="656"/>
      <c r="HQ84" s="656"/>
      <c r="HR84" s="656"/>
      <c r="HS84" s="656"/>
      <c r="HT84" s="656"/>
      <c r="HU84" s="656"/>
      <c r="HV84" s="656"/>
      <c r="HW84" s="656"/>
    </row>
    <row r="85" spans="1:231" s="657" customFormat="1" x14ac:dyDescent="0.25">
      <c r="A85" s="646">
        <v>69</v>
      </c>
      <c r="B85" s="680" t="s">
        <v>1082</v>
      </c>
      <c r="C85" s="681" t="s">
        <v>1083</v>
      </c>
      <c r="D85" s="691" t="s">
        <v>6</v>
      </c>
      <c r="E85" s="681">
        <v>3</v>
      </c>
      <c r="F85" s="684">
        <v>24564.68</v>
      </c>
      <c r="G85" s="684">
        <v>73694</v>
      </c>
      <c r="H85" s="685"/>
      <c r="I85" s="686">
        <v>-1</v>
      </c>
      <c r="J85" s="683">
        <v>2</v>
      </c>
      <c r="K85" s="684">
        <v>49129</v>
      </c>
      <c r="L85" s="683">
        <v>2</v>
      </c>
      <c r="M85" s="684">
        <v>49129</v>
      </c>
      <c r="N85" s="683">
        <v>2</v>
      </c>
      <c r="O85" s="687">
        <v>49129</v>
      </c>
      <c r="P85" s="656"/>
      <c r="Q85" s="656"/>
      <c r="R85" s="656"/>
      <c r="S85" s="656"/>
      <c r="T85" s="656"/>
      <c r="U85" s="656"/>
      <c r="V85" s="656"/>
      <c r="W85" s="656"/>
      <c r="X85" s="656"/>
      <c r="Y85" s="656"/>
      <c r="Z85" s="656"/>
      <c r="AA85" s="656"/>
      <c r="AB85" s="656"/>
      <c r="AC85" s="656"/>
      <c r="AD85" s="656"/>
      <c r="AE85" s="656"/>
      <c r="AF85" s="656"/>
      <c r="AG85" s="656"/>
      <c r="AH85" s="656"/>
      <c r="AI85" s="656"/>
      <c r="AJ85" s="656"/>
      <c r="AK85" s="656"/>
      <c r="AL85" s="656"/>
      <c r="AM85" s="656"/>
      <c r="AN85" s="656"/>
      <c r="AO85" s="656"/>
      <c r="AP85" s="656"/>
      <c r="AQ85" s="656"/>
      <c r="AR85" s="656"/>
      <c r="AS85" s="656"/>
      <c r="AT85" s="656"/>
      <c r="AU85" s="656"/>
      <c r="AV85" s="656"/>
      <c r="AW85" s="656"/>
      <c r="AX85" s="656"/>
      <c r="AY85" s="656"/>
      <c r="AZ85" s="656"/>
      <c r="BA85" s="656"/>
      <c r="BB85" s="656"/>
      <c r="BC85" s="656"/>
      <c r="BD85" s="656"/>
      <c r="BE85" s="656"/>
      <c r="BF85" s="656"/>
      <c r="BG85" s="656"/>
      <c r="BH85" s="656"/>
      <c r="BI85" s="656"/>
      <c r="BJ85" s="656"/>
      <c r="BK85" s="656"/>
      <c r="BL85" s="656"/>
      <c r="BM85" s="656"/>
      <c r="BN85" s="656"/>
      <c r="BO85" s="656"/>
      <c r="BP85" s="656"/>
      <c r="BQ85" s="656"/>
      <c r="BR85" s="656"/>
      <c r="BS85" s="656"/>
      <c r="BT85" s="656"/>
      <c r="BU85" s="656"/>
      <c r="BV85" s="656"/>
      <c r="BW85" s="656"/>
      <c r="BX85" s="656"/>
      <c r="BY85" s="656"/>
      <c r="BZ85" s="656"/>
      <c r="CA85" s="656"/>
      <c r="CB85" s="656"/>
      <c r="CC85" s="656"/>
      <c r="CD85" s="656"/>
      <c r="CE85" s="656"/>
      <c r="CF85" s="656"/>
      <c r="CG85" s="656"/>
      <c r="CH85" s="656"/>
      <c r="CI85" s="656"/>
      <c r="CJ85" s="656"/>
      <c r="CK85" s="656"/>
      <c r="CL85" s="656"/>
      <c r="CM85" s="656"/>
      <c r="CN85" s="656"/>
      <c r="CO85" s="656"/>
      <c r="CP85" s="656"/>
      <c r="CQ85" s="656"/>
      <c r="CR85" s="656"/>
      <c r="CS85" s="656"/>
      <c r="CT85" s="656"/>
      <c r="CU85" s="656"/>
      <c r="CV85" s="656"/>
      <c r="CW85" s="656"/>
      <c r="CX85" s="656"/>
      <c r="CY85" s="656"/>
      <c r="CZ85" s="656"/>
      <c r="DA85" s="656"/>
      <c r="DB85" s="656"/>
      <c r="DC85" s="656"/>
      <c r="DD85" s="656"/>
      <c r="DE85" s="656"/>
      <c r="DF85" s="656"/>
      <c r="DG85" s="656"/>
      <c r="DH85" s="656"/>
      <c r="DI85" s="656"/>
      <c r="DJ85" s="656"/>
      <c r="DK85" s="656"/>
      <c r="DL85" s="656"/>
      <c r="DM85" s="656"/>
      <c r="DN85" s="656"/>
      <c r="DO85" s="656"/>
      <c r="DP85" s="656"/>
      <c r="DQ85" s="656"/>
      <c r="DR85" s="656"/>
      <c r="DS85" s="656"/>
      <c r="DT85" s="656"/>
      <c r="DU85" s="656"/>
      <c r="DV85" s="656"/>
      <c r="DW85" s="656"/>
      <c r="DX85" s="656"/>
      <c r="DY85" s="656"/>
      <c r="DZ85" s="656"/>
      <c r="EA85" s="656"/>
      <c r="EB85" s="656"/>
      <c r="EC85" s="656"/>
      <c r="ED85" s="656"/>
      <c r="EE85" s="656"/>
      <c r="EF85" s="656"/>
      <c r="EG85" s="656"/>
      <c r="EH85" s="656"/>
      <c r="EI85" s="656"/>
      <c r="EJ85" s="656"/>
      <c r="EK85" s="656"/>
      <c r="EL85" s="656"/>
      <c r="EM85" s="656"/>
      <c r="EN85" s="656"/>
      <c r="EO85" s="656"/>
      <c r="EP85" s="656"/>
      <c r="EQ85" s="656"/>
      <c r="ER85" s="656"/>
      <c r="ES85" s="656"/>
      <c r="ET85" s="656"/>
      <c r="EU85" s="656"/>
      <c r="EV85" s="656"/>
      <c r="EW85" s="656"/>
      <c r="EX85" s="656"/>
      <c r="EY85" s="656"/>
      <c r="EZ85" s="656"/>
      <c r="FA85" s="656"/>
      <c r="FB85" s="656"/>
      <c r="FC85" s="656"/>
      <c r="FD85" s="656"/>
      <c r="FE85" s="656"/>
      <c r="FF85" s="656"/>
      <c r="FG85" s="656"/>
      <c r="FH85" s="656"/>
      <c r="FI85" s="656"/>
      <c r="FJ85" s="656"/>
      <c r="FK85" s="656"/>
      <c r="FL85" s="656"/>
      <c r="FM85" s="656"/>
      <c r="FN85" s="656"/>
      <c r="FO85" s="656"/>
      <c r="FP85" s="656"/>
      <c r="FQ85" s="656"/>
      <c r="FR85" s="656"/>
      <c r="FS85" s="656"/>
      <c r="FT85" s="656"/>
      <c r="FU85" s="656"/>
      <c r="FV85" s="656"/>
      <c r="FW85" s="656"/>
      <c r="FX85" s="656"/>
      <c r="FY85" s="656"/>
      <c r="FZ85" s="656"/>
      <c r="GA85" s="656"/>
      <c r="GB85" s="656"/>
      <c r="GC85" s="656"/>
      <c r="GD85" s="656"/>
      <c r="GE85" s="656"/>
      <c r="GF85" s="656"/>
      <c r="GG85" s="656"/>
      <c r="GH85" s="656"/>
      <c r="GI85" s="656"/>
      <c r="GJ85" s="656"/>
      <c r="GK85" s="656"/>
      <c r="GL85" s="656"/>
      <c r="GM85" s="656"/>
      <c r="GN85" s="656"/>
      <c r="GO85" s="656"/>
      <c r="GP85" s="656"/>
      <c r="GQ85" s="656"/>
      <c r="GR85" s="656"/>
      <c r="GS85" s="656"/>
      <c r="GT85" s="656"/>
      <c r="GU85" s="656"/>
      <c r="GV85" s="656"/>
      <c r="GW85" s="656"/>
      <c r="GX85" s="656"/>
      <c r="GY85" s="656"/>
      <c r="GZ85" s="656"/>
      <c r="HA85" s="656"/>
      <c r="HB85" s="656"/>
      <c r="HC85" s="656"/>
      <c r="HD85" s="656"/>
      <c r="HE85" s="656"/>
      <c r="HF85" s="656"/>
      <c r="HG85" s="656"/>
      <c r="HH85" s="656"/>
      <c r="HI85" s="656"/>
      <c r="HJ85" s="656"/>
      <c r="HK85" s="656"/>
      <c r="HL85" s="656"/>
      <c r="HM85" s="656"/>
      <c r="HN85" s="656"/>
      <c r="HO85" s="656"/>
      <c r="HP85" s="656"/>
      <c r="HQ85" s="656"/>
      <c r="HR85" s="656"/>
      <c r="HS85" s="656"/>
      <c r="HT85" s="656"/>
      <c r="HU85" s="656"/>
      <c r="HV85" s="656"/>
      <c r="HW85" s="656"/>
    </row>
    <row r="86" spans="1:231" s="657" customFormat="1" ht="57" x14ac:dyDescent="0.25">
      <c r="A86" s="646">
        <v>70</v>
      </c>
      <c r="B86" s="680" t="s">
        <v>1084</v>
      </c>
      <c r="C86" s="681" t="s">
        <v>1085</v>
      </c>
      <c r="D86" s="691" t="s">
        <v>1086</v>
      </c>
      <c r="E86" s="691">
        <v>1</v>
      </c>
      <c r="F86" s="684">
        <v>3365400.36</v>
      </c>
      <c r="G86" s="684">
        <v>3365400</v>
      </c>
      <c r="H86" s="685">
        <v>0</v>
      </c>
      <c r="I86" s="686">
        <v>-1</v>
      </c>
      <c r="J86" s="683">
        <v>0</v>
      </c>
      <c r="K86" s="684">
        <v>0</v>
      </c>
      <c r="L86" s="683">
        <v>0</v>
      </c>
      <c r="M86" s="684">
        <v>0</v>
      </c>
      <c r="N86" s="683">
        <v>0</v>
      </c>
      <c r="O86" s="687">
        <v>0</v>
      </c>
      <c r="P86" s="656"/>
      <c r="Q86" s="656"/>
      <c r="R86" s="656"/>
      <c r="S86" s="656"/>
      <c r="T86" s="656"/>
      <c r="U86" s="656"/>
      <c r="V86" s="656"/>
      <c r="W86" s="656"/>
      <c r="X86" s="656"/>
      <c r="Y86" s="656"/>
      <c r="Z86" s="656"/>
      <c r="AA86" s="656"/>
      <c r="AB86" s="656"/>
      <c r="AC86" s="656"/>
      <c r="AD86" s="656"/>
      <c r="AE86" s="656"/>
      <c r="AF86" s="656"/>
      <c r="AG86" s="656"/>
      <c r="AH86" s="656"/>
      <c r="AI86" s="656"/>
      <c r="AJ86" s="656"/>
      <c r="AK86" s="656"/>
      <c r="AL86" s="656"/>
      <c r="AM86" s="656"/>
      <c r="AN86" s="656"/>
      <c r="AO86" s="656"/>
      <c r="AP86" s="656"/>
      <c r="AQ86" s="656"/>
      <c r="AR86" s="656"/>
      <c r="AS86" s="656"/>
      <c r="AT86" s="656"/>
      <c r="AU86" s="656"/>
      <c r="AV86" s="656"/>
      <c r="AW86" s="656"/>
      <c r="AX86" s="656"/>
      <c r="AY86" s="656"/>
      <c r="AZ86" s="656"/>
      <c r="BA86" s="656"/>
      <c r="BB86" s="656"/>
      <c r="BC86" s="656"/>
      <c r="BD86" s="656"/>
      <c r="BE86" s="656"/>
      <c r="BF86" s="656"/>
      <c r="BG86" s="656"/>
      <c r="BH86" s="656"/>
      <c r="BI86" s="656"/>
      <c r="BJ86" s="656"/>
      <c r="BK86" s="656"/>
      <c r="BL86" s="656"/>
      <c r="BM86" s="656"/>
      <c r="BN86" s="656"/>
      <c r="BO86" s="656"/>
      <c r="BP86" s="656"/>
      <c r="BQ86" s="656"/>
      <c r="BR86" s="656"/>
      <c r="BS86" s="656"/>
      <c r="BT86" s="656"/>
      <c r="BU86" s="656"/>
      <c r="BV86" s="656"/>
      <c r="BW86" s="656"/>
      <c r="BX86" s="656"/>
      <c r="BY86" s="656"/>
      <c r="BZ86" s="656"/>
      <c r="CA86" s="656"/>
      <c r="CB86" s="656"/>
      <c r="CC86" s="656"/>
      <c r="CD86" s="656"/>
      <c r="CE86" s="656"/>
      <c r="CF86" s="656"/>
      <c r="CG86" s="656"/>
      <c r="CH86" s="656"/>
      <c r="CI86" s="656"/>
      <c r="CJ86" s="656"/>
      <c r="CK86" s="656"/>
      <c r="CL86" s="656"/>
      <c r="CM86" s="656"/>
      <c r="CN86" s="656"/>
      <c r="CO86" s="656"/>
      <c r="CP86" s="656"/>
      <c r="CQ86" s="656"/>
      <c r="CR86" s="656"/>
      <c r="CS86" s="656"/>
      <c r="CT86" s="656"/>
      <c r="CU86" s="656"/>
      <c r="CV86" s="656"/>
      <c r="CW86" s="656"/>
      <c r="CX86" s="656"/>
      <c r="CY86" s="656"/>
      <c r="CZ86" s="656"/>
      <c r="DA86" s="656"/>
      <c r="DB86" s="656"/>
      <c r="DC86" s="656"/>
      <c r="DD86" s="656"/>
      <c r="DE86" s="656"/>
      <c r="DF86" s="656"/>
      <c r="DG86" s="656"/>
      <c r="DH86" s="656"/>
      <c r="DI86" s="656"/>
      <c r="DJ86" s="656"/>
      <c r="DK86" s="656"/>
      <c r="DL86" s="656"/>
      <c r="DM86" s="656"/>
      <c r="DN86" s="656"/>
      <c r="DO86" s="656"/>
      <c r="DP86" s="656"/>
      <c r="DQ86" s="656"/>
      <c r="DR86" s="656"/>
      <c r="DS86" s="656"/>
      <c r="DT86" s="656"/>
      <c r="DU86" s="656"/>
      <c r="DV86" s="656"/>
      <c r="DW86" s="656"/>
      <c r="DX86" s="656"/>
      <c r="DY86" s="656"/>
      <c r="DZ86" s="656"/>
      <c r="EA86" s="656"/>
      <c r="EB86" s="656"/>
      <c r="EC86" s="656"/>
      <c r="ED86" s="656"/>
      <c r="EE86" s="656"/>
      <c r="EF86" s="656"/>
      <c r="EG86" s="656"/>
      <c r="EH86" s="656"/>
      <c r="EI86" s="656"/>
      <c r="EJ86" s="656"/>
      <c r="EK86" s="656"/>
      <c r="EL86" s="656"/>
      <c r="EM86" s="656"/>
      <c r="EN86" s="656"/>
      <c r="EO86" s="656"/>
      <c r="EP86" s="656"/>
      <c r="EQ86" s="656"/>
      <c r="ER86" s="656"/>
      <c r="ES86" s="656"/>
      <c r="ET86" s="656"/>
      <c r="EU86" s="656"/>
      <c r="EV86" s="656"/>
      <c r="EW86" s="656"/>
      <c r="EX86" s="656"/>
      <c r="EY86" s="656"/>
      <c r="EZ86" s="656"/>
      <c r="FA86" s="656"/>
      <c r="FB86" s="656"/>
      <c r="FC86" s="656"/>
      <c r="FD86" s="656"/>
      <c r="FE86" s="656"/>
      <c r="FF86" s="656"/>
      <c r="FG86" s="656"/>
      <c r="FH86" s="656"/>
      <c r="FI86" s="656"/>
      <c r="FJ86" s="656"/>
      <c r="FK86" s="656"/>
      <c r="FL86" s="656"/>
      <c r="FM86" s="656"/>
      <c r="FN86" s="656"/>
      <c r="FO86" s="656"/>
      <c r="FP86" s="656"/>
      <c r="FQ86" s="656"/>
      <c r="FR86" s="656"/>
      <c r="FS86" s="656"/>
      <c r="FT86" s="656"/>
      <c r="FU86" s="656"/>
      <c r="FV86" s="656"/>
      <c r="FW86" s="656"/>
      <c r="FX86" s="656"/>
      <c r="FY86" s="656"/>
      <c r="FZ86" s="656"/>
      <c r="GA86" s="656"/>
      <c r="GB86" s="656"/>
      <c r="GC86" s="656"/>
      <c r="GD86" s="656"/>
      <c r="GE86" s="656"/>
      <c r="GF86" s="656"/>
      <c r="GG86" s="656"/>
      <c r="GH86" s="656"/>
      <c r="GI86" s="656"/>
      <c r="GJ86" s="656"/>
      <c r="GK86" s="656"/>
      <c r="GL86" s="656"/>
      <c r="GM86" s="656"/>
      <c r="GN86" s="656"/>
      <c r="GO86" s="656"/>
      <c r="GP86" s="656"/>
      <c r="GQ86" s="656"/>
      <c r="GR86" s="656"/>
      <c r="GS86" s="656"/>
      <c r="GT86" s="656"/>
      <c r="GU86" s="656"/>
      <c r="GV86" s="656"/>
      <c r="GW86" s="656"/>
      <c r="GX86" s="656"/>
      <c r="GY86" s="656"/>
      <c r="GZ86" s="656"/>
      <c r="HA86" s="656"/>
      <c r="HB86" s="656"/>
      <c r="HC86" s="656"/>
      <c r="HD86" s="656"/>
      <c r="HE86" s="656"/>
      <c r="HF86" s="656"/>
      <c r="HG86" s="656"/>
      <c r="HH86" s="656"/>
      <c r="HI86" s="656"/>
      <c r="HJ86" s="656"/>
      <c r="HK86" s="656"/>
      <c r="HL86" s="656"/>
      <c r="HM86" s="656"/>
      <c r="HN86" s="656"/>
      <c r="HO86" s="656"/>
      <c r="HP86" s="656"/>
      <c r="HQ86" s="656"/>
      <c r="HR86" s="656"/>
      <c r="HS86" s="656"/>
      <c r="HT86" s="656"/>
      <c r="HU86" s="656"/>
      <c r="HV86" s="656"/>
      <c r="HW86" s="656"/>
    </row>
    <row r="87" spans="1:231" s="657" customFormat="1" ht="42.75" x14ac:dyDescent="0.25">
      <c r="A87" s="646">
        <v>71</v>
      </c>
      <c r="B87" s="680" t="s">
        <v>1087</v>
      </c>
      <c r="C87" s="690" t="s">
        <v>1088</v>
      </c>
      <c r="D87" s="691" t="s">
        <v>6</v>
      </c>
      <c r="E87" s="691">
        <v>1</v>
      </c>
      <c r="F87" s="684">
        <v>1796666.34</v>
      </c>
      <c r="G87" s="684">
        <v>1796666</v>
      </c>
      <c r="H87" s="685">
        <v>0</v>
      </c>
      <c r="I87" s="686">
        <v>-1</v>
      </c>
      <c r="J87" s="683">
        <v>0</v>
      </c>
      <c r="K87" s="684">
        <v>0</v>
      </c>
      <c r="L87" s="683">
        <v>0</v>
      </c>
      <c r="M87" s="684">
        <v>0</v>
      </c>
      <c r="N87" s="683">
        <v>0</v>
      </c>
      <c r="O87" s="687">
        <v>0</v>
      </c>
      <c r="P87" s="656"/>
      <c r="Q87" s="656"/>
      <c r="R87" s="656"/>
      <c r="S87" s="656"/>
      <c r="T87" s="656"/>
      <c r="U87" s="656"/>
      <c r="V87" s="656"/>
      <c r="W87" s="656"/>
      <c r="X87" s="656"/>
      <c r="Y87" s="656"/>
      <c r="Z87" s="656"/>
      <c r="AA87" s="656"/>
      <c r="AB87" s="656"/>
      <c r="AC87" s="656"/>
      <c r="AD87" s="656"/>
      <c r="AE87" s="656"/>
      <c r="AF87" s="656"/>
      <c r="AG87" s="656"/>
      <c r="AH87" s="656"/>
      <c r="AI87" s="656"/>
      <c r="AJ87" s="656"/>
      <c r="AK87" s="656"/>
      <c r="AL87" s="656"/>
      <c r="AM87" s="656"/>
      <c r="AN87" s="656"/>
      <c r="AO87" s="656"/>
      <c r="AP87" s="656"/>
      <c r="AQ87" s="656"/>
      <c r="AR87" s="656"/>
      <c r="AS87" s="656"/>
      <c r="AT87" s="656"/>
      <c r="AU87" s="656"/>
      <c r="AV87" s="656"/>
      <c r="AW87" s="656"/>
      <c r="AX87" s="656"/>
      <c r="AY87" s="656"/>
      <c r="AZ87" s="656"/>
      <c r="BA87" s="656"/>
      <c r="BB87" s="656"/>
      <c r="BC87" s="656"/>
      <c r="BD87" s="656"/>
      <c r="BE87" s="656"/>
      <c r="BF87" s="656"/>
      <c r="BG87" s="656"/>
      <c r="BH87" s="656"/>
      <c r="BI87" s="656"/>
      <c r="BJ87" s="656"/>
      <c r="BK87" s="656"/>
      <c r="BL87" s="656"/>
      <c r="BM87" s="656"/>
      <c r="BN87" s="656"/>
      <c r="BO87" s="656"/>
      <c r="BP87" s="656"/>
      <c r="BQ87" s="656"/>
      <c r="BR87" s="656"/>
      <c r="BS87" s="656"/>
      <c r="BT87" s="656"/>
      <c r="BU87" s="656"/>
      <c r="BV87" s="656"/>
      <c r="BW87" s="656"/>
      <c r="BX87" s="656"/>
      <c r="BY87" s="656"/>
      <c r="BZ87" s="656"/>
      <c r="CA87" s="656"/>
      <c r="CB87" s="656"/>
      <c r="CC87" s="656"/>
      <c r="CD87" s="656"/>
      <c r="CE87" s="656"/>
      <c r="CF87" s="656"/>
      <c r="CG87" s="656"/>
      <c r="CH87" s="656"/>
      <c r="CI87" s="656"/>
      <c r="CJ87" s="656"/>
      <c r="CK87" s="656"/>
      <c r="CL87" s="656"/>
      <c r="CM87" s="656"/>
      <c r="CN87" s="656"/>
      <c r="CO87" s="656"/>
      <c r="CP87" s="656"/>
      <c r="CQ87" s="656"/>
      <c r="CR87" s="656"/>
      <c r="CS87" s="656"/>
      <c r="CT87" s="656"/>
      <c r="CU87" s="656"/>
      <c r="CV87" s="656"/>
      <c r="CW87" s="656"/>
      <c r="CX87" s="656"/>
      <c r="CY87" s="656"/>
      <c r="CZ87" s="656"/>
      <c r="DA87" s="656"/>
      <c r="DB87" s="656"/>
      <c r="DC87" s="656"/>
      <c r="DD87" s="656"/>
      <c r="DE87" s="656"/>
      <c r="DF87" s="656"/>
      <c r="DG87" s="656"/>
      <c r="DH87" s="656"/>
      <c r="DI87" s="656"/>
      <c r="DJ87" s="656"/>
      <c r="DK87" s="656"/>
      <c r="DL87" s="656"/>
      <c r="DM87" s="656"/>
      <c r="DN87" s="656"/>
      <c r="DO87" s="656"/>
      <c r="DP87" s="656"/>
      <c r="DQ87" s="656"/>
      <c r="DR87" s="656"/>
      <c r="DS87" s="656"/>
      <c r="DT87" s="656"/>
      <c r="DU87" s="656"/>
      <c r="DV87" s="656"/>
      <c r="DW87" s="656"/>
      <c r="DX87" s="656"/>
      <c r="DY87" s="656"/>
      <c r="DZ87" s="656"/>
      <c r="EA87" s="656"/>
      <c r="EB87" s="656"/>
      <c r="EC87" s="656"/>
      <c r="ED87" s="656"/>
      <c r="EE87" s="656"/>
      <c r="EF87" s="656"/>
      <c r="EG87" s="656"/>
      <c r="EH87" s="656"/>
      <c r="EI87" s="656"/>
      <c r="EJ87" s="656"/>
      <c r="EK87" s="656"/>
      <c r="EL87" s="656"/>
      <c r="EM87" s="656"/>
      <c r="EN87" s="656"/>
      <c r="EO87" s="656"/>
      <c r="EP87" s="656"/>
      <c r="EQ87" s="656"/>
      <c r="ER87" s="656"/>
      <c r="ES87" s="656"/>
      <c r="ET87" s="656"/>
      <c r="EU87" s="656"/>
      <c r="EV87" s="656"/>
      <c r="EW87" s="656"/>
      <c r="EX87" s="656"/>
      <c r="EY87" s="656"/>
      <c r="EZ87" s="656"/>
      <c r="FA87" s="656"/>
      <c r="FB87" s="656"/>
      <c r="FC87" s="656"/>
      <c r="FD87" s="656"/>
      <c r="FE87" s="656"/>
      <c r="FF87" s="656"/>
      <c r="FG87" s="656"/>
      <c r="FH87" s="656"/>
      <c r="FI87" s="656"/>
      <c r="FJ87" s="656"/>
      <c r="FK87" s="656"/>
      <c r="FL87" s="656"/>
      <c r="FM87" s="656"/>
      <c r="FN87" s="656"/>
      <c r="FO87" s="656"/>
      <c r="FP87" s="656"/>
      <c r="FQ87" s="656"/>
      <c r="FR87" s="656"/>
      <c r="FS87" s="656"/>
      <c r="FT87" s="656"/>
      <c r="FU87" s="656"/>
      <c r="FV87" s="656"/>
      <c r="FW87" s="656"/>
      <c r="FX87" s="656"/>
      <c r="FY87" s="656"/>
      <c r="FZ87" s="656"/>
      <c r="GA87" s="656"/>
      <c r="GB87" s="656"/>
      <c r="GC87" s="656"/>
      <c r="GD87" s="656"/>
      <c r="GE87" s="656"/>
      <c r="GF87" s="656"/>
      <c r="GG87" s="656"/>
      <c r="GH87" s="656"/>
      <c r="GI87" s="656"/>
      <c r="GJ87" s="656"/>
      <c r="GK87" s="656"/>
      <c r="GL87" s="656"/>
      <c r="GM87" s="656"/>
      <c r="GN87" s="656"/>
      <c r="GO87" s="656"/>
      <c r="GP87" s="656"/>
      <c r="GQ87" s="656"/>
      <c r="GR87" s="656"/>
      <c r="GS87" s="656"/>
      <c r="GT87" s="656"/>
      <c r="GU87" s="656"/>
      <c r="GV87" s="656"/>
      <c r="GW87" s="656"/>
      <c r="GX87" s="656"/>
      <c r="GY87" s="656"/>
      <c r="GZ87" s="656"/>
      <c r="HA87" s="656"/>
      <c r="HB87" s="656"/>
      <c r="HC87" s="656"/>
      <c r="HD87" s="656"/>
      <c r="HE87" s="656"/>
      <c r="HF87" s="656"/>
      <c r="HG87" s="656"/>
      <c r="HH87" s="656"/>
      <c r="HI87" s="656"/>
      <c r="HJ87" s="656"/>
      <c r="HK87" s="656"/>
      <c r="HL87" s="656"/>
      <c r="HM87" s="656"/>
      <c r="HN87" s="656"/>
      <c r="HO87" s="656"/>
      <c r="HP87" s="656"/>
      <c r="HQ87" s="656"/>
      <c r="HR87" s="656"/>
      <c r="HS87" s="656"/>
      <c r="HT87" s="656"/>
      <c r="HU87" s="656"/>
      <c r="HV87" s="656"/>
      <c r="HW87" s="656"/>
    </row>
    <row r="88" spans="1:231" s="657" customFormat="1" ht="57" x14ac:dyDescent="0.25">
      <c r="A88" s="646">
        <v>72</v>
      </c>
      <c r="B88" s="680" t="s">
        <v>1089</v>
      </c>
      <c r="C88" s="690" t="s">
        <v>1090</v>
      </c>
      <c r="D88" s="691" t="s">
        <v>6</v>
      </c>
      <c r="E88" s="691">
        <v>4</v>
      </c>
      <c r="F88" s="684">
        <v>1788500</v>
      </c>
      <c r="G88" s="684">
        <v>7154000</v>
      </c>
      <c r="H88" s="685">
        <v>0</v>
      </c>
      <c r="I88" s="686">
        <v>0</v>
      </c>
      <c r="J88" s="683">
        <v>4</v>
      </c>
      <c r="K88" s="684">
        <v>7154000</v>
      </c>
      <c r="L88" s="683">
        <v>4</v>
      </c>
      <c r="M88" s="684">
        <v>7154000</v>
      </c>
      <c r="N88" s="683">
        <v>4</v>
      </c>
      <c r="O88" s="687">
        <v>7154000</v>
      </c>
      <c r="P88" s="656"/>
      <c r="Q88" s="656"/>
      <c r="R88" s="656"/>
      <c r="S88" s="656"/>
      <c r="T88" s="656"/>
      <c r="U88" s="656"/>
      <c r="V88" s="656"/>
      <c r="W88" s="656"/>
      <c r="X88" s="656"/>
      <c r="Y88" s="656"/>
      <c r="Z88" s="656"/>
      <c r="AA88" s="656"/>
      <c r="AB88" s="656"/>
      <c r="AC88" s="656"/>
      <c r="AD88" s="656"/>
      <c r="AE88" s="656"/>
      <c r="AF88" s="656"/>
      <c r="AG88" s="656"/>
      <c r="AH88" s="656"/>
      <c r="AI88" s="656"/>
      <c r="AJ88" s="656"/>
      <c r="AK88" s="656"/>
      <c r="AL88" s="656"/>
      <c r="AM88" s="656"/>
      <c r="AN88" s="656"/>
      <c r="AO88" s="656"/>
      <c r="AP88" s="656"/>
      <c r="AQ88" s="656"/>
      <c r="AR88" s="656"/>
      <c r="AS88" s="656"/>
      <c r="AT88" s="656"/>
      <c r="AU88" s="656"/>
      <c r="AV88" s="656"/>
      <c r="AW88" s="656"/>
      <c r="AX88" s="656"/>
      <c r="AY88" s="656"/>
      <c r="AZ88" s="656"/>
      <c r="BA88" s="656"/>
      <c r="BB88" s="656"/>
      <c r="BC88" s="656"/>
      <c r="BD88" s="656"/>
      <c r="BE88" s="656"/>
      <c r="BF88" s="656"/>
      <c r="BG88" s="656"/>
      <c r="BH88" s="656"/>
      <c r="BI88" s="656"/>
      <c r="BJ88" s="656"/>
      <c r="BK88" s="656"/>
      <c r="BL88" s="656"/>
      <c r="BM88" s="656"/>
      <c r="BN88" s="656"/>
      <c r="BO88" s="656"/>
      <c r="BP88" s="656"/>
      <c r="BQ88" s="656"/>
      <c r="BR88" s="656"/>
      <c r="BS88" s="656"/>
      <c r="BT88" s="656"/>
      <c r="BU88" s="656"/>
      <c r="BV88" s="656"/>
      <c r="BW88" s="656"/>
      <c r="BX88" s="656"/>
      <c r="BY88" s="656"/>
      <c r="BZ88" s="656"/>
      <c r="CA88" s="656"/>
      <c r="CB88" s="656"/>
      <c r="CC88" s="656"/>
      <c r="CD88" s="656"/>
      <c r="CE88" s="656"/>
      <c r="CF88" s="656"/>
      <c r="CG88" s="656"/>
      <c r="CH88" s="656"/>
      <c r="CI88" s="656"/>
      <c r="CJ88" s="656"/>
      <c r="CK88" s="656"/>
      <c r="CL88" s="656"/>
      <c r="CM88" s="656"/>
      <c r="CN88" s="656"/>
      <c r="CO88" s="656"/>
      <c r="CP88" s="656"/>
      <c r="CQ88" s="656"/>
      <c r="CR88" s="656"/>
      <c r="CS88" s="656"/>
      <c r="CT88" s="656"/>
      <c r="CU88" s="656"/>
      <c r="CV88" s="656"/>
      <c r="CW88" s="656"/>
      <c r="CX88" s="656"/>
      <c r="CY88" s="656"/>
      <c r="CZ88" s="656"/>
      <c r="DA88" s="656"/>
      <c r="DB88" s="656"/>
      <c r="DC88" s="656"/>
      <c r="DD88" s="656"/>
      <c r="DE88" s="656"/>
      <c r="DF88" s="656"/>
      <c r="DG88" s="656"/>
      <c r="DH88" s="656"/>
      <c r="DI88" s="656"/>
      <c r="DJ88" s="656"/>
      <c r="DK88" s="656"/>
      <c r="DL88" s="656"/>
      <c r="DM88" s="656"/>
      <c r="DN88" s="656"/>
      <c r="DO88" s="656"/>
      <c r="DP88" s="656"/>
      <c r="DQ88" s="656"/>
      <c r="DR88" s="656"/>
      <c r="DS88" s="656"/>
      <c r="DT88" s="656"/>
      <c r="DU88" s="656"/>
      <c r="DV88" s="656"/>
      <c r="DW88" s="656"/>
      <c r="DX88" s="656"/>
      <c r="DY88" s="656"/>
      <c r="DZ88" s="656"/>
      <c r="EA88" s="656"/>
      <c r="EB88" s="656"/>
      <c r="EC88" s="656"/>
      <c r="ED88" s="656"/>
      <c r="EE88" s="656"/>
      <c r="EF88" s="656"/>
      <c r="EG88" s="656"/>
      <c r="EH88" s="656"/>
      <c r="EI88" s="656"/>
      <c r="EJ88" s="656"/>
      <c r="EK88" s="656"/>
      <c r="EL88" s="656"/>
      <c r="EM88" s="656"/>
      <c r="EN88" s="656"/>
      <c r="EO88" s="656"/>
      <c r="EP88" s="656"/>
      <c r="EQ88" s="656"/>
      <c r="ER88" s="656"/>
      <c r="ES88" s="656"/>
      <c r="ET88" s="656"/>
      <c r="EU88" s="656"/>
      <c r="EV88" s="656"/>
      <c r="EW88" s="656"/>
      <c r="EX88" s="656"/>
      <c r="EY88" s="656"/>
      <c r="EZ88" s="656"/>
      <c r="FA88" s="656"/>
      <c r="FB88" s="656"/>
      <c r="FC88" s="656"/>
      <c r="FD88" s="656"/>
      <c r="FE88" s="656"/>
      <c r="FF88" s="656"/>
      <c r="FG88" s="656"/>
      <c r="FH88" s="656"/>
      <c r="FI88" s="656"/>
      <c r="FJ88" s="656"/>
      <c r="FK88" s="656"/>
      <c r="FL88" s="656"/>
      <c r="FM88" s="656"/>
      <c r="FN88" s="656"/>
      <c r="FO88" s="656"/>
      <c r="FP88" s="656"/>
      <c r="FQ88" s="656"/>
      <c r="FR88" s="656"/>
      <c r="FS88" s="656"/>
      <c r="FT88" s="656"/>
      <c r="FU88" s="656"/>
      <c r="FV88" s="656"/>
      <c r="FW88" s="656"/>
      <c r="FX88" s="656"/>
      <c r="FY88" s="656"/>
      <c r="FZ88" s="656"/>
      <c r="GA88" s="656"/>
      <c r="GB88" s="656"/>
      <c r="GC88" s="656"/>
      <c r="GD88" s="656"/>
      <c r="GE88" s="656"/>
      <c r="GF88" s="656"/>
      <c r="GG88" s="656"/>
      <c r="GH88" s="656"/>
      <c r="GI88" s="656"/>
      <c r="GJ88" s="656"/>
      <c r="GK88" s="656"/>
      <c r="GL88" s="656"/>
      <c r="GM88" s="656"/>
      <c r="GN88" s="656"/>
      <c r="GO88" s="656"/>
      <c r="GP88" s="656"/>
      <c r="GQ88" s="656"/>
      <c r="GR88" s="656"/>
      <c r="GS88" s="656"/>
      <c r="GT88" s="656"/>
      <c r="GU88" s="656"/>
      <c r="GV88" s="656"/>
      <c r="GW88" s="656"/>
      <c r="GX88" s="656"/>
      <c r="GY88" s="656"/>
      <c r="GZ88" s="656"/>
      <c r="HA88" s="656"/>
      <c r="HB88" s="656"/>
      <c r="HC88" s="656"/>
      <c r="HD88" s="656"/>
      <c r="HE88" s="656"/>
      <c r="HF88" s="656"/>
      <c r="HG88" s="656"/>
      <c r="HH88" s="656"/>
      <c r="HI88" s="656"/>
      <c r="HJ88" s="656"/>
      <c r="HK88" s="656"/>
      <c r="HL88" s="656"/>
      <c r="HM88" s="656"/>
      <c r="HN88" s="656"/>
      <c r="HO88" s="656"/>
      <c r="HP88" s="656"/>
      <c r="HQ88" s="656"/>
      <c r="HR88" s="656"/>
      <c r="HS88" s="656"/>
      <c r="HT88" s="656"/>
      <c r="HU88" s="656"/>
      <c r="HV88" s="656"/>
      <c r="HW88" s="656"/>
    </row>
    <row r="89" spans="1:231" s="657" customFormat="1" ht="57" x14ac:dyDescent="0.25">
      <c r="A89" s="646">
        <v>73</v>
      </c>
      <c r="B89" s="680" t="s">
        <v>1091</v>
      </c>
      <c r="C89" s="690" t="s">
        <v>1092</v>
      </c>
      <c r="D89" s="691" t="s">
        <v>6</v>
      </c>
      <c r="E89" s="691">
        <v>2</v>
      </c>
      <c r="F89" s="684">
        <v>352827.44</v>
      </c>
      <c r="G89" s="684">
        <v>705655</v>
      </c>
      <c r="H89" s="685">
        <v>0</v>
      </c>
      <c r="I89" s="686">
        <v>-1</v>
      </c>
      <c r="J89" s="683">
        <v>1</v>
      </c>
      <c r="K89" s="684">
        <v>352827</v>
      </c>
      <c r="L89" s="683">
        <v>1</v>
      </c>
      <c r="M89" s="684">
        <v>352827</v>
      </c>
      <c r="N89" s="683">
        <v>1</v>
      </c>
      <c r="O89" s="687">
        <v>352827</v>
      </c>
      <c r="P89" s="656"/>
      <c r="Q89" s="656"/>
      <c r="R89" s="656"/>
      <c r="S89" s="656"/>
      <c r="T89" s="656"/>
      <c r="U89" s="656"/>
      <c r="V89" s="656"/>
      <c r="W89" s="656"/>
      <c r="X89" s="656"/>
      <c r="Y89" s="656"/>
      <c r="Z89" s="656"/>
      <c r="AA89" s="656"/>
      <c r="AB89" s="656"/>
      <c r="AC89" s="656"/>
      <c r="AD89" s="656"/>
      <c r="AE89" s="656"/>
      <c r="AF89" s="656"/>
      <c r="AG89" s="656"/>
      <c r="AH89" s="656"/>
      <c r="AI89" s="656"/>
      <c r="AJ89" s="656"/>
      <c r="AK89" s="656"/>
      <c r="AL89" s="656"/>
      <c r="AM89" s="656"/>
      <c r="AN89" s="656"/>
      <c r="AO89" s="656"/>
      <c r="AP89" s="656"/>
      <c r="AQ89" s="656"/>
      <c r="AR89" s="656"/>
      <c r="AS89" s="656"/>
      <c r="AT89" s="656"/>
      <c r="AU89" s="656"/>
      <c r="AV89" s="656"/>
      <c r="AW89" s="656"/>
      <c r="AX89" s="656"/>
      <c r="AY89" s="656"/>
      <c r="AZ89" s="656"/>
      <c r="BA89" s="656"/>
      <c r="BB89" s="656"/>
      <c r="BC89" s="656"/>
      <c r="BD89" s="656"/>
      <c r="BE89" s="656"/>
      <c r="BF89" s="656"/>
      <c r="BG89" s="656"/>
      <c r="BH89" s="656"/>
      <c r="BI89" s="656"/>
      <c r="BJ89" s="656"/>
      <c r="BK89" s="656"/>
      <c r="BL89" s="656"/>
      <c r="BM89" s="656"/>
      <c r="BN89" s="656"/>
      <c r="BO89" s="656"/>
      <c r="BP89" s="656"/>
      <c r="BQ89" s="656"/>
      <c r="BR89" s="656"/>
      <c r="BS89" s="656"/>
      <c r="BT89" s="656"/>
      <c r="BU89" s="656"/>
      <c r="BV89" s="656"/>
      <c r="BW89" s="656"/>
      <c r="BX89" s="656"/>
      <c r="BY89" s="656"/>
      <c r="BZ89" s="656"/>
      <c r="CA89" s="656"/>
      <c r="CB89" s="656"/>
      <c r="CC89" s="656"/>
      <c r="CD89" s="656"/>
      <c r="CE89" s="656"/>
      <c r="CF89" s="656"/>
      <c r="CG89" s="656"/>
      <c r="CH89" s="656"/>
      <c r="CI89" s="656"/>
      <c r="CJ89" s="656"/>
      <c r="CK89" s="656"/>
      <c r="CL89" s="656"/>
      <c r="CM89" s="656"/>
      <c r="CN89" s="656"/>
      <c r="CO89" s="656"/>
      <c r="CP89" s="656"/>
      <c r="CQ89" s="656"/>
      <c r="CR89" s="656"/>
      <c r="CS89" s="656"/>
      <c r="CT89" s="656"/>
      <c r="CU89" s="656"/>
      <c r="CV89" s="656"/>
      <c r="CW89" s="656"/>
      <c r="CX89" s="656"/>
      <c r="CY89" s="656"/>
      <c r="CZ89" s="656"/>
      <c r="DA89" s="656"/>
      <c r="DB89" s="656"/>
      <c r="DC89" s="656"/>
      <c r="DD89" s="656"/>
      <c r="DE89" s="656"/>
      <c r="DF89" s="656"/>
      <c r="DG89" s="656"/>
      <c r="DH89" s="656"/>
      <c r="DI89" s="656"/>
      <c r="DJ89" s="656"/>
      <c r="DK89" s="656"/>
      <c r="DL89" s="656"/>
      <c r="DM89" s="656"/>
      <c r="DN89" s="656"/>
      <c r="DO89" s="656"/>
      <c r="DP89" s="656"/>
      <c r="DQ89" s="656"/>
      <c r="DR89" s="656"/>
      <c r="DS89" s="656"/>
      <c r="DT89" s="656"/>
      <c r="DU89" s="656"/>
      <c r="DV89" s="656"/>
      <c r="DW89" s="656"/>
      <c r="DX89" s="656"/>
      <c r="DY89" s="656"/>
      <c r="DZ89" s="656"/>
      <c r="EA89" s="656"/>
      <c r="EB89" s="656"/>
      <c r="EC89" s="656"/>
      <c r="ED89" s="656"/>
      <c r="EE89" s="656"/>
      <c r="EF89" s="656"/>
      <c r="EG89" s="656"/>
      <c r="EH89" s="656"/>
      <c r="EI89" s="656"/>
      <c r="EJ89" s="656"/>
      <c r="EK89" s="656"/>
      <c r="EL89" s="656"/>
      <c r="EM89" s="656"/>
      <c r="EN89" s="656"/>
      <c r="EO89" s="656"/>
      <c r="EP89" s="656"/>
      <c r="EQ89" s="656"/>
      <c r="ER89" s="656"/>
      <c r="ES89" s="656"/>
      <c r="ET89" s="656"/>
      <c r="EU89" s="656"/>
      <c r="EV89" s="656"/>
      <c r="EW89" s="656"/>
      <c r="EX89" s="656"/>
      <c r="EY89" s="656"/>
      <c r="EZ89" s="656"/>
      <c r="FA89" s="656"/>
      <c r="FB89" s="656"/>
      <c r="FC89" s="656"/>
      <c r="FD89" s="656"/>
      <c r="FE89" s="656"/>
      <c r="FF89" s="656"/>
      <c r="FG89" s="656"/>
      <c r="FH89" s="656"/>
      <c r="FI89" s="656"/>
      <c r="FJ89" s="656"/>
      <c r="FK89" s="656"/>
      <c r="FL89" s="656"/>
      <c r="FM89" s="656"/>
      <c r="FN89" s="656"/>
      <c r="FO89" s="656"/>
      <c r="FP89" s="656"/>
      <c r="FQ89" s="656"/>
      <c r="FR89" s="656"/>
      <c r="FS89" s="656"/>
      <c r="FT89" s="656"/>
      <c r="FU89" s="656"/>
      <c r="FV89" s="656"/>
      <c r="FW89" s="656"/>
      <c r="FX89" s="656"/>
      <c r="FY89" s="656"/>
      <c r="FZ89" s="656"/>
      <c r="GA89" s="656"/>
      <c r="GB89" s="656"/>
      <c r="GC89" s="656"/>
      <c r="GD89" s="656"/>
      <c r="GE89" s="656"/>
      <c r="GF89" s="656"/>
      <c r="GG89" s="656"/>
      <c r="GH89" s="656"/>
      <c r="GI89" s="656"/>
      <c r="GJ89" s="656"/>
      <c r="GK89" s="656"/>
      <c r="GL89" s="656"/>
      <c r="GM89" s="656"/>
      <c r="GN89" s="656"/>
      <c r="GO89" s="656"/>
      <c r="GP89" s="656"/>
      <c r="GQ89" s="656"/>
      <c r="GR89" s="656"/>
      <c r="GS89" s="656"/>
      <c r="GT89" s="656"/>
      <c r="GU89" s="656"/>
      <c r="GV89" s="656"/>
      <c r="GW89" s="656"/>
      <c r="GX89" s="656"/>
      <c r="GY89" s="656"/>
      <c r="GZ89" s="656"/>
      <c r="HA89" s="656"/>
      <c r="HB89" s="656"/>
      <c r="HC89" s="656"/>
      <c r="HD89" s="656"/>
      <c r="HE89" s="656"/>
      <c r="HF89" s="656"/>
      <c r="HG89" s="656"/>
      <c r="HH89" s="656"/>
      <c r="HI89" s="656"/>
      <c r="HJ89" s="656"/>
      <c r="HK89" s="656"/>
      <c r="HL89" s="656"/>
      <c r="HM89" s="656"/>
      <c r="HN89" s="656"/>
      <c r="HO89" s="656"/>
      <c r="HP89" s="656"/>
      <c r="HQ89" s="656"/>
      <c r="HR89" s="656"/>
      <c r="HS89" s="656"/>
      <c r="HT89" s="656"/>
      <c r="HU89" s="656"/>
      <c r="HV89" s="656"/>
      <c r="HW89" s="656"/>
    </row>
    <row r="90" spans="1:231" s="657" customFormat="1" ht="57" x14ac:dyDescent="0.25">
      <c r="A90" s="646">
        <v>74</v>
      </c>
      <c r="B90" s="680" t="s">
        <v>1093</v>
      </c>
      <c r="C90" s="690" t="s">
        <v>1094</v>
      </c>
      <c r="D90" s="691" t="s">
        <v>6</v>
      </c>
      <c r="E90" s="691">
        <v>6</v>
      </c>
      <c r="F90" s="684">
        <v>1494500</v>
      </c>
      <c r="G90" s="684">
        <v>8967000</v>
      </c>
      <c r="H90" s="685">
        <v>0</v>
      </c>
      <c r="I90" s="686">
        <v>0</v>
      </c>
      <c r="J90" s="683">
        <v>6</v>
      </c>
      <c r="K90" s="684">
        <v>8967000</v>
      </c>
      <c r="L90" s="683">
        <v>6</v>
      </c>
      <c r="M90" s="684">
        <v>8967000</v>
      </c>
      <c r="N90" s="683">
        <v>6</v>
      </c>
      <c r="O90" s="687">
        <v>8967000</v>
      </c>
      <c r="P90" s="656"/>
      <c r="Q90" s="656"/>
      <c r="R90" s="656"/>
      <c r="S90" s="656"/>
      <c r="T90" s="656"/>
      <c r="U90" s="656"/>
      <c r="V90" s="656"/>
      <c r="W90" s="656"/>
      <c r="X90" s="656"/>
      <c r="Y90" s="656"/>
      <c r="Z90" s="656"/>
      <c r="AA90" s="656"/>
      <c r="AB90" s="656"/>
      <c r="AC90" s="656"/>
      <c r="AD90" s="656"/>
      <c r="AE90" s="656"/>
      <c r="AF90" s="656"/>
      <c r="AG90" s="656"/>
      <c r="AH90" s="656"/>
      <c r="AI90" s="656"/>
      <c r="AJ90" s="656"/>
      <c r="AK90" s="656"/>
      <c r="AL90" s="656"/>
      <c r="AM90" s="656"/>
      <c r="AN90" s="656"/>
      <c r="AO90" s="656"/>
      <c r="AP90" s="656"/>
      <c r="AQ90" s="656"/>
      <c r="AR90" s="656"/>
      <c r="AS90" s="656"/>
      <c r="AT90" s="656"/>
      <c r="AU90" s="656"/>
      <c r="AV90" s="656"/>
      <c r="AW90" s="656"/>
      <c r="AX90" s="656"/>
      <c r="AY90" s="656"/>
      <c r="AZ90" s="656"/>
      <c r="BA90" s="656"/>
      <c r="BB90" s="656"/>
      <c r="BC90" s="656"/>
      <c r="BD90" s="656"/>
      <c r="BE90" s="656"/>
      <c r="BF90" s="656"/>
      <c r="BG90" s="656"/>
      <c r="BH90" s="656"/>
      <c r="BI90" s="656"/>
      <c r="BJ90" s="656"/>
      <c r="BK90" s="656"/>
      <c r="BL90" s="656"/>
      <c r="BM90" s="656"/>
      <c r="BN90" s="656"/>
      <c r="BO90" s="656"/>
      <c r="BP90" s="656"/>
      <c r="BQ90" s="656"/>
      <c r="BR90" s="656"/>
      <c r="BS90" s="656"/>
      <c r="BT90" s="656"/>
      <c r="BU90" s="656"/>
      <c r="BV90" s="656"/>
      <c r="BW90" s="656"/>
      <c r="BX90" s="656"/>
      <c r="BY90" s="656"/>
      <c r="BZ90" s="656"/>
      <c r="CA90" s="656"/>
      <c r="CB90" s="656"/>
      <c r="CC90" s="656"/>
      <c r="CD90" s="656"/>
      <c r="CE90" s="656"/>
      <c r="CF90" s="656"/>
      <c r="CG90" s="656"/>
      <c r="CH90" s="656"/>
      <c r="CI90" s="656"/>
      <c r="CJ90" s="656"/>
      <c r="CK90" s="656"/>
      <c r="CL90" s="656"/>
      <c r="CM90" s="656"/>
      <c r="CN90" s="656"/>
      <c r="CO90" s="656"/>
      <c r="CP90" s="656"/>
      <c r="CQ90" s="656"/>
      <c r="CR90" s="656"/>
      <c r="CS90" s="656"/>
      <c r="CT90" s="656"/>
      <c r="CU90" s="656"/>
      <c r="CV90" s="656"/>
      <c r="CW90" s="656"/>
      <c r="CX90" s="656"/>
      <c r="CY90" s="656"/>
      <c r="CZ90" s="656"/>
      <c r="DA90" s="656"/>
      <c r="DB90" s="656"/>
      <c r="DC90" s="656"/>
      <c r="DD90" s="656"/>
      <c r="DE90" s="656"/>
      <c r="DF90" s="656"/>
      <c r="DG90" s="656"/>
      <c r="DH90" s="656"/>
      <c r="DI90" s="656"/>
      <c r="DJ90" s="656"/>
      <c r="DK90" s="656"/>
      <c r="DL90" s="656"/>
      <c r="DM90" s="656"/>
      <c r="DN90" s="656"/>
      <c r="DO90" s="656"/>
      <c r="DP90" s="656"/>
      <c r="DQ90" s="656"/>
      <c r="DR90" s="656"/>
      <c r="DS90" s="656"/>
      <c r="DT90" s="656"/>
      <c r="DU90" s="656"/>
      <c r="DV90" s="656"/>
      <c r="DW90" s="656"/>
      <c r="DX90" s="656"/>
      <c r="DY90" s="656"/>
      <c r="DZ90" s="656"/>
      <c r="EA90" s="656"/>
      <c r="EB90" s="656"/>
      <c r="EC90" s="656"/>
      <c r="ED90" s="656"/>
      <c r="EE90" s="656"/>
      <c r="EF90" s="656"/>
      <c r="EG90" s="656"/>
      <c r="EH90" s="656"/>
      <c r="EI90" s="656"/>
      <c r="EJ90" s="656"/>
      <c r="EK90" s="656"/>
      <c r="EL90" s="656"/>
      <c r="EM90" s="656"/>
      <c r="EN90" s="656"/>
      <c r="EO90" s="656"/>
      <c r="EP90" s="656"/>
      <c r="EQ90" s="656"/>
      <c r="ER90" s="656"/>
      <c r="ES90" s="656"/>
      <c r="ET90" s="656"/>
      <c r="EU90" s="656"/>
      <c r="EV90" s="656"/>
      <c r="EW90" s="656"/>
      <c r="EX90" s="656"/>
      <c r="EY90" s="656"/>
      <c r="EZ90" s="656"/>
      <c r="FA90" s="656"/>
      <c r="FB90" s="656"/>
      <c r="FC90" s="656"/>
      <c r="FD90" s="656"/>
      <c r="FE90" s="656"/>
      <c r="FF90" s="656"/>
      <c r="FG90" s="656"/>
      <c r="FH90" s="656"/>
      <c r="FI90" s="656"/>
      <c r="FJ90" s="656"/>
      <c r="FK90" s="656"/>
      <c r="FL90" s="656"/>
      <c r="FM90" s="656"/>
      <c r="FN90" s="656"/>
      <c r="FO90" s="656"/>
      <c r="FP90" s="656"/>
      <c r="FQ90" s="656"/>
      <c r="FR90" s="656"/>
      <c r="FS90" s="656"/>
      <c r="FT90" s="656"/>
      <c r="FU90" s="656"/>
      <c r="FV90" s="656"/>
      <c r="FW90" s="656"/>
      <c r="FX90" s="656"/>
      <c r="FY90" s="656"/>
      <c r="FZ90" s="656"/>
      <c r="GA90" s="656"/>
      <c r="GB90" s="656"/>
      <c r="GC90" s="656"/>
      <c r="GD90" s="656"/>
      <c r="GE90" s="656"/>
      <c r="GF90" s="656"/>
      <c r="GG90" s="656"/>
      <c r="GH90" s="656"/>
      <c r="GI90" s="656"/>
      <c r="GJ90" s="656"/>
      <c r="GK90" s="656"/>
      <c r="GL90" s="656"/>
      <c r="GM90" s="656"/>
      <c r="GN90" s="656"/>
      <c r="GO90" s="656"/>
      <c r="GP90" s="656"/>
      <c r="GQ90" s="656"/>
      <c r="GR90" s="656"/>
      <c r="GS90" s="656"/>
      <c r="GT90" s="656"/>
      <c r="GU90" s="656"/>
      <c r="GV90" s="656"/>
      <c r="GW90" s="656"/>
      <c r="GX90" s="656"/>
      <c r="GY90" s="656"/>
      <c r="GZ90" s="656"/>
      <c r="HA90" s="656"/>
      <c r="HB90" s="656"/>
      <c r="HC90" s="656"/>
      <c r="HD90" s="656"/>
      <c r="HE90" s="656"/>
      <c r="HF90" s="656"/>
      <c r="HG90" s="656"/>
      <c r="HH90" s="656"/>
      <c r="HI90" s="656"/>
      <c r="HJ90" s="656"/>
      <c r="HK90" s="656"/>
      <c r="HL90" s="656"/>
      <c r="HM90" s="656"/>
      <c r="HN90" s="656"/>
      <c r="HO90" s="656"/>
      <c r="HP90" s="656"/>
      <c r="HQ90" s="656"/>
      <c r="HR90" s="656"/>
      <c r="HS90" s="656"/>
      <c r="HT90" s="656"/>
      <c r="HU90" s="656"/>
      <c r="HV90" s="656"/>
      <c r="HW90" s="656"/>
    </row>
    <row r="91" spans="1:231" s="657" customFormat="1" ht="57" x14ac:dyDescent="0.25">
      <c r="A91" s="646">
        <v>75</v>
      </c>
      <c r="B91" s="680" t="s">
        <v>1095</v>
      </c>
      <c r="C91" s="690" t="s">
        <v>1096</v>
      </c>
      <c r="D91" s="691" t="s">
        <v>6</v>
      </c>
      <c r="E91" s="691">
        <v>3</v>
      </c>
      <c r="F91" s="684">
        <v>472360</v>
      </c>
      <c r="G91" s="684">
        <v>1417080</v>
      </c>
      <c r="H91" s="685">
        <v>3</v>
      </c>
      <c r="I91" s="686">
        <v>0</v>
      </c>
      <c r="J91" s="683">
        <v>6</v>
      </c>
      <c r="K91" s="684">
        <v>2834160</v>
      </c>
      <c r="L91" s="683">
        <v>6</v>
      </c>
      <c r="M91" s="684">
        <v>2834160</v>
      </c>
      <c r="N91" s="683">
        <v>6</v>
      </c>
      <c r="O91" s="687">
        <v>2834160</v>
      </c>
      <c r="P91" s="656"/>
      <c r="Q91" s="656"/>
      <c r="R91" s="656"/>
      <c r="S91" s="656"/>
      <c r="T91" s="656"/>
      <c r="U91" s="656"/>
      <c r="V91" s="656"/>
      <c r="W91" s="656"/>
      <c r="X91" s="656"/>
      <c r="Y91" s="656"/>
      <c r="Z91" s="656"/>
      <c r="AA91" s="656"/>
      <c r="AB91" s="656"/>
      <c r="AC91" s="656"/>
      <c r="AD91" s="656"/>
      <c r="AE91" s="656"/>
      <c r="AF91" s="656"/>
      <c r="AG91" s="656"/>
      <c r="AH91" s="656"/>
      <c r="AI91" s="656"/>
      <c r="AJ91" s="656"/>
      <c r="AK91" s="656"/>
      <c r="AL91" s="656"/>
      <c r="AM91" s="656"/>
      <c r="AN91" s="656"/>
      <c r="AO91" s="656"/>
      <c r="AP91" s="656"/>
      <c r="AQ91" s="656"/>
      <c r="AR91" s="656"/>
      <c r="AS91" s="656"/>
      <c r="AT91" s="656"/>
      <c r="AU91" s="656"/>
      <c r="AV91" s="656"/>
      <c r="AW91" s="656"/>
      <c r="AX91" s="656"/>
      <c r="AY91" s="656"/>
      <c r="AZ91" s="656"/>
      <c r="BA91" s="656"/>
      <c r="BB91" s="656"/>
      <c r="BC91" s="656"/>
      <c r="BD91" s="656"/>
      <c r="BE91" s="656"/>
      <c r="BF91" s="656"/>
      <c r="BG91" s="656"/>
      <c r="BH91" s="656"/>
      <c r="BI91" s="656"/>
      <c r="BJ91" s="656"/>
      <c r="BK91" s="656"/>
      <c r="BL91" s="656"/>
      <c r="BM91" s="656"/>
      <c r="BN91" s="656"/>
      <c r="BO91" s="656"/>
      <c r="BP91" s="656"/>
      <c r="BQ91" s="656"/>
      <c r="BR91" s="656"/>
      <c r="BS91" s="656"/>
      <c r="BT91" s="656"/>
      <c r="BU91" s="656"/>
      <c r="BV91" s="656"/>
      <c r="BW91" s="656"/>
      <c r="BX91" s="656"/>
      <c r="BY91" s="656"/>
      <c r="BZ91" s="656"/>
      <c r="CA91" s="656"/>
      <c r="CB91" s="656"/>
      <c r="CC91" s="656"/>
      <c r="CD91" s="656"/>
      <c r="CE91" s="656"/>
      <c r="CF91" s="656"/>
      <c r="CG91" s="656"/>
      <c r="CH91" s="656"/>
      <c r="CI91" s="656"/>
      <c r="CJ91" s="656"/>
      <c r="CK91" s="656"/>
      <c r="CL91" s="656"/>
      <c r="CM91" s="656"/>
      <c r="CN91" s="656"/>
      <c r="CO91" s="656"/>
      <c r="CP91" s="656"/>
      <c r="CQ91" s="656"/>
      <c r="CR91" s="656"/>
      <c r="CS91" s="656"/>
      <c r="CT91" s="656"/>
      <c r="CU91" s="656"/>
      <c r="CV91" s="656"/>
      <c r="CW91" s="656"/>
      <c r="CX91" s="656"/>
      <c r="CY91" s="656"/>
      <c r="CZ91" s="656"/>
      <c r="DA91" s="656"/>
      <c r="DB91" s="656"/>
      <c r="DC91" s="656"/>
      <c r="DD91" s="656"/>
      <c r="DE91" s="656"/>
      <c r="DF91" s="656"/>
      <c r="DG91" s="656"/>
      <c r="DH91" s="656"/>
      <c r="DI91" s="656"/>
      <c r="DJ91" s="656"/>
      <c r="DK91" s="656"/>
      <c r="DL91" s="656"/>
      <c r="DM91" s="656"/>
      <c r="DN91" s="656"/>
      <c r="DO91" s="656"/>
      <c r="DP91" s="656"/>
      <c r="DQ91" s="656"/>
      <c r="DR91" s="656"/>
      <c r="DS91" s="656"/>
      <c r="DT91" s="656"/>
      <c r="DU91" s="656"/>
      <c r="DV91" s="656"/>
      <c r="DW91" s="656"/>
      <c r="DX91" s="656"/>
      <c r="DY91" s="656"/>
      <c r="DZ91" s="656"/>
      <c r="EA91" s="656"/>
      <c r="EB91" s="656"/>
      <c r="EC91" s="656"/>
      <c r="ED91" s="656"/>
      <c r="EE91" s="656"/>
      <c r="EF91" s="656"/>
      <c r="EG91" s="656"/>
      <c r="EH91" s="656"/>
      <c r="EI91" s="656"/>
      <c r="EJ91" s="656"/>
      <c r="EK91" s="656"/>
      <c r="EL91" s="656"/>
      <c r="EM91" s="656"/>
      <c r="EN91" s="656"/>
      <c r="EO91" s="656"/>
      <c r="EP91" s="656"/>
      <c r="EQ91" s="656"/>
      <c r="ER91" s="656"/>
      <c r="ES91" s="656"/>
      <c r="ET91" s="656"/>
      <c r="EU91" s="656"/>
      <c r="EV91" s="656"/>
      <c r="EW91" s="656"/>
      <c r="EX91" s="656"/>
      <c r="EY91" s="656"/>
      <c r="EZ91" s="656"/>
      <c r="FA91" s="656"/>
      <c r="FB91" s="656"/>
      <c r="FC91" s="656"/>
      <c r="FD91" s="656"/>
      <c r="FE91" s="656"/>
      <c r="FF91" s="656"/>
      <c r="FG91" s="656"/>
      <c r="FH91" s="656"/>
      <c r="FI91" s="656"/>
      <c r="FJ91" s="656"/>
      <c r="FK91" s="656"/>
      <c r="FL91" s="656"/>
      <c r="FM91" s="656"/>
      <c r="FN91" s="656"/>
      <c r="FO91" s="656"/>
      <c r="FP91" s="656"/>
      <c r="FQ91" s="656"/>
      <c r="FR91" s="656"/>
      <c r="FS91" s="656"/>
      <c r="FT91" s="656"/>
      <c r="FU91" s="656"/>
      <c r="FV91" s="656"/>
      <c r="FW91" s="656"/>
      <c r="FX91" s="656"/>
      <c r="FY91" s="656"/>
      <c r="FZ91" s="656"/>
      <c r="GA91" s="656"/>
      <c r="GB91" s="656"/>
      <c r="GC91" s="656"/>
      <c r="GD91" s="656"/>
      <c r="GE91" s="656"/>
      <c r="GF91" s="656"/>
      <c r="GG91" s="656"/>
      <c r="GH91" s="656"/>
      <c r="GI91" s="656"/>
      <c r="GJ91" s="656"/>
      <c r="GK91" s="656"/>
      <c r="GL91" s="656"/>
      <c r="GM91" s="656"/>
      <c r="GN91" s="656"/>
      <c r="GO91" s="656"/>
      <c r="GP91" s="656"/>
      <c r="GQ91" s="656"/>
      <c r="GR91" s="656"/>
      <c r="GS91" s="656"/>
      <c r="GT91" s="656"/>
      <c r="GU91" s="656"/>
      <c r="GV91" s="656"/>
      <c r="GW91" s="656"/>
      <c r="GX91" s="656"/>
      <c r="GY91" s="656"/>
      <c r="GZ91" s="656"/>
      <c r="HA91" s="656"/>
      <c r="HB91" s="656"/>
      <c r="HC91" s="656"/>
      <c r="HD91" s="656"/>
      <c r="HE91" s="656"/>
      <c r="HF91" s="656"/>
      <c r="HG91" s="656"/>
      <c r="HH91" s="656"/>
      <c r="HI91" s="656"/>
      <c r="HJ91" s="656"/>
      <c r="HK91" s="656"/>
      <c r="HL91" s="656"/>
      <c r="HM91" s="656"/>
      <c r="HN91" s="656"/>
      <c r="HO91" s="656"/>
      <c r="HP91" s="656"/>
      <c r="HQ91" s="656"/>
      <c r="HR91" s="656"/>
      <c r="HS91" s="656"/>
      <c r="HT91" s="656"/>
      <c r="HU91" s="656"/>
      <c r="HV91" s="656"/>
      <c r="HW91" s="656"/>
    </row>
    <row r="92" spans="1:231" s="657" customFormat="1" ht="28.5" x14ac:dyDescent="0.25">
      <c r="A92" s="646">
        <v>76</v>
      </c>
      <c r="B92" s="680" t="s">
        <v>1097</v>
      </c>
      <c r="C92" s="690" t="s">
        <v>1098</v>
      </c>
      <c r="D92" s="691" t="s">
        <v>19</v>
      </c>
      <c r="E92" s="691">
        <v>5</v>
      </c>
      <c r="F92" s="684">
        <v>161421.68</v>
      </c>
      <c r="G92" s="684">
        <v>807108</v>
      </c>
      <c r="H92" s="685">
        <v>0</v>
      </c>
      <c r="I92" s="686">
        <v>0</v>
      </c>
      <c r="J92" s="683">
        <v>0</v>
      </c>
      <c r="K92" s="684">
        <v>0</v>
      </c>
      <c r="L92" s="683">
        <v>0</v>
      </c>
      <c r="M92" s="684">
        <v>0</v>
      </c>
      <c r="N92" s="683">
        <v>0</v>
      </c>
      <c r="O92" s="687">
        <v>0</v>
      </c>
      <c r="P92" s="656"/>
      <c r="Q92" s="656"/>
      <c r="R92" s="656"/>
      <c r="S92" s="656"/>
      <c r="T92" s="656"/>
      <c r="U92" s="656"/>
      <c r="V92" s="656"/>
      <c r="W92" s="656"/>
      <c r="X92" s="656"/>
      <c r="Y92" s="656"/>
      <c r="Z92" s="656"/>
      <c r="AA92" s="656"/>
      <c r="AB92" s="656"/>
      <c r="AC92" s="656"/>
      <c r="AD92" s="656"/>
      <c r="AE92" s="656"/>
      <c r="AF92" s="656"/>
      <c r="AG92" s="656"/>
      <c r="AH92" s="656"/>
      <c r="AI92" s="656"/>
      <c r="AJ92" s="656"/>
      <c r="AK92" s="656"/>
      <c r="AL92" s="656"/>
      <c r="AM92" s="656"/>
      <c r="AN92" s="656"/>
      <c r="AO92" s="656"/>
      <c r="AP92" s="656"/>
      <c r="AQ92" s="656"/>
      <c r="AR92" s="656"/>
      <c r="AS92" s="656"/>
      <c r="AT92" s="656"/>
      <c r="AU92" s="656"/>
      <c r="AV92" s="656"/>
      <c r="AW92" s="656"/>
      <c r="AX92" s="656"/>
      <c r="AY92" s="656"/>
      <c r="AZ92" s="656"/>
      <c r="BA92" s="656"/>
      <c r="BB92" s="656"/>
      <c r="BC92" s="656"/>
      <c r="BD92" s="656"/>
      <c r="BE92" s="656"/>
      <c r="BF92" s="656"/>
      <c r="BG92" s="656"/>
      <c r="BH92" s="656"/>
      <c r="BI92" s="656"/>
      <c r="BJ92" s="656"/>
      <c r="BK92" s="656"/>
      <c r="BL92" s="656"/>
      <c r="BM92" s="656"/>
      <c r="BN92" s="656"/>
      <c r="BO92" s="656"/>
      <c r="BP92" s="656"/>
      <c r="BQ92" s="656"/>
      <c r="BR92" s="656"/>
      <c r="BS92" s="656"/>
      <c r="BT92" s="656"/>
      <c r="BU92" s="656"/>
      <c r="BV92" s="656"/>
      <c r="BW92" s="656"/>
      <c r="BX92" s="656"/>
      <c r="BY92" s="656"/>
      <c r="BZ92" s="656"/>
      <c r="CA92" s="656"/>
      <c r="CB92" s="656"/>
      <c r="CC92" s="656"/>
      <c r="CD92" s="656"/>
      <c r="CE92" s="656"/>
      <c r="CF92" s="656"/>
      <c r="CG92" s="656"/>
      <c r="CH92" s="656"/>
      <c r="CI92" s="656"/>
      <c r="CJ92" s="656"/>
      <c r="CK92" s="656"/>
      <c r="CL92" s="656"/>
      <c r="CM92" s="656"/>
      <c r="CN92" s="656"/>
      <c r="CO92" s="656"/>
      <c r="CP92" s="656"/>
      <c r="CQ92" s="656"/>
      <c r="CR92" s="656"/>
      <c r="CS92" s="656"/>
      <c r="CT92" s="656"/>
      <c r="CU92" s="656"/>
      <c r="CV92" s="656"/>
      <c r="CW92" s="656"/>
      <c r="CX92" s="656"/>
      <c r="CY92" s="656"/>
      <c r="CZ92" s="656"/>
      <c r="DA92" s="656"/>
      <c r="DB92" s="656"/>
      <c r="DC92" s="656"/>
      <c r="DD92" s="656"/>
      <c r="DE92" s="656"/>
      <c r="DF92" s="656"/>
      <c r="DG92" s="656"/>
      <c r="DH92" s="656"/>
      <c r="DI92" s="656"/>
      <c r="DJ92" s="656"/>
      <c r="DK92" s="656"/>
      <c r="DL92" s="656"/>
      <c r="DM92" s="656"/>
      <c r="DN92" s="656"/>
      <c r="DO92" s="656"/>
      <c r="DP92" s="656"/>
      <c r="DQ92" s="656"/>
      <c r="DR92" s="656"/>
      <c r="DS92" s="656"/>
      <c r="DT92" s="656"/>
      <c r="DU92" s="656"/>
      <c r="DV92" s="656"/>
      <c r="DW92" s="656"/>
      <c r="DX92" s="656"/>
      <c r="DY92" s="656"/>
      <c r="DZ92" s="656"/>
      <c r="EA92" s="656"/>
      <c r="EB92" s="656"/>
      <c r="EC92" s="656"/>
      <c r="ED92" s="656"/>
      <c r="EE92" s="656"/>
      <c r="EF92" s="656"/>
      <c r="EG92" s="656"/>
      <c r="EH92" s="656"/>
      <c r="EI92" s="656"/>
      <c r="EJ92" s="656"/>
      <c r="EK92" s="656"/>
      <c r="EL92" s="656"/>
      <c r="EM92" s="656"/>
      <c r="EN92" s="656"/>
      <c r="EO92" s="656"/>
      <c r="EP92" s="656"/>
      <c r="EQ92" s="656"/>
      <c r="ER92" s="656"/>
      <c r="ES92" s="656"/>
      <c r="ET92" s="656"/>
      <c r="EU92" s="656"/>
      <c r="EV92" s="656"/>
      <c r="EW92" s="656"/>
      <c r="EX92" s="656"/>
      <c r="EY92" s="656"/>
      <c r="EZ92" s="656"/>
      <c r="FA92" s="656"/>
      <c r="FB92" s="656"/>
      <c r="FC92" s="656"/>
      <c r="FD92" s="656"/>
      <c r="FE92" s="656"/>
      <c r="FF92" s="656"/>
      <c r="FG92" s="656"/>
      <c r="FH92" s="656"/>
      <c r="FI92" s="656"/>
      <c r="FJ92" s="656"/>
      <c r="FK92" s="656"/>
      <c r="FL92" s="656"/>
      <c r="FM92" s="656"/>
      <c r="FN92" s="656"/>
      <c r="FO92" s="656"/>
      <c r="FP92" s="656"/>
      <c r="FQ92" s="656"/>
      <c r="FR92" s="656"/>
      <c r="FS92" s="656"/>
      <c r="FT92" s="656"/>
      <c r="FU92" s="656"/>
      <c r="FV92" s="656"/>
      <c r="FW92" s="656"/>
      <c r="FX92" s="656"/>
      <c r="FY92" s="656"/>
      <c r="FZ92" s="656"/>
      <c r="GA92" s="656"/>
      <c r="GB92" s="656"/>
      <c r="GC92" s="656"/>
      <c r="GD92" s="656"/>
      <c r="GE92" s="656"/>
      <c r="GF92" s="656"/>
      <c r="GG92" s="656"/>
      <c r="GH92" s="656"/>
      <c r="GI92" s="656"/>
      <c r="GJ92" s="656"/>
      <c r="GK92" s="656"/>
      <c r="GL92" s="656"/>
      <c r="GM92" s="656"/>
      <c r="GN92" s="656"/>
      <c r="GO92" s="656"/>
      <c r="GP92" s="656"/>
      <c r="GQ92" s="656"/>
      <c r="GR92" s="656"/>
      <c r="GS92" s="656"/>
      <c r="GT92" s="656"/>
      <c r="GU92" s="656"/>
      <c r="GV92" s="656"/>
      <c r="GW92" s="656"/>
      <c r="GX92" s="656"/>
      <c r="GY92" s="656"/>
      <c r="GZ92" s="656"/>
      <c r="HA92" s="656"/>
      <c r="HB92" s="656"/>
      <c r="HC92" s="656"/>
      <c r="HD92" s="656"/>
      <c r="HE92" s="656"/>
      <c r="HF92" s="656"/>
      <c r="HG92" s="656"/>
      <c r="HH92" s="656"/>
      <c r="HI92" s="656"/>
      <c r="HJ92" s="656"/>
      <c r="HK92" s="656"/>
      <c r="HL92" s="656"/>
      <c r="HM92" s="656"/>
      <c r="HN92" s="656"/>
      <c r="HO92" s="656"/>
      <c r="HP92" s="656"/>
      <c r="HQ92" s="656"/>
      <c r="HR92" s="656"/>
      <c r="HS92" s="656"/>
      <c r="HT92" s="656"/>
      <c r="HU92" s="656"/>
      <c r="HV92" s="656"/>
      <c r="HW92" s="656"/>
    </row>
    <row r="93" spans="1:231" s="657" customFormat="1" x14ac:dyDescent="0.25">
      <c r="A93" s="646">
        <v>77</v>
      </c>
      <c r="B93" s="680" t="s">
        <v>1099</v>
      </c>
      <c r="C93" s="690" t="s">
        <v>1100</v>
      </c>
      <c r="D93" s="691" t="s">
        <v>14</v>
      </c>
      <c r="E93" s="691">
        <v>4</v>
      </c>
      <c r="F93" s="684">
        <v>17382.259999999998</v>
      </c>
      <c r="G93" s="684">
        <v>69529</v>
      </c>
      <c r="H93" s="685">
        <v>0</v>
      </c>
      <c r="I93" s="686">
        <v>0</v>
      </c>
      <c r="J93" s="683">
        <v>0</v>
      </c>
      <c r="K93" s="684">
        <v>0</v>
      </c>
      <c r="L93" s="683">
        <v>0</v>
      </c>
      <c r="M93" s="684">
        <v>0</v>
      </c>
      <c r="N93" s="683">
        <v>0</v>
      </c>
      <c r="O93" s="687">
        <v>0</v>
      </c>
      <c r="P93" s="656"/>
      <c r="Q93" s="656"/>
      <c r="R93" s="656"/>
      <c r="S93" s="656"/>
      <c r="T93" s="656"/>
      <c r="U93" s="656"/>
      <c r="V93" s="656"/>
      <c r="W93" s="656"/>
      <c r="X93" s="656"/>
      <c r="Y93" s="656"/>
      <c r="Z93" s="656"/>
      <c r="AA93" s="656"/>
      <c r="AB93" s="656"/>
      <c r="AC93" s="656"/>
      <c r="AD93" s="656"/>
      <c r="AE93" s="656"/>
      <c r="AF93" s="656"/>
      <c r="AG93" s="656"/>
      <c r="AH93" s="656"/>
      <c r="AI93" s="656"/>
      <c r="AJ93" s="656"/>
      <c r="AK93" s="656"/>
      <c r="AL93" s="656"/>
      <c r="AM93" s="656"/>
      <c r="AN93" s="656"/>
      <c r="AO93" s="656"/>
      <c r="AP93" s="656"/>
      <c r="AQ93" s="656"/>
      <c r="AR93" s="656"/>
      <c r="AS93" s="656"/>
      <c r="AT93" s="656"/>
      <c r="AU93" s="656"/>
      <c r="AV93" s="656"/>
      <c r="AW93" s="656"/>
      <c r="AX93" s="656"/>
      <c r="AY93" s="656"/>
      <c r="AZ93" s="656"/>
      <c r="BA93" s="656"/>
      <c r="BB93" s="656"/>
      <c r="BC93" s="656"/>
      <c r="BD93" s="656"/>
      <c r="BE93" s="656"/>
      <c r="BF93" s="656"/>
      <c r="BG93" s="656"/>
      <c r="BH93" s="656"/>
      <c r="BI93" s="656"/>
      <c r="BJ93" s="656"/>
      <c r="BK93" s="656"/>
      <c r="BL93" s="656"/>
      <c r="BM93" s="656"/>
      <c r="BN93" s="656"/>
      <c r="BO93" s="656"/>
      <c r="BP93" s="656"/>
      <c r="BQ93" s="656"/>
      <c r="BR93" s="656"/>
      <c r="BS93" s="656"/>
      <c r="BT93" s="656"/>
      <c r="BU93" s="656"/>
      <c r="BV93" s="656"/>
      <c r="BW93" s="656"/>
      <c r="BX93" s="656"/>
      <c r="BY93" s="656"/>
      <c r="BZ93" s="656"/>
      <c r="CA93" s="656"/>
      <c r="CB93" s="656"/>
      <c r="CC93" s="656"/>
      <c r="CD93" s="656"/>
      <c r="CE93" s="656"/>
      <c r="CF93" s="656"/>
      <c r="CG93" s="656"/>
      <c r="CH93" s="656"/>
      <c r="CI93" s="656"/>
      <c r="CJ93" s="656"/>
      <c r="CK93" s="656"/>
      <c r="CL93" s="656"/>
      <c r="CM93" s="656"/>
      <c r="CN93" s="656"/>
      <c r="CO93" s="656"/>
      <c r="CP93" s="656"/>
      <c r="CQ93" s="656"/>
      <c r="CR93" s="656"/>
      <c r="CS93" s="656"/>
      <c r="CT93" s="656"/>
      <c r="CU93" s="656"/>
      <c r="CV93" s="656"/>
      <c r="CW93" s="656"/>
      <c r="CX93" s="656"/>
      <c r="CY93" s="656"/>
      <c r="CZ93" s="656"/>
      <c r="DA93" s="656"/>
      <c r="DB93" s="656"/>
      <c r="DC93" s="656"/>
      <c r="DD93" s="656"/>
      <c r="DE93" s="656"/>
      <c r="DF93" s="656"/>
      <c r="DG93" s="656"/>
      <c r="DH93" s="656"/>
      <c r="DI93" s="656"/>
      <c r="DJ93" s="656"/>
      <c r="DK93" s="656"/>
      <c r="DL93" s="656"/>
      <c r="DM93" s="656"/>
      <c r="DN93" s="656"/>
      <c r="DO93" s="656"/>
      <c r="DP93" s="656"/>
      <c r="DQ93" s="656"/>
      <c r="DR93" s="656"/>
      <c r="DS93" s="656"/>
      <c r="DT93" s="656"/>
      <c r="DU93" s="656"/>
      <c r="DV93" s="656"/>
      <c r="DW93" s="656"/>
      <c r="DX93" s="656"/>
      <c r="DY93" s="656"/>
      <c r="DZ93" s="656"/>
      <c r="EA93" s="656"/>
      <c r="EB93" s="656"/>
      <c r="EC93" s="656"/>
      <c r="ED93" s="656"/>
      <c r="EE93" s="656"/>
      <c r="EF93" s="656"/>
      <c r="EG93" s="656"/>
      <c r="EH93" s="656"/>
      <c r="EI93" s="656"/>
      <c r="EJ93" s="656"/>
      <c r="EK93" s="656"/>
      <c r="EL93" s="656"/>
      <c r="EM93" s="656"/>
      <c r="EN93" s="656"/>
      <c r="EO93" s="656"/>
      <c r="EP93" s="656"/>
      <c r="EQ93" s="656"/>
      <c r="ER93" s="656"/>
      <c r="ES93" s="656"/>
      <c r="ET93" s="656"/>
      <c r="EU93" s="656"/>
      <c r="EV93" s="656"/>
      <c r="EW93" s="656"/>
      <c r="EX93" s="656"/>
      <c r="EY93" s="656"/>
      <c r="EZ93" s="656"/>
      <c r="FA93" s="656"/>
      <c r="FB93" s="656"/>
      <c r="FC93" s="656"/>
      <c r="FD93" s="656"/>
      <c r="FE93" s="656"/>
      <c r="FF93" s="656"/>
      <c r="FG93" s="656"/>
      <c r="FH93" s="656"/>
      <c r="FI93" s="656"/>
      <c r="FJ93" s="656"/>
      <c r="FK93" s="656"/>
      <c r="FL93" s="656"/>
      <c r="FM93" s="656"/>
      <c r="FN93" s="656"/>
      <c r="FO93" s="656"/>
      <c r="FP93" s="656"/>
      <c r="FQ93" s="656"/>
      <c r="FR93" s="656"/>
      <c r="FS93" s="656"/>
      <c r="FT93" s="656"/>
      <c r="FU93" s="656"/>
      <c r="FV93" s="656"/>
      <c r="FW93" s="656"/>
      <c r="FX93" s="656"/>
      <c r="FY93" s="656"/>
      <c r="FZ93" s="656"/>
      <c r="GA93" s="656"/>
      <c r="GB93" s="656"/>
      <c r="GC93" s="656"/>
      <c r="GD93" s="656"/>
      <c r="GE93" s="656"/>
      <c r="GF93" s="656"/>
      <c r="GG93" s="656"/>
      <c r="GH93" s="656"/>
      <c r="GI93" s="656"/>
      <c r="GJ93" s="656"/>
      <c r="GK93" s="656"/>
      <c r="GL93" s="656"/>
      <c r="GM93" s="656"/>
      <c r="GN93" s="656"/>
      <c r="GO93" s="656"/>
      <c r="GP93" s="656"/>
      <c r="GQ93" s="656"/>
      <c r="GR93" s="656"/>
      <c r="GS93" s="656"/>
      <c r="GT93" s="656"/>
      <c r="GU93" s="656"/>
      <c r="GV93" s="656"/>
      <c r="GW93" s="656"/>
      <c r="GX93" s="656"/>
      <c r="GY93" s="656"/>
      <c r="GZ93" s="656"/>
      <c r="HA93" s="656"/>
      <c r="HB93" s="656"/>
      <c r="HC93" s="656"/>
      <c r="HD93" s="656"/>
      <c r="HE93" s="656"/>
      <c r="HF93" s="656"/>
      <c r="HG93" s="656"/>
      <c r="HH93" s="656"/>
      <c r="HI93" s="656"/>
      <c r="HJ93" s="656"/>
      <c r="HK93" s="656"/>
      <c r="HL93" s="656"/>
      <c r="HM93" s="656"/>
      <c r="HN93" s="656"/>
      <c r="HO93" s="656"/>
      <c r="HP93" s="656"/>
      <c r="HQ93" s="656"/>
      <c r="HR93" s="656"/>
      <c r="HS93" s="656"/>
      <c r="HT93" s="656"/>
      <c r="HU93" s="656"/>
      <c r="HV93" s="656"/>
      <c r="HW93" s="656"/>
    </row>
    <row r="94" spans="1:231" s="657" customFormat="1" ht="28.5" x14ac:dyDescent="0.25">
      <c r="A94" s="646">
        <v>78</v>
      </c>
      <c r="B94" s="680" t="s">
        <v>1101</v>
      </c>
      <c r="C94" s="690" t="s">
        <v>1102</v>
      </c>
      <c r="D94" s="691" t="s">
        <v>14</v>
      </c>
      <c r="E94" s="691">
        <v>12</v>
      </c>
      <c r="F94" s="684">
        <v>68997.88</v>
      </c>
      <c r="G94" s="684">
        <v>827975</v>
      </c>
      <c r="H94" s="685">
        <v>0</v>
      </c>
      <c r="I94" s="686">
        <v>-0.48000000000000043</v>
      </c>
      <c r="J94" s="683">
        <v>11.52</v>
      </c>
      <c r="K94" s="684">
        <v>794856</v>
      </c>
      <c r="L94" s="683">
        <v>11.52</v>
      </c>
      <c r="M94" s="684">
        <v>794856</v>
      </c>
      <c r="N94" s="683">
        <v>11.52</v>
      </c>
      <c r="O94" s="687">
        <v>794856</v>
      </c>
      <c r="P94" s="656"/>
      <c r="Q94" s="656"/>
      <c r="R94" s="656"/>
      <c r="S94" s="656"/>
      <c r="T94" s="656"/>
      <c r="U94" s="656"/>
      <c r="V94" s="656"/>
      <c r="W94" s="656"/>
      <c r="X94" s="656"/>
      <c r="Y94" s="656"/>
      <c r="Z94" s="656"/>
      <c r="AA94" s="656"/>
      <c r="AB94" s="656"/>
      <c r="AC94" s="656"/>
      <c r="AD94" s="656"/>
      <c r="AE94" s="656"/>
      <c r="AF94" s="656"/>
      <c r="AG94" s="656"/>
      <c r="AH94" s="656"/>
      <c r="AI94" s="656"/>
      <c r="AJ94" s="656"/>
      <c r="AK94" s="656"/>
      <c r="AL94" s="656"/>
      <c r="AM94" s="656"/>
      <c r="AN94" s="656"/>
      <c r="AO94" s="656"/>
      <c r="AP94" s="656"/>
      <c r="AQ94" s="656"/>
      <c r="AR94" s="656"/>
      <c r="AS94" s="656"/>
      <c r="AT94" s="656"/>
      <c r="AU94" s="656"/>
      <c r="AV94" s="656"/>
      <c r="AW94" s="656"/>
      <c r="AX94" s="656"/>
      <c r="AY94" s="656"/>
      <c r="AZ94" s="656"/>
      <c r="BA94" s="656"/>
      <c r="BB94" s="656"/>
      <c r="BC94" s="656"/>
      <c r="BD94" s="656"/>
      <c r="BE94" s="656"/>
      <c r="BF94" s="656"/>
      <c r="BG94" s="656"/>
      <c r="BH94" s="656"/>
      <c r="BI94" s="656"/>
      <c r="BJ94" s="656"/>
      <c r="BK94" s="656"/>
      <c r="BL94" s="656"/>
      <c r="BM94" s="656"/>
      <c r="BN94" s="656"/>
      <c r="BO94" s="656"/>
      <c r="BP94" s="656"/>
      <c r="BQ94" s="656"/>
      <c r="BR94" s="656"/>
      <c r="BS94" s="656"/>
      <c r="BT94" s="656"/>
      <c r="BU94" s="656"/>
      <c r="BV94" s="656"/>
      <c r="BW94" s="656"/>
      <c r="BX94" s="656"/>
      <c r="BY94" s="656"/>
      <c r="BZ94" s="656"/>
      <c r="CA94" s="656"/>
      <c r="CB94" s="656"/>
      <c r="CC94" s="656"/>
      <c r="CD94" s="656"/>
      <c r="CE94" s="656"/>
      <c r="CF94" s="656"/>
      <c r="CG94" s="656"/>
      <c r="CH94" s="656"/>
      <c r="CI94" s="656"/>
      <c r="CJ94" s="656"/>
      <c r="CK94" s="656"/>
      <c r="CL94" s="656"/>
      <c r="CM94" s="656"/>
      <c r="CN94" s="656"/>
      <c r="CO94" s="656"/>
      <c r="CP94" s="656"/>
      <c r="CQ94" s="656"/>
      <c r="CR94" s="656"/>
      <c r="CS94" s="656"/>
      <c r="CT94" s="656"/>
      <c r="CU94" s="656"/>
      <c r="CV94" s="656"/>
      <c r="CW94" s="656"/>
      <c r="CX94" s="656"/>
      <c r="CY94" s="656"/>
      <c r="CZ94" s="656"/>
      <c r="DA94" s="656"/>
      <c r="DB94" s="656"/>
      <c r="DC94" s="656"/>
      <c r="DD94" s="656"/>
      <c r="DE94" s="656"/>
      <c r="DF94" s="656"/>
      <c r="DG94" s="656"/>
      <c r="DH94" s="656"/>
      <c r="DI94" s="656"/>
      <c r="DJ94" s="656"/>
      <c r="DK94" s="656"/>
      <c r="DL94" s="656"/>
      <c r="DM94" s="656"/>
      <c r="DN94" s="656"/>
      <c r="DO94" s="656"/>
      <c r="DP94" s="656"/>
      <c r="DQ94" s="656"/>
      <c r="DR94" s="656"/>
      <c r="DS94" s="656"/>
      <c r="DT94" s="656"/>
      <c r="DU94" s="656"/>
      <c r="DV94" s="656"/>
      <c r="DW94" s="656"/>
      <c r="DX94" s="656"/>
      <c r="DY94" s="656"/>
      <c r="DZ94" s="656"/>
      <c r="EA94" s="656"/>
      <c r="EB94" s="656"/>
      <c r="EC94" s="656"/>
      <c r="ED94" s="656"/>
      <c r="EE94" s="656"/>
      <c r="EF94" s="656"/>
      <c r="EG94" s="656"/>
      <c r="EH94" s="656"/>
      <c r="EI94" s="656"/>
      <c r="EJ94" s="656"/>
      <c r="EK94" s="656"/>
      <c r="EL94" s="656"/>
      <c r="EM94" s="656"/>
      <c r="EN94" s="656"/>
      <c r="EO94" s="656"/>
      <c r="EP94" s="656"/>
      <c r="EQ94" s="656"/>
      <c r="ER94" s="656"/>
      <c r="ES94" s="656"/>
      <c r="ET94" s="656"/>
      <c r="EU94" s="656"/>
      <c r="EV94" s="656"/>
      <c r="EW94" s="656"/>
      <c r="EX94" s="656"/>
      <c r="EY94" s="656"/>
      <c r="EZ94" s="656"/>
      <c r="FA94" s="656"/>
      <c r="FB94" s="656"/>
      <c r="FC94" s="656"/>
      <c r="FD94" s="656"/>
      <c r="FE94" s="656"/>
      <c r="FF94" s="656"/>
      <c r="FG94" s="656"/>
      <c r="FH94" s="656"/>
      <c r="FI94" s="656"/>
      <c r="FJ94" s="656"/>
      <c r="FK94" s="656"/>
      <c r="FL94" s="656"/>
      <c r="FM94" s="656"/>
      <c r="FN94" s="656"/>
      <c r="FO94" s="656"/>
      <c r="FP94" s="656"/>
      <c r="FQ94" s="656"/>
      <c r="FR94" s="656"/>
      <c r="FS94" s="656"/>
      <c r="FT94" s="656"/>
      <c r="FU94" s="656"/>
      <c r="FV94" s="656"/>
      <c r="FW94" s="656"/>
      <c r="FX94" s="656"/>
      <c r="FY94" s="656"/>
      <c r="FZ94" s="656"/>
      <c r="GA94" s="656"/>
      <c r="GB94" s="656"/>
      <c r="GC94" s="656"/>
      <c r="GD94" s="656"/>
      <c r="GE94" s="656"/>
      <c r="GF94" s="656"/>
      <c r="GG94" s="656"/>
      <c r="GH94" s="656"/>
      <c r="GI94" s="656"/>
      <c r="GJ94" s="656"/>
      <c r="GK94" s="656"/>
      <c r="GL94" s="656"/>
      <c r="GM94" s="656"/>
      <c r="GN94" s="656"/>
      <c r="GO94" s="656"/>
      <c r="GP94" s="656"/>
      <c r="GQ94" s="656"/>
      <c r="GR94" s="656"/>
      <c r="GS94" s="656"/>
      <c r="GT94" s="656"/>
      <c r="GU94" s="656"/>
      <c r="GV94" s="656"/>
      <c r="GW94" s="656"/>
      <c r="GX94" s="656"/>
      <c r="GY94" s="656"/>
      <c r="GZ94" s="656"/>
      <c r="HA94" s="656"/>
      <c r="HB94" s="656"/>
      <c r="HC94" s="656"/>
      <c r="HD94" s="656"/>
      <c r="HE94" s="656"/>
      <c r="HF94" s="656"/>
      <c r="HG94" s="656"/>
      <c r="HH94" s="656"/>
      <c r="HI94" s="656"/>
      <c r="HJ94" s="656"/>
      <c r="HK94" s="656"/>
      <c r="HL94" s="656"/>
      <c r="HM94" s="656"/>
      <c r="HN94" s="656"/>
      <c r="HO94" s="656"/>
      <c r="HP94" s="656"/>
      <c r="HQ94" s="656"/>
      <c r="HR94" s="656"/>
      <c r="HS94" s="656"/>
      <c r="HT94" s="656"/>
      <c r="HU94" s="656"/>
      <c r="HV94" s="656"/>
      <c r="HW94" s="656"/>
    </row>
    <row r="95" spans="1:231" s="657" customFormat="1" x14ac:dyDescent="0.25">
      <c r="A95" s="646">
        <v>79</v>
      </c>
      <c r="B95" s="680" t="s">
        <v>1103</v>
      </c>
      <c r="C95" s="690" t="s">
        <v>1104</v>
      </c>
      <c r="D95" s="691" t="s">
        <v>6</v>
      </c>
      <c r="E95" s="691">
        <v>4</v>
      </c>
      <c r="F95" s="684">
        <v>130815.3</v>
      </c>
      <c r="G95" s="684">
        <v>523261</v>
      </c>
      <c r="H95" s="685">
        <v>8</v>
      </c>
      <c r="I95" s="686">
        <v>0</v>
      </c>
      <c r="J95" s="683">
        <v>12</v>
      </c>
      <c r="K95" s="684">
        <v>1569784</v>
      </c>
      <c r="L95" s="683">
        <v>12</v>
      </c>
      <c r="M95" s="684">
        <v>1569784</v>
      </c>
      <c r="N95" s="683">
        <v>12</v>
      </c>
      <c r="O95" s="687">
        <v>1569784</v>
      </c>
      <c r="P95" s="656"/>
      <c r="Q95" s="656"/>
      <c r="R95" s="656"/>
      <c r="S95" s="656"/>
      <c r="T95" s="656"/>
      <c r="U95" s="656"/>
      <c r="V95" s="656"/>
      <c r="W95" s="656"/>
      <c r="X95" s="656"/>
      <c r="Y95" s="656"/>
      <c r="Z95" s="656"/>
      <c r="AA95" s="656"/>
      <c r="AB95" s="656"/>
      <c r="AC95" s="656"/>
      <c r="AD95" s="656"/>
      <c r="AE95" s="656"/>
      <c r="AF95" s="656"/>
      <c r="AG95" s="656"/>
      <c r="AH95" s="656"/>
      <c r="AI95" s="656"/>
      <c r="AJ95" s="656"/>
      <c r="AK95" s="656"/>
      <c r="AL95" s="656"/>
      <c r="AM95" s="656"/>
      <c r="AN95" s="656"/>
      <c r="AO95" s="656"/>
      <c r="AP95" s="656"/>
      <c r="AQ95" s="656"/>
      <c r="AR95" s="656"/>
      <c r="AS95" s="656"/>
      <c r="AT95" s="656"/>
      <c r="AU95" s="656"/>
      <c r="AV95" s="656"/>
      <c r="AW95" s="656"/>
      <c r="AX95" s="656"/>
      <c r="AY95" s="656"/>
      <c r="AZ95" s="656"/>
      <c r="BA95" s="656"/>
      <c r="BB95" s="656"/>
      <c r="BC95" s="656"/>
      <c r="BD95" s="656"/>
      <c r="BE95" s="656"/>
      <c r="BF95" s="656"/>
      <c r="BG95" s="656"/>
      <c r="BH95" s="656"/>
      <c r="BI95" s="656"/>
      <c r="BJ95" s="656"/>
      <c r="BK95" s="656"/>
      <c r="BL95" s="656"/>
      <c r="BM95" s="656"/>
      <c r="BN95" s="656"/>
      <c r="BO95" s="656"/>
      <c r="BP95" s="656"/>
      <c r="BQ95" s="656"/>
      <c r="BR95" s="656"/>
      <c r="BS95" s="656"/>
      <c r="BT95" s="656"/>
      <c r="BU95" s="656"/>
      <c r="BV95" s="656"/>
      <c r="BW95" s="656"/>
      <c r="BX95" s="656"/>
      <c r="BY95" s="656"/>
      <c r="BZ95" s="656"/>
      <c r="CA95" s="656"/>
      <c r="CB95" s="656"/>
      <c r="CC95" s="656"/>
      <c r="CD95" s="656"/>
      <c r="CE95" s="656"/>
      <c r="CF95" s="656"/>
      <c r="CG95" s="656"/>
      <c r="CH95" s="656"/>
      <c r="CI95" s="656"/>
      <c r="CJ95" s="656"/>
      <c r="CK95" s="656"/>
      <c r="CL95" s="656"/>
      <c r="CM95" s="656"/>
      <c r="CN95" s="656"/>
      <c r="CO95" s="656"/>
      <c r="CP95" s="656"/>
      <c r="CQ95" s="656"/>
      <c r="CR95" s="656"/>
      <c r="CS95" s="656"/>
      <c r="CT95" s="656"/>
      <c r="CU95" s="656"/>
      <c r="CV95" s="656"/>
      <c r="CW95" s="656"/>
      <c r="CX95" s="656"/>
      <c r="CY95" s="656"/>
      <c r="CZ95" s="656"/>
      <c r="DA95" s="656"/>
      <c r="DB95" s="656"/>
      <c r="DC95" s="656"/>
      <c r="DD95" s="656"/>
      <c r="DE95" s="656"/>
      <c r="DF95" s="656"/>
      <c r="DG95" s="656"/>
      <c r="DH95" s="656"/>
      <c r="DI95" s="656"/>
      <c r="DJ95" s="656"/>
      <c r="DK95" s="656"/>
      <c r="DL95" s="656"/>
      <c r="DM95" s="656"/>
      <c r="DN95" s="656"/>
      <c r="DO95" s="656"/>
      <c r="DP95" s="656"/>
      <c r="DQ95" s="656"/>
      <c r="DR95" s="656"/>
      <c r="DS95" s="656"/>
      <c r="DT95" s="656"/>
      <c r="DU95" s="656"/>
      <c r="DV95" s="656"/>
      <c r="DW95" s="656"/>
      <c r="DX95" s="656"/>
      <c r="DY95" s="656"/>
      <c r="DZ95" s="656"/>
      <c r="EA95" s="656"/>
      <c r="EB95" s="656"/>
      <c r="EC95" s="656"/>
      <c r="ED95" s="656"/>
      <c r="EE95" s="656"/>
      <c r="EF95" s="656"/>
      <c r="EG95" s="656"/>
      <c r="EH95" s="656"/>
      <c r="EI95" s="656"/>
      <c r="EJ95" s="656"/>
      <c r="EK95" s="656"/>
      <c r="EL95" s="656"/>
      <c r="EM95" s="656"/>
      <c r="EN95" s="656"/>
      <c r="EO95" s="656"/>
      <c r="EP95" s="656"/>
      <c r="EQ95" s="656"/>
      <c r="ER95" s="656"/>
      <c r="ES95" s="656"/>
      <c r="ET95" s="656"/>
      <c r="EU95" s="656"/>
      <c r="EV95" s="656"/>
      <c r="EW95" s="656"/>
      <c r="EX95" s="656"/>
      <c r="EY95" s="656"/>
      <c r="EZ95" s="656"/>
      <c r="FA95" s="656"/>
      <c r="FB95" s="656"/>
      <c r="FC95" s="656"/>
      <c r="FD95" s="656"/>
      <c r="FE95" s="656"/>
      <c r="FF95" s="656"/>
      <c r="FG95" s="656"/>
      <c r="FH95" s="656"/>
      <c r="FI95" s="656"/>
      <c r="FJ95" s="656"/>
      <c r="FK95" s="656"/>
      <c r="FL95" s="656"/>
      <c r="FM95" s="656"/>
      <c r="FN95" s="656"/>
      <c r="FO95" s="656"/>
      <c r="FP95" s="656"/>
      <c r="FQ95" s="656"/>
      <c r="FR95" s="656"/>
      <c r="FS95" s="656"/>
      <c r="FT95" s="656"/>
      <c r="FU95" s="656"/>
      <c r="FV95" s="656"/>
      <c r="FW95" s="656"/>
      <c r="FX95" s="656"/>
      <c r="FY95" s="656"/>
      <c r="FZ95" s="656"/>
      <c r="GA95" s="656"/>
      <c r="GB95" s="656"/>
      <c r="GC95" s="656"/>
      <c r="GD95" s="656"/>
      <c r="GE95" s="656"/>
      <c r="GF95" s="656"/>
      <c r="GG95" s="656"/>
      <c r="GH95" s="656"/>
      <c r="GI95" s="656"/>
      <c r="GJ95" s="656"/>
      <c r="GK95" s="656"/>
      <c r="GL95" s="656"/>
      <c r="GM95" s="656"/>
      <c r="GN95" s="656"/>
      <c r="GO95" s="656"/>
      <c r="GP95" s="656"/>
      <c r="GQ95" s="656"/>
      <c r="GR95" s="656"/>
      <c r="GS95" s="656"/>
      <c r="GT95" s="656"/>
      <c r="GU95" s="656"/>
      <c r="GV95" s="656"/>
      <c r="GW95" s="656"/>
      <c r="GX95" s="656"/>
      <c r="GY95" s="656"/>
      <c r="GZ95" s="656"/>
      <c r="HA95" s="656"/>
      <c r="HB95" s="656"/>
      <c r="HC95" s="656"/>
      <c r="HD95" s="656"/>
      <c r="HE95" s="656"/>
      <c r="HF95" s="656"/>
      <c r="HG95" s="656"/>
      <c r="HH95" s="656"/>
      <c r="HI95" s="656"/>
      <c r="HJ95" s="656"/>
      <c r="HK95" s="656"/>
      <c r="HL95" s="656"/>
      <c r="HM95" s="656"/>
      <c r="HN95" s="656"/>
      <c r="HO95" s="656"/>
      <c r="HP95" s="656"/>
      <c r="HQ95" s="656"/>
      <c r="HR95" s="656"/>
      <c r="HS95" s="656"/>
      <c r="HT95" s="656"/>
      <c r="HU95" s="656"/>
      <c r="HV95" s="656"/>
      <c r="HW95" s="656"/>
    </row>
    <row r="96" spans="1:231" s="657" customFormat="1" x14ac:dyDescent="0.25">
      <c r="A96" s="646">
        <v>80</v>
      </c>
      <c r="B96" s="693" t="s">
        <v>1105</v>
      </c>
      <c r="C96" s="694" t="s">
        <v>195</v>
      </c>
      <c r="D96" s="695" t="s">
        <v>19</v>
      </c>
      <c r="E96" s="695">
        <v>2216</v>
      </c>
      <c r="F96" s="696">
        <v>3843.56</v>
      </c>
      <c r="G96" s="696">
        <v>8517329</v>
      </c>
      <c r="H96" s="688">
        <v>0</v>
      </c>
      <c r="I96" s="688">
        <v>0</v>
      </c>
      <c r="J96" s="689">
        <v>2216</v>
      </c>
      <c r="K96" s="696">
        <v>8517329</v>
      </c>
      <c r="L96" s="689">
        <v>1108</v>
      </c>
      <c r="M96" s="696">
        <v>4258664</v>
      </c>
      <c r="N96" s="689">
        <v>1108</v>
      </c>
      <c r="O96" s="697">
        <v>4258664</v>
      </c>
      <c r="P96" s="656"/>
      <c r="Q96" s="656"/>
      <c r="R96" s="656"/>
      <c r="S96" s="656"/>
      <c r="T96" s="656"/>
      <c r="U96" s="656"/>
      <c r="V96" s="656"/>
      <c r="W96" s="656"/>
      <c r="X96" s="656"/>
      <c r="Y96" s="656"/>
      <c r="Z96" s="656"/>
      <c r="AA96" s="656"/>
      <c r="AB96" s="656"/>
      <c r="AC96" s="656"/>
      <c r="AD96" s="656"/>
      <c r="AE96" s="656"/>
      <c r="AF96" s="656"/>
      <c r="AG96" s="656"/>
      <c r="AH96" s="656"/>
      <c r="AI96" s="656"/>
      <c r="AJ96" s="656"/>
      <c r="AK96" s="656"/>
      <c r="AL96" s="656"/>
      <c r="AM96" s="656"/>
      <c r="AN96" s="656"/>
      <c r="AO96" s="656"/>
      <c r="AP96" s="656"/>
      <c r="AQ96" s="656"/>
      <c r="AR96" s="656"/>
      <c r="AS96" s="656"/>
      <c r="AT96" s="656"/>
      <c r="AU96" s="656"/>
      <c r="AV96" s="656"/>
      <c r="AW96" s="656"/>
      <c r="AX96" s="656"/>
      <c r="AY96" s="656"/>
      <c r="AZ96" s="656"/>
      <c r="BA96" s="656"/>
      <c r="BB96" s="656"/>
      <c r="BC96" s="656"/>
      <c r="BD96" s="656"/>
      <c r="BE96" s="656"/>
      <c r="BF96" s="656"/>
      <c r="BG96" s="656"/>
      <c r="BH96" s="656"/>
      <c r="BI96" s="656"/>
      <c r="BJ96" s="656"/>
      <c r="BK96" s="656"/>
      <c r="BL96" s="656"/>
      <c r="BM96" s="656"/>
      <c r="BN96" s="656"/>
      <c r="BO96" s="656"/>
      <c r="BP96" s="656"/>
      <c r="BQ96" s="656"/>
      <c r="BR96" s="656"/>
      <c r="BS96" s="656"/>
      <c r="BT96" s="656"/>
      <c r="BU96" s="656"/>
      <c r="BV96" s="656"/>
      <c r="BW96" s="656"/>
      <c r="BX96" s="656"/>
      <c r="BY96" s="656"/>
      <c r="BZ96" s="656"/>
      <c r="CA96" s="656"/>
      <c r="CB96" s="656"/>
      <c r="CC96" s="656"/>
      <c r="CD96" s="656"/>
      <c r="CE96" s="656"/>
      <c r="CF96" s="656"/>
      <c r="CG96" s="656"/>
      <c r="CH96" s="656"/>
      <c r="CI96" s="656"/>
      <c r="CJ96" s="656"/>
      <c r="CK96" s="656"/>
      <c r="CL96" s="656"/>
      <c r="CM96" s="656"/>
      <c r="CN96" s="656"/>
      <c r="CO96" s="656"/>
      <c r="CP96" s="656"/>
      <c r="CQ96" s="656"/>
      <c r="CR96" s="656"/>
      <c r="CS96" s="656"/>
      <c r="CT96" s="656"/>
      <c r="CU96" s="656"/>
      <c r="CV96" s="656"/>
      <c r="CW96" s="656"/>
      <c r="CX96" s="656"/>
      <c r="CY96" s="656"/>
      <c r="CZ96" s="656"/>
      <c r="DA96" s="656"/>
      <c r="DB96" s="656"/>
      <c r="DC96" s="656"/>
      <c r="DD96" s="656"/>
      <c r="DE96" s="656"/>
      <c r="DF96" s="656"/>
      <c r="DG96" s="656"/>
      <c r="DH96" s="656"/>
      <c r="DI96" s="656"/>
      <c r="DJ96" s="656"/>
      <c r="DK96" s="656"/>
      <c r="DL96" s="656"/>
      <c r="DM96" s="656"/>
      <c r="DN96" s="656"/>
      <c r="DO96" s="656"/>
      <c r="DP96" s="656"/>
      <c r="DQ96" s="656"/>
      <c r="DR96" s="656"/>
      <c r="DS96" s="656"/>
      <c r="DT96" s="656"/>
      <c r="DU96" s="656"/>
      <c r="DV96" s="656"/>
      <c r="DW96" s="656"/>
      <c r="DX96" s="656"/>
      <c r="DY96" s="656"/>
      <c r="DZ96" s="656"/>
      <c r="EA96" s="656"/>
      <c r="EB96" s="656"/>
      <c r="EC96" s="656"/>
      <c r="ED96" s="656"/>
      <c r="EE96" s="656"/>
      <c r="EF96" s="656"/>
      <c r="EG96" s="656"/>
      <c r="EH96" s="656"/>
      <c r="EI96" s="656"/>
      <c r="EJ96" s="656"/>
      <c r="EK96" s="656"/>
      <c r="EL96" s="656"/>
      <c r="EM96" s="656"/>
      <c r="EN96" s="656"/>
      <c r="EO96" s="656"/>
      <c r="EP96" s="656"/>
      <c r="EQ96" s="656"/>
      <c r="ER96" s="656"/>
      <c r="ES96" s="656"/>
      <c r="ET96" s="656"/>
      <c r="EU96" s="656"/>
      <c r="EV96" s="656"/>
      <c r="EW96" s="656"/>
      <c r="EX96" s="656"/>
      <c r="EY96" s="656"/>
      <c r="EZ96" s="656"/>
      <c r="FA96" s="656"/>
      <c r="FB96" s="656"/>
      <c r="FC96" s="656"/>
      <c r="FD96" s="656"/>
      <c r="FE96" s="656"/>
      <c r="FF96" s="656"/>
      <c r="FG96" s="656"/>
      <c r="FH96" s="656"/>
      <c r="FI96" s="656"/>
      <c r="FJ96" s="656"/>
      <c r="FK96" s="656"/>
      <c r="FL96" s="656"/>
      <c r="FM96" s="656"/>
      <c r="FN96" s="656"/>
      <c r="FO96" s="656"/>
      <c r="FP96" s="656"/>
      <c r="FQ96" s="656"/>
      <c r="FR96" s="656"/>
      <c r="FS96" s="656"/>
      <c r="FT96" s="656"/>
      <c r="FU96" s="656"/>
      <c r="FV96" s="656"/>
      <c r="FW96" s="656"/>
      <c r="FX96" s="656"/>
      <c r="FY96" s="656"/>
      <c r="FZ96" s="656"/>
      <c r="GA96" s="656"/>
      <c r="GB96" s="656"/>
      <c r="GC96" s="656"/>
      <c r="GD96" s="656"/>
      <c r="GE96" s="656"/>
      <c r="GF96" s="656"/>
      <c r="GG96" s="656"/>
      <c r="GH96" s="656"/>
      <c r="GI96" s="656"/>
      <c r="GJ96" s="656"/>
      <c r="GK96" s="656"/>
      <c r="GL96" s="656"/>
      <c r="GM96" s="656"/>
      <c r="GN96" s="656"/>
      <c r="GO96" s="656"/>
      <c r="GP96" s="656"/>
      <c r="GQ96" s="656"/>
      <c r="GR96" s="656"/>
      <c r="GS96" s="656"/>
      <c r="GT96" s="656"/>
      <c r="GU96" s="656"/>
      <c r="GV96" s="656"/>
      <c r="GW96" s="656"/>
      <c r="GX96" s="656"/>
      <c r="GY96" s="656"/>
      <c r="GZ96" s="656"/>
      <c r="HA96" s="656"/>
      <c r="HB96" s="656"/>
      <c r="HC96" s="656"/>
      <c r="HD96" s="656"/>
      <c r="HE96" s="656"/>
      <c r="HF96" s="656"/>
      <c r="HG96" s="656"/>
      <c r="HH96" s="656"/>
      <c r="HI96" s="656"/>
      <c r="HJ96" s="656"/>
      <c r="HK96" s="656"/>
      <c r="HL96" s="656"/>
      <c r="HM96" s="656"/>
      <c r="HN96" s="656"/>
      <c r="HO96" s="656"/>
      <c r="HP96" s="656"/>
      <c r="HQ96" s="656"/>
      <c r="HR96" s="656"/>
      <c r="HS96" s="656"/>
      <c r="HT96" s="656"/>
      <c r="HU96" s="656"/>
      <c r="HV96" s="656"/>
      <c r="HW96" s="656"/>
    </row>
    <row r="97" spans="1:231" s="707" customFormat="1" x14ac:dyDescent="0.25">
      <c r="A97" s="698"/>
      <c r="B97" s="699"/>
      <c r="C97" s="700"/>
      <c r="D97" s="701"/>
      <c r="E97" s="701"/>
      <c r="F97" s="702"/>
      <c r="G97" s="702"/>
      <c r="H97" s="703"/>
      <c r="I97" s="703"/>
      <c r="J97" s="704"/>
      <c r="K97" s="702"/>
      <c r="L97" s="704"/>
      <c r="M97" s="702"/>
      <c r="N97" s="704"/>
      <c r="O97" s="705"/>
      <c r="P97" s="706"/>
      <c r="Q97" s="706"/>
      <c r="R97" s="706"/>
      <c r="S97" s="706"/>
      <c r="T97" s="706"/>
      <c r="U97" s="706"/>
      <c r="V97" s="706"/>
      <c r="W97" s="706"/>
      <c r="X97" s="706"/>
      <c r="Y97" s="706"/>
      <c r="Z97" s="706"/>
      <c r="AA97" s="706"/>
      <c r="AB97" s="706"/>
      <c r="AC97" s="706"/>
      <c r="AD97" s="706"/>
      <c r="AE97" s="706"/>
      <c r="AF97" s="706"/>
      <c r="AG97" s="706"/>
      <c r="AH97" s="706"/>
      <c r="AI97" s="706"/>
      <c r="AJ97" s="706"/>
      <c r="AK97" s="706"/>
      <c r="AL97" s="706"/>
      <c r="AM97" s="706"/>
      <c r="AN97" s="706"/>
      <c r="AO97" s="706"/>
      <c r="AP97" s="706"/>
      <c r="AQ97" s="706"/>
      <c r="AR97" s="706"/>
      <c r="AS97" s="706"/>
      <c r="AT97" s="706"/>
      <c r="AU97" s="706"/>
      <c r="AV97" s="706"/>
      <c r="AW97" s="706"/>
      <c r="AX97" s="706"/>
      <c r="AY97" s="706"/>
      <c r="AZ97" s="706"/>
      <c r="BA97" s="706"/>
      <c r="BB97" s="706"/>
      <c r="BC97" s="706"/>
      <c r="BD97" s="706"/>
      <c r="BE97" s="706"/>
      <c r="BF97" s="706"/>
      <c r="BG97" s="706"/>
      <c r="BH97" s="706"/>
      <c r="BI97" s="706"/>
      <c r="BJ97" s="706"/>
      <c r="BK97" s="706"/>
      <c r="BL97" s="706"/>
      <c r="BM97" s="706"/>
      <c r="BN97" s="706"/>
      <c r="BO97" s="706"/>
      <c r="BP97" s="706"/>
      <c r="BQ97" s="706"/>
      <c r="BR97" s="706"/>
      <c r="BS97" s="706"/>
      <c r="BT97" s="706"/>
      <c r="BU97" s="706"/>
      <c r="BV97" s="706"/>
      <c r="BW97" s="706"/>
      <c r="BX97" s="706"/>
      <c r="BY97" s="706"/>
      <c r="BZ97" s="706"/>
      <c r="CA97" s="706"/>
      <c r="CB97" s="706"/>
      <c r="CC97" s="706"/>
      <c r="CD97" s="706"/>
      <c r="CE97" s="706"/>
      <c r="CF97" s="706"/>
      <c r="CG97" s="706"/>
      <c r="CH97" s="706"/>
      <c r="CI97" s="706"/>
      <c r="CJ97" s="706"/>
      <c r="CK97" s="706"/>
      <c r="CL97" s="706"/>
      <c r="CM97" s="706"/>
      <c r="CN97" s="706"/>
      <c r="CO97" s="706"/>
      <c r="CP97" s="706"/>
      <c r="CQ97" s="706"/>
      <c r="CR97" s="706"/>
      <c r="CS97" s="706"/>
      <c r="CT97" s="706"/>
      <c r="CU97" s="706"/>
      <c r="CV97" s="706"/>
      <c r="CW97" s="706"/>
      <c r="CX97" s="706"/>
      <c r="CY97" s="706"/>
      <c r="CZ97" s="706"/>
      <c r="DA97" s="706"/>
      <c r="DB97" s="706"/>
      <c r="DC97" s="706"/>
      <c r="DD97" s="706"/>
      <c r="DE97" s="706"/>
      <c r="DF97" s="706"/>
      <c r="DG97" s="706"/>
      <c r="DH97" s="706"/>
      <c r="DI97" s="706"/>
      <c r="DJ97" s="706"/>
      <c r="DK97" s="706"/>
      <c r="DL97" s="706"/>
      <c r="DM97" s="706"/>
      <c r="DN97" s="706"/>
      <c r="DO97" s="706"/>
      <c r="DP97" s="706"/>
      <c r="DQ97" s="706"/>
      <c r="DR97" s="706"/>
      <c r="DS97" s="706"/>
      <c r="DT97" s="706"/>
      <c r="DU97" s="706"/>
      <c r="DV97" s="706"/>
      <c r="DW97" s="706"/>
      <c r="DX97" s="706"/>
      <c r="DY97" s="706"/>
      <c r="DZ97" s="706"/>
      <c r="EA97" s="706"/>
      <c r="EB97" s="706"/>
      <c r="EC97" s="706"/>
      <c r="ED97" s="706"/>
      <c r="EE97" s="706"/>
      <c r="EF97" s="706"/>
      <c r="EG97" s="706"/>
      <c r="EH97" s="706"/>
      <c r="EI97" s="706"/>
      <c r="EJ97" s="706"/>
      <c r="EK97" s="706"/>
      <c r="EL97" s="706"/>
      <c r="EM97" s="706"/>
      <c r="EN97" s="706"/>
      <c r="EO97" s="706"/>
      <c r="EP97" s="706"/>
      <c r="EQ97" s="706"/>
      <c r="ER97" s="706"/>
      <c r="ES97" s="706"/>
      <c r="ET97" s="706"/>
      <c r="EU97" s="706"/>
      <c r="EV97" s="706"/>
      <c r="EW97" s="706"/>
      <c r="EX97" s="706"/>
      <c r="EY97" s="706"/>
      <c r="EZ97" s="706"/>
      <c r="FA97" s="706"/>
      <c r="FB97" s="706"/>
      <c r="FC97" s="706"/>
      <c r="FD97" s="706"/>
      <c r="FE97" s="706"/>
      <c r="FF97" s="706"/>
      <c r="FG97" s="706"/>
      <c r="FH97" s="706"/>
      <c r="FI97" s="706"/>
      <c r="FJ97" s="706"/>
      <c r="FK97" s="706"/>
      <c r="FL97" s="706"/>
      <c r="FM97" s="706"/>
      <c r="FN97" s="706"/>
      <c r="FO97" s="706"/>
      <c r="FP97" s="706"/>
      <c r="FQ97" s="706"/>
      <c r="FR97" s="706"/>
      <c r="FS97" s="706"/>
      <c r="FT97" s="706"/>
      <c r="FU97" s="706"/>
      <c r="FV97" s="706"/>
      <c r="FW97" s="706"/>
      <c r="FX97" s="706"/>
      <c r="FY97" s="706"/>
      <c r="FZ97" s="706"/>
      <c r="GA97" s="706"/>
      <c r="GB97" s="706"/>
      <c r="GC97" s="706"/>
      <c r="GD97" s="706"/>
      <c r="GE97" s="706"/>
      <c r="GF97" s="706"/>
      <c r="GG97" s="706"/>
      <c r="GH97" s="706"/>
      <c r="GI97" s="706"/>
      <c r="GJ97" s="706"/>
      <c r="GK97" s="706"/>
      <c r="GL97" s="706"/>
      <c r="GM97" s="706"/>
      <c r="GN97" s="706"/>
      <c r="GO97" s="706"/>
      <c r="GP97" s="706"/>
      <c r="GQ97" s="706"/>
      <c r="GR97" s="706"/>
      <c r="GS97" s="706"/>
      <c r="GT97" s="706"/>
      <c r="GU97" s="706"/>
      <c r="GV97" s="706"/>
      <c r="GW97" s="706"/>
      <c r="GX97" s="706"/>
      <c r="GY97" s="706"/>
      <c r="GZ97" s="706"/>
      <c r="HA97" s="706"/>
      <c r="HB97" s="706"/>
      <c r="HC97" s="706"/>
      <c r="HD97" s="706"/>
      <c r="HE97" s="706"/>
      <c r="HF97" s="706"/>
      <c r="HG97" s="706"/>
      <c r="HH97" s="706"/>
      <c r="HI97" s="706"/>
      <c r="HJ97" s="706"/>
      <c r="HK97" s="706"/>
      <c r="HL97" s="706"/>
      <c r="HM97" s="706"/>
      <c r="HN97" s="706"/>
      <c r="HO97" s="706"/>
      <c r="HP97" s="706"/>
      <c r="HQ97" s="706"/>
      <c r="HR97" s="706"/>
      <c r="HS97" s="706"/>
      <c r="HT97" s="706"/>
      <c r="HU97" s="706"/>
      <c r="HV97" s="706"/>
      <c r="HW97" s="706"/>
    </row>
    <row r="98" spans="1:231" s="657" customFormat="1" x14ac:dyDescent="0.25">
      <c r="A98" s="646"/>
      <c r="B98" s="693"/>
      <c r="C98" s="694"/>
      <c r="D98" s="1984" t="s">
        <v>1106</v>
      </c>
      <c r="E98" s="1984"/>
      <c r="F98" s="1984"/>
      <c r="G98" s="708">
        <v>157545312</v>
      </c>
      <c r="H98" s="1984" t="s">
        <v>1106</v>
      </c>
      <c r="I98" s="1984"/>
      <c r="J98" s="1984"/>
      <c r="K98" s="708">
        <v>142609067</v>
      </c>
      <c r="L98" s="689" t="s">
        <v>1106</v>
      </c>
      <c r="M98" s="708">
        <v>90153395</v>
      </c>
      <c r="N98" s="689" t="s">
        <v>1106</v>
      </c>
      <c r="O98" s="709">
        <v>90153395</v>
      </c>
      <c r="P98" s="656"/>
      <c r="Q98" s="656"/>
      <c r="R98" s="656"/>
      <c r="S98" s="656"/>
      <c r="T98" s="656"/>
      <c r="U98" s="656"/>
      <c r="V98" s="656"/>
      <c r="W98" s="656"/>
      <c r="X98" s="656"/>
      <c r="Y98" s="656"/>
      <c r="Z98" s="656"/>
      <c r="AA98" s="656"/>
      <c r="AB98" s="656"/>
      <c r="AC98" s="656"/>
      <c r="AD98" s="656"/>
      <c r="AE98" s="656"/>
      <c r="AF98" s="656"/>
      <c r="AG98" s="656"/>
      <c r="AH98" s="656"/>
      <c r="AI98" s="656"/>
      <c r="AJ98" s="656"/>
      <c r="AK98" s="656"/>
      <c r="AL98" s="656"/>
      <c r="AM98" s="656"/>
      <c r="AN98" s="656"/>
      <c r="AO98" s="656"/>
      <c r="AP98" s="656"/>
      <c r="AQ98" s="656"/>
      <c r="AR98" s="656"/>
      <c r="AS98" s="656"/>
      <c r="AT98" s="656"/>
      <c r="AU98" s="656"/>
      <c r="AV98" s="656"/>
      <c r="AW98" s="656"/>
      <c r="AX98" s="656"/>
      <c r="AY98" s="656"/>
      <c r="AZ98" s="656"/>
      <c r="BA98" s="656"/>
      <c r="BB98" s="656"/>
      <c r="BC98" s="656"/>
      <c r="BD98" s="656"/>
      <c r="BE98" s="656"/>
      <c r="BF98" s="656"/>
      <c r="BG98" s="656"/>
      <c r="BH98" s="656"/>
      <c r="BI98" s="656"/>
      <c r="BJ98" s="656"/>
      <c r="BK98" s="656"/>
      <c r="BL98" s="656"/>
      <c r="BM98" s="656"/>
      <c r="BN98" s="656"/>
      <c r="BO98" s="656"/>
      <c r="BP98" s="656"/>
      <c r="BQ98" s="656"/>
      <c r="BR98" s="656"/>
      <c r="BS98" s="656"/>
      <c r="BT98" s="656"/>
      <c r="BU98" s="656"/>
      <c r="BV98" s="656"/>
      <c r="BW98" s="656"/>
      <c r="BX98" s="656"/>
      <c r="BY98" s="656"/>
      <c r="BZ98" s="656"/>
      <c r="CA98" s="656"/>
      <c r="CB98" s="656"/>
      <c r="CC98" s="656"/>
      <c r="CD98" s="656"/>
      <c r="CE98" s="656"/>
      <c r="CF98" s="656"/>
      <c r="CG98" s="656"/>
      <c r="CH98" s="656"/>
      <c r="CI98" s="656"/>
      <c r="CJ98" s="656"/>
      <c r="CK98" s="656"/>
      <c r="CL98" s="656"/>
      <c r="CM98" s="656"/>
      <c r="CN98" s="656"/>
      <c r="CO98" s="656"/>
      <c r="CP98" s="656"/>
      <c r="CQ98" s="656"/>
      <c r="CR98" s="656"/>
      <c r="CS98" s="656"/>
      <c r="CT98" s="656"/>
      <c r="CU98" s="656"/>
      <c r="CV98" s="656"/>
      <c r="CW98" s="656"/>
      <c r="CX98" s="656"/>
      <c r="CY98" s="656"/>
      <c r="CZ98" s="656"/>
      <c r="DA98" s="656"/>
      <c r="DB98" s="656"/>
      <c r="DC98" s="656"/>
      <c r="DD98" s="656"/>
      <c r="DE98" s="656"/>
      <c r="DF98" s="656"/>
      <c r="DG98" s="656"/>
      <c r="DH98" s="656"/>
      <c r="DI98" s="656"/>
      <c r="DJ98" s="656"/>
      <c r="DK98" s="656"/>
      <c r="DL98" s="656"/>
      <c r="DM98" s="656"/>
      <c r="DN98" s="656"/>
      <c r="DO98" s="656"/>
      <c r="DP98" s="656"/>
      <c r="DQ98" s="656"/>
      <c r="DR98" s="656"/>
      <c r="DS98" s="656"/>
      <c r="DT98" s="656"/>
      <c r="DU98" s="656"/>
      <c r="DV98" s="656"/>
      <c r="DW98" s="656"/>
      <c r="DX98" s="656"/>
      <c r="DY98" s="656"/>
      <c r="DZ98" s="656"/>
      <c r="EA98" s="656"/>
      <c r="EB98" s="656"/>
      <c r="EC98" s="656"/>
      <c r="ED98" s="656"/>
      <c r="EE98" s="656"/>
      <c r="EF98" s="656"/>
      <c r="EG98" s="656"/>
      <c r="EH98" s="656"/>
      <c r="EI98" s="656"/>
      <c r="EJ98" s="656"/>
      <c r="EK98" s="656"/>
      <c r="EL98" s="656"/>
      <c r="EM98" s="656"/>
      <c r="EN98" s="656"/>
      <c r="EO98" s="656"/>
      <c r="EP98" s="656"/>
      <c r="EQ98" s="656"/>
      <c r="ER98" s="656"/>
      <c r="ES98" s="656"/>
      <c r="ET98" s="656"/>
      <c r="EU98" s="656"/>
      <c r="EV98" s="656"/>
      <c r="EW98" s="656"/>
      <c r="EX98" s="656"/>
      <c r="EY98" s="656"/>
      <c r="EZ98" s="656"/>
      <c r="FA98" s="656"/>
      <c r="FB98" s="656"/>
      <c r="FC98" s="656"/>
      <c r="FD98" s="656"/>
      <c r="FE98" s="656"/>
      <c r="FF98" s="656"/>
      <c r="FG98" s="656"/>
      <c r="FH98" s="656"/>
      <c r="FI98" s="656"/>
      <c r="FJ98" s="656"/>
      <c r="FK98" s="656"/>
      <c r="FL98" s="656"/>
      <c r="FM98" s="656"/>
      <c r="FN98" s="656"/>
      <c r="FO98" s="656"/>
      <c r="FP98" s="656"/>
      <c r="FQ98" s="656"/>
      <c r="FR98" s="656"/>
      <c r="FS98" s="656"/>
      <c r="FT98" s="656"/>
      <c r="FU98" s="656"/>
      <c r="FV98" s="656"/>
      <c r="FW98" s="656"/>
      <c r="FX98" s="656"/>
      <c r="FY98" s="656"/>
      <c r="FZ98" s="656"/>
      <c r="GA98" s="656"/>
      <c r="GB98" s="656"/>
      <c r="GC98" s="656"/>
      <c r="GD98" s="656"/>
      <c r="GE98" s="656"/>
      <c r="GF98" s="656"/>
      <c r="GG98" s="656"/>
      <c r="GH98" s="656"/>
      <c r="GI98" s="656"/>
      <c r="GJ98" s="656"/>
      <c r="GK98" s="656"/>
      <c r="GL98" s="656"/>
      <c r="GM98" s="656"/>
      <c r="GN98" s="656"/>
      <c r="GO98" s="656"/>
      <c r="GP98" s="656"/>
      <c r="GQ98" s="656"/>
      <c r="GR98" s="656"/>
      <c r="GS98" s="656"/>
      <c r="GT98" s="656"/>
      <c r="GU98" s="656"/>
      <c r="GV98" s="656"/>
      <c r="GW98" s="656"/>
      <c r="GX98" s="656"/>
      <c r="GY98" s="656"/>
      <c r="GZ98" s="656"/>
      <c r="HA98" s="656"/>
      <c r="HB98" s="656"/>
      <c r="HC98" s="656"/>
      <c r="HD98" s="656"/>
      <c r="HE98" s="656"/>
      <c r="HF98" s="656"/>
      <c r="HG98" s="656"/>
      <c r="HH98" s="656"/>
      <c r="HI98" s="656"/>
      <c r="HJ98" s="656"/>
      <c r="HK98" s="656"/>
      <c r="HL98" s="656"/>
      <c r="HM98" s="656"/>
      <c r="HN98" s="656"/>
      <c r="HO98" s="656"/>
      <c r="HP98" s="656"/>
      <c r="HQ98" s="656"/>
      <c r="HR98" s="656"/>
      <c r="HS98" s="656"/>
      <c r="HT98" s="656"/>
      <c r="HU98" s="656"/>
      <c r="HV98" s="656"/>
      <c r="HW98" s="656"/>
    </row>
    <row r="99" spans="1:231" s="657" customFormat="1" x14ac:dyDescent="0.25">
      <c r="A99" s="646"/>
      <c r="B99" s="693"/>
      <c r="C99" s="694"/>
      <c r="D99" s="1984" t="s">
        <v>197</v>
      </c>
      <c r="E99" s="1984"/>
      <c r="F99" s="710">
        <v>0.219</v>
      </c>
      <c r="G99" s="696">
        <v>34502423</v>
      </c>
      <c r="H99" s="1984" t="s">
        <v>197</v>
      </c>
      <c r="I99" s="1984"/>
      <c r="J99" s="710">
        <v>0.219</v>
      </c>
      <c r="K99" s="696">
        <v>31231386</v>
      </c>
      <c r="L99" s="710">
        <v>0.219</v>
      </c>
      <c r="M99" s="696">
        <v>19743594</v>
      </c>
      <c r="N99" s="711">
        <v>0.219</v>
      </c>
      <c r="O99" s="697">
        <v>19743594</v>
      </c>
      <c r="P99" s="656"/>
      <c r="Q99" s="656"/>
      <c r="R99" s="656"/>
      <c r="S99" s="656"/>
      <c r="T99" s="656"/>
      <c r="U99" s="656"/>
      <c r="V99" s="656"/>
      <c r="W99" s="656"/>
      <c r="X99" s="656"/>
      <c r="Y99" s="656"/>
      <c r="Z99" s="656"/>
      <c r="AA99" s="656"/>
      <c r="AB99" s="656"/>
      <c r="AC99" s="656"/>
      <c r="AD99" s="656"/>
      <c r="AE99" s="656"/>
      <c r="AF99" s="656"/>
      <c r="AG99" s="656"/>
      <c r="AH99" s="656"/>
      <c r="AI99" s="656"/>
      <c r="AJ99" s="656"/>
      <c r="AK99" s="656"/>
      <c r="AL99" s="656"/>
      <c r="AM99" s="656"/>
      <c r="AN99" s="656"/>
      <c r="AO99" s="656"/>
      <c r="AP99" s="656"/>
      <c r="AQ99" s="656"/>
      <c r="AR99" s="656"/>
      <c r="AS99" s="656"/>
      <c r="AT99" s="656"/>
      <c r="AU99" s="656"/>
      <c r="AV99" s="656"/>
      <c r="AW99" s="656"/>
      <c r="AX99" s="656"/>
      <c r="AY99" s="656"/>
      <c r="AZ99" s="656"/>
      <c r="BA99" s="656"/>
      <c r="BB99" s="656"/>
      <c r="BC99" s="656"/>
      <c r="BD99" s="656"/>
      <c r="BE99" s="656"/>
      <c r="BF99" s="656"/>
      <c r="BG99" s="656"/>
      <c r="BH99" s="656"/>
      <c r="BI99" s="656"/>
      <c r="BJ99" s="656"/>
      <c r="BK99" s="656"/>
      <c r="BL99" s="656"/>
      <c r="BM99" s="656"/>
      <c r="BN99" s="656"/>
      <c r="BO99" s="656"/>
      <c r="BP99" s="656"/>
      <c r="BQ99" s="656"/>
      <c r="BR99" s="656"/>
      <c r="BS99" s="656"/>
      <c r="BT99" s="656"/>
      <c r="BU99" s="656"/>
      <c r="BV99" s="656"/>
      <c r="BW99" s="656"/>
      <c r="BX99" s="656"/>
      <c r="BY99" s="656"/>
      <c r="BZ99" s="656"/>
      <c r="CA99" s="656"/>
      <c r="CB99" s="656"/>
      <c r="CC99" s="656"/>
      <c r="CD99" s="656"/>
      <c r="CE99" s="656"/>
      <c r="CF99" s="656"/>
      <c r="CG99" s="656"/>
      <c r="CH99" s="656"/>
      <c r="CI99" s="656"/>
      <c r="CJ99" s="656"/>
      <c r="CK99" s="656"/>
      <c r="CL99" s="656"/>
      <c r="CM99" s="656"/>
      <c r="CN99" s="656"/>
      <c r="CO99" s="656"/>
      <c r="CP99" s="656"/>
      <c r="CQ99" s="656"/>
      <c r="CR99" s="656"/>
      <c r="CS99" s="656"/>
      <c r="CT99" s="656"/>
      <c r="CU99" s="656"/>
      <c r="CV99" s="656"/>
      <c r="CW99" s="656"/>
      <c r="CX99" s="656"/>
      <c r="CY99" s="656"/>
      <c r="CZ99" s="656"/>
      <c r="DA99" s="656"/>
      <c r="DB99" s="656"/>
      <c r="DC99" s="656"/>
      <c r="DD99" s="656"/>
      <c r="DE99" s="656"/>
      <c r="DF99" s="656"/>
      <c r="DG99" s="656"/>
      <c r="DH99" s="656"/>
      <c r="DI99" s="656"/>
      <c r="DJ99" s="656"/>
      <c r="DK99" s="656"/>
      <c r="DL99" s="656"/>
      <c r="DM99" s="656"/>
      <c r="DN99" s="656"/>
      <c r="DO99" s="656"/>
      <c r="DP99" s="656"/>
      <c r="DQ99" s="656"/>
      <c r="DR99" s="656"/>
      <c r="DS99" s="656"/>
      <c r="DT99" s="656"/>
      <c r="DU99" s="656"/>
      <c r="DV99" s="656"/>
      <c r="DW99" s="656"/>
      <c r="DX99" s="656"/>
      <c r="DY99" s="656"/>
      <c r="DZ99" s="656"/>
      <c r="EA99" s="656"/>
      <c r="EB99" s="656"/>
      <c r="EC99" s="656"/>
      <c r="ED99" s="656"/>
      <c r="EE99" s="656"/>
      <c r="EF99" s="656"/>
      <c r="EG99" s="656"/>
      <c r="EH99" s="656"/>
      <c r="EI99" s="656"/>
      <c r="EJ99" s="656"/>
      <c r="EK99" s="656"/>
      <c r="EL99" s="656"/>
      <c r="EM99" s="656"/>
      <c r="EN99" s="656"/>
      <c r="EO99" s="656"/>
      <c r="EP99" s="656"/>
      <c r="EQ99" s="656"/>
      <c r="ER99" s="656"/>
      <c r="ES99" s="656"/>
      <c r="ET99" s="656"/>
      <c r="EU99" s="656"/>
      <c r="EV99" s="656"/>
      <c r="EW99" s="656"/>
      <c r="EX99" s="656"/>
      <c r="EY99" s="656"/>
      <c r="EZ99" s="656"/>
      <c r="FA99" s="656"/>
      <c r="FB99" s="656"/>
      <c r="FC99" s="656"/>
      <c r="FD99" s="656"/>
      <c r="FE99" s="656"/>
      <c r="FF99" s="656"/>
      <c r="FG99" s="656"/>
      <c r="FH99" s="656"/>
      <c r="FI99" s="656"/>
      <c r="FJ99" s="656"/>
      <c r="FK99" s="656"/>
      <c r="FL99" s="656"/>
      <c r="FM99" s="656"/>
      <c r="FN99" s="656"/>
      <c r="FO99" s="656"/>
      <c r="FP99" s="656"/>
      <c r="FQ99" s="656"/>
      <c r="FR99" s="656"/>
      <c r="FS99" s="656"/>
      <c r="FT99" s="656"/>
      <c r="FU99" s="656"/>
      <c r="FV99" s="656"/>
      <c r="FW99" s="656"/>
      <c r="FX99" s="656"/>
      <c r="FY99" s="656"/>
      <c r="FZ99" s="656"/>
      <c r="GA99" s="656"/>
      <c r="GB99" s="656"/>
      <c r="GC99" s="656"/>
      <c r="GD99" s="656"/>
      <c r="GE99" s="656"/>
      <c r="GF99" s="656"/>
      <c r="GG99" s="656"/>
      <c r="GH99" s="656"/>
      <c r="GI99" s="656"/>
      <c r="GJ99" s="656"/>
      <c r="GK99" s="656"/>
      <c r="GL99" s="656"/>
      <c r="GM99" s="656"/>
      <c r="GN99" s="656"/>
      <c r="GO99" s="656"/>
      <c r="GP99" s="656"/>
      <c r="GQ99" s="656"/>
      <c r="GR99" s="656"/>
      <c r="GS99" s="656"/>
      <c r="GT99" s="656"/>
      <c r="GU99" s="656"/>
      <c r="GV99" s="656"/>
      <c r="GW99" s="656"/>
      <c r="GX99" s="656"/>
      <c r="GY99" s="656"/>
      <c r="GZ99" s="656"/>
      <c r="HA99" s="656"/>
      <c r="HB99" s="656"/>
      <c r="HC99" s="656"/>
      <c r="HD99" s="656"/>
      <c r="HE99" s="656"/>
      <c r="HF99" s="656"/>
      <c r="HG99" s="656"/>
      <c r="HH99" s="656"/>
      <c r="HI99" s="656"/>
      <c r="HJ99" s="656"/>
      <c r="HK99" s="656"/>
      <c r="HL99" s="656"/>
      <c r="HM99" s="656"/>
      <c r="HN99" s="656"/>
      <c r="HO99" s="656"/>
      <c r="HP99" s="656"/>
      <c r="HQ99" s="656"/>
      <c r="HR99" s="656"/>
      <c r="HS99" s="656"/>
      <c r="HT99" s="656"/>
      <c r="HU99" s="656"/>
      <c r="HV99" s="656"/>
      <c r="HW99" s="656"/>
    </row>
    <row r="100" spans="1:231" s="657" customFormat="1" x14ac:dyDescent="0.25">
      <c r="A100" s="646"/>
      <c r="B100" s="693"/>
      <c r="C100" s="694"/>
      <c r="D100" s="1984" t="s">
        <v>1107</v>
      </c>
      <c r="E100" s="1984"/>
      <c r="F100" s="710">
        <v>1E-3</v>
      </c>
      <c r="G100" s="696">
        <v>157545</v>
      </c>
      <c r="H100" s="1984" t="s">
        <v>1107</v>
      </c>
      <c r="I100" s="1984"/>
      <c r="J100" s="710">
        <v>1E-3</v>
      </c>
      <c r="K100" s="696">
        <v>142609</v>
      </c>
      <c r="L100" s="710">
        <v>1.00001E-3</v>
      </c>
      <c r="M100" s="696">
        <v>90154</v>
      </c>
      <c r="N100" s="711">
        <v>1.00001E-3</v>
      </c>
      <c r="O100" s="697">
        <v>90154</v>
      </c>
      <c r="P100" s="656"/>
      <c r="Q100" s="656"/>
      <c r="R100" s="656"/>
      <c r="S100" s="656"/>
      <c r="T100" s="656"/>
      <c r="U100" s="656"/>
      <c r="V100" s="656"/>
      <c r="W100" s="656"/>
      <c r="X100" s="656"/>
      <c r="Y100" s="656"/>
      <c r="Z100" s="656"/>
      <c r="AA100" s="656"/>
      <c r="AB100" s="656"/>
      <c r="AC100" s="656"/>
      <c r="AD100" s="656"/>
      <c r="AE100" s="656"/>
      <c r="AF100" s="656"/>
      <c r="AG100" s="656"/>
      <c r="AH100" s="656"/>
      <c r="AI100" s="656"/>
      <c r="AJ100" s="656"/>
      <c r="AK100" s="656"/>
      <c r="AL100" s="656"/>
      <c r="AM100" s="656"/>
      <c r="AN100" s="656"/>
      <c r="AO100" s="656"/>
      <c r="AP100" s="656"/>
      <c r="AQ100" s="656"/>
      <c r="AR100" s="656"/>
      <c r="AS100" s="656"/>
      <c r="AT100" s="656"/>
      <c r="AU100" s="656"/>
      <c r="AV100" s="656"/>
      <c r="AW100" s="656"/>
      <c r="AX100" s="656"/>
      <c r="AY100" s="656"/>
      <c r="AZ100" s="656"/>
      <c r="BA100" s="656"/>
      <c r="BB100" s="656"/>
      <c r="BC100" s="656"/>
      <c r="BD100" s="656"/>
      <c r="BE100" s="656"/>
      <c r="BF100" s="656"/>
      <c r="BG100" s="656"/>
      <c r="BH100" s="656"/>
      <c r="BI100" s="656"/>
      <c r="BJ100" s="656"/>
      <c r="BK100" s="656"/>
      <c r="BL100" s="656"/>
      <c r="BM100" s="656"/>
      <c r="BN100" s="656"/>
      <c r="BO100" s="656"/>
      <c r="BP100" s="656"/>
      <c r="BQ100" s="656"/>
      <c r="BR100" s="656"/>
      <c r="BS100" s="656"/>
      <c r="BT100" s="656"/>
      <c r="BU100" s="656"/>
      <c r="BV100" s="656"/>
      <c r="BW100" s="656"/>
      <c r="BX100" s="656"/>
      <c r="BY100" s="656"/>
      <c r="BZ100" s="656"/>
      <c r="CA100" s="656"/>
      <c r="CB100" s="656"/>
      <c r="CC100" s="656"/>
      <c r="CD100" s="656"/>
      <c r="CE100" s="656"/>
      <c r="CF100" s="656"/>
      <c r="CG100" s="656"/>
      <c r="CH100" s="656"/>
      <c r="CI100" s="656"/>
      <c r="CJ100" s="656"/>
      <c r="CK100" s="656"/>
      <c r="CL100" s="656"/>
      <c r="CM100" s="656"/>
      <c r="CN100" s="656"/>
      <c r="CO100" s="656"/>
      <c r="CP100" s="656"/>
      <c r="CQ100" s="656"/>
      <c r="CR100" s="656"/>
      <c r="CS100" s="656"/>
      <c r="CT100" s="656"/>
      <c r="CU100" s="656"/>
      <c r="CV100" s="656"/>
      <c r="CW100" s="656"/>
      <c r="CX100" s="656"/>
      <c r="CY100" s="656"/>
      <c r="CZ100" s="656"/>
      <c r="DA100" s="656"/>
      <c r="DB100" s="656"/>
      <c r="DC100" s="656"/>
      <c r="DD100" s="656"/>
      <c r="DE100" s="656"/>
      <c r="DF100" s="656"/>
      <c r="DG100" s="656"/>
      <c r="DH100" s="656"/>
      <c r="DI100" s="656"/>
      <c r="DJ100" s="656"/>
      <c r="DK100" s="656"/>
      <c r="DL100" s="656"/>
      <c r="DM100" s="656"/>
      <c r="DN100" s="656"/>
      <c r="DO100" s="656"/>
      <c r="DP100" s="656"/>
      <c r="DQ100" s="656"/>
      <c r="DR100" s="656"/>
      <c r="DS100" s="656"/>
      <c r="DT100" s="656"/>
      <c r="DU100" s="656"/>
      <c r="DV100" s="656"/>
      <c r="DW100" s="656"/>
      <c r="DX100" s="656"/>
      <c r="DY100" s="656"/>
      <c r="DZ100" s="656"/>
      <c r="EA100" s="656"/>
      <c r="EB100" s="656"/>
      <c r="EC100" s="656"/>
      <c r="ED100" s="656"/>
      <c r="EE100" s="656"/>
      <c r="EF100" s="656"/>
      <c r="EG100" s="656"/>
      <c r="EH100" s="656"/>
      <c r="EI100" s="656"/>
      <c r="EJ100" s="656"/>
      <c r="EK100" s="656"/>
      <c r="EL100" s="656"/>
      <c r="EM100" s="656"/>
      <c r="EN100" s="656"/>
      <c r="EO100" s="656"/>
      <c r="EP100" s="656"/>
      <c r="EQ100" s="656"/>
      <c r="ER100" s="656"/>
      <c r="ES100" s="656"/>
      <c r="ET100" s="656"/>
      <c r="EU100" s="656"/>
      <c r="EV100" s="656"/>
      <c r="EW100" s="656"/>
      <c r="EX100" s="656"/>
      <c r="EY100" s="656"/>
      <c r="EZ100" s="656"/>
      <c r="FA100" s="656"/>
      <c r="FB100" s="656"/>
      <c r="FC100" s="656"/>
      <c r="FD100" s="656"/>
      <c r="FE100" s="656"/>
      <c r="FF100" s="656"/>
      <c r="FG100" s="656"/>
      <c r="FH100" s="656"/>
      <c r="FI100" s="656"/>
      <c r="FJ100" s="656"/>
      <c r="FK100" s="656"/>
      <c r="FL100" s="656"/>
      <c r="FM100" s="656"/>
      <c r="FN100" s="656"/>
      <c r="FO100" s="656"/>
      <c r="FP100" s="656"/>
      <c r="FQ100" s="656"/>
      <c r="FR100" s="656"/>
      <c r="FS100" s="656"/>
      <c r="FT100" s="656"/>
      <c r="FU100" s="656"/>
      <c r="FV100" s="656"/>
      <c r="FW100" s="656"/>
      <c r="FX100" s="656"/>
      <c r="FY100" s="656"/>
      <c r="FZ100" s="656"/>
      <c r="GA100" s="656"/>
      <c r="GB100" s="656"/>
      <c r="GC100" s="656"/>
      <c r="GD100" s="656"/>
      <c r="GE100" s="656"/>
      <c r="GF100" s="656"/>
      <c r="GG100" s="656"/>
      <c r="GH100" s="656"/>
      <c r="GI100" s="656"/>
      <c r="GJ100" s="656"/>
      <c r="GK100" s="656"/>
      <c r="GL100" s="656"/>
      <c r="GM100" s="656"/>
      <c r="GN100" s="656"/>
      <c r="GO100" s="656"/>
      <c r="GP100" s="656"/>
      <c r="GQ100" s="656"/>
      <c r="GR100" s="656"/>
      <c r="GS100" s="656"/>
      <c r="GT100" s="656"/>
      <c r="GU100" s="656"/>
      <c r="GV100" s="656"/>
      <c r="GW100" s="656"/>
      <c r="GX100" s="656"/>
      <c r="GY100" s="656"/>
      <c r="GZ100" s="656"/>
      <c r="HA100" s="656"/>
      <c r="HB100" s="656"/>
      <c r="HC100" s="656"/>
      <c r="HD100" s="656"/>
      <c r="HE100" s="656"/>
      <c r="HF100" s="656"/>
      <c r="HG100" s="656"/>
      <c r="HH100" s="656"/>
      <c r="HI100" s="656"/>
      <c r="HJ100" s="656"/>
      <c r="HK100" s="656"/>
      <c r="HL100" s="656"/>
      <c r="HM100" s="656"/>
      <c r="HN100" s="656"/>
      <c r="HO100" s="656"/>
      <c r="HP100" s="656"/>
      <c r="HQ100" s="656"/>
      <c r="HR100" s="656"/>
      <c r="HS100" s="656"/>
      <c r="HT100" s="656"/>
      <c r="HU100" s="656"/>
      <c r="HV100" s="656"/>
      <c r="HW100" s="656"/>
    </row>
    <row r="101" spans="1:231" s="657" customFormat="1" x14ac:dyDescent="0.25">
      <c r="A101" s="646"/>
      <c r="B101" s="680"/>
      <c r="C101" s="690"/>
      <c r="D101" s="1991" t="s">
        <v>1108</v>
      </c>
      <c r="E101" s="1992"/>
      <c r="F101" s="712">
        <v>0.03</v>
      </c>
      <c r="G101" s="713">
        <v>4726359</v>
      </c>
      <c r="H101" s="1991" t="s">
        <v>1108</v>
      </c>
      <c r="I101" s="1992"/>
      <c r="J101" s="712">
        <v>0.03</v>
      </c>
      <c r="K101" s="713">
        <v>4278272</v>
      </c>
      <c r="L101" s="712">
        <v>0.03</v>
      </c>
      <c r="M101" s="684">
        <v>2704602</v>
      </c>
      <c r="N101" s="714">
        <v>0.03</v>
      </c>
      <c r="O101" s="687">
        <v>2704602</v>
      </c>
      <c r="P101" s="656"/>
      <c r="Q101" s="656"/>
      <c r="R101" s="656"/>
      <c r="S101" s="656"/>
      <c r="T101" s="656"/>
      <c r="U101" s="656"/>
      <c r="V101" s="656"/>
      <c r="W101" s="656"/>
      <c r="X101" s="656"/>
      <c r="Y101" s="656"/>
      <c r="Z101" s="656"/>
      <c r="AA101" s="656"/>
      <c r="AB101" s="656"/>
      <c r="AC101" s="656"/>
      <c r="AD101" s="656"/>
      <c r="AE101" s="656"/>
      <c r="AF101" s="656"/>
      <c r="AG101" s="656"/>
      <c r="AH101" s="656"/>
      <c r="AI101" s="656"/>
      <c r="AJ101" s="656"/>
      <c r="AK101" s="656"/>
      <c r="AL101" s="656"/>
      <c r="AM101" s="656"/>
      <c r="AN101" s="656"/>
      <c r="AO101" s="656"/>
      <c r="AP101" s="656"/>
      <c r="AQ101" s="656"/>
      <c r="AR101" s="656"/>
      <c r="AS101" s="656"/>
      <c r="AT101" s="656"/>
      <c r="AU101" s="656"/>
      <c r="AV101" s="656"/>
      <c r="AW101" s="656"/>
      <c r="AX101" s="656"/>
      <c r="AY101" s="656"/>
      <c r="AZ101" s="656"/>
      <c r="BA101" s="656"/>
      <c r="BB101" s="656"/>
      <c r="BC101" s="656"/>
      <c r="BD101" s="656"/>
      <c r="BE101" s="656"/>
      <c r="BF101" s="656"/>
      <c r="BG101" s="656"/>
      <c r="BH101" s="656"/>
      <c r="BI101" s="656"/>
      <c r="BJ101" s="656"/>
      <c r="BK101" s="656"/>
      <c r="BL101" s="656"/>
      <c r="BM101" s="656"/>
      <c r="BN101" s="656"/>
      <c r="BO101" s="656"/>
      <c r="BP101" s="656"/>
      <c r="BQ101" s="656"/>
      <c r="BR101" s="656"/>
      <c r="BS101" s="656"/>
      <c r="BT101" s="656"/>
      <c r="BU101" s="656"/>
      <c r="BV101" s="656"/>
      <c r="BW101" s="656"/>
      <c r="BX101" s="656"/>
      <c r="BY101" s="656"/>
      <c r="BZ101" s="656"/>
      <c r="CA101" s="656"/>
      <c r="CB101" s="656"/>
      <c r="CC101" s="656"/>
      <c r="CD101" s="656"/>
      <c r="CE101" s="656"/>
      <c r="CF101" s="656"/>
      <c r="CG101" s="656"/>
      <c r="CH101" s="656"/>
      <c r="CI101" s="656"/>
      <c r="CJ101" s="656"/>
      <c r="CK101" s="656"/>
      <c r="CL101" s="656"/>
      <c r="CM101" s="656"/>
      <c r="CN101" s="656"/>
      <c r="CO101" s="656"/>
      <c r="CP101" s="656"/>
      <c r="CQ101" s="656"/>
      <c r="CR101" s="656"/>
      <c r="CS101" s="656"/>
      <c r="CT101" s="656"/>
      <c r="CU101" s="656"/>
      <c r="CV101" s="656"/>
      <c r="CW101" s="656"/>
      <c r="CX101" s="656"/>
      <c r="CY101" s="656"/>
      <c r="CZ101" s="656"/>
      <c r="DA101" s="656"/>
      <c r="DB101" s="656"/>
      <c r="DC101" s="656"/>
      <c r="DD101" s="656"/>
      <c r="DE101" s="656"/>
      <c r="DF101" s="656"/>
      <c r="DG101" s="656"/>
      <c r="DH101" s="656"/>
      <c r="DI101" s="656"/>
      <c r="DJ101" s="656"/>
      <c r="DK101" s="656"/>
      <c r="DL101" s="656"/>
      <c r="DM101" s="656"/>
      <c r="DN101" s="656"/>
      <c r="DO101" s="656"/>
      <c r="DP101" s="656"/>
      <c r="DQ101" s="656"/>
      <c r="DR101" s="656"/>
      <c r="DS101" s="656"/>
      <c r="DT101" s="656"/>
      <c r="DU101" s="656"/>
      <c r="DV101" s="656"/>
      <c r="DW101" s="656"/>
      <c r="DX101" s="656"/>
      <c r="DY101" s="656"/>
      <c r="DZ101" s="656"/>
      <c r="EA101" s="656"/>
      <c r="EB101" s="656"/>
      <c r="EC101" s="656"/>
      <c r="ED101" s="656"/>
      <c r="EE101" s="656"/>
      <c r="EF101" s="656"/>
      <c r="EG101" s="656"/>
      <c r="EH101" s="656"/>
      <c r="EI101" s="656"/>
      <c r="EJ101" s="656"/>
      <c r="EK101" s="656"/>
      <c r="EL101" s="656"/>
      <c r="EM101" s="656"/>
      <c r="EN101" s="656"/>
      <c r="EO101" s="656"/>
      <c r="EP101" s="656"/>
      <c r="EQ101" s="656"/>
      <c r="ER101" s="656"/>
      <c r="ES101" s="656"/>
      <c r="ET101" s="656"/>
      <c r="EU101" s="656"/>
      <c r="EV101" s="656"/>
      <c r="EW101" s="656"/>
      <c r="EX101" s="656"/>
      <c r="EY101" s="656"/>
      <c r="EZ101" s="656"/>
      <c r="FA101" s="656"/>
      <c r="FB101" s="656"/>
      <c r="FC101" s="656"/>
      <c r="FD101" s="656"/>
      <c r="FE101" s="656"/>
      <c r="FF101" s="656"/>
      <c r="FG101" s="656"/>
      <c r="FH101" s="656"/>
      <c r="FI101" s="656"/>
      <c r="FJ101" s="656"/>
      <c r="FK101" s="656"/>
      <c r="FL101" s="656"/>
      <c r="FM101" s="656"/>
      <c r="FN101" s="656"/>
      <c r="FO101" s="656"/>
      <c r="FP101" s="656"/>
      <c r="FQ101" s="656"/>
      <c r="FR101" s="656"/>
      <c r="FS101" s="656"/>
      <c r="FT101" s="656"/>
      <c r="FU101" s="656"/>
      <c r="FV101" s="656"/>
      <c r="FW101" s="656"/>
      <c r="FX101" s="656"/>
      <c r="FY101" s="656"/>
      <c r="FZ101" s="656"/>
      <c r="GA101" s="656"/>
      <c r="GB101" s="656"/>
      <c r="GC101" s="656"/>
      <c r="GD101" s="656"/>
      <c r="GE101" s="656"/>
      <c r="GF101" s="656"/>
      <c r="GG101" s="656"/>
      <c r="GH101" s="656"/>
      <c r="GI101" s="656"/>
      <c r="GJ101" s="656"/>
      <c r="GK101" s="656"/>
      <c r="GL101" s="656"/>
      <c r="GM101" s="656"/>
      <c r="GN101" s="656"/>
      <c r="GO101" s="656"/>
      <c r="GP101" s="656"/>
      <c r="GQ101" s="656"/>
      <c r="GR101" s="656"/>
      <c r="GS101" s="656"/>
      <c r="GT101" s="656"/>
      <c r="GU101" s="656"/>
      <c r="GV101" s="656"/>
      <c r="GW101" s="656"/>
      <c r="GX101" s="656"/>
      <c r="GY101" s="656"/>
      <c r="GZ101" s="656"/>
      <c r="HA101" s="656"/>
      <c r="HB101" s="656"/>
      <c r="HC101" s="656"/>
      <c r="HD101" s="656"/>
      <c r="HE101" s="656"/>
      <c r="HF101" s="656"/>
      <c r="HG101" s="656"/>
      <c r="HH101" s="656"/>
      <c r="HI101" s="656"/>
      <c r="HJ101" s="656"/>
      <c r="HK101" s="656"/>
      <c r="HL101" s="656"/>
      <c r="HM101" s="656"/>
      <c r="HN101" s="656"/>
      <c r="HO101" s="656"/>
      <c r="HP101" s="656"/>
      <c r="HQ101" s="656"/>
      <c r="HR101" s="656"/>
      <c r="HS101" s="656"/>
      <c r="HT101" s="656"/>
      <c r="HU101" s="656"/>
      <c r="HV101" s="656"/>
      <c r="HW101" s="656"/>
    </row>
    <row r="102" spans="1:231" s="657" customFormat="1" x14ac:dyDescent="0.25">
      <c r="A102" s="646"/>
      <c r="B102" s="680"/>
      <c r="C102" s="690"/>
      <c r="D102" s="1991" t="s">
        <v>1109</v>
      </c>
      <c r="E102" s="1992"/>
      <c r="F102" s="712">
        <v>0.19</v>
      </c>
      <c r="G102" s="713">
        <v>898008</v>
      </c>
      <c r="H102" s="1991" t="s">
        <v>1109</v>
      </c>
      <c r="I102" s="1992"/>
      <c r="J102" s="712">
        <v>0.19</v>
      </c>
      <c r="K102" s="713">
        <v>812872</v>
      </c>
      <c r="L102" s="712">
        <v>0.19</v>
      </c>
      <c r="M102" s="684">
        <v>513874</v>
      </c>
      <c r="N102" s="714">
        <v>0.19</v>
      </c>
      <c r="O102" s="687">
        <v>513874</v>
      </c>
      <c r="P102" s="656"/>
      <c r="Q102" s="656"/>
      <c r="R102" s="656"/>
      <c r="S102" s="656"/>
      <c r="T102" s="656"/>
      <c r="U102" s="656"/>
      <c r="V102" s="656"/>
      <c r="W102" s="656"/>
      <c r="X102" s="656"/>
      <c r="Y102" s="656"/>
      <c r="Z102" s="656"/>
      <c r="AA102" s="656"/>
      <c r="AB102" s="656"/>
      <c r="AC102" s="656"/>
      <c r="AD102" s="656"/>
      <c r="AE102" s="656"/>
      <c r="AF102" s="656"/>
      <c r="AG102" s="656"/>
      <c r="AH102" s="656"/>
      <c r="AI102" s="656"/>
      <c r="AJ102" s="656"/>
      <c r="AK102" s="656"/>
      <c r="AL102" s="656"/>
      <c r="AM102" s="656"/>
      <c r="AN102" s="656"/>
      <c r="AO102" s="656"/>
      <c r="AP102" s="656"/>
      <c r="AQ102" s="656"/>
      <c r="AR102" s="656"/>
      <c r="AS102" s="656"/>
      <c r="AT102" s="656"/>
      <c r="AU102" s="656"/>
      <c r="AV102" s="656"/>
      <c r="AW102" s="656"/>
      <c r="AX102" s="656"/>
      <c r="AY102" s="656"/>
      <c r="AZ102" s="656"/>
      <c r="BA102" s="656"/>
      <c r="BB102" s="656"/>
      <c r="BC102" s="656"/>
      <c r="BD102" s="656"/>
      <c r="BE102" s="656"/>
      <c r="BF102" s="656"/>
      <c r="BG102" s="656"/>
      <c r="BH102" s="656"/>
      <c r="BI102" s="656"/>
      <c r="BJ102" s="656"/>
      <c r="BK102" s="656"/>
      <c r="BL102" s="656"/>
      <c r="BM102" s="656"/>
      <c r="BN102" s="656"/>
      <c r="BO102" s="656"/>
      <c r="BP102" s="656"/>
      <c r="BQ102" s="656"/>
      <c r="BR102" s="656"/>
      <c r="BS102" s="656"/>
      <c r="BT102" s="656"/>
      <c r="BU102" s="656"/>
      <c r="BV102" s="656"/>
      <c r="BW102" s="656"/>
      <c r="BX102" s="656"/>
      <c r="BY102" s="656"/>
      <c r="BZ102" s="656"/>
      <c r="CA102" s="656"/>
      <c r="CB102" s="656"/>
      <c r="CC102" s="656"/>
      <c r="CD102" s="656"/>
      <c r="CE102" s="656"/>
      <c r="CF102" s="656"/>
      <c r="CG102" s="656"/>
      <c r="CH102" s="656"/>
      <c r="CI102" s="656"/>
      <c r="CJ102" s="656"/>
      <c r="CK102" s="656"/>
      <c r="CL102" s="656"/>
      <c r="CM102" s="656"/>
      <c r="CN102" s="656"/>
      <c r="CO102" s="656"/>
      <c r="CP102" s="656"/>
      <c r="CQ102" s="656"/>
      <c r="CR102" s="656"/>
      <c r="CS102" s="656"/>
      <c r="CT102" s="656"/>
      <c r="CU102" s="656"/>
      <c r="CV102" s="656"/>
      <c r="CW102" s="656"/>
      <c r="CX102" s="656"/>
      <c r="CY102" s="656"/>
      <c r="CZ102" s="656"/>
      <c r="DA102" s="656"/>
      <c r="DB102" s="656"/>
      <c r="DC102" s="656"/>
      <c r="DD102" s="656"/>
      <c r="DE102" s="656"/>
      <c r="DF102" s="656"/>
      <c r="DG102" s="656"/>
      <c r="DH102" s="656"/>
      <c r="DI102" s="656"/>
      <c r="DJ102" s="656"/>
      <c r="DK102" s="656"/>
      <c r="DL102" s="656"/>
      <c r="DM102" s="656"/>
      <c r="DN102" s="656"/>
      <c r="DO102" s="656"/>
      <c r="DP102" s="656"/>
      <c r="DQ102" s="656"/>
      <c r="DR102" s="656"/>
      <c r="DS102" s="656"/>
      <c r="DT102" s="656"/>
      <c r="DU102" s="656"/>
      <c r="DV102" s="656"/>
      <c r="DW102" s="656"/>
      <c r="DX102" s="656"/>
      <c r="DY102" s="656"/>
      <c r="DZ102" s="656"/>
      <c r="EA102" s="656"/>
      <c r="EB102" s="656"/>
      <c r="EC102" s="656"/>
      <c r="ED102" s="656"/>
      <c r="EE102" s="656"/>
      <c r="EF102" s="656"/>
      <c r="EG102" s="656"/>
      <c r="EH102" s="656"/>
      <c r="EI102" s="656"/>
      <c r="EJ102" s="656"/>
      <c r="EK102" s="656"/>
      <c r="EL102" s="656"/>
      <c r="EM102" s="656"/>
      <c r="EN102" s="656"/>
      <c r="EO102" s="656"/>
      <c r="EP102" s="656"/>
      <c r="EQ102" s="656"/>
      <c r="ER102" s="656"/>
      <c r="ES102" s="656"/>
      <c r="ET102" s="656"/>
      <c r="EU102" s="656"/>
      <c r="EV102" s="656"/>
      <c r="EW102" s="656"/>
      <c r="EX102" s="656"/>
      <c r="EY102" s="656"/>
      <c r="EZ102" s="656"/>
      <c r="FA102" s="656"/>
      <c r="FB102" s="656"/>
      <c r="FC102" s="656"/>
      <c r="FD102" s="656"/>
      <c r="FE102" s="656"/>
      <c r="FF102" s="656"/>
      <c r="FG102" s="656"/>
      <c r="FH102" s="656"/>
      <c r="FI102" s="656"/>
      <c r="FJ102" s="656"/>
      <c r="FK102" s="656"/>
      <c r="FL102" s="656"/>
      <c r="FM102" s="656"/>
      <c r="FN102" s="656"/>
      <c r="FO102" s="656"/>
      <c r="FP102" s="656"/>
      <c r="FQ102" s="656"/>
      <c r="FR102" s="656"/>
      <c r="FS102" s="656"/>
      <c r="FT102" s="656"/>
      <c r="FU102" s="656"/>
      <c r="FV102" s="656"/>
      <c r="FW102" s="656"/>
      <c r="FX102" s="656"/>
      <c r="FY102" s="656"/>
      <c r="FZ102" s="656"/>
      <c r="GA102" s="656"/>
      <c r="GB102" s="656"/>
      <c r="GC102" s="656"/>
      <c r="GD102" s="656"/>
      <c r="GE102" s="656"/>
      <c r="GF102" s="656"/>
      <c r="GG102" s="656"/>
      <c r="GH102" s="656"/>
      <c r="GI102" s="656"/>
      <c r="GJ102" s="656"/>
      <c r="GK102" s="656"/>
      <c r="GL102" s="656"/>
      <c r="GM102" s="656"/>
      <c r="GN102" s="656"/>
      <c r="GO102" s="656"/>
      <c r="GP102" s="656"/>
      <c r="GQ102" s="656"/>
      <c r="GR102" s="656"/>
      <c r="GS102" s="656"/>
      <c r="GT102" s="656"/>
      <c r="GU102" s="656"/>
      <c r="GV102" s="656"/>
      <c r="GW102" s="656"/>
      <c r="GX102" s="656"/>
      <c r="GY102" s="656"/>
      <c r="GZ102" s="656"/>
      <c r="HA102" s="656"/>
      <c r="HB102" s="656"/>
      <c r="HC102" s="656"/>
      <c r="HD102" s="656"/>
      <c r="HE102" s="656"/>
      <c r="HF102" s="656"/>
      <c r="HG102" s="656"/>
      <c r="HH102" s="656"/>
      <c r="HI102" s="656"/>
      <c r="HJ102" s="656"/>
      <c r="HK102" s="656"/>
      <c r="HL102" s="656"/>
      <c r="HM102" s="656"/>
      <c r="HN102" s="656"/>
      <c r="HO102" s="656"/>
      <c r="HP102" s="656"/>
      <c r="HQ102" s="656"/>
      <c r="HR102" s="656"/>
      <c r="HS102" s="656"/>
      <c r="HT102" s="656"/>
      <c r="HU102" s="656"/>
      <c r="HV102" s="656"/>
      <c r="HW102" s="656"/>
    </row>
    <row r="103" spans="1:231" s="657" customFormat="1" x14ac:dyDescent="0.25">
      <c r="A103" s="646"/>
      <c r="B103" s="680"/>
      <c r="C103" s="690"/>
      <c r="D103" s="691"/>
      <c r="E103" s="1991" t="s">
        <v>1110</v>
      </c>
      <c r="F103" s="1992"/>
      <c r="G103" s="715">
        <v>197829647</v>
      </c>
      <c r="H103" s="691"/>
      <c r="I103" s="1991" t="s">
        <v>1110</v>
      </c>
      <c r="J103" s="1992"/>
      <c r="K103" s="715">
        <v>179074206</v>
      </c>
      <c r="L103" s="683" t="s">
        <v>1111</v>
      </c>
      <c r="M103" s="708">
        <v>113205619</v>
      </c>
      <c r="N103" s="716" t="s">
        <v>1111</v>
      </c>
      <c r="O103" s="717">
        <v>113205619</v>
      </c>
      <c r="P103" s="656"/>
      <c r="Q103" s="656"/>
      <c r="R103" s="656"/>
      <c r="S103" s="656"/>
      <c r="T103" s="656"/>
      <c r="U103" s="656"/>
      <c r="V103" s="656"/>
      <c r="W103" s="656"/>
      <c r="X103" s="656"/>
      <c r="Y103" s="656"/>
      <c r="Z103" s="656"/>
      <c r="AA103" s="656"/>
      <c r="AB103" s="656"/>
      <c r="AC103" s="656"/>
      <c r="AD103" s="656"/>
      <c r="AE103" s="656"/>
      <c r="AF103" s="656"/>
      <c r="AG103" s="656"/>
      <c r="AH103" s="656"/>
      <c r="AI103" s="656"/>
      <c r="AJ103" s="656"/>
      <c r="AK103" s="656"/>
      <c r="AL103" s="656"/>
      <c r="AM103" s="656"/>
      <c r="AN103" s="656"/>
      <c r="AO103" s="656"/>
      <c r="AP103" s="656"/>
      <c r="AQ103" s="656"/>
      <c r="AR103" s="656"/>
      <c r="AS103" s="656"/>
      <c r="AT103" s="656"/>
      <c r="AU103" s="656"/>
      <c r="AV103" s="656"/>
      <c r="AW103" s="656"/>
      <c r="AX103" s="656"/>
      <c r="AY103" s="656"/>
      <c r="AZ103" s="656"/>
      <c r="BA103" s="656"/>
      <c r="BB103" s="656"/>
      <c r="BC103" s="656"/>
      <c r="BD103" s="656"/>
      <c r="BE103" s="656"/>
      <c r="BF103" s="656"/>
      <c r="BG103" s="656"/>
      <c r="BH103" s="656"/>
      <c r="BI103" s="656"/>
      <c r="BJ103" s="656"/>
      <c r="BK103" s="656"/>
      <c r="BL103" s="656"/>
      <c r="BM103" s="656"/>
      <c r="BN103" s="656"/>
      <c r="BO103" s="656"/>
      <c r="BP103" s="656"/>
      <c r="BQ103" s="656"/>
      <c r="BR103" s="656"/>
      <c r="BS103" s="656"/>
      <c r="BT103" s="656"/>
      <c r="BU103" s="656"/>
      <c r="BV103" s="656"/>
      <c r="BW103" s="656"/>
      <c r="BX103" s="656"/>
      <c r="BY103" s="656"/>
      <c r="BZ103" s="656"/>
      <c r="CA103" s="656"/>
      <c r="CB103" s="656"/>
      <c r="CC103" s="656"/>
      <c r="CD103" s="656"/>
      <c r="CE103" s="656"/>
      <c r="CF103" s="656"/>
      <c r="CG103" s="656"/>
      <c r="CH103" s="656"/>
      <c r="CI103" s="656"/>
      <c r="CJ103" s="656"/>
      <c r="CK103" s="656"/>
      <c r="CL103" s="656"/>
      <c r="CM103" s="656"/>
      <c r="CN103" s="656"/>
      <c r="CO103" s="656"/>
      <c r="CP103" s="656"/>
      <c r="CQ103" s="656"/>
      <c r="CR103" s="656"/>
      <c r="CS103" s="656"/>
      <c r="CT103" s="656"/>
      <c r="CU103" s="656"/>
      <c r="CV103" s="656"/>
      <c r="CW103" s="656"/>
      <c r="CX103" s="656"/>
      <c r="CY103" s="656"/>
      <c r="CZ103" s="656"/>
      <c r="DA103" s="656"/>
      <c r="DB103" s="656"/>
      <c r="DC103" s="656"/>
      <c r="DD103" s="656"/>
      <c r="DE103" s="656"/>
      <c r="DF103" s="656"/>
      <c r="DG103" s="656"/>
      <c r="DH103" s="656"/>
      <c r="DI103" s="656"/>
      <c r="DJ103" s="656"/>
      <c r="DK103" s="656"/>
      <c r="DL103" s="656"/>
      <c r="DM103" s="656"/>
      <c r="DN103" s="656"/>
      <c r="DO103" s="656"/>
      <c r="DP103" s="656"/>
      <c r="DQ103" s="656"/>
      <c r="DR103" s="656"/>
      <c r="DS103" s="656"/>
      <c r="DT103" s="656"/>
      <c r="DU103" s="656"/>
      <c r="DV103" s="656"/>
      <c r="DW103" s="656"/>
      <c r="DX103" s="656"/>
      <c r="DY103" s="656"/>
      <c r="DZ103" s="656"/>
      <c r="EA103" s="656"/>
      <c r="EB103" s="656"/>
      <c r="EC103" s="656"/>
      <c r="ED103" s="656"/>
      <c r="EE103" s="656"/>
      <c r="EF103" s="656"/>
      <c r="EG103" s="656"/>
      <c r="EH103" s="656"/>
      <c r="EI103" s="656"/>
      <c r="EJ103" s="656"/>
      <c r="EK103" s="656"/>
      <c r="EL103" s="656"/>
      <c r="EM103" s="656"/>
      <c r="EN103" s="656"/>
      <c r="EO103" s="656"/>
      <c r="EP103" s="656"/>
      <c r="EQ103" s="656"/>
      <c r="ER103" s="656"/>
      <c r="ES103" s="656"/>
      <c r="ET103" s="656"/>
      <c r="EU103" s="656"/>
      <c r="EV103" s="656"/>
      <c r="EW103" s="656"/>
      <c r="EX103" s="656"/>
      <c r="EY103" s="656"/>
      <c r="EZ103" s="656"/>
      <c r="FA103" s="656"/>
      <c r="FB103" s="656"/>
      <c r="FC103" s="656"/>
      <c r="FD103" s="656"/>
      <c r="FE103" s="656"/>
      <c r="FF103" s="656"/>
      <c r="FG103" s="656"/>
      <c r="FH103" s="656"/>
      <c r="FI103" s="656"/>
      <c r="FJ103" s="656"/>
      <c r="FK103" s="656"/>
      <c r="FL103" s="656"/>
      <c r="FM103" s="656"/>
      <c r="FN103" s="656"/>
      <c r="FO103" s="656"/>
      <c r="FP103" s="656"/>
      <c r="FQ103" s="656"/>
      <c r="FR103" s="656"/>
      <c r="FS103" s="656"/>
      <c r="FT103" s="656"/>
      <c r="FU103" s="656"/>
      <c r="FV103" s="656"/>
      <c r="FW103" s="656"/>
      <c r="FX103" s="656"/>
      <c r="FY103" s="656"/>
      <c r="FZ103" s="656"/>
      <c r="GA103" s="656"/>
      <c r="GB103" s="656"/>
      <c r="GC103" s="656"/>
      <c r="GD103" s="656"/>
      <c r="GE103" s="656"/>
      <c r="GF103" s="656"/>
      <c r="GG103" s="656"/>
      <c r="GH103" s="656"/>
      <c r="GI103" s="656"/>
      <c r="GJ103" s="656"/>
      <c r="GK103" s="656"/>
      <c r="GL103" s="656"/>
      <c r="GM103" s="656"/>
      <c r="GN103" s="656"/>
      <c r="GO103" s="656"/>
      <c r="GP103" s="656"/>
      <c r="GQ103" s="656"/>
      <c r="GR103" s="656"/>
      <c r="GS103" s="656"/>
      <c r="GT103" s="656"/>
      <c r="GU103" s="656"/>
      <c r="GV103" s="656"/>
      <c r="GW103" s="656"/>
      <c r="GX103" s="656"/>
      <c r="GY103" s="656"/>
      <c r="GZ103" s="656"/>
      <c r="HA103" s="656"/>
      <c r="HB103" s="656"/>
      <c r="HC103" s="656"/>
      <c r="HD103" s="656"/>
      <c r="HE103" s="656"/>
      <c r="HF103" s="656"/>
      <c r="HG103" s="656"/>
      <c r="HH103" s="656"/>
      <c r="HI103" s="656"/>
      <c r="HJ103" s="656"/>
      <c r="HK103" s="656"/>
      <c r="HL103" s="656"/>
      <c r="HM103" s="656"/>
      <c r="HN103" s="656"/>
      <c r="HO103" s="656"/>
      <c r="HP103" s="656"/>
      <c r="HQ103" s="656"/>
      <c r="HR103" s="656"/>
      <c r="HS103" s="656"/>
      <c r="HT103" s="656"/>
      <c r="HU103" s="656"/>
      <c r="HV103" s="656"/>
      <c r="HW103" s="656"/>
    </row>
    <row r="104" spans="1:231" s="657" customFormat="1" ht="26.25" customHeight="1" x14ac:dyDescent="0.25">
      <c r="A104" s="646"/>
      <c r="B104" s="718" t="s">
        <v>202</v>
      </c>
      <c r="C104" s="719" t="s">
        <v>1112</v>
      </c>
      <c r="D104" s="1993"/>
      <c r="E104" s="1994"/>
      <c r="F104" s="1994"/>
      <c r="G104" s="1994"/>
      <c r="H104" s="1994"/>
      <c r="I104" s="1994"/>
      <c r="J104" s="1994"/>
      <c r="K104" s="1994"/>
      <c r="L104" s="1994"/>
      <c r="M104" s="1994"/>
      <c r="N104" s="1994"/>
      <c r="O104" s="1995"/>
      <c r="P104" s="656"/>
      <c r="Q104" s="656"/>
      <c r="R104" s="656"/>
      <c r="S104" s="656"/>
      <c r="T104" s="656"/>
      <c r="U104" s="656"/>
      <c r="V104" s="656"/>
      <c r="W104" s="656"/>
      <c r="X104" s="656"/>
      <c r="Y104" s="656"/>
      <c r="Z104" s="656"/>
      <c r="AA104" s="656"/>
      <c r="AB104" s="656"/>
      <c r="AC104" s="656"/>
      <c r="AD104" s="656"/>
      <c r="AE104" s="656"/>
      <c r="AF104" s="656"/>
      <c r="AG104" s="656"/>
      <c r="AH104" s="656"/>
      <c r="AI104" s="656"/>
      <c r="AJ104" s="656"/>
      <c r="AK104" s="656"/>
      <c r="AL104" s="656"/>
      <c r="AM104" s="656"/>
      <c r="AN104" s="656"/>
      <c r="AO104" s="656"/>
      <c r="AP104" s="656"/>
      <c r="AQ104" s="656"/>
      <c r="AR104" s="656"/>
      <c r="AS104" s="656"/>
      <c r="AT104" s="656"/>
      <c r="AU104" s="656"/>
      <c r="AV104" s="656"/>
      <c r="AW104" s="656"/>
      <c r="AX104" s="656"/>
      <c r="AY104" s="656"/>
      <c r="AZ104" s="656"/>
      <c r="BA104" s="656"/>
      <c r="BB104" s="656"/>
      <c r="BC104" s="656"/>
      <c r="BD104" s="656"/>
      <c r="BE104" s="656"/>
      <c r="BF104" s="656"/>
      <c r="BG104" s="656"/>
      <c r="BH104" s="656"/>
      <c r="BI104" s="656"/>
      <c r="BJ104" s="656"/>
      <c r="BK104" s="656"/>
      <c r="BL104" s="656"/>
      <c r="BM104" s="656"/>
      <c r="BN104" s="656"/>
      <c r="BO104" s="656"/>
      <c r="BP104" s="656"/>
      <c r="BQ104" s="656"/>
      <c r="BR104" s="656"/>
      <c r="BS104" s="656"/>
      <c r="BT104" s="656"/>
      <c r="BU104" s="656"/>
      <c r="BV104" s="656"/>
      <c r="BW104" s="656"/>
      <c r="BX104" s="656"/>
      <c r="BY104" s="656"/>
      <c r="BZ104" s="656"/>
      <c r="CA104" s="656"/>
      <c r="CB104" s="656"/>
      <c r="CC104" s="656"/>
      <c r="CD104" s="656"/>
      <c r="CE104" s="656"/>
      <c r="CF104" s="656"/>
      <c r="CG104" s="656"/>
      <c r="CH104" s="656"/>
      <c r="CI104" s="656"/>
      <c r="CJ104" s="656"/>
      <c r="CK104" s="656"/>
      <c r="CL104" s="656"/>
      <c r="CM104" s="656"/>
      <c r="CN104" s="656"/>
      <c r="CO104" s="656"/>
      <c r="CP104" s="656"/>
      <c r="CQ104" s="656"/>
      <c r="CR104" s="656"/>
      <c r="CS104" s="656"/>
      <c r="CT104" s="656"/>
      <c r="CU104" s="656"/>
      <c r="CV104" s="656"/>
      <c r="CW104" s="656"/>
      <c r="CX104" s="656"/>
      <c r="CY104" s="656"/>
      <c r="CZ104" s="656"/>
      <c r="DA104" s="656"/>
      <c r="DB104" s="656"/>
      <c r="DC104" s="656"/>
      <c r="DD104" s="656"/>
      <c r="DE104" s="656"/>
      <c r="DF104" s="656"/>
      <c r="DG104" s="656"/>
      <c r="DH104" s="656"/>
      <c r="DI104" s="656"/>
      <c r="DJ104" s="656"/>
      <c r="DK104" s="656"/>
      <c r="DL104" s="656"/>
      <c r="DM104" s="656"/>
      <c r="DN104" s="656"/>
      <c r="DO104" s="656"/>
      <c r="DP104" s="656"/>
      <c r="DQ104" s="656"/>
      <c r="DR104" s="656"/>
      <c r="DS104" s="656"/>
      <c r="DT104" s="656"/>
      <c r="DU104" s="656"/>
      <c r="DV104" s="656"/>
      <c r="DW104" s="656"/>
      <c r="DX104" s="656"/>
      <c r="DY104" s="656"/>
      <c r="DZ104" s="656"/>
      <c r="EA104" s="656"/>
      <c r="EB104" s="656"/>
      <c r="EC104" s="656"/>
      <c r="ED104" s="656"/>
      <c r="EE104" s="656"/>
      <c r="EF104" s="656"/>
      <c r="EG104" s="656"/>
      <c r="EH104" s="656"/>
      <c r="EI104" s="656"/>
      <c r="EJ104" s="656"/>
      <c r="EK104" s="656"/>
      <c r="EL104" s="656"/>
      <c r="EM104" s="656"/>
      <c r="EN104" s="656"/>
      <c r="EO104" s="656"/>
      <c r="EP104" s="656"/>
      <c r="EQ104" s="656"/>
      <c r="ER104" s="656"/>
      <c r="ES104" s="656"/>
      <c r="ET104" s="656"/>
      <c r="EU104" s="656"/>
      <c r="EV104" s="656"/>
      <c r="EW104" s="656"/>
      <c r="EX104" s="656"/>
      <c r="EY104" s="656"/>
      <c r="EZ104" s="656"/>
      <c r="FA104" s="656"/>
      <c r="FB104" s="656"/>
      <c r="FC104" s="656"/>
      <c r="FD104" s="656"/>
      <c r="FE104" s="656"/>
      <c r="FF104" s="656"/>
      <c r="FG104" s="656"/>
      <c r="FH104" s="656"/>
      <c r="FI104" s="656"/>
      <c r="FJ104" s="656"/>
      <c r="FK104" s="656"/>
      <c r="FL104" s="656"/>
      <c r="FM104" s="656"/>
      <c r="FN104" s="656"/>
      <c r="FO104" s="656"/>
      <c r="FP104" s="656"/>
      <c r="FQ104" s="656"/>
      <c r="FR104" s="656"/>
      <c r="FS104" s="656"/>
      <c r="FT104" s="656"/>
      <c r="FU104" s="656"/>
      <c r="FV104" s="656"/>
      <c r="FW104" s="656"/>
      <c r="FX104" s="656"/>
      <c r="FY104" s="656"/>
      <c r="FZ104" s="656"/>
      <c r="GA104" s="656"/>
      <c r="GB104" s="656"/>
      <c r="GC104" s="656"/>
      <c r="GD104" s="656"/>
      <c r="GE104" s="656"/>
      <c r="GF104" s="656"/>
      <c r="GG104" s="656"/>
      <c r="GH104" s="656"/>
      <c r="GI104" s="656"/>
      <c r="GJ104" s="656"/>
      <c r="GK104" s="656"/>
      <c r="GL104" s="656"/>
      <c r="GM104" s="656"/>
      <c r="GN104" s="656"/>
      <c r="GO104" s="656"/>
      <c r="GP104" s="656"/>
      <c r="GQ104" s="656"/>
      <c r="GR104" s="656"/>
      <c r="GS104" s="656"/>
      <c r="GT104" s="656"/>
      <c r="GU104" s="656"/>
      <c r="GV104" s="656"/>
      <c r="GW104" s="656"/>
      <c r="GX104" s="656"/>
      <c r="GY104" s="656"/>
      <c r="GZ104" s="656"/>
      <c r="HA104" s="656"/>
      <c r="HB104" s="656"/>
      <c r="HC104" s="656"/>
      <c r="HD104" s="656"/>
      <c r="HE104" s="656"/>
      <c r="HF104" s="656"/>
      <c r="HG104" s="656"/>
      <c r="HH104" s="656"/>
      <c r="HI104" s="656"/>
      <c r="HJ104" s="656"/>
      <c r="HK104" s="656"/>
      <c r="HL104" s="656"/>
      <c r="HM104" s="656"/>
      <c r="HN104" s="656"/>
      <c r="HO104" s="656"/>
      <c r="HP104" s="656"/>
      <c r="HQ104" s="656"/>
      <c r="HR104" s="656"/>
      <c r="HS104" s="656"/>
      <c r="HT104" s="656"/>
      <c r="HU104" s="656"/>
      <c r="HV104" s="656"/>
      <c r="HW104" s="656"/>
    </row>
    <row r="105" spans="1:231" s="657" customFormat="1" x14ac:dyDescent="0.25">
      <c r="A105" s="646">
        <v>81</v>
      </c>
      <c r="B105" s="680" t="s">
        <v>1113</v>
      </c>
      <c r="C105" s="690" t="s">
        <v>1114</v>
      </c>
      <c r="D105" s="691" t="s">
        <v>19</v>
      </c>
      <c r="E105" s="691">
        <v>290</v>
      </c>
      <c r="F105" s="720">
        <v>9161.0399999999991</v>
      </c>
      <c r="G105" s="720">
        <v>2656702</v>
      </c>
      <c r="H105" s="685">
        <v>0</v>
      </c>
      <c r="I105" s="686">
        <v>-240</v>
      </c>
      <c r="J105" s="683">
        <v>50</v>
      </c>
      <c r="K105" s="684">
        <v>458052</v>
      </c>
      <c r="L105" s="683">
        <v>25</v>
      </c>
      <c r="M105" s="684">
        <v>229026</v>
      </c>
      <c r="N105" s="683">
        <v>25</v>
      </c>
      <c r="O105" s="687">
        <v>229026</v>
      </c>
      <c r="P105" s="656"/>
      <c r="Q105" s="656"/>
      <c r="R105" s="656"/>
      <c r="S105" s="656"/>
      <c r="T105" s="656"/>
      <c r="U105" s="656"/>
      <c r="V105" s="656"/>
      <c r="W105" s="656"/>
      <c r="X105" s="656"/>
      <c r="Y105" s="656"/>
      <c r="Z105" s="656"/>
      <c r="AA105" s="656"/>
      <c r="AB105" s="656"/>
      <c r="AC105" s="656"/>
      <c r="AD105" s="656"/>
      <c r="AE105" s="656"/>
      <c r="AF105" s="656"/>
      <c r="AG105" s="656"/>
      <c r="AH105" s="656"/>
      <c r="AI105" s="656"/>
      <c r="AJ105" s="656"/>
      <c r="AK105" s="656"/>
      <c r="AL105" s="656"/>
      <c r="AM105" s="656"/>
      <c r="AN105" s="656"/>
      <c r="AO105" s="656"/>
      <c r="AP105" s="656"/>
      <c r="AQ105" s="656"/>
      <c r="AR105" s="656"/>
      <c r="AS105" s="656"/>
      <c r="AT105" s="656"/>
      <c r="AU105" s="656"/>
      <c r="AV105" s="656"/>
      <c r="AW105" s="656"/>
      <c r="AX105" s="656"/>
      <c r="AY105" s="656"/>
      <c r="AZ105" s="656"/>
      <c r="BA105" s="656"/>
      <c r="BB105" s="656"/>
      <c r="BC105" s="656"/>
      <c r="BD105" s="656"/>
      <c r="BE105" s="656"/>
      <c r="BF105" s="656"/>
      <c r="BG105" s="656"/>
      <c r="BH105" s="656"/>
      <c r="BI105" s="656"/>
      <c r="BJ105" s="656"/>
      <c r="BK105" s="656"/>
      <c r="BL105" s="656"/>
      <c r="BM105" s="656"/>
      <c r="BN105" s="656"/>
      <c r="BO105" s="656"/>
      <c r="BP105" s="656"/>
      <c r="BQ105" s="656"/>
      <c r="BR105" s="656"/>
      <c r="BS105" s="656"/>
      <c r="BT105" s="656"/>
      <c r="BU105" s="656"/>
      <c r="BV105" s="656"/>
      <c r="BW105" s="656"/>
      <c r="BX105" s="656"/>
      <c r="BY105" s="656"/>
      <c r="BZ105" s="656"/>
      <c r="CA105" s="656"/>
      <c r="CB105" s="656"/>
      <c r="CC105" s="656"/>
      <c r="CD105" s="656"/>
      <c r="CE105" s="656"/>
      <c r="CF105" s="656"/>
      <c r="CG105" s="656"/>
      <c r="CH105" s="656"/>
      <c r="CI105" s="656"/>
      <c r="CJ105" s="656"/>
      <c r="CK105" s="656"/>
      <c r="CL105" s="656"/>
      <c r="CM105" s="656"/>
      <c r="CN105" s="656"/>
      <c r="CO105" s="656"/>
      <c r="CP105" s="656"/>
      <c r="CQ105" s="656"/>
      <c r="CR105" s="656"/>
      <c r="CS105" s="656"/>
      <c r="CT105" s="656"/>
      <c r="CU105" s="656"/>
      <c r="CV105" s="656"/>
      <c r="CW105" s="656"/>
      <c r="CX105" s="656"/>
      <c r="CY105" s="656"/>
      <c r="CZ105" s="656"/>
      <c r="DA105" s="656"/>
      <c r="DB105" s="656"/>
      <c r="DC105" s="656"/>
      <c r="DD105" s="656"/>
      <c r="DE105" s="656"/>
      <c r="DF105" s="656"/>
      <c r="DG105" s="656"/>
      <c r="DH105" s="656"/>
      <c r="DI105" s="656"/>
      <c r="DJ105" s="656"/>
      <c r="DK105" s="656"/>
      <c r="DL105" s="656"/>
      <c r="DM105" s="656"/>
      <c r="DN105" s="656"/>
      <c r="DO105" s="656"/>
      <c r="DP105" s="656"/>
      <c r="DQ105" s="656"/>
      <c r="DR105" s="656"/>
      <c r="DS105" s="656"/>
      <c r="DT105" s="656"/>
      <c r="DU105" s="656"/>
      <c r="DV105" s="656"/>
      <c r="DW105" s="656"/>
      <c r="DX105" s="656"/>
      <c r="DY105" s="656"/>
      <c r="DZ105" s="656"/>
      <c r="EA105" s="656"/>
      <c r="EB105" s="656"/>
      <c r="EC105" s="656"/>
      <c r="ED105" s="656"/>
      <c r="EE105" s="656"/>
      <c r="EF105" s="656"/>
      <c r="EG105" s="656"/>
      <c r="EH105" s="656"/>
      <c r="EI105" s="656"/>
      <c r="EJ105" s="656"/>
      <c r="EK105" s="656"/>
      <c r="EL105" s="656"/>
      <c r="EM105" s="656"/>
      <c r="EN105" s="656"/>
      <c r="EO105" s="656"/>
      <c r="EP105" s="656"/>
      <c r="EQ105" s="656"/>
      <c r="ER105" s="656"/>
      <c r="ES105" s="656"/>
      <c r="ET105" s="656"/>
      <c r="EU105" s="656"/>
      <c r="EV105" s="656"/>
      <c r="EW105" s="656"/>
      <c r="EX105" s="656"/>
      <c r="EY105" s="656"/>
      <c r="EZ105" s="656"/>
      <c r="FA105" s="656"/>
      <c r="FB105" s="656"/>
      <c r="FC105" s="656"/>
      <c r="FD105" s="656"/>
      <c r="FE105" s="656"/>
      <c r="FF105" s="656"/>
      <c r="FG105" s="656"/>
      <c r="FH105" s="656"/>
      <c r="FI105" s="656"/>
      <c r="FJ105" s="656"/>
      <c r="FK105" s="656"/>
      <c r="FL105" s="656"/>
      <c r="FM105" s="656"/>
      <c r="FN105" s="656"/>
      <c r="FO105" s="656"/>
      <c r="FP105" s="656"/>
      <c r="FQ105" s="656"/>
      <c r="FR105" s="656"/>
      <c r="FS105" s="656"/>
      <c r="FT105" s="656"/>
      <c r="FU105" s="656"/>
      <c r="FV105" s="656"/>
      <c r="FW105" s="656"/>
      <c r="FX105" s="656"/>
      <c r="FY105" s="656"/>
      <c r="FZ105" s="656"/>
      <c r="GA105" s="656"/>
      <c r="GB105" s="656"/>
      <c r="GC105" s="656"/>
      <c r="GD105" s="656"/>
      <c r="GE105" s="656"/>
      <c r="GF105" s="656"/>
      <c r="GG105" s="656"/>
      <c r="GH105" s="656"/>
      <c r="GI105" s="656"/>
      <c r="GJ105" s="656"/>
      <c r="GK105" s="656"/>
      <c r="GL105" s="656"/>
      <c r="GM105" s="656"/>
      <c r="GN105" s="656"/>
      <c r="GO105" s="656"/>
      <c r="GP105" s="656"/>
      <c r="GQ105" s="656"/>
      <c r="GR105" s="656"/>
      <c r="GS105" s="656"/>
      <c r="GT105" s="656"/>
      <c r="GU105" s="656"/>
      <c r="GV105" s="656"/>
      <c r="GW105" s="656"/>
      <c r="GX105" s="656"/>
      <c r="GY105" s="656"/>
      <c r="GZ105" s="656"/>
      <c r="HA105" s="656"/>
      <c r="HB105" s="656"/>
      <c r="HC105" s="656"/>
      <c r="HD105" s="656"/>
      <c r="HE105" s="656"/>
      <c r="HF105" s="656"/>
      <c r="HG105" s="656"/>
      <c r="HH105" s="656"/>
      <c r="HI105" s="656"/>
      <c r="HJ105" s="656"/>
      <c r="HK105" s="656"/>
      <c r="HL105" s="656"/>
      <c r="HM105" s="656"/>
      <c r="HN105" s="656"/>
      <c r="HO105" s="656"/>
      <c r="HP105" s="656"/>
      <c r="HQ105" s="656"/>
      <c r="HR105" s="656"/>
      <c r="HS105" s="656"/>
      <c r="HT105" s="656"/>
      <c r="HU105" s="656"/>
      <c r="HV105" s="656"/>
      <c r="HW105" s="656"/>
    </row>
    <row r="106" spans="1:231" s="657" customFormat="1" x14ac:dyDescent="0.25">
      <c r="A106" s="646">
        <v>82</v>
      </c>
      <c r="B106" s="680" t="s">
        <v>1115</v>
      </c>
      <c r="C106" s="690" t="s">
        <v>1116</v>
      </c>
      <c r="D106" s="691" t="s">
        <v>19</v>
      </c>
      <c r="E106" s="691">
        <v>290</v>
      </c>
      <c r="F106" s="720">
        <v>29841</v>
      </c>
      <c r="G106" s="720">
        <v>8653890</v>
      </c>
      <c r="H106" s="685">
        <v>0</v>
      </c>
      <c r="I106" s="686">
        <v>-290</v>
      </c>
      <c r="J106" s="683">
        <v>0</v>
      </c>
      <c r="K106" s="684">
        <v>0</v>
      </c>
      <c r="L106" s="683">
        <v>0</v>
      </c>
      <c r="M106" s="684">
        <v>0</v>
      </c>
      <c r="N106" s="683">
        <v>0</v>
      </c>
      <c r="O106" s="687">
        <v>0</v>
      </c>
      <c r="P106" s="656"/>
      <c r="Q106" s="656"/>
      <c r="R106" s="656"/>
      <c r="S106" s="656"/>
      <c r="T106" s="656"/>
      <c r="U106" s="656"/>
      <c r="V106" s="656"/>
      <c r="W106" s="656"/>
      <c r="X106" s="656"/>
      <c r="Y106" s="656"/>
      <c r="Z106" s="656"/>
      <c r="AA106" s="656"/>
      <c r="AB106" s="656"/>
      <c r="AC106" s="656"/>
      <c r="AD106" s="656"/>
      <c r="AE106" s="656"/>
      <c r="AF106" s="656"/>
      <c r="AG106" s="656"/>
      <c r="AH106" s="656"/>
      <c r="AI106" s="656"/>
      <c r="AJ106" s="656"/>
      <c r="AK106" s="656"/>
      <c r="AL106" s="656"/>
      <c r="AM106" s="656"/>
      <c r="AN106" s="656"/>
      <c r="AO106" s="656"/>
      <c r="AP106" s="656"/>
      <c r="AQ106" s="656"/>
      <c r="AR106" s="656"/>
      <c r="AS106" s="656"/>
      <c r="AT106" s="656"/>
      <c r="AU106" s="656"/>
      <c r="AV106" s="656"/>
      <c r="AW106" s="656"/>
      <c r="AX106" s="656"/>
      <c r="AY106" s="656"/>
      <c r="AZ106" s="656"/>
      <c r="BA106" s="656"/>
      <c r="BB106" s="656"/>
      <c r="BC106" s="656"/>
      <c r="BD106" s="656"/>
      <c r="BE106" s="656"/>
      <c r="BF106" s="656"/>
      <c r="BG106" s="656"/>
      <c r="BH106" s="656"/>
      <c r="BI106" s="656"/>
      <c r="BJ106" s="656"/>
      <c r="BK106" s="656"/>
      <c r="BL106" s="656"/>
      <c r="BM106" s="656"/>
      <c r="BN106" s="656"/>
      <c r="BO106" s="656"/>
      <c r="BP106" s="656"/>
      <c r="BQ106" s="656"/>
      <c r="BR106" s="656"/>
      <c r="BS106" s="656"/>
      <c r="BT106" s="656"/>
      <c r="BU106" s="656"/>
      <c r="BV106" s="656"/>
      <c r="BW106" s="656"/>
      <c r="BX106" s="656"/>
      <c r="BY106" s="656"/>
      <c r="BZ106" s="656"/>
      <c r="CA106" s="656"/>
      <c r="CB106" s="656"/>
      <c r="CC106" s="656"/>
      <c r="CD106" s="656"/>
      <c r="CE106" s="656"/>
      <c r="CF106" s="656"/>
      <c r="CG106" s="656"/>
      <c r="CH106" s="656"/>
      <c r="CI106" s="656"/>
      <c r="CJ106" s="656"/>
      <c r="CK106" s="656"/>
      <c r="CL106" s="656"/>
      <c r="CM106" s="656"/>
      <c r="CN106" s="656"/>
      <c r="CO106" s="656"/>
      <c r="CP106" s="656"/>
      <c r="CQ106" s="656"/>
      <c r="CR106" s="656"/>
      <c r="CS106" s="656"/>
      <c r="CT106" s="656"/>
      <c r="CU106" s="656"/>
      <c r="CV106" s="656"/>
      <c r="CW106" s="656"/>
      <c r="CX106" s="656"/>
      <c r="CY106" s="656"/>
      <c r="CZ106" s="656"/>
      <c r="DA106" s="656"/>
      <c r="DB106" s="656"/>
      <c r="DC106" s="656"/>
      <c r="DD106" s="656"/>
      <c r="DE106" s="656"/>
      <c r="DF106" s="656"/>
      <c r="DG106" s="656"/>
      <c r="DH106" s="656"/>
      <c r="DI106" s="656"/>
      <c r="DJ106" s="656"/>
      <c r="DK106" s="656"/>
      <c r="DL106" s="656"/>
      <c r="DM106" s="656"/>
      <c r="DN106" s="656"/>
      <c r="DO106" s="656"/>
      <c r="DP106" s="656"/>
      <c r="DQ106" s="656"/>
      <c r="DR106" s="656"/>
      <c r="DS106" s="656"/>
      <c r="DT106" s="656"/>
      <c r="DU106" s="656"/>
      <c r="DV106" s="656"/>
      <c r="DW106" s="656"/>
      <c r="DX106" s="656"/>
      <c r="DY106" s="656"/>
      <c r="DZ106" s="656"/>
      <c r="EA106" s="656"/>
      <c r="EB106" s="656"/>
      <c r="EC106" s="656"/>
      <c r="ED106" s="656"/>
      <c r="EE106" s="656"/>
      <c r="EF106" s="656"/>
      <c r="EG106" s="656"/>
      <c r="EH106" s="656"/>
      <c r="EI106" s="656"/>
      <c r="EJ106" s="656"/>
      <c r="EK106" s="656"/>
      <c r="EL106" s="656"/>
      <c r="EM106" s="656"/>
      <c r="EN106" s="656"/>
      <c r="EO106" s="656"/>
      <c r="EP106" s="656"/>
      <c r="EQ106" s="656"/>
      <c r="ER106" s="656"/>
      <c r="ES106" s="656"/>
      <c r="ET106" s="656"/>
      <c r="EU106" s="656"/>
      <c r="EV106" s="656"/>
      <c r="EW106" s="656"/>
      <c r="EX106" s="656"/>
      <c r="EY106" s="656"/>
      <c r="EZ106" s="656"/>
      <c r="FA106" s="656"/>
      <c r="FB106" s="656"/>
      <c r="FC106" s="656"/>
      <c r="FD106" s="656"/>
      <c r="FE106" s="656"/>
      <c r="FF106" s="656"/>
      <c r="FG106" s="656"/>
      <c r="FH106" s="656"/>
      <c r="FI106" s="656"/>
      <c r="FJ106" s="656"/>
      <c r="FK106" s="656"/>
      <c r="FL106" s="656"/>
      <c r="FM106" s="656"/>
      <c r="FN106" s="656"/>
      <c r="FO106" s="656"/>
      <c r="FP106" s="656"/>
      <c r="FQ106" s="656"/>
      <c r="FR106" s="656"/>
      <c r="FS106" s="656"/>
      <c r="FT106" s="656"/>
      <c r="FU106" s="656"/>
      <c r="FV106" s="656"/>
      <c r="FW106" s="656"/>
      <c r="FX106" s="656"/>
      <c r="FY106" s="656"/>
      <c r="FZ106" s="656"/>
      <c r="GA106" s="656"/>
      <c r="GB106" s="656"/>
      <c r="GC106" s="656"/>
      <c r="GD106" s="656"/>
      <c r="GE106" s="656"/>
      <c r="GF106" s="656"/>
      <c r="GG106" s="656"/>
      <c r="GH106" s="656"/>
      <c r="GI106" s="656"/>
      <c r="GJ106" s="656"/>
      <c r="GK106" s="656"/>
      <c r="GL106" s="656"/>
      <c r="GM106" s="656"/>
      <c r="GN106" s="656"/>
      <c r="GO106" s="656"/>
      <c r="GP106" s="656"/>
      <c r="GQ106" s="656"/>
      <c r="GR106" s="656"/>
      <c r="GS106" s="656"/>
      <c r="GT106" s="656"/>
      <c r="GU106" s="656"/>
      <c r="GV106" s="656"/>
      <c r="GW106" s="656"/>
      <c r="GX106" s="656"/>
      <c r="GY106" s="656"/>
      <c r="GZ106" s="656"/>
      <c r="HA106" s="656"/>
      <c r="HB106" s="656"/>
      <c r="HC106" s="656"/>
      <c r="HD106" s="656"/>
      <c r="HE106" s="656"/>
      <c r="HF106" s="656"/>
      <c r="HG106" s="656"/>
      <c r="HH106" s="656"/>
      <c r="HI106" s="656"/>
      <c r="HJ106" s="656"/>
      <c r="HK106" s="656"/>
      <c r="HL106" s="656"/>
      <c r="HM106" s="656"/>
      <c r="HN106" s="656"/>
      <c r="HO106" s="656"/>
      <c r="HP106" s="656"/>
      <c r="HQ106" s="656"/>
      <c r="HR106" s="656"/>
      <c r="HS106" s="656"/>
      <c r="HT106" s="656"/>
      <c r="HU106" s="656"/>
      <c r="HV106" s="656"/>
      <c r="HW106" s="656"/>
    </row>
    <row r="107" spans="1:231" s="657" customFormat="1" ht="28.5" x14ac:dyDescent="0.25">
      <c r="A107" s="646">
        <v>83</v>
      </c>
      <c r="B107" s="680" t="s">
        <v>1117</v>
      </c>
      <c r="C107" s="690" t="s">
        <v>1118</v>
      </c>
      <c r="D107" s="691" t="s">
        <v>19</v>
      </c>
      <c r="E107" s="691">
        <v>290</v>
      </c>
      <c r="F107" s="720">
        <v>62314.28</v>
      </c>
      <c r="G107" s="720">
        <v>18071141</v>
      </c>
      <c r="H107" s="685">
        <v>0</v>
      </c>
      <c r="I107" s="686">
        <v>-52.199999999999989</v>
      </c>
      <c r="J107" s="683">
        <v>237.8</v>
      </c>
      <c r="K107" s="684">
        <v>14818336</v>
      </c>
      <c r="L107" s="683">
        <v>0</v>
      </c>
      <c r="M107" s="684">
        <v>0</v>
      </c>
      <c r="N107" s="683">
        <v>0</v>
      </c>
      <c r="O107" s="687">
        <v>0</v>
      </c>
      <c r="P107" s="656"/>
      <c r="Q107" s="656"/>
      <c r="R107" s="656"/>
      <c r="S107" s="656"/>
      <c r="T107" s="656"/>
      <c r="U107" s="656"/>
      <c r="V107" s="656"/>
      <c r="W107" s="656"/>
      <c r="X107" s="656"/>
      <c r="Y107" s="656"/>
      <c r="Z107" s="656"/>
      <c r="AA107" s="656"/>
      <c r="AB107" s="656"/>
      <c r="AC107" s="656"/>
      <c r="AD107" s="656"/>
      <c r="AE107" s="656"/>
      <c r="AF107" s="656"/>
      <c r="AG107" s="656"/>
      <c r="AH107" s="656"/>
      <c r="AI107" s="656"/>
      <c r="AJ107" s="656"/>
      <c r="AK107" s="656"/>
      <c r="AL107" s="656"/>
      <c r="AM107" s="656"/>
      <c r="AN107" s="656"/>
      <c r="AO107" s="656"/>
      <c r="AP107" s="656"/>
      <c r="AQ107" s="656"/>
      <c r="AR107" s="656"/>
      <c r="AS107" s="656"/>
      <c r="AT107" s="656"/>
      <c r="AU107" s="656"/>
      <c r="AV107" s="656"/>
      <c r="AW107" s="656"/>
      <c r="AX107" s="656"/>
      <c r="AY107" s="656"/>
      <c r="AZ107" s="656"/>
      <c r="BA107" s="656"/>
      <c r="BB107" s="656"/>
      <c r="BC107" s="656"/>
      <c r="BD107" s="656"/>
      <c r="BE107" s="656"/>
      <c r="BF107" s="656"/>
      <c r="BG107" s="656"/>
      <c r="BH107" s="656"/>
      <c r="BI107" s="656"/>
      <c r="BJ107" s="656"/>
      <c r="BK107" s="656"/>
      <c r="BL107" s="656"/>
      <c r="BM107" s="656"/>
      <c r="BN107" s="656"/>
      <c r="BO107" s="656"/>
      <c r="BP107" s="656"/>
      <c r="BQ107" s="656"/>
      <c r="BR107" s="656"/>
      <c r="BS107" s="656"/>
      <c r="BT107" s="656"/>
      <c r="BU107" s="656"/>
      <c r="BV107" s="656"/>
      <c r="BW107" s="656"/>
      <c r="BX107" s="656"/>
      <c r="BY107" s="656"/>
      <c r="BZ107" s="656"/>
      <c r="CA107" s="656"/>
      <c r="CB107" s="656"/>
      <c r="CC107" s="656"/>
      <c r="CD107" s="656"/>
      <c r="CE107" s="656"/>
      <c r="CF107" s="656"/>
      <c r="CG107" s="656"/>
      <c r="CH107" s="656"/>
      <c r="CI107" s="656"/>
      <c r="CJ107" s="656"/>
      <c r="CK107" s="656"/>
      <c r="CL107" s="656"/>
      <c r="CM107" s="656"/>
      <c r="CN107" s="656"/>
      <c r="CO107" s="656"/>
      <c r="CP107" s="656"/>
      <c r="CQ107" s="656"/>
      <c r="CR107" s="656"/>
      <c r="CS107" s="656"/>
      <c r="CT107" s="656"/>
      <c r="CU107" s="656"/>
      <c r="CV107" s="656"/>
      <c r="CW107" s="656"/>
      <c r="CX107" s="656"/>
      <c r="CY107" s="656"/>
      <c r="CZ107" s="656"/>
      <c r="DA107" s="656"/>
      <c r="DB107" s="656"/>
      <c r="DC107" s="656"/>
      <c r="DD107" s="656"/>
      <c r="DE107" s="656"/>
      <c r="DF107" s="656"/>
      <c r="DG107" s="656"/>
      <c r="DH107" s="656"/>
      <c r="DI107" s="656"/>
      <c r="DJ107" s="656"/>
      <c r="DK107" s="656"/>
      <c r="DL107" s="656"/>
      <c r="DM107" s="656"/>
      <c r="DN107" s="656"/>
      <c r="DO107" s="656"/>
      <c r="DP107" s="656"/>
      <c r="DQ107" s="656"/>
      <c r="DR107" s="656"/>
      <c r="DS107" s="656"/>
      <c r="DT107" s="656"/>
      <c r="DU107" s="656"/>
      <c r="DV107" s="656"/>
      <c r="DW107" s="656"/>
      <c r="DX107" s="656"/>
      <c r="DY107" s="656"/>
      <c r="DZ107" s="656"/>
      <c r="EA107" s="656"/>
      <c r="EB107" s="656"/>
      <c r="EC107" s="656"/>
      <c r="ED107" s="656"/>
      <c r="EE107" s="656"/>
      <c r="EF107" s="656"/>
      <c r="EG107" s="656"/>
      <c r="EH107" s="656"/>
      <c r="EI107" s="656"/>
      <c r="EJ107" s="656"/>
      <c r="EK107" s="656"/>
      <c r="EL107" s="656"/>
      <c r="EM107" s="656"/>
      <c r="EN107" s="656"/>
      <c r="EO107" s="656"/>
      <c r="EP107" s="656"/>
      <c r="EQ107" s="656"/>
      <c r="ER107" s="656"/>
      <c r="ES107" s="656"/>
      <c r="ET107" s="656"/>
      <c r="EU107" s="656"/>
      <c r="EV107" s="656"/>
      <c r="EW107" s="656"/>
      <c r="EX107" s="656"/>
      <c r="EY107" s="656"/>
      <c r="EZ107" s="656"/>
      <c r="FA107" s="656"/>
      <c r="FB107" s="656"/>
      <c r="FC107" s="656"/>
      <c r="FD107" s="656"/>
      <c r="FE107" s="656"/>
      <c r="FF107" s="656"/>
      <c r="FG107" s="656"/>
      <c r="FH107" s="656"/>
      <c r="FI107" s="656"/>
      <c r="FJ107" s="656"/>
      <c r="FK107" s="656"/>
      <c r="FL107" s="656"/>
      <c r="FM107" s="656"/>
      <c r="FN107" s="656"/>
      <c r="FO107" s="656"/>
      <c r="FP107" s="656"/>
      <c r="FQ107" s="656"/>
      <c r="FR107" s="656"/>
      <c r="FS107" s="656"/>
      <c r="FT107" s="656"/>
      <c r="FU107" s="656"/>
      <c r="FV107" s="656"/>
      <c r="FW107" s="656"/>
      <c r="FX107" s="656"/>
      <c r="FY107" s="656"/>
      <c r="FZ107" s="656"/>
      <c r="GA107" s="656"/>
      <c r="GB107" s="656"/>
      <c r="GC107" s="656"/>
      <c r="GD107" s="656"/>
      <c r="GE107" s="656"/>
      <c r="GF107" s="656"/>
      <c r="GG107" s="656"/>
      <c r="GH107" s="656"/>
      <c r="GI107" s="656"/>
      <c r="GJ107" s="656"/>
      <c r="GK107" s="656"/>
      <c r="GL107" s="656"/>
      <c r="GM107" s="656"/>
      <c r="GN107" s="656"/>
      <c r="GO107" s="656"/>
      <c r="GP107" s="656"/>
      <c r="GQ107" s="656"/>
      <c r="GR107" s="656"/>
      <c r="GS107" s="656"/>
      <c r="GT107" s="656"/>
      <c r="GU107" s="656"/>
      <c r="GV107" s="656"/>
      <c r="GW107" s="656"/>
      <c r="GX107" s="656"/>
      <c r="GY107" s="656"/>
      <c r="GZ107" s="656"/>
      <c r="HA107" s="656"/>
      <c r="HB107" s="656"/>
      <c r="HC107" s="656"/>
      <c r="HD107" s="656"/>
      <c r="HE107" s="656"/>
      <c r="HF107" s="656"/>
      <c r="HG107" s="656"/>
      <c r="HH107" s="656"/>
      <c r="HI107" s="656"/>
      <c r="HJ107" s="656"/>
      <c r="HK107" s="656"/>
      <c r="HL107" s="656"/>
      <c r="HM107" s="656"/>
      <c r="HN107" s="656"/>
      <c r="HO107" s="656"/>
      <c r="HP107" s="656"/>
      <c r="HQ107" s="656"/>
      <c r="HR107" s="656"/>
      <c r="HS107" s="656"/>
      <c r="HT107" s="656"/>
      <c r="HU107" s="656"/>
      <c r="HV107" s="656"/>
      <c r="HW107" s="656"/>
    </row>
    <row r="108" spans="1:231" s="657" customFormat="1" ht="28.5" x14ac:dyDescent="0.25">
      <c r="A108" s="646">
        <v>84</v>
      </c>
      <c r="B108" s="680" t="s">
        <v>1119</v>
      </c>
      <c r="C108" s="690" t="s">
        <v>1120</v>
      </c>
      <c r="D108" s="691" t="s">
        <v>19</v>
      </c>
      <c r="E108" s="691">
        <v>290</v>
      </c>
      <c r="F108" s="720">
        <v>39751.74</v>
      </c>
      <c r="G108" s="720">
        <v>11528005</v>
      </c>
      <c r="H108" s="685">
        <v>0</v>
      </c>
      <c r="I108" s="686">
        <v>-231.818471342387</v>
      </c>
      <c r="J108" s="683">
        <v>58.181528657613484</v>
      </c>
      <c r="K108" s="684">
        <v>2312817</v>
      </c>
      <c r="L108" s="683">
        <v>0</v>
      </c>
      <c r="M108" s="684">
        <v>0</v>
      </c>
      <c r="N108" s="683">
        <v>0</v>
      </c>
      <c r="O108" s="687">
        <v>0</v>
      </c>
      <c r="P108" s="656"/>
      <c r="Q108" s="656"/>
      <c r="R108" s="656"/>
      <c r="S108" s="656"/>
      <c r="T108" s="656"/>
      <c r="U108" s="656"/>
      <c r="V108" s="656"/>
      <c r="W108" s="656"/>
      <c r="X108" s="656"/>
      <c r="Y108" s="656"/>
      <c r="Z108" s="656"/>
      <c r="AA108" s="656"/>
      <c r="AB108" s="656"/>
      <c r="AC108" s="656"/>
      <c r="AD108" s="656"/>
      <c r="AE108" s="656"/>
      <c r="AF108" s="656"/>
      <c r="AG108" s="656"/>
      <c r="AH108" s="656"/>
      <c r="AI108" s="656"/>
      <c r="AJ108" s="656"/>
      <c r="AK108" s="656"/>
      <c r="AL108" s="656"/>
      <c r="AM108" s="656"/>
      <c r="AN108" s="656"/>
      <c r="AO108" s="656"/>
      <c r="AP108" s="656"/>
      <c r="AQ108" s="656"/>
      <c r="AR108" s="656"/>
      <c r="AS108" s="656"/>
      <c r="AT108" s="656"/>
      <c r="AU108" s="656"/>
      <c r="AV108" s="656"/>
      <c r="AW108" s="656"/>
      <c r="AX108" s="656"/>
      <c r="AY108" s="656"/>
      <c r="AZ108" s="656"/>
      <c r="BA108" s="656"/>
      <c r="BB108" s="656"/>
      <c r="BC108" s="656"/>
      <c r="BD108" s="656"/>
      <c r="BE108" s="656"/>
      <c r="BF108" s="656"/>
      <c r="BG108" s="656"/>
      <c r="BH108" s="656"/>
      <c r="BI108" s="656"/>
      <c r="BJ108" s="656"/>
      <c r="BK108" s="656"/>
      <c r="BL108" s="656"/>
      <c r="BM108" s="656"/>
      <c r="BN108" s="656"/>
      <c r="BO108" s="656"/>
      <c r="BP108" s="656"/>
      <c r="BQ108" s="656"/>
      <c r="BR108" s="656"/>
      <c r="BS108" s="656"/>
      <c r="BT108" s="656"/>
      <c r="BU108" s="656"/>
      <c r="BV108" s="656"/>
      <c r="BW108" s="656"/>
      <c r="BX108" s="656"/>
      <c r="BY108" s="656"/>
      <c r="BZ108" s="656"/>
      <c r="CA108" s="656"/>
      <c r="CB108" s="656"/>
      <c r="CC108" s="656"/>
      <c r="CD108" s="656"/>
      <c r="CE108" s="656"/>
      <c r="CF108" s="656"/>
      <c r="CG108" s="656"/>
      <c r="CH108" s="656"/>
      <c r="CI108" s="656"/>
      <c r="CJ108" s="656"/>
      <c r="CK108" s="656"/>
      <c r="CL108" s="656"/>
      <c r="CM108" s="656"/>
      <c r="CN108" s="656"/>
      <c r="CO108" s="656"/>
      <c r="CP108" s="656"/>
      <c r="CQ108" s="656"/>
      <c r="CR108" s="656"/>
      <c r="CS108" s="656"/>
      <c r="CT108" s="656"/>
      <c r="CU108" s="656"/>
      <c r="CV108" s="656"/>
      <c r="CW108" s="656"/>
      <c r="CX108" s="656"/>
      <c r="CY108" s="656"/>
      <c r="CZ108" s="656"/>
      <c r="DA108" s="656"/>
      <c r="DB108" s="656"/>
      <c r="DC108" s="656"/>
      <c r="DD108" s="656"/>
      <c r="DE108" s="656"/>
      <c r="DF108" s="656"/>
      <c r="DG108" s="656"/>
      <c r="DH108" s="656"/>
      <c r="DI108" s="656"/>
      <c r="DJ108" s="656"/>
      <c r="DK108" s="656"/>
      <c r="DL108" s="656"/>
      <c r="DM108" s="656"/>
      <c r="DN108" s="656"/>
      <c r="DO108" s="656"/>
      <c r="DP108" s="656"/>
      <c r="DQ108" s="656"/>
      <c r="DR108" s="656"/>
      <c r="DS108" s="656"/>
      <c r="DT108" s="656"/>
      <c r="DU108" s="656"/>
      <c r="DV108" s="656"/>
      <c r="DW108" s="656"/>
      <c r="DX108" s="656"/>
      <c r="DY108" s="656"/>
      <c r="DZ108" s="656"/>
      <c r="EA108" s="656"/>
      <c r="EB108" s="656"/>
      <c r="EC108" s="656"/>
      <c r="ED108" s="656"/>
      <c r="EE108" s="656"/>
      <c r="EF108" s="656"/>
      <c r="EG108" s="656"/>
      <c r="EH108" s="656"/>
      <c r="EI108" s="656"/>
      <c r="EJ108" s="656"/>
      <c r="EK108" s="656"/>
      <c r="EL108" s="656"/>
      <c r="EM108" s="656"/>
      <c r="EN108" s="656"/>
      <c r="EO108" s="656"/>
      <c r="EP108" s="656"/>
      <c r="EQ108" s="656"/>
      <c r="ER108" s="656"/>
      <c r="ES108" s="656"/>
      <c r="ET108" s="656"/>
      <c r="EU108" s="656"/>
      <c r="EV108" s="656"/>
      <c r="EW108" s="656"/>
      <c r="EX108" s="656"/>
      <c r="EY108" s="656"/>
      <c r="EZ108" s="656"/>
      <c r="FA108" s="656"/>
      <c r="FB108" s="656"/>
      <c r="FC108" s="656"/>
      <c r="FD108" s="656"/>
      <c r="FE108" s="656"/>
      <c r="FF108" s="656"/>
      <c r="FG108" s="656"/>
      <c r="FH108" s="656"/>
      <c r="FI108" s="656"/>
      <c r="FJ108" s="656"/>
      <c r="FK108" s="656"/>
      <c r="FL108" s="656"/>
      <c r="FM108" s="656"/>
      <c r="FN108" s="656"/>
      <c r="FO108" s="656"/>
      <c r="FP108" s="656"/>
      <c r="FQ108" s="656"/>
      <c r="FR108" s="656"/>
      <c r="FS108" s="656"/>
      <c r="FT108" s="656"/>
      <c r="FU108" s="656"/>
      <c r="FV108" s="656"/>
      <c r="FW108" s="656"/>
      <c r="FX108" s="656"/>
      <c r="FY108" s="656"/>
      <c r="FZ108" s="656"/>
      <c r="GA108" s="656"/>
      <c r="GB108" s="656"/>
      <c r="GC108" s="656"/>
      <c r="GD108" s="656"/>
      <c r="GE108" s="656"/>
      <c r="GF108" s="656"/>
      <c r="GG108" s="656"/>
      <c r="GH108" s="656"/>
      <c r="GI108" s="656"/>
      <c r="GJ108" s="656"/>
      <c r="GK108" s="656"/>
      <c r="GL108" s="656"/>
      <c r="GM108" s="656"/>
      <c r="GN108" s="656"/>
      <c r="GO108" s="656"/>
      <c r="GP108" s="656"/>
      <c r="GQ108" s="656"/>
      <c r="GR108" s="656"/>
      <c r="GS108" s="656"/>
      <c r="GT108" s="656"/>
      <c r="GU108" s="656"/>
      <c r="GV108" s="656"/>
      <c r="GW108" s="656"/>
      <c r="GX108" s="656"/>
      <c r="GY108" s="656"/>
      <c r="GZ108" s="656"/>
      <c r="HA108" s="656"/>
      <c r="HB108" s="656"/>
      <c r="HC108" s="656"/>
      <c r="HD108" s="656"/>
      <c r="HE108" s="656"/>
      <c r="HF108" s="656"/>
      <c r="HG108" s="656"/>
      <c r="HH108" s="656"/>
      <c r="HI108" s="656"/>
      <c r="HJ108" s="656"/>
      <c r="HK108" s="656"/>
      <c r="HL108" s="656"/>
      <c r="HM108" s="656"/>
      <c r="HN108" s="656"/>
      <c r="HO108" s="656"/>
      <c r="HP108" s="656"/>
      <c r="HQ108" s="656"/>
      <c r="HR108" s="656"/>
      <c r="HS108" s="656"/>
      <c r="HT108" s="656"/>
      <c r="HU108" s="656"/>
      <c r="HV108" s="656"/>
      <c r="HW108" s="656"/>
    </row>
    <row r="109" spans="1:231" s="657" customFormat="1" ht="42.75" x14ac:dyDescent="0.25">
      <c r="A109" s="646">
        <v>85</v>
      </c>
      <c r="B109" s="680" t="s">
        <v>1121</v>
      </c>
      <c r="C109" s="690" t="s">
        <v>1122</v>
      </c>
      <c r="D109" s="691" t="s">
        <v>1123</v>
      </c>
      <c r="E109" s="691">
        <v>290</v>
      </c>
      <c r="F109" s="720">
        <v>102014.08</v>
      </c>
      <c r="G109" s="720">
        <v>29584083</v>
      </c>
      <c r="H109" s="685">
        <v>0</v>
      </c>
      <c r="I109" s="686">
        <v>-290</v>
      </c>
      <c r="J109" s="683">
        <v>0</v>
      </c>
      <c r="K109" s="684">
        <v>0</v>
      </c>
      <c r="L109" s="683">
        <v>0</v>
      </c>
      <c r="M109" s="684">
        <v>0</v>
      </c>
      <c r="N109" s="683">
        <v>0</v>
      </c>
      <c r="O109" s="687">
        <v>0</v>
      </c>
      <c r="P109" s="656"/>
      <c r="Q109" s="656"/>
      <c r="R109" s="656"/>
      <c r="S109" s="656"/>
      <c r="T109" s="656"/>
      <c r="U109" s="656"/>
      <c r="V109" s="656"/>
      <c r="W109" s="656"/>
      <c r="X109" s="656"/>
      <c r="Y109" s="656"/>
      <c r="Z109" s="656"/>
      <c r="AA109" s="656"/>
      <c r="AB109" s="656"/>
      <c r="AC109" s="656"/>
      <c r="AD109" s="656"/>
      <c r="AE109" s="656"/>
      <c r="AF109" s="656"/>
      <c r="AG109" s="656"/>
      <c r="AH109" s="656"/>
      <c r="AI109" s="656"/>
      <c r="AJ109" s="656"/>
      <c r="AK109" s="656"/>
      <c r="AL109" s="656"/>
      <c r="AM109" s="656"/>
      <c r="AN109" s="656"/>
      <c r="AO109" s="656"/>
      <c r="AP109" s="656"/>
      <c r="AQ109" s="656"/>
      <c r="AR109" s="656"/>
      <c r="AS109" s="656"/>
      <c r="AT109" s="656"/>
      <c r="AU109" s="656"/>
      <c r="AV109" s="656"/>
      <c r="AW109" s="656"/>
      <c r="AX109" s="656"/>
      <c r="AY109" s="656"/>
      <c r="AZ109" s="656"/>
      <c r="BA109" s="656"/>
      <c r="BB109" s="656"/>
      <c r="BC109" s="656"/>
      <c r="BD109" s="656"/>
      <c r="BE109" s="656"/>
      <c r="BF109" s="656"/>
      <c r="BG109" s="656"/>
      <c r="BH109" s="656"/>
      <c r="BI109" s="656"/>
      <c r="BJ109" s="656"/>
      <c r="BK109" s="656"/>
      <c r="BL109" s="656"/>
      <c r="BM109" s="656"/>
      <c r="BN109" s="656"/>
      <c r="BO109" s="656"/>
      <c r="BP109" s="656"/>
      <c r="BQ109" s="656"/>
      <c r="BR109" s="656"/>
      <c r="BS109" s="656"/>
      <c r="BT109" s="656"/>
      <c r="BU109" s="656"/>
      <c r="BV109" s="656"/>
      <c r="BW109" s="656"/>
      <c r="BX109" s="656"/>
      <c r="BY109" s="656"/>
      <c r="BZ109" s="656"/>
      <c r="CA109" s="656"/>
      <c r="CB109" s="656"/>
      <c r="CC109" s="656"/>
      <c r="CD109" s="656"/>
      <c r="CE109" s="656"/>
      <c r="CF109" s="656"/>
      <c r="CG109" s="656"/>
      <c r="CH109" s="656"/>
      <c r="CI109" s="656"/>
      <c r="CJ109" s="656"/>
      <c r="CK109" s="656"/>
      <c r="CL109" s="656"/>
      <c r="CM109" s="656"/>
      <c r="CN109" s="656"/>
      <c r="CO109" s="656"/>
      <c r="CP109" s="656"/>
      <c r="CQ109" s="656"/>
      <c r="CR109" s="656"/>
      <c r="CS109" s="656"/>
      <c r="CT109" s="656"/>
      <c r="CU109" s="656"/>
      <c r="CV109" s="656"/>
      <c r="CW109" s="656"/>
      <c r="CX109" s="656"/>
      <c r="CY109" s="656"/>
      <c r="CZ109" s="656"/>
      <c r="DA109" s="656"/>
      <c r="DB109" s="656"/>
      <c r="DC109" s="656"/>
      <c r="DD109" s="656"/>
      <c r="DE109" s="656"/>
      <c r="DF109" s="656"/>
      <c r="DG109" s="656"/>
      <c r="DH109" s="656"/>
      <c r="DI109" s="656"/>
      <c r="DJ109" s="656"/>
      <c r="DK109" s="656"/>
      <c r="DL109" s="656"/>
      <c r="DM109" s="656"/>
      <c r="DN109" s="656"/>
      <c r="DO109" s="656"/>
      <c r="DP109" s="656"/>
      <c r="DQ109" s="656"/>
      <c r="DR109" s="656"/>
      <c r="DS109" s="656"/>
      <c r="DT109" s="656"/>
      <c r="DU109" s="656"/>
      <c r="DV109" s="656"/>
      <c r="DW109" s="656"/>
      <c r="DX109" s="656"/>
      <c r="DY109" s="656"/>
      <c r="DZ109" s="656"/>
      <c r="EA109" s="656"/>
      <c r="EB109" s="656"/>
      <c r="EC109" s="656"/>
      <c r="ED109" s="656"/>
      <c r="EE109" s="656"/>
      <c r="EF109" s="656"/>
      <c r="EG109" s="656"/>
      <c r="EH109" s="656"/>
      <c r="EI109" s="656"/>
      <c r="EJ109" s="656"/>
      <c r="EK109" s="656"/>
      <c r="EL109" s="656"/>
      <c r="EM109" s="656"/>
      <c r="EN109" s="656"/>
      <c r="EO109" s="656"/>
      <c r="EP109" s="656"/>
      <c r="EQ109" s="656"/>
      <c r="ER109" s="656"/>
      <c r="ES109" s="656"/>
      <c r="ET109" s="656"/>
      <c r="EU109" s="656"/>
      <c r="EV109" s="656"/>
      <c r="EW109" s="656"/>
      <c r="EX109" s="656"/>
      <c r="EY109" s="656"/>
      <c r="EZ109" s="656"/>
      <c r="FA109" s="656"/>
      <c r="FB109" s="656"/>
      <c r="FC109" s="656"/>
      <c r="FD109" s="656"/>
      <c r="FE109" s="656"/>
      <c r="FF109" s="656"/>
      <c r="FG109" s="656"/>
      <c r="FH109" s="656"/>
      <c r="FI109" s="656"/>
      <c r="FJ109" s="656"/>
      <c r="FK109" s="656"/>
      <c r="FL109" s="656"/>
      <c r="FM109" s="656"/>
      <c r="FN109" s="656"/>
      <c r="FO109" s="656"/>
      <c r="FP109" s="656"/>
      <c r="FQ109" s="656"/>
      <c r="FR109" s="656"/>
      <c r="FS109" s="656"/>
      <c r="FT109" s="656"/>
      <c r="FU109" s="656"/>
      <c r="FV109" s="656"/>
      <c r="FW109" s="656"/>
      <c r="FX109" s="656"/>
      <c r="FY109" s="656"/>
      <c r="FZ109" s="656"/>
      <c r="GA109" s="656"/>
      <c r="GB109" s="656"/>
      <c r="GC109" s="656"/>
      <c r="GD109" s="656"/>
      <c r="GE109" s="656"/>
      <c r="GF109" s="656"/>
      <c r="GG109" s="656"/>
      <c r="GH109" s="656"/>
      <c r="GI109" s="656"/>
      <c r="GJ109" s="656"/>
      <c r="GK109" s="656"/>
      <c r="GL109" s="656"/>
      <c r="GM109" s="656"/>
      <c r="GN109" s="656"/>
      <c r="GO109" s="656"/>
      <c r="GP109" s="656"/>
      <c r="GQ109" s="656"/>
      <c r="GR109" s="656"/>
      <c r="GS109" s="656"/>
      <c r="GT109" s="656"/>
      <c r="GU109" s="656"/>
      <c r="GV109" s="656"/>
      <c r="GW109" s="656"/>
      <c r="GX109" s="656"/>
      <c r="GY109" s="656"/>
      <c r="GZ109" s="656"/>
      <c r="HA109" s="656"/>
      <c r="HB109" s="656"/>
      <c r="HC109" s="656"/>
      <c r="HD109" s="656"/>
      <c r="HE109" s="656"/>
      <c r="HF109" s="656"/>
      <c r="HG109" s="656"/>
      <c r="HH109" s="656"/>
      <c r="HI109" s="656"/>
      <c r="HJ109" s="656"/>
      <c r="HK109" s="656"/>
      <c r="HL109" s="656"/>
      <c r="HM109" s="656"/>
      <c r="HN109" s="656"/>
      <c r="HO109" s="656"/>
      <c r="HP109" s="656"/>
      <c r="HQ109" s="656"/>
      <c r="HR109" s="656"/>
      <c r="HS109" s="656"/>
      <c r="HT109" s="656"/>
      <c r="HU109" s="656"/>
      <c r="HV109" s="656"/>
      <c r="HW109" s="656"/>
    </row>
    <row r="110" spans="1:231" s="657" customFormat="1" ht="30.75" customHeight="1" x14ac:dyDescent="0.25">
      <c r="A110" s="646">
        <v>86</v>
      </c>
      <c r="B110" s="680" t="s">
        <v>1124</v>
      </c>
      <c r="C110" s="690" t="s">
        <v>1125</v>
      </c>
      <c r="D110" s="691" t="s">
        <v>14</v>
      </c>
      <c r="E110" s="691">
        <v>30</v>
      </c>
      <c r="F110" s="720">
        <v>51901.78</v>
      </c>
      <c r="G110" s="720">
        <v>1557053</v>
      </c>
      <c r="H110" s="685">
        <v>0</v>
      </c>
      <c r="I110" s="685">
        <v>0</v>
      </c>
      <c r="J110" s="683">
        <v>30</v>
      </c>
      <c r="K110" s="684">
        <v>1557053</v>
      </c>
      <c r="L110" s="683">
        <v>0</v>
      </c>
      <c r="M110" s="684">
        <v>0</v>
      </c>
      <c r="N110" s="683">
        <v>0</v>
      </c>
      <c r="O110" s="687">
        <v>0</v>
      </c>
      <c r="P110" s="656"/>
      <c r="Q110" s="656"/>
      <c r="R110" s="656"/>
      <c r="S110" s="656"/>
      <c r="T110" s="656"/>
      <c r="U110" s="656"/>
      <c r="V110" s="656"/>
      <c r="W110" s="656"/>
      <c r="X110" s="656"/>
      <c r="Y110" s="656"/>
      <c r="Z110" s="656"/>
      <c r="AA110" s="656"/>
      <c r="AB110" s="656"/>
      <c r="AC110" s="656"/>
      <c r="AD110" s="656"/>
      <c r="AE110" s="656"/>
      <c r="AF110" s="656"/>
      <c r="AG110" s="656"/>
      <c r="AH110" s="656"/>
      <c r="AI110" s="656"/>
      <c r="AJ110" s="656"/>
      <c r="AK110" s="656"/>
      <c r="AL110" s="656"/>
      <c r="AM110" s="656"/>
      <c r="AN110" s="656"/>
      <c r="AO110" s="656"/>
      <c r="AP110" s="656"/>
      <c r="AQ110" s="656"/>
      <c r="AR110" s="656"/>
      <c r="AS110" s="656"/>
      <c r="AT110" s="656"/>
      <c r="AU110" s="656"/>
      <c r="AV110" s="656"/>
      <c r="AW110" s="656"/>
      <c r="AX110" s="656"/>
      <c r="AY110" s="656"/>
      <c r="AZ110" s="656"/>
      <c r="BA110" s="656"/>
      <c r="BB110" s="656"/>
      <c r="BC110" s="656"/>
      <c r="BD110" s="656"/>
      <c r="BE110" s="656"/>
      <c r="BF110" s="656"/>
      <c r="BG110" s="656"/>
      <c r="BH110" s="656"/>
      <c r="BI110" s="656"/>
      <c r="BJ110" s="656"/>
      <c r="BK110" s="656"/>
      <c r="BL110" s="656"/>
      <c r="BM110" s="656"/>
      <c r="BN110" s="656"/>
      <c r="BO110" s="656"/>
      <c r="BP110" s="656"/>
      <c r="BQ110" s="656"/>
      <c r="BR110" s="656"/>
      <c r="BS110" s="656"/>
      <c r="BT110" s="656"/>
      <c r="BU110" s="656"/>
      <c r="BV110" s="656"/>
      <c r="BW110" s="656"/>
      <c r="BX110" s="656"/>
      <c r="BY110" s="656"/>
      <c r="BZ110" s="656"/>
      <c r="CA110" s="656"/>
      <c r="CB110" s="656"/>
      <c r="CC110" s="656"/>
      <c r="CD110" s="656"/>
      <c r="CE110" s="656"/>
      <c r="CF110" s="656"/>
      <c r="CG110" s="656"/>
      <c r="CH110" s="656"/>
      <c r="CI110" s="656"/>
      <c r="CJ110" s="656"/>
      <c r="CK110" s="656"/>
      <c r="CL110" s="656"/>
      <c r="CM110" s="656"/>
      <c r="CN110" s="656"/>
      <c r="CO110" s="656"/>
      <c r="CP110" s="656"/>
      <c r="CQ110" s="656"/>
      <c r="CR110" s="656"/>
      <c r="CS110" s="656"/>
      <c r="CT110" s="656"/>
      <c r="CU110" s="656"/>
      <c r="CV110" s="656"/>
      <c r="CW110" s="656"/>
      <c r="CX110" s="656"/>
      <c r="CY110" s="656"/>
      <c r="CZ110" s="656"/>
      <c r="DA110" s="656"/>
      <c r="DB110" s="656"/>
      <c r="DC110" s="656"/>
      <c r="DD110" s="656"/>
      <c r="DE110" s="656"/>
      <c r="DF110" s="656"/>
      <c r="DG110" s="656"/>
      <c r="DH110" s="656"/>
      <c r="DI110" s="656"/>
      <c r="DJ110" s="656"/>
      <c r="DK110" s="656"/>
      <c r="DL110" s="656"/>
      <c r="DM110" s="656"/>
      <c r="DN110" s="656"/>
      <c r="DO110" s="656"/>
      <c r="DP110" s="656"/>
      <c r="DQ110" s="656"/>
      <c r="DR110" s="656"/>
      <c r="DS110" s="656"/>
      <c r="DT110" s="656"/>
      <c r="DU110" s="656"/>
      <c r="DV110" s="656"/>
      <c r="DW110" s="656"/>
      <c r="DX110" s="656"/>
      <c r="DY110" s="656"/>
      <c r="DZ110" s="656"/>
      <c r="EA110" s="656"/>
      <c r="EB110" s="656"/>
      <c r="EC110" s="656"/>
      <c r="ED110" s="656"/>
      <c r="EE110" s="656"/>
      <c r="EF110" s="656"/>
      <c r="EG110" s="656"/>
      <c r="EH110" s="656"/>
      <c r="EI110" s="656"/>
      <c r="EJ110" s="656"/>
      <c r="EK110" s="656"/>
      <c r="EL110" s="656"/>
      <c r="EM110" s="656"/>
      <c r="EN110" s="656"/>
      <c r="EO110" s="656"/>
      <c r="EP110" s="656"/>
      <c r="EQ110" s="656"/>
      <c r="ER110" s="656"/>
      <c r="ES110" s="656"/>
      <c r="ET110" s="656"/>
      <c r="EU110" s="656"/>
      <c r="EV110" s="656"/>
      <c r="EW110" s="656"/>
      <c r="EX110" s="656"/>
      <c r="EY110" s="656"/>
      <c r="EZ110" s="656"/>
      <c r="FA110" s="656"/>
      <c r="FB110" s="656"/>
      <c r="FC110" s="656"/>
      <c r="FD110" s="656"/>
      <c r="FE110" s="656"/>
      <c r="FF110" s="656"/>
      <c r="FG110" s="656"/>
      <c r="FH110" s="656"/>
      <c r="FI110" s="656"/>
      <c r="FJ110" s="656"/>
      <c r="FK110" s="656"/>
      <c r="FL110" s="656"/>
      <c r="FM110" s="656"/>
      <c r="FN110" s="656"/>
      <c r="FO110" s="656"/>
      <c r="FP110" s="656"/>
      <c r="FQ110" s="656"/>
      <c r="FR110" s="656"/>
      <c r="FS110" s="656"/>
      <c r="FT110" s="656"/>
      <c r="FU110" s="656"/>
      <c r="FV110" s="656"/>
      <c r="FW110" s="656"/>
      <c r="FX110" s="656"/>
      <c r="FY110" s="656"/>
      <c r="FZ110" s="656"/>
      <c r="GA110" s="656"/>
      <c r="GB110" s="656"/>
      <c r="GC110" s="656"/>
      <c r="GD110" s="656"/>
      <c r="GE110" s="656"/>
      <c r="GF110" s="656"/>
      <c r="GG110" s="656"/>
      <c r="GH110" s="656"/>
      <c r="GI110" s="656"/>
      <c r="GJ110" s="656"/>
      <c r="GK110" s="656"/>
      <c r="GL110" s="656"/>
      <c r="GM110" s="656"/>
      <c r="GN110" s="656"/>
      <c r="GO110" s="656"/>
      <c r="GP110" s="656"/>
      <c r="GQ110" s="656"/>
      <c r="GR110" s="656"/>
      <c r="GS110" s="656"/>
      <c r="GT110" s="656"/>
      <c r="GU110" s="656"/>
      <c r="GV110" s="656"/>
      <c r="GW110" s="656"/>
      <c r="GX110" s="656"/>
      <c r="GY110" s="656"/>
      <c r="GZ110" s="656"/>
      <c r="HA110" s="656"/>
      <c r="HB110" s="656"/>
      <c r="HC110" s="656"/>
      <c r="HD110" s="656"/>
      <c r="HE110" s="656"/>
      <c r="HF110" s="656"/>
      <c r="HG110" s="656"/>
      <c r="HH110" s="656"/>
      <c r="HI110" s="656"/>
      <c r="HJ110" s="656"/>
      <c r="HK110" s="656"/>
      <c r="HL110" s="656"/>
      <c r="HM110" s="656"/>
      <c r="HN110" s="656"/>
      <c r="HO110" s="656"/>
      <c r="HP110" s="656"/>
      <c r="HQ110" s="656"/>
      <c r="HR110" s="656"/>
      <c r="HS110" s="656"/>
      <c r="HT110" s="656"/>
      <c r="HU110" s="656"/>
      <c r="HV110" s="656"/>
      <c r="HW110" s="656"/>
    </row>
    <row r="111" spans="1:231" s="657" customFormat="1" x14ac:dyDescent="0.25">
      <c r="A111" s="646">
        <v>87</v>
      </c>
      <c r="B111" s="680" t="s">
        <v>1126</v>
      </c>
      <c r="C111" s="690" t="s">
        <v>1127</v>
      </c>
      <c r="D111" s="691" t="s">
        <v>6</v>
      </c>
      <c r="E111" s="691">
        <v>3</v>
      </c>
      <c r="F111" s="720">
        <v>136112.20000000001</v>
      </c>
      <c r="G111" s="720">
        <v>408337</v>
      </c>
      <c r="H111" s="685">
        <v>0</v>
      </c>
      <c r="I111" s="685">
        <v>0</v>
      </c>
      <c r="J111" s="683">
        <v>3</v>
      </c>
      <c r="K111" s="684">
        <v>408337</v>
      </c>
      <c r="L111" s="683">
        <v>0</v>
      </c>
      <c r="M111" s="684">
        <v>0</v>
      </c>
      <c r="N111" s="683">
        <v>0</v>
      </c>
      <c r="O111" s="687">
        <v>0</v>
      </c>
      <c r="P111" s="656"/>
      <c r="Q111" s="656"/>
      <c r="R111" s="656"/>
      <c r="S111" s="656"/>
      <c r="T111" s="656"/>
      <c r="U111" s="656"/>
      <c r="V111" s="656"/>
      <c r="W111" s="656"/>
      <c r="X111" s="656"/>
      <c r="Y111" s="656"/>
      <c r="Z111" s="656"/>
      <c r="AA111" s="656"/>
      <c r="AB111" s="656"/>
      <c r="AC111" s="656"/>
      <c r="AD111" s="656"/>
      <c r="AE111" s="656"/>
      <c r="AF111" s="656"/>
      <c r="AG111" s="656"/>
      <c r="AH111" s="656"/>
      <c r="AI111" s="656"/>
      <c r="AJ111" s="656"/>
      <c r="AK111" s="656"/>
      <c r="AL111" s="656"/>
      <c r="AM111" s="656"/>
      <c r="AN111" s="656"/>
      <c r="AO111" s="656"/>
      <c r="AP111" s="656"/>
      <c r="AQ111" s="656"/>
      <c r="AR111" s="656"/>
      <c r="AS111" s="656"/>
      <c r="AT111" s="656"/>
      <c r="AU111" s="656"/>
      <c r="AV111" s="656"/>
      <c r="AW111" s="656"/>
      <c r="AX111" s="656"/>
      <c r="AY111" s="656"/>
      <c r="AZ111" s="656"/>
      <c r="BA111" s="656"/>
      <c r="BB111" s="656"/>
      <c r="BC111" s="656"/>
      <c r="BD111" s="656"/>
      <c r="BE111" s="656"/>
      <c r="BF111" s="656"/>
      <c r="BG111" s="656"/>
      <c r="BH111" s="656"/>
      <c r="BI111" s="656"/>
      <c r="BJ111" s="656"/>
      <c r="BK111" s="656"/>
      <c r="BL111" s="656"/>
      <c r="BM111" s="656"/>
      <c r="BN111" s="656"/>
      <c r="BO111" s="656"/>
      <c r="BP111" s="656"/>
      <c r="BQ111" s="656"/>
      <c r="BR111" s="656"/>
      <c r="BS111" s="656"/>
      <c r="BT111" s="656"/>
      <c r="BU111" s="656"/>
      <c r="BV111" s="656"/>
      <c r="BW111" s="656"/>
      <c r="BX111" s="656"/>
      <c r="BY111" s="656"/>
      <c r="BZ111" s="656"/>
      <c r="CA111" s="656"/>
      <c r="CB111" s="656"/>
      <c r="CC111" s="656"/>
      <c r="CD111" s="656"/>
      <c r="CE111" s="656"/>
      <c r="CF111" s="656"/>
      <c r="CG111" s="656"/>
      <c r="CH111" s="656"/>
      <c r="CI111" s="656"/>
      <c r="CJ111" s="656"/>
      <c r="CK111" s="656"/>
      <c r="CL111" s="656"/>
      <c r="CM111" s="656"/>
      <c r="CN111" s="656"/>
      <c r="CO111" s="656"/>
      <c r="CP111" s="656"/>
      <c r="CQ111" s="656"/>
      <c r="CR111" s="656"/>
      <c r="CS111" s="656"/>
      <c r="CT111" s="656"/>
      <c r="CU111" s="656"/>
      <c r="CV111" s="656"/>
      <c r="CW111" s="656"/>
      <c r="CX111" s="656"/>
      <c r="CY111" s="656"/>
      <c r="CZ111" s="656"/>
      <c r="DA111" s="656"/>
      <c r="DB111" s="656"/>
      <c r="DC111" s="656"/>
      <c r="DD111" s="656"/>
      <c r="DE111" s="656"/>
      <c r="DF111" s="656"/>
      <c r="DG111" s="656"/>
      <c r="DH111" s="656"/>
      <c r="DI111" s="656"/>
      <c r="DJ111" s="656"/>
      <c r="DK111" s="656"/>
      <c r="DL111" s="656"/>
      <c r="DM111" s="656"/>
      <c r="DN111" s="656"/>
      <c r="DO111" s="656"/>
      <c r="DP111" s="656"/>
      <c r="DQ111" s="656"/>
      <c r="DR111" s="656"/>
      <c r="DS111" s="656"/>
      <c r="DT111" s="656"/>
      <c r="DU111" s="656"/>
      <c r="DV111" s="656"/>
      <c r="DW111" s="656"/>
      <c r="DX111" s="656"/>
      <c r="DY111" s="656"/>
      <c r="DZ111" s="656"/>
      <c r="EA111" s="656"/>
      <c r="EB111" s="656"/>
      <c r="EC111" s="656"/>
      <c r="ED111" s="656"/>
      <c r="EE111" s="656"/>
      <c r="EF111" s="656"/>
      <c r="EG111" s="656"/>
      <c r="EH111" s="656"/>
      <c r="EI111" s="656"/>
      <c r="EJ111" s="656"/>
      <c r="EK111" s="656"/>
      <c r="EL111" s="656"/>
      <c r="EM111" s="656"/>
      <c r="EN111" s="656"/>
      <c r="EO111" s="656"/>
      <c r="EP111" s="656"/>
      <c r="EQ111" s="656"/>
      <c r="ER111" s="656"/>
      <c r="ES111" s="656"/>
      <c r="ET111" s="656"/>
      <c r="EU111" s="656"/>
      <c r="EV111" s="656"/>
      <c r="EW111" s="656"/>
      <c r="EX111" s="656"/>
      <c r="EY111" s="656"/>
      <c r="EZ111" s="656"/>
      <c r="FA111" s="656"/>
      <c r="FB111" s="656"/>
      <c r="FC111" s="656"/>
      <c r="FD111" s="656"/>
      <c r="FE111" s="656"/>
      <c r="FF111" s="656"/>
      <c r="FG111" s="656"/>
      <c r="FH111" s="656"/>
      <c r="FI111" s="656"/>
      <c r="FJ111" s="656"/>
      <c r="FK111" s="656"/>
      <c r="FL111" s="656"/>
      <c r="FM111" s="656"/>
      <c r="FN111" s="656"/>
      <c r="FO111" s="656"/>
      <c r="FP111" s="656"/>
      <c r="FQ111" s="656"/>
      <c r="FR111" s="656"/>
      <c r="FS111" s="656"/>
      <c r="FT111" s="656"/>
      <c r="FU111" s="656"/>
      <c r="FV111" s="656"/>
      <c r="FW111" s="656"/>
      <c r="FX111" s="656"/>
      <c r="FY111" s="656"/>
      <c r="FZ111" s="656"/>
      <c r="GA111" s="656"/>
      <c r="GB111" s="656"/>
      <c r="GC111" s="656"/>
      <c r="GD111" s="656"/>
      <c r="GE111" s="656"/>
      <c r="GF111" s="656"/>
      <c r="GG111" s="656"/>
      <c r="GH111" s="656"/>
      <c r="GI111" s="656"/>
      <c r="GJ111" s="656"/>
      <c r="GK111" s="656"/>
      <c r="GL111" s="656"/>
      <c r="GM111" s="656"/>
      <c r="GN111" s="656"/>
      <c r="GO111" s="656"/>
      <c r="GP111" s="656"/>
      <c r="GQ111" s="656"/>
      <c r="GR111" s="656"/>
      <c r="GS111" s="656"/>
      <c r="GT111" s="656"/>
      <c r="GU111" s="656"/>
      <c r="GV111" s="656"/>
      <c r="GW111" s="656"/>
      <c r="GX111" s="656"/>
      <c r="GY111" s="656"/>
      <c r="GZ111" s="656"/>
      <c r="HA111" s="656"/>
      <c r="HB111" s="656"/>
      <c r="HC111" s="656"/>
      <c r="HD111" s="656"/>
      <c r="HE111" s="656"/>
      <c r="HF111" s="656"/>
      <c r="HG111" s="656"/>
      <c r="HH111" s="656"/>
      <c r="HI111" s="656"/>
      <c r="HJ111" s="656"/>
      <c r="HK111" s="656"/>
      <c r="HL111" s="656"/>
      <c r="HM111" s="656"/>
      <c r="HN111" s="656"/>
      <c r="HO111" s="656"/>
      <c r="HP111" s="656"/>
      <c r="HQ111" s="656"/>
      <c r="HR111" s="656"/>
      <c r="HS111" s="656"/>
      <c r="HT111" s="656"/>
      <c r="HU111" s="656"/>
      <c r="HV111" s="656"/>
      <c r="HW111" s="656"/>
    </row>
    <row r="112" spans="1:231" s="657" customFormat="1" x14ac:dyDescent="0.25">
      <c r="A112" s="646">
        <v>88</v>
      </c>
      <c r="B112" s="680" t="s">
        <v>1128</v>
      </c>
      <c r="C112" s="690" t="s">
        <v>851</v>
      </c>
      <c r="D112" s="691" t="s">
        <v>6</v>
      </c>
      <c r="E112" s="691">
        <v>3</v>
      </c>
      <c r="F112" s="720">
        <v>78843.94</v>
      </c>
      <c r="G112" s="720">
        <v>236532</v>
      </c>
      <c r="H112" s="685">
        <v>0</v>
      </c>
      <c r="I112" s="685">
        <v>0</v>
      </c>
      <c r="J112" s="683">
        <v>3</v>
      </c>
      <c r="K112" s="684">
        <v>236532</v>
      </c>
      <c r="L112" s="683">
        <v>0</v>
      </c>
      <c r="M112" s="684">
        <v>0</v>
      </c>
      <c r="N112" s="683">
        <v>0</v>
      </c>
      <c r="O112" s="687">
        <v>0</v>
      </c>
      <c r="P112" s="656"/>
      <c r="Q112" s="656"/>
      <c r="R112" s="656"/>
      <c r="S112" s="656"/>
      <c r="T112" s="656"/>
      <c r="U112" s="656"/>
      <c r="V112" s="656"/>
      <c r="W112" s="656"/>
      <c r="X112" s="656"/>
      <c r="Y112" s="656"/>
      <c r="Z112" s="656"/>
      <c r="AA112" s="656"/>
      <c r="AB112" s="656"/>
      <c r="AC112" s="656"/>
      <c r="AD112" s="656"/>
      <c r="AE112" s="656"/>
      <c r="AF112" s="656"/>
      <c r="AG112" s="656"/>
      <c r="AH112" s="656"/>
      <c r="AI112" s="656"/>
      <c r="AJ112" s="656"/>
      <c r="AK112" s="656"/>
      <c r="AL112" s="656"/>
      <c r="AM112" s="656"/>
      <c r="AN112" s="656"/>
      <c r="AO112" s="656"/>
      <c r="AP112" s="656"/>
      <c r="AQ112" s="656"/>
      <c r="AR112" s="656"/>
      <c r="AS112" s="656"/>
      <c r="AT112" s="656"/>
      <c r="AU112" s="656"/>
      <c r="AV112" s="656"/>
      <c r="AW112" s="656"/>
      <c r="AX112" s="656"/>
      <c r="AY112" s="656"/>
      <c r="AZ112" s="656"/>
      <c r="BA112" s="656"/>
      <c r="BB112" s="656"/>
      <c r="BC112" s="656"/>
      <c r="BD112" s="656"/>
      <c r="BE112" s="656"/>
      <c r="BF112" s="656"/>
      <c r="BG112" s="656"/>
      <c r="BH112" s="656"/>
      <c r="BI112" s="656"/>
      <c r="BJ112" s="656"/>
      <c r="BK112" s="656"/>
      <c r="BL112" s="656"/>
      <c r="BM112" s="656"/>
      <c r="BN112" s="656"/>
      <c r="BO112" s="656"/>
      <c r="BP112" s="656"/>
      <c r="BQ112" s="656"/>
      <c r="BR112" s="656"/>
      <c r="BS112" s="656"/>
      <c r="BT112" s="656"/>
      <c r="BU112" s="656"/>
      <c r="BV112" s="656"/>
      <c r="BW112" s="656"/>
      <c r="BX112" s="656"/>
      <c r="BY112" s="656"/>
      <c r="BZ112" s="656"/>
      <c r="CA112" s="656"/>
      <c r="CB112" s="656"/>
      <c r="CC112" s="656"/>
      <c r="CD112" s="656"/>
      <c r="CE112" s="656"/>
      <c r="CF112" s="656"/>
      <c r="CG112" s="656"/>
      <c r="CH112" s="656"/>
      <c r="CI112" s="656"/>
      <c r="CJ112" s="656"/>
      <c r="CK112" s="656"/>
      <c r="CL112" s="656"/>
      <c r="CM112" s="656"/>
      <c r="CN112" s="656"/>
      <c r="CO112" s="656"/>
      <c r="CP112" s="656"/>
      <c r="CQ112" s="656"/>
      <c r="CR112" s="656"/>
      <c r="CS112" s="656"/>
      <c r="CT112" s="656"/>
      <c r="CU112" s="656"/>
      <c r="CV112" s="656"/>
      <c r="CW112" s="656"/>
      <c r="CX112" s="656"/>
      <c r="CY112" s="656"/>
      <c r="CZ112" s="656"/>
      <c r="DA112" s="656"/>
      <c r="DB112" s="656"/>
      <c r="DC112" s="656"/>
      <c r="DD112" s="656"/>
      <c r="DE112" s="656"/>
      <c r="DF112" s="656"/>
      <c r="DG112" s="656"/>
      <c r="DH112" s="656"/>
      <c r="DI112" s="656"/>
      <c r="DJ112" s="656"/>
      <c r="DK112" s="656"/>
      <c r="DL112" s="656"/>
      <c r="DM112" s="656"/>
      <c r="DN112" s="656"/>
      <c r="DO112" s="656"/>
      <c r="DP112" s="656"/>
      <c r="DQ112" s="656"/>
      <c r="DR112" s="656"/>
      <c r="DS112" s="656"/>
      <c r="DT112" s="656"/>
      <c r="DU112" s="656"/>
      <c r="DV112" s="656"/>
      <c r="DW112" s="656"/>
      <c r="DX112" s="656"/>
      <c r="DY112" s="656"/>
      <c r="DZ112" s="656"/>
      <c r="EA112" s="656"/>
      <c r="EB112" s="656"/>
      <c r="EC112" s="656"/>
      <c r="ED112" s="656"/>
      <c r="EE112" s="656"/>
      <c r="EF112" s="656"/>
      <c r="EG112" s="656"/>
      <c r="EH112" s="656"/>
      <c r="EI112" s="656"/>
      <c r="EJ112" s="656"/>
      <c r="EK112" s="656"/>
      <c r="EL112" s="656"/>
      <c r="EM112" s="656"/>
      <c r="EN112" s="656"/>
      <c r="EO112" s="656"/>
      <c r="EP112" s="656"/>
      <c r="EQ112" s="656"/>
      <c r="ER112" s="656"/>
      <c r="ES112" s="656"/>
      <c r="ET112" s="656"/>
      <c r="EU112" s="656"/>
      <c r="EV112" s="656"/>
      <c r="EW112" s="656"/>
      <c r="EX112" s="656"/>
      <c r="EY112" s="656"/>
      <c r="EZ112" s="656"/>
      <c r="FA112" s="656"/>
      <c r="FB112" s="656"/>
      <c r="FC112" s="656"/>
      <c r="FD112" s="656"/>
      <c r="FE112" s="656"/>
      <c r="FF112" s="656"/>
      <c r="FG112" s="656"/>
      <c r="FH112" s="656"/>
      <c r="FI112" s="656"/>
      <c r="FJ112" s="656"/>
      <c r="FK112" s="656"/>
      <c r="FL112" s="656"/>
      <c r="FM112" s="656"/>
      <c r="FN112" s="656"/>
      <c r="FO112" s="656"/>
      <c r="FP112" s="656"/>
      <c r="FQ112" s="656"/>
      <c r="FR112" s="656"/>
      <c r="FS112" s="656"/>
      <c r="FT112" s="656"/>
      <c r="FU112" s="656"/>
      <c r="FV112" s="656"/>
      <c r="FW112" s="656"/>
      <c r="FX112" s="656"/>
      <c r="FY112" s="656"/>
      <c r="FZ112" s="656"/>
      <c r="GA112" s="656"/>
      <c r="GB112" s="656"/>
      <c r="GC112" s="656"/>
      <c r="GD112" s="656"/>
      <c r="GE112" s="656"/>
      <c r="GF112" s="656"/>
      <c r="GG112" s="656"/>
      <c r="GH112" s="656"/>
      <c r="GI112" s="656"/>
      <c r="GJ112" s="656"/>
      <c r="GK112" s="656"/>
      <c r="GL112" s="656"/>
      <c r="GM112" s="656"/>
      <c r="GN112" s="656"/>
      <c r="GO112" s="656"/>
      <c r="GP112" s="656"/>
      <c r="GQ112" s="656"/>
      <c r="GR112" s="656"/>
      <c r="GS112" s="656"/>
      <c r="GT112" s="656"/>
      <c r="GU112" s="656"/>
      <c r="GV112" s="656"/>
      <c r="GW112" s="656"/>
      <c r="GX112" s="656"/>
      <c r="GY112" s="656"/>
      <c r="GZ112" s="656"/>
      <c r="HA112" s="656"/>
      <c r="HB112" s="656"/>
      <c r="HC112" s="656"/>
      <c r="HD112" s="656"/>
      <c r="HE112" s="656"/>
      <c r="HF112" s="656"/>
      <c r="HG112" s="656"/>
      <c r="HH112" s="656"/>
      <c r="HI112" s="656"/>
      <c r="HJ112" s="656"/>
      <c r="HK112" s="656"/>
      <c r="HL112" s="656"/>
      <c r="HM112" s="656"/>
      <c r="HN112" s="656"/>
      <c r="HO112" s="656"/>
      <c r="HP112" s="656"/>
      <c r="HQ112" s="656"/>
      <c r="HR112" s="656"/>
      <c r="HS112" s="656"/>
      <c r="HT112" s="656"/>
      <c r="HU112" s="656"/>
      <c r="HV112" s="656"/>
      <c r="HW112" s="656"/>
    </row>
    <row r="113" spans="1:231" s="657" customFormat="1" x14ac:dyDescent="0.25">
      <c r="A113" s="646">
        <v>89</v>
      </c>
      <c r="B113" s="680" t="s">
        <v>1129</v>
      </c>
      <c r="C113" s="690" t="s">
        <v>1130</v>
      </c>
      <c r="D113" s="691" t="s">
        <v>19</v>
      </c>
      <c r="E113" s="691">
        <v>600</v>
      </c>
      <c r="F113" s="720">
        <v>7883.12</v>
      </c>
      <c r="G113" s="720">
        <v>4729872</v>
      </c>
      <c r="H113" s="685">
        <v>0</v>
      </c>
      <c r="I113" s="685">
        <v>0</v>
      </c>
      <c r="J113" s="683">
        <v>600</v>
      </c>
      <c r="K113" s="684">
        <v>4729872</v>
      </c>
      <c r="L113" s="683">
        <v>0</v>
      </c>
      <c r="M113" s="684">
        <v>0</v>
      </c>
      <c r="N113" s="683">
        <v>0</v>
      </c>
      <c r="O113" s="687">
        <v>0</v>
      </c>
      <c r="P113" s="656"/>
      <c r="Q113" s="656"/>
      <c r="R113" s="656"/>
      <c r="S113" s="656"/>
      <c r="T113" s="656"/>
      <c r="U113" s="656"/>
      <c r="V113" s="656"/>
      <c r="W113" s="656"/>
      <c r="X113" s="656"/>
      <c r="Y113" s="656"/>
      <c r="Z113" s="656"/>
      <c r="AA113" s="656"/>
      <c r="AB113" s="656"/>
      <c r="AC113" s="656"/>
      <c r="AD113" s="656"/>
      <c r="AE113" s="656"/>
      <c r="AF113" s="656"/>
      <c r="AG113" s="656"/>
      <c r="AH113" s="656"/>
      <c r="AI113" s="656"/>
      <c r="AJ113" s="656"/>
      <c r="AK113" s="656"/>
      <c r="AL113" s="656"/>
      <c r="AM113" s="656"/>
      <c r="AN113" s="656"/>
      <c r="AO113" s="656"/>
      <c r="AP113" s="656"/>
      <c r="AQ113" s="656"/>
      <c r="AR113" s="656"/>
      <c r="AS113" s="656"/>
      <c r="AT113" s="656"/>
      <c r="AU113" s="656"/>
      <c r="AV113" s="656"/>
      <c r="AW113" s="656"/>
      <c r="AX113" s="656"/>
      <c r="AY113" s="656"/>
      <c r="AZ113" s="656"/>
      <c r="BA113" s="656"/>
      <c r="BB113" s="656"/>
      <c r="BC113" s="656"/>
      <c r="BD113" s="656"/>
      <c r="BE113" s="656"/>
      <c r="BF113" s="656"/>
      <c r="BG113" s="656"/>
      <c r="BH113" s="656"/>
      <c r="BI113" s="656"/>
      <c r="BJ113" s="656"/>
      <c r="BK113" s="656"/>
      <c r="BL113" s="656"/>
      <c r="BM113" s="656"/>
      <c r="BN113" s="656"/>
      <c r="BO113" s="656"/>
      <c r="BP113" s="656"/>
      <c r="BQ113" s="656"/>
      <c r="BR113" s="656"/>
      <c r="BS113" s="656"/>
      <c r="BT113" s="656"/>
      <c r="BU113" s="656"/>
      <c r="BV113" s="656"/>
      <c r="BW113" s="656"/>
      <c r="BX113" s="656"/>
      <c r="BY113" s="656"/>
      <c r="BZ113" s="656"/>
      <c r="CA113" s="656"/>
      <c r="CB113" s="656"/>
      <c r="CC113" s="656"/>
      <c r="CD113" s="656"/>
      <c r="CE113" s="656"/>
      <c r="CF113" s="656"/>
      <c r="CG113" s="656"/>
      <c r="CH113" s="656"/>
      <c r="CI113" s="656"/>
      <c r="CJ113" s="656"/>
      <c r="CK113" s="656"/>
      <c r="CL113" s="656"/>
      <c r="CM113" s="656"/>
      <c r="CN113" s="656"/>
      <c r="CO113" s="656"/>
      <c r="CP113" s="656"/>
      <c r="CQ113" s="656"/>
      <c r="CR113" s="656"/>
      <c r="CS113" s="656"/>
      <c r="CT113" s="656"/>
      <c r="CU113" s="656"/>
      <c r="CV113" s="656"/>
      <c r="CW113" s="656"/>
      <c r="CX113" s="656"/>
      <c r="CY113" s="656"/>
      <c r="CZ113" s="656"/>
      <c r="DA113" s="656"/>
      <c r="DB113" s="656"/>
      <c r="DC113" s="656"/>
      <c r="DD113" s="656"/>
      <c r="DE113" s="656"/>
      <c r="DF113" s="656"/>
      <c r="DG113" s="656"/>
      <c r="DH113" s="656"/>
      <c r="DI113" s="656"/>
      <c r="DJ113" s="656"/>
      <c r="DK113" s="656"/>
      <c r="DL113" s="656"/>
      <c r="DM113" s="656"/>
      <c r="DN113" s="656"/>
      <c r="DO113" s="656"/>
      <c r="DP113" s="656"/>
      <c r="DQ113" s="656"/>
      <c r="DR113" s="656"/>
      <c r="DS113" s="656"/>
      <c r="DT113" s="656"/>
      <c r="DU113" s="656"/>
      <c r="DV113" s="656"/>
      <c r="DW113" s="656"/>
      <c r="DX113" s="656"/>
      <c r="DY113" s="656"/>
      <c r="DZ113" s="656"/>
      <c r="EA113" s="656"/>
      <c r="EB113" s="656"/>
      <c r="EC113" s="656"/>
      <c r="ED113" s="656"/>
      <c r="EE113" s="656"/>
      <c r="EF113" s="656"/>
      <c r="EG113" s="656"/>
      <c r="EH113" s="656"/>
      <c r="EI113" s="656"/>
      <c r="EJ113" s="656"/>
      <c r="EK113" s="656"/>
      <c r="EL113" s="656"/>
      <c r="EM113" s="656"/>
      <c r="EN113" s="656"/>
      <c r="EO113" s="656"/>
      <c r="EP113" s="656"/>
      <c r="EQ113" s="656"/>
      <c r="ER113" s="656"/>
      <c r="ES113" s="656"/>
      <c r="ET113" s="656"/>
      <c r="EU113" s="656"/>
      <c r="EV113" s="656"/>
      <c r="EW113" s="656"/>
      <c r="EX113" s="656"/>
      <c r="EY113" s="656"/>
      <c r="EZ113" s="656"/>
      <c r="FA113" s="656"/>
      <c r="FB113" s="656"/>
      <c r="FC113" s="656"/>
      <c r="FD113" s="656"/>
      <c r="FE113" s="656"/>
      <c r="FF113" s="656"/>
      <c r="FG113" s="656"/>
      <c r="FH113" s="656"/>
      <c r="FI113" s="656"/>
      <c r="FJ113" s="656"/>
      <c r="FK113" s="656"/>
      <c r="FL113" s="656"/>
      <c r="FM113" s="656"/>
      <c r="FN113" s="656"/>
      <c r="FO113" s="656"/>
      <c r="FP113" s="656"/>
      <c r="FQ113" s="656"/>
      <c r="FR113" s="656"/>
      <c r="FS113" s="656"/>
      <c r="FT113" s="656"/>
      <c r="FU113" s="656"/>
      <c r="FV113" s="656"/>
      <c r="FW113" s="656"/>
      <c r="FX113" s="656"/>
      <c r="FY113" s="656"/>
      <c r="FZ113" s="656"/>
      <c r="GA113" s="656"/>
      <c r="GB113" s="656"/>
      <c r="GC113" s="656"/>
      <c r="GD113" s="656"/>
      <c r="GE113" s="656"/>
      <c r="GF113" s="656"/>
      <c r="GG113" s="656"/>
      <c r="GH113" s="656"/>
      <c r="GI113" s="656"/>
      <c r="GJ113" s="656"/>
      <c r="GK113" s="656"/>
      <c r="GL113" s="656"/>
      <c r="GM113" s="656"/>
      <c r="GN113" s="656"/>
      <c r="GO113" s="656"/>
      <c r="GP113" s="656"/>
      <c r="GQ113" s="656"/>
      <c r="GR113" s="656"/>
      <c r="GS113" s="656"/>
      <c r="GT113" s="656"/>
      <c r="GU113" s="656"/>
      <c r="GV113" s="656"/>
      <c r="GW113" s="656"/>
      <c r="GX113" s="656"/>
      <c r="GY113" s="656"/>
      <c r="GZ113" s="656"/>
      <c r="HA113" s="656"/>
      <c r="HB113" s="656"/>
      <c r="HC113" s="656"/>
      <c r="HD113" s="656"/>
      <c r="HE113" s="656"/>
      <c r="HF113" s="656"/>
      <c r="HG113" s="656"/>
      <c r="HH113" s="656"/>
      <c r="HI113" s="656"/>
      <c r="HJ113" s="656"/>
      <c r="HK113" s="656"/>
      <c r="HL113" s="656"/>
      <c r="HM113" s="656"/>
      <c r="HN113" s="656"/>
      <c r="HO113" s="656"/>
      <c r="HP113" s="656"/>
      <c r="HQ113" s="656"/>
      <c r="HR113" s="656"/>
      <c r="HS113" s="656"/>
      <c r="HT113" s="656"/>
      <c r="HU113" s="656"/>
      <c r="HV113" s="656"/>
      <c r="HW113" s="656"/>
    </row>
    <row r="114" spans="1:231" s="657" customFormat="1" ht="28.5" x14ac:dyDescent="0.25">
      <c r="A114" s="646">
        <v>90</v>
      </c>
      <c r="B114" s="680" t="s">
        <v>1131</v>
      </c>
      <c r="C114" s="690" t="s">
        <v>86</v>
      </c>
      <c r="D114" s="691" t="s">
        <v>19</v>
      </c>
      <c r="E114" s="691">
        <v>100</v>
      </c>
      <c r="F114" s="1279">
        <v>38122</v>
      </c>
      <c r="G114" s="720">
        <v>3812200</v>
      </c>
      <c r="H114" s="685">
        <v>0</v>
      </c>
      <c r="I114" s="685">
        <v>0</v>
      </c>
      <c r="J114" s="683">
        <v>100</v>
      </c>
      <c r="K114" s="684">
        <v>3812200</v>
      </c>
      <c r="L114" s="683">
        <v>0</v>
      </c>
      <c r="M114" s="684">
        <v>0</v>
      </c>
      <c r="N114" s="683">
        <v>0</v>
      </c>
      <c r="O114" s="687">
        <v>0</v>
      </c>
      <c r="P114" s="656"/>
      <c r="Q114" s="656"/>
      <c r="R114" s="656"/>
      <c r="S114" s="656"/>
      <c r="T114" s="656"/>
      <c r="U114" s="656"/>
      <c r="V114" s="656"/>
      <c r="W114" s="656"/>
      <c r="X114" s="656"/>
      <c r="Y114" s="656"/>
      <c r="Z114" s="656"/>
      <c r="AA114" s="656"/>
      <c r="AB114" s="656"/>
      <c r="AC114" s="656"/>
      <c r="AD114" s="656"/>
      <c r="AE114" s="656"/>
      <c r="AF114" s="656"/>
      <c r="AG114" s="656"/>
      <c r="AH114" s="656"/>
      <c r="AI114" s="656"/>
      <c r="AJ114" s="656"/>
      <c r="AK114" s="656"/>
      <c r="AL114" s="656"/>
      <c r="AM114" s="656"/>
      <c r="AN114" s="656"/>
      <c r="AO114" s="656"/>
      <c r="AP114" s="656"/>
      <c r="AQ114" s="656"/>
      <c r="AR114" s="656"/>
      <c r="AS114" s="656"/>
      <c r="AT114" s="656"/>
      <c r="AU114" s="656"/>
      <c r="AV114" s="656"/>
      <c r="AW114" s="656"/>
      <c r="AX114" s="656"/>
      <c r="AY114" s="656"/>
      <c r="AZ114" s="656"/>
      <c r="BA114" s="656"/>
      <c r="BB114" s="656"/>
      <c r="BC114" s="656"/>
      <c r="BD114" s="656"/>
      <c r="BE114" s="656"/>
      <c r="BF114" s="656"/>
      <c r="BG114" s="656"/>
      <c r="BH114" s="656"/>
      <c r="BI114" s="656"/>
      <c r="BJ114" s="656"/>
      <c r="BK114" s="656"/>
      <c r="BL114" s="656"/>
      <c r="BM114" s="656"/>
      <c r="BN114" s="656"/>
      <c r="BO114" s="656"/>
      <c r="BP114" s="656"/>
      <c r="BQ114" s="656"/>
      <c r="BR114" s="656"/>
      <c r="BS114" s="656"/>
      <c r="BT114" s="656"/>
      <c r="BU114" s="656"/>
      <c r="BV114" s="656"/>
      <c r="BW114" s="656"/>
      <c r="BX114" s="656"/>
      <c r="BY114" s="656"/>
      <c r="BZ114" s="656"/>
      <c r="CA114" s="656"/>
      <c r="CB114" s="656"/>
      <c r="CC114" s="656"/>
      <c r="CD114" s="656"/>
      <c r="CE114" s="656"/>
      <c r="CF114" s="656"/>
      <c r="CG114" s="656"/>
      <c r="CH114" s="656"/>
      <c r="CI114" s="656"/>
      <c r="CJ114" s="656"/>
      <c r="CK114" s="656"/>
      <c r="CL114" s="656"/>
      <c r="CM114" s="656"/>
      <c r="CN114" s="656"/>
      <c r="CO114" s="656"/>
      <c r="CP114" s="656"/>
      <c r="CQ114" s="656"/>
      <c r="CR114" s="656"/>
      <c r="CS114" s="656"/>
      <c r="CT114" s="656"/>
      <c r="CU114" s="656"/>
      <c r="CV114" s="656"/>
      <c r="CW114" s="656"/>
      <c r="CX114" s="656"/>
      <c r="CY114" s="656"/>
      <c r="CZ114" s="656"/>
      <c r="DA114" s="656"/>
      <c r="DB114" s="656"/>
      <c r="DC114" s="656"/>
      <c r="DD114" s="656"/>
      <c r="DE114" s="656"/>
      <c r="DF114" s="656"/>
      <c r="DG114" s="656"/>
      <c r="DH114" s="656"/>
      <c r="DI114" s="656"/>
      <c r="DJ114" s="656"/>
      <c r="DK114" s="656"/>
      <c r="DL114" s="656"/>
      <c r="DM114" s="656"/>
      <c r="DN114" s="656"/>
      <c r="DO114" s="656"/>
      <c r="DP114" s="656"/>
      <c r="DQ114" s="656"/>
      <c r="DR114" s="656"/>
      <c r="DS114" s="656"/>
      <c r="DT114" s="656"/>
      <c r="DU114" s="656"/>
      <c r="DV114" s="656"/>
      <c r="DW114" s="656"/>
      <c r="DX114" s="656"/>
      <c r="DY114" s="656"/>
      <c r="DZ114" s="656"/>
      <c r="EA114" s="656"/>
      <c r="EB114" s="656"/>
      <c r="EC114" s="656"/>
      <c r="ED114" s="656"/>
      <c r="EE114" s="656"/>
      <c r="EF114" s="656"/>
      <c r="EG114" s="656"/>
      <c r="EH114" s="656"/>
      <c r="EI114" s="656"/>
      <c r="EJ114" s="656"/>
      <c r="EK114" s="656"/>
      <c r="EL114" s="656"/>
      <c r="EM114" s="656"/>
      <c r="EN114" s="656"/>
      <c r="EO114" s="656"/>
      <c r="EP114" s="656"/>
      <c r="EQ114" s="656"/>
      <c r="ER114" s="656"/>
      <c r="ES114" s="656"/>
      <c r="ET114" s="656"/>
      <c r="EU114" s="656"/>
      <c r="EV114" s="656"/>
      <c r="EW114" s="656"/>
      <c r="EX114" s="656"/>
      <c r="EY114" s="656"/>
      <c r="EZ114" s="656"/>
      <c r="FA114" s="656"/>
      <c r="FB114" s="656"/>
      <c r="FC114" s="656"/>
      <c r="FD114" s="656"/>
      <c r="FE114" s="656"/>
      <c r="FF114" s="656"/>
      <c r="FG114" s="656"/>
      <c r="FH114" s="656"/>
      <c r="FI114" s="656"/>
      <c r="FJ114" s="656"/>
      <c r="FK114" s="656"/>
      <c r="FL114" s="656"/>
      <c r="FM114" s="656"/>
      <c r="FN114" s="656"/>
      <c r="FO114" s="656"/>
      <c r="FP114" s="656"/>
      <c r="FQ114" s="656"/>
      <c r="FR114" s="656"/>
      <c r="FS114" s="656"/>
      <c r="FT114" s="656"/>
      <c r="FU114" s="656"/>
      <c r="FV114" s="656"/>
      <c r="FW114" s="656"/>
      <c r="FX114" s="656"/>
      <c r="FY114" s="656"/>
      <c r="FZ114" s="656"/>
      <c r="GA114" s="656"/>
      <c r="GB114" s="656"/>
      <c r="GC114" s="656"/>
      <c r="GD114" s="656"/>
      <c r="GE114" s="656"/>
      <c r="GF114" s="656"/>
      <c r="GG114" s="656"/>
      <c r="GH114" s="656"/>
      <c r="GI114" s="656"/>
      <c r="GJ114" s="656"/>
      <c r="GK114" s="656"/>
      <c r="GL114" s="656"/>
      <c r="GM114" s="656"/>
      <c r="GN114" s="656"/>
      <c r="GO114" s="656"/>
      <c r="GP114" s="656"/>
      <c r="GQ114" s="656"/>
      <c r="GR114" s="656"/>
      <c r="GS114" s="656"/>
      <c r="GT114" s="656"/>
      <c r="GU114" s="656"/>
      <c r="GV114" s="656"/>
      <c r="GW114" s="656"/>
      <c r="GX114" s="656"/>
      <c r="GY114" s="656"/>
      <c r="GZ114" s="656"/>
      <c r="HA114" s="656"/>
      <c r="HB114" s="656"/>
      <c r="HC114" s="656"/>
      <c r="HD114" s="656"/>
      <c r="HE114" s="656"/>
      <c r="HF114" s="656"/>
      <c r="HG114" s="656"/>
      <c r="HH114" s="656"/>
      <c r="HI114" s="656"/>
      <c r="HJ114" s="656"/>
      <c r="HK114" s="656"/>
      <c r="HL114" s="656"/>
      <c r="HM114" s="656"/>
      <c r="HN114" s="656"/>
      <c r="HO114" s="656"/>
      <c r="HP114" s="656"/>
      <c r="HQ114" s="656"/>
      <c r="HR114" s="656"/>
      <c r="HS114" s="656"/>
      <c r="HT114" s="656"/>
      <c r="HU114" s="656"/>
      <c r="HV114" s="656"/>
      <c r="HW114" s="656"/>
    </row>
    <row r="115" spans="1:231" s="657" customFormat="1" x14ac:dyDescent="0.25">
      <c r="A115" s="646">
        <v>91</v>
      </c>
      <c r="B115" s="680" t="s">
        <v>1132</v>
      </c>
      <c r="C115" s="690" t="s">
        <v>88</v>
      </c>
      <c r="D115" s="691" t="s">
        <v>19</v>
      </c>
      <c r="E115" s="691">
        <v>600</v>
      </c>
      <c r="F115" s="720">
        <v>13757.24</v>
      </c>
      <c r="G115" s="720">
        <v>8254344</v>
      </c>
      <c r="H115" s="685">
        <v>0</v>
      </c>
      <c r="I115" s="685">
        <v>0</v>
      </c>
      <c r="J115" s="683">
        <v>600</v>
      </c>
      <c r="K115" s="684">
        <v>8254344</v>
      </c>
      <c r="L115" s="683">
        <v>0</v>
      </c>
      <c r="M115" s="684">
        <v>0</v>
      </c>
      <c r="N115" s="683">
        <v>0</v>
      </c>
      <c r="O115" s="687">
        <v>0</v>
      </c>
      <c r="P115" s="656"/>
      <c r="Q115" s="656"/>
      <c r="R115" s="656"/>
      <c r="S115" s="656"/>
      <c r="T115" s="656"/>
      <c r="U115" s="656"/>
      <c r="V115" s="656"/>
      <c r="W115" s="656"/>
      <c r="X115" s="656"/>
      <c r="Y115" s="656"/>
      <c r="Z115" s="656"/>
      <c r="AA115" s="656"/>
      <c r="AB115" s="656"/>
      <c r="AC115" s="656"/>
      <c r="AD115" s="656"/>
      <c r="AE115" s="656"/>
      <c r="AF115" s="656"/>
      <c r="AG115" s="656"/>
      <c r="AH115" s="656"/>
      <c r="AI115" s="656"/>
      <c r="AJ115" s="656"/>
      <c r="AK115" s="656"/>
      <c r="AL115" s="656"/>
      <c r="AM115" s="656"/>
      <c r="AN115" s="656"/>
      <c r="AO115" s="656"/>
      <c r="AP115" s="656"/>
      <c r="AQ115" s="656"/>
      <c r="AR115" s="656"/>
      <c r="AS115" s="656"/>
      <c r="AT115" s="656"/>
      <c r="AU115" s="656"/>
      <c r="AV115" s="656"/>
      <c r="AW115" s="656"/>
      <c r="AX115" s="656"/>
      <c r="AY115" s="656"/>
      <c r="AZ115" s="656"/>
      <c r="BA115" s="656"/>
      <c r="BB115" s="656"/>
      <c r="BC115" s="656"/>
      <c r="BD115" s="656"/>
      <c r="BE115" s="656"/>
      <c r="BF115" s="656"/>
      <c r="BG115" s="656"/>
      <c r="BH115" s="656"/>
      <c r="BI115" s="656"/>
      <c r="BJ115" s="656"/>
      <c r="BK115" s="656"/>
      <c r="BL115" s="656"/>
      <c r="BM115" s="656"/>
      <c r="BN115" s="656"/>
      <c r="BO115" s="656"/>
      <c r="BP115" s="656"/>
      <c r="BQ115" s="656"/>
      <c r="BR115" s="656"/>
      <c r="BS115" s="656"/>
      <c r="BT115" s="656"/>
      <c r="BU115" s="656"/>
      <c r="BV115" s="656"/>
      <c r="BW115" s="656"/>
      <c r="BX115" s="656"/>
      <c r="BY115" s="656"/>
      <c r="BZ115" s="656"/>
      <c r="CA115" s="656"/>
      <c r="CB115" s="656"/>
      <c r="CC115" s="656"/>
      <c r="CD115" s="656"/>
      <c r="CE115" s="656"/>
      <c r="CF115" s="656"/>
      <c r="CG115" s="656"/>
      <c r="CH115" s="656"/>
      <c r="CI115" s="656"/>
      <c r="CJ115" s="656"/>
      <c r="CK115" s="656"/>
      <c r="CL115" s="656"/>
      <c r="CM115" s="656"/>
      <c r="CN115" s="656"/>
      <c r="CO115" s="656"/>
      <c r="CP115" s="656"/>
      <c r="CQ115" s="656"/>
      <c r="CR115" s="656"/>
      <c r="CS115" s="656"/>
      <c r="CT115" s="656"/>
      <c r="CU115" s="656"/>
      <c r="CV115" s="656"/>
      <c r="CW115" s="656"/>
      <c r="CX115" s="656"/>
      <c r="CY115" s="656"/>
      <c r="CZ115" s="656"/>
      <c r="DA115" s="656"/>
      <c r="DB115" s="656"/>
      <c r="DC115" s="656"/>
      <c r="DD115" s="656"/>
      <c r="DE115" s="656"/>
      <c r="DF115" s="656"/>
      <c r="DG115" s="656"/>
      <c r="DH115" s="656"/>
      <c r="DI115" s="656"/>
      <c r="DJ115" s="656"/>
      <c r="DK115" s="656"/>
      <c r="DL115" s="656"/>
      <c r="DM115" s="656"/>
      <c r="DN115" s="656"/>
      <c r="DO115" s="656"/>
      <c r="DP115" s="656"/>
      <c r="DQ115" s="656"/>
      <c r="DR115" s="656"/>
      <c r="DS115" s="656"/>
      <c r="DT115" s="656"/>
      <c r="DU115" s="656"/>
      <c r="DV115" s="656"/>
      <c r="DW115" s="656"/>
      <c r="DX115" s="656"/>
      <c r="DY115" s="656"/>
      <c r="DZ115" s="656"/>
      <c r="EA115" s="656"/>
      <c r="EB115" s="656"/>
      <c r="EC115" s="656"/>
      <c r="ED115" s="656"/>
      <c r="EE115" s="656"/>
      <c r="EF115" s="656"/>
      <c r="EG115" s="656"/>
      <c r="EH115" s="656"/>
      <c r="EI115" s="656"/>
      <c r="EJ115" s="656"/>
      <c r="EK115" s="656"/>
      <c r="EL115" s="656"/>
      <c r="EM115" s="656"/>
      <c r="EN115" s="656"/>
      <c r="EO115" s="656"/>
      <c r="EP115" s="656"/>
      <c r="EQ115" s="656"/>
      <c r="ER115" s="656"/>
      <c r="ES115" s="656"/>
      <c r="ET115" s="656"/>
      <c r="EU115" s="656"/>
      <c r="EV115" s="656"/>
      <c r="EW115" s="656"/>
      <c r="EX115" s="656"/>
      <c r="EY115" s="656"/>
      <c r="EZ115" s="656"/>
      <c r="FA115" s="656"/>
      <c r="FB115" s="656"/>
      <c r="FC115" s="656"/>
      <c r="FD115" s="656"/>
      <c r="FE115" s="656"/>
      <c r="FF115" s="656"/>
      <c r="FG115" s="656"/>
      <c r="FH115" s="656"/>
      <c r="FI115" s="656"/>
      <c r="FJ115" s="656"/>
      <c r="FK115" s="656"/>
      <c r="FL115" s="656"/>
      <c r="FM115" s="656"/>
      <c r="FN115" s="656"/>
      <c r="FO115" s="656"/>
      <c r="FP115" s="656"/>
      <c r="FQ115" s="656"/>
      <c r="FR115" s="656"/>
      <c r="FS115" s="656"/>
      <c r="FT115" s="656"/>
      <c r="FU115" s="656"/>
      <c r="FV115" s="656"/>
      <c r="FW115" s="656"/>
      <c r="FX115" s="656"/>
      <c r="FY115" s="656"/>
      <c r="FZ115" s="656"/>
      <c r="GA115" s="656"/>
      <c r="GB115" s="656"/>
      <c r="GC115" s="656"/>
      <c r="GD115" s="656"/>
      <c r="GE115" s="656"/>
      <c r="GF115" s="656"/>
      <c r="GG115" s="656"/>
      <c r="GH115" s="656"/>
      <c r="GI115" s="656"/>
      <c r="GJ115" s="656"/>
      <c r="GK115" s="656"/>
      <c r="GL115" s="656"/>
      <c r="GM115" s="656"/>
      <c r="GN115" s="656"/>
      <c r="GO115" s="656"/>
      <c r="GP115" s="656"/>
      <c r="GQ115" s="656"/>
      <c r="GR115" s="656"/>
      <c r="GS115" s="656"/>
      <c r="GT115" s="656"/>
      <c r="GU115" s="656"/>
      <c r="GV115" s="656"/>
      <c r="GW115" s="656"/>
      <c r="GX115" s="656"/>
      <c r="GY115" s="656"/>
      <c r="GZ115" s="656"/>
      <c r="HA115" s="656"/>
      <c r="HB115" s="656"/>
      <c r="HC115" s="656"/>
      <c r="HD115" s="656"/>
      <c r="HE115" s="656"/>
      <c r="HF115" s="656"/>
      <c r="HG115" s="656"/>
      <c r="HH115" s="656"/>
      <c r="HI115" s="656"/>
      <c r="HJ115" s="656"/>
      <c r="HK115" s="656"/>
      <c r="HL115" s="656"/>
      <c r="HM115" s="656"/>
      <c r="HN115" s="656"/>
      <c r="HO115" s="656"/>
      <c r="HP115" s="656"/>
      <c r="HQ115" s="656"/>
      <c r="HR115" s="656"/>
      <c r="HS115" s="656"/>
      <c r="HT115" s="656"/>
      <c r="HU115" s="656"/>
      <c r="HV115" s="656"/>
      <c r="HW115" s="656"/>
    </row>
    <row r="116" spans="1:231" s="657" customFormat="1" x14ac:dyDescent="0.25">
      <c r="A116" s="646">
        <v>92</v>
      </c>
      <c r="B116" s="680" t="s">
        <v>1133</v>
      </c>
      <c r="C116" s="690" t="s">
        <v>639</v>
      </c>
      <c r="D116" s="691" t="s">
        <v>19</v>
      </c>
      <c r="E116" s="691">
        <v>800</v>
      </c>
      <c r="F116" s="720">
        <v>10546.76</v>
      </c>
      <c r="G116" s="720">
        <v>8437408</v>
      </c>
      <c r="H116" s="685">
        <v>0</v>
      </c>
      <c r="I116" s="685">
        <v>-400</v>
      </c>
      <c r="J116" s="683">
        <v>400</v>
      </c>
      <c r="K116" s="684">
        <v>4218704</v>
      </c>
      <c r="L116" s="683">
        <v>0</v>
      </c>
      <c r="M116" s="684">
        <v>0</v>
      </c>
      <c r="N116" s="683">
        <v>0</v>
      </c>
      <c r="O116" s="687">
        <v>0</v>
      </c>
      <c r="P116" s="656"/>
      <c r="Q116" s="656"/>
      <c r="R116" s="656"/>
      <c r="S116" s="656"/>
      <c r="T116" s="656"/>
      <c r="U116" s="656"/>
      <c r="V116" s="656"/>
      <c r="W116" s="656"/>
      <c r="X116" s="656"/>
      <c r="Y116" s="656"/>
      <c r="Z116" s="656"/>
      <c r="AA116" s="656"/>
      <c r="AB116" s="656"/>
      <c r="AC116" s="656"/>
      <c r="AD116" s="656"/>
      <c r="AE116" s="656"/>
      <c r="AF116" s="656"/>
      <c r="AG116" s="656"/>
      <c r="AH116" s="656"/>
      <c r="AI116" s="656"/>
      <c r="AJ116" s="656"/>
      <c r="AK116" s="656"/>
      <c r="AL116" s="656"/>
      <c r="AM116" s="656"/>
      <c r="AN116" s="656"/>
      <c r="AO116" s="656"/>
      <c r="AP116" s="656"/>
      <c r="AQ116" s="656"/>
      <c r="AR116" s="656"/>
      <c r="AS116" s="656"/>
      <c r="AT116" s="656"/>
      <c r="AU116" s="656"/>
      <c r="AV116" s="656"/>
      <c r="AW116" s="656"/>
      <c r="AX116" s="656"/>
      <c r="AY116" s="656"/>
      <c r="AZ116" s="656"/>
      <c r="BA116" s="656"/>
      <c r="BB116" s="656"/>
      <c r="BC116" s="656"/>
      <c r="BD116" s="656"/>
      <c r="BE116" s="656"/>
      <c r="BF116" s="656"/>
      <c r="BG116" s="656"/>
      <c r="BH116" s="656"/>
      <c r="BI116" s="656"/>
      <c r="BJ116" s="656"/>
      <c r="BK116" s="656"/>
      <c r="BL116" s="656"/>
      <c r="BM116" s="656"/>
      <c r="BN116" s="656"/>
      <c r="BO116" s="656"/>
      <c r="BP116" s="656"/>
      <c r="BQ116" s="656"/>
      <c r="BR116" s="656"/>
      <c r="BS116" s="656"/>
      <c r="BT116" s="656"/>
      <c r="BU116" s="656"/>
      <c r="BV116" s="656"/>
      <c r="BW116" s="656"/>
      <c r="BX116" s="656"/>
      <c r="BY116" s="656"/>
      <c r="BZ116" s="656"/>
      <c r="CA116" s="656"/>
      <c r="CB116" s="656"/>
      <c r="CC116" s="656"/>
      <c r="CD116" s="656"/>
      <c r="CE116" s="656"/>
      <c r="CF116" s="656"/>
      <c r="CG116" s="656"/>
      <c r="CH116" s="656"/>
      <c r="CI116" s="656"/>
      <c r="CJ116" s="656"/>
      <c r="CK116" s="656"/>
      <c r="CL116" s="656"/>
      <c r="CM116" s="656"/>
      <c r="CN116" s="656"/>
      <c r="CO116" s="656"/>
      <c r="CP116" s="656"/>
      <c r="CQ116" s="656"/>
      <c r="CR116" s="656"/>
      <c r="CS116" s="656"/>
      <c r="CT116" s="656"/>
      <c r="CU116" s="656"/>
      <c r="CV116" s="656"/>
      <c r="CW116" s="656"/>
      <c r="CX116" s="656"/>
      <c r="CY116" s="656"/>
      <c r="CZ116" s="656"/>
      <c r="DA116" s="656"/>
      <c r="DB116" s="656"/>
      <c r="DC116" s="656"/>
      <c r="DD116" s="656"/>
      <c r="DE116" s="656"/>
      <c r="DF116" s="656"/>
      <c r="DG116" s="656"/>
      <c r="DH116" s="656"/>
      <c r="DI116" s="656"/>
      <c r="DJ116" s="656"/>
      <c r="DK116" s="656"/>
      <c r="DL116" s="656"/>
      <c r="DM116" s="656"/>
      <c r="DN116" s="656"/>
      <c r="DO116" s="656"/>
      <c r="DP116" s="656"/>
      <c r="DQ116" s="656"/>
      <c r="DR116" s="656"/>
      <c r="DS116" s="656"/>
      <c r="DT116" s="656"/>
      <c r="DU116" s="656"/>
      <c r="DV116" s="656"/>
      <c r="DW116" s="656"/>
      <c r="DX116" s="656"/>
      <c r="DY116" s="656"/>
      <c r="DZ116" s="656"/>
      <c r="EA116" s="656"/>
      <c r="EB116" s="656"/>
      <c r="EC116" s="656"/>
      <c r="ED116" s="656"/>
      <c r="EE116" s="656"/>
      <c r="EF116" s="656"/>
      <c r="EG116" s="656"/>
      <c r="EH116" s="656"/>
      <c r="EI116" s="656"/>
      <c r="EJ116" s="656"/>
      <c r="EK116" s="656"/>
      <c r="EL116" s="656"/>
      <c r="EM116" s="656"/>
      <c r="EN116" s="656"/>
      <c r="EO116" s="656"/>
      <c r="EP116" s="656"/>
      <c r="EQ116" s="656"/>
      <c r="ER116" s="656"/>
      <c r="ES116" s="656"/>
      <c r="ET116" s="656"/>
      <c r="EU116" s="656"/>
      <c r="EV116" s="656"/>
      <c r="EW116" s="656"/>
      <c r="EX116" s="656"/>
      <c r="EY116" s="656"/>
      <c r="EZ116" s="656"/>
      <c r="FA116" s="656"/>
      <c r="FB116" s="656"/>
      <c r="FC116" s="656"/>
      <c r="FD116" s="656"/>
      <c r="FE116" s="656"/>
      <c r="FF116" s="656"/>
      <c r="FG116" s="656"/>
      <c r="FH116" s="656"/>
      <c r="FI116" s="656"/>
      <c r="FJ116" s="656"/>
      <c r="FK116" s="656"/>
      <c r="FL116" s="656"/>
      <c r="FM116" s="656"/>
      <c r="FN116" s="656"/>
      <c r="FO116" s="656"/>
      <c r="FP116" s="656"/>
      <c r="FQ116" s="656"/>
      <c r="FR116" s="656"/>
      <c r="FS116" s="656"/>
      <c r="FT116" s="656"/>
      <c r="FU116" s="656"/>
      <c r="FV116" s="656"/>
      <c r="FW116" s="656"/>
      <c r="FX116" s="656"/>
      <c r="FY116" s="656"/>
      <c r="FZ116" s="656"/>
      <c r="GA116" s="656"/>
      <c r="GB116" s="656"/>
      <c r="GC116" s="656"/>
      <c r="GD116" s="656"/>
      <c r="GE116" s="656"/>
      <c r="GF116" s="656"/>
      <c r="GG116" s="656"/>
      <c r="GH116" s="656"/>
      <c r="GI116" s="656"/>
      <c r="GJ116" s="656"/>
      <c r="GK116" s="656"/>
      <c r="GL116" s="656"/>
      <c r="GM116" s="656"/>
      <c r="GN116" s="656"/>
      <c r="GO116" s="656"/>
      <c r="GP116" s="656"/>
      <c r="GQ116" s="656"/>
      <c r="GR116" s="656"/>
      <c r="GS116" s="656"/>
      <c r="GT116" s="656"/>
      <c r="GU116" s="656"/>
      <c r="GV116" s="656"/>
      <c r="GW116" s="656"/>
      <c r="GX116" s="656"/>
      <c r="GY116" s="656"/>
      <c r="GZ116" s="656"/>
      <c r="HA116" s="656"/>
      <c r="HB116" s="656"/>
      <c r="HC116" s="656"/>
      <c r="HD116" s="656"/>
      <c r="HE116" s="656"/>
      <c r="HF116" s="656"/>
      <c r="HG116" s="656"/>
      <c r="HH116" s="656"/>
      <c r="HI116" s="656"/>
      <c r="HJ116" s="656"/>
      <c r="HK116" s="656"/>
      <c r="HL116" s="656"/>
      <c r="HM116" s="656"/>
      <c r="HN116" s="656"/>
      <c r="HO116" s="656"/>
      <c r="HP116" s="656"/>
      <c r="HQ116" s="656"/>
      <c r="HR116" s="656"/>
      <c r="HS116" s="656"/>
      <c r="HT116" s="656"/>
      <c r="HU116" s="656"/>
      <c r="HV116" s="656"/>
      <c r="HW116" s="656"/>
    </row>
    <row r="117" spans="1:231" s="657" customFormat="1" x14ac:dyDescent="0.25">
      <c r="A117" s="646">
        <v>93</v>
      </c>
      <c r="B117" s="680" t="s">
        <v>1134</v>
      </c>
      <c r="C117" s="690" t="s">
        <v>195</v>
      </c>
      <c r="D117" s="691" t="s">
        <v>19</v>
      </c>
      <c r="E117" s="691">
        <v>290</v>
      </c>
      <c r="F117" s="720">
        <v>3843.56</v>
      </c>
      <c r="G117" s="720">
        <v>1114632</v>
      </c>
      <c r="H117" s="685">
        <v>0</v>
      </c>
      <c r="I117" s="685">
        <v>0</v>
      </c>
      <c r="J117" s="683">
        <v>290</v>
      </c>
      <c r="K117" s="684">
        <v>1114632</v>
      </c>
      <c r="L117" s="683">
        <v>0</v>
      </c>
      <c r="M117" s="684">
        <v>0</v>
      </c>
      <c r="N117" s="683">
        <v>0</v>
      </c>
      <c r="O117" s="687">
        <v>0</v>
      </c>
      <c r="P117" s="656"/>
      <c r="Q117" s="656"/>
      <c r="R117" s="656"/>
      <c r="S117" s="656"/>
      <c r="T117" s="656"/>
      <c r="U117" s="656"/>
      <c r="V117" s="656"/>
      <c r="W117" s="656"/>
      <c r="X117" s="656"/>
      <c r="Y117" s="656"/>
      <c r="Z117" s="656"/>
      <c r="AA117" s="656"/>
      <c r="AB117" s="656"/>
      <c r="AC117" s="656"/>
      <c r="AD117" s="656"/>
      <c r="AE117" s="656"/>
      <c r="AF117" s="656"/>
      <c r="AG117" s="656"/>
      <c r="AH117" s="656"/>
      <c r="AI117" s="656"/>
      <c r="AJ117" s="656"/>
      <c r="AK117" s="656"/>
      <c r="AL117" s="656"/>
      <c r="AM117" s="656"/>
      <c r="AN117" s="656"/>
      <c r="AO117" s="656"/>
      <c r="AP117" s="656"/>
      <c r="AQ117" s="656"/>
      <c r="AR117" s="656"/>
      <c r="AS117" s="656"/>
      <c r="AT117" s="656"/>
      <c r="AU117" s="656"/>
      <c r="AV117" s="656"/>
      <c r="AW117" s="656"/>
      <c r="AX117" s="656"/>
      <c r="AY117" s="656"/>
      <c r="AZ117" s="656"/>
      <c r="BA117" s="656"/>
      <c r="BB117" s="656"/>
      <c r="BC117" s="656"/>
      <c r="BD117" s="656"/>
      <c r="BE117" s="656"/>
      <c r="BF117" s="656"/>
      <c r="BG117" s="656"/>
      <c r="BH117" s="656"/>
      <c r="BI117" s="656"/>
      <c r="BJ117" s="656"/>
      <c r="BK117" s="656"/>
      <c r="BL117" s="656"/>
      <c r="BM117" s="656"/>
      <c r="BN117" s="656"/>
      <c r="BO117" s="656"/>
      <c r="BP117" s="656"/>
      <c r="BQ117" s="656"/>
      <c r="BR117" s="656"/>
      <c r="BS117" s="656"/>
      <c r="BT117" s="656"/>
      <c r="BU117" s="656"/>
      <c r="BV117" s="656"/>
      <c r="BW117" s="656"/>
      <c r="BX117" s="656"/>
      <c r="BY117" s="656"/>
      <c r="BZ117" s="656"/>
      <c r="CA117" s="656"/>
      <c r="CB117" s="656"/>
      <c r="CC117" s="656"/>
      <c r="CD117" s="656"/>
      <c r="CE117" s="656"/>
      <c r="CF117" s="656"/>
      <c r="CG117" s="656"/>
      <c r="CH117" s="656"/>
      <c r="CI117" s="656"/>
      <c r="CJ117" s="656"/>
      <c r="CK117" s="656"/>
      <c r="CL117" s="656"/>
      <c r="CM117" s="656"/>
      <c r="CN117" s="656"/>
      <c r="CO117" s="656"/>
      <c r="CP117" s="656"/>
      <c r="CQ117" s="656"/>
      <c r="CR117" s="656"/>
      <c r="CS117" s="656"/>
      <c r="CT117" s="656"/>
      <c r="CU117" s="656"/>
      <c r="CV117" s="656"/>
      <c r="CW117" s="656"/>
      <c r="CX117" s="656"/>
      <c r="CY117" s="656"/>
      <c r="CZ117" s="656"/>
      <c r="DA117" s="656"/>
      <c r="DB117" s="656"/>
      <c r="DC117" s="656"/>
      <c r="DD117" s="656"/>
      <c r="DE117" s="656"/>
      <c r="DF117" s="656"/>
      <c r="DG117" s="656"/>
      <c r="DH117" s="656"/>
      <c r="DI117" s="656"/>
      <c r="DJ117" s="656"/>
      <c r="DK117" s="656"/>
      <c r="DL117" s="656"/>
      <c r="DM117" s="656"/>
      <c r="DN117" s="656"/>
      <c r="DO117" s="656"/>
      <c r="DP117" s="656"/>
      <c r="DQ117" s="656"/>
      <c r="DR117" s="656"/>
      <c r="DS117" s="656"/>
      <c r="DT117" s="656"/>
      <c r="DU117" s="656"/>
      <c r="DV117" s="656"/>
      <c r="DW117" s="656"/>
      <c r="DX117" s="656"/>
      <c r="DY117" s="656"/>
      <c r="DZ117" s="656"/>
      <c r="EA117" s="656"/>
      <c r="EB117" s="656"/>
      <c r="EC117" s="656"/>
      <c r="ED117" s="656"/>
      <c r="EE117" s="656"/>
      <c r="EF117" s="656"/>
      <c r="EG117" s="656"/>
      <c r="EH117" s="656"/>
      <c r="EI117" s="656"/>
      <c r="EJ117" s="656"/>
      <c r="EK117" s="656"/>
      <c r="EL117" s="656"/>
      <c r="EM117" s="656"/>
      <c r="EN117" s="656"/>
      <c r="EO117" s="656"/>
      <c r="EP117" s="656"/>
      <c r="EQ117" s="656"/>
      <c r="ER117" s="656"/>
      <c r="ES117" s="656"/>
      <c r="ET117" s="656"/>
      <c r="EU117" s="656"/>
      <c r="EV117" s="656"/>
      <c r="EW117" s="656"/>
      <c r="EX117" s="656"/>
      <c r="EY117" s="656"/>
      <c r="EZ117" s="656"/>
      <c r="FA117" s="656"/>
      <c r="FB117" s="656"/>
      <c r="FC117" s="656"/>
      <c r="FD117" s="656"/>
      <c r="FE117" s="656"/>
      <c r="FF117" s="656"/>
      <c r="FG117" s="656"/>
      <c r="FH117" s="656"/>
      <c r="FI117" s="656"/>
      <c r="FJ117" s="656"/>
      <c r="FK117" s="656"/>
      <c r="FL117" s="656"/>
      <c r="FM117" s="656"/>
      <c r="FN117" s="656"/>
      <c r="FO117" s="656"/>
      <c r="FP117" s="656"/>
      <c r="FQ117" s="656"/>
      <c r="FR117" s="656"/>
      <c r="FS117" s="656"/>
      <c r="FT117" s="656"/>
      <c r="FU117" s="656"/>
      <c r="FV117" s="656"/>
      <c r="FW117" s="656"/>
      <c r="FX117" s="656"/>
      <c r="FY117" s="656"/>
      <c r="FZ117" s="656"/>
      <c r="GA117" s="656"/>
      <c r="GB117" s="656"/>
      <c r="GC117" s="656"/>
      <c r="GD117" s="656"/>
      <c r="GE117" s="656"/>
      <c r="GF117" s="656"/>
      <c r="GG117" s="656"/>
      <c r="GH117" s="656"/>
      <c r="GI117" s="656"/>
      <c r="GJ117" s="656"/>
      <c r="GK117" s="656"/>
      <c r="GL117" s="656"/>
      <c r="GM117" s="656"/>
      <c r="GN117" s="656"/>
      <c r="GO117" s="656"/>
      <c r="GP117" s="656"/>
      <c r="GQ117" s="656"/>
      <c r="GR117" s="656"/>
      <c r="GS117" s="656"/>
      <c r="GT117" s="656"/>
      <c r="GU117" s="656"/>
      <c r="GV117" s="656"/>
      <c r="GW117" s="656"/>
      <c r="GX117" s="656"/>
      <c r="GY117" s="656"/>
      <c r="GZ117" s="656"/>
      <c r="HA117" s="656"/>
      <c r="HB117" s="656"/>
      <c r="HC117" s="656"/>
      <c r="HD117" s="656"/>
      <c r="HE117" s="656"/>
      <c r="HF117" s="656"/>
      <c r="HG117" s="656"/>
      <c r="HH117" s="656"/>
      <c r="HI117" s="656"/>
      <c r="HJ117" s="656"/>
      <c r="HK117" s="656"/>
      <c r="HL117" s="656"/>
      <c r="HM117" s="656"/>
      <c r="HN117" s="656"/>
      <c r="HO117" s="656"/>
      <c r="HP117" s="656"/>
      <c r="HQ117" s="656"/>
      <c r="HR117" s="656"/>
      <c r="HS117" s="656"/>
      <c r="HT117" s="656"/>
      <c r="HU117" s="656"/>
      <c r="HV117" s="656"/>
      <c r="HW117" s="656"/>
    </row>
    <row r="118" spans="1:231" s="657" customFormat="1" x14ac:dyDescent="0.25">
      <c r="A118" s="646">
        <v>45</v>
      </c>
      <c r="B118" s="680" t="s">
        <v>1035</v>
      </c>
      <c r="C118" s="681" t="s">
        <v>1036</v>
      </c>
      <c r="D118" s="691" t="s">
        <v>14</v>
      </c>
      <c r="E118" s="691">
        <v>0</v>
      </c>
      <c r="F118" s="720">
        <v>13757.24</v>
      </c>
      <c r="G118" s="720">
        <v>0</v>
      </c>
      <c r="H118" s="685">
        <v>60.874400000000001</v>
      </c>
      <c r="I118" s="686">
        <v>0</v>
      </c>
      <c r="J118" s="683">
        <v>60.874400000000001</v>
      </c>
      <c r="K118" s="684">
        <v>837464</v>
      </c>
      <c r="L118" s="683">
        <v>0</v>
      </c>
      <c r="M118" s="684">
        <v>0</v>
      </c>
      <c r="N118" s="683">
        <v>0</v>
      </c>
      <c r="O118" s="687">
        <v>0</v>
      </c>
      <c r="P118" s="656"/>
      <c r="Q118" s="656"/>
      <c r="R118" s="656"/>
      <c r="S118" s="656"/>
      <c r="T118" s="656"/>
      <c r="U118" s="656"/>
      <c r="V118" s="656"/>
      <c r="W118" s="656"/>
      <c r="X118" s="656"/>
      <c r="Y118" s="656"/>
      <c r="Z118" s="656"/>
      <c r="AA118" s="656"/>
      <c r="AB118" s="656"/>
      <c r="AC118" s="656"/>
      <c r="AD118" s="656"/>
      <c r="AE118" s="656"/>
      <c r="AF118" s="656"/>
      <c r="AG118" s="656"/>
      <c r="AH118" s="656"/>
      <c r="AI118" s="656"/>
      <c r="AJ118" s="656"/>
      <c r="AK118" s="656"/>
      <c r="AL118" s="656"/>
      <c r="AM118" s="656"/>
      <c r="AN118" s="656"/>
      <c r="AO118" s="656"/>
      <c r="AP118" s="656"/>
      <c r="AQ118" s="656"/>
      <c r="AR118" s="656"/>
      <c r="AS118" s="656"/>
      <c r="AT118" s="656"/>
      <c r="AU118" s="656"/>
      <c r="AV118" s="656"/>
      <c r="AW118" s="656"/>
      <c r="AX118" s="656"/>
      <c r="AY118" s="656"/>
      <c r="AZ118" s="656"/>
      <c r="BA118" s="656"/>
      <c r="BB118" s="656"/>
      <c r="BC118" s="656"/>
      <c r="BD118" s="656"/>
      <c r="BE118" s="656"/>
      <c r="BF118" s="656"/>
      <c r="BG118" s="656"/>
      <c r="BH118" s="656"/>
      <c r="BI118" s="656"/>
      <c r="BJ118" s="656"/>
      <c r="BK118" s="656"/>
      <c r="BL118" s="656"/>
      <c r="BM118" s="656"/>
      <c r="BN118" s="656"/>
      <c r="BO118" s="656"/>
      <c r="BP118" s="656"/>
      <c r="BQ118" s="656"/>
      <c r="BR118" s="656"/>
      <c r="BS118" s="656"/>
      <c r="BT118" s="656"/>
      <c r="BU118" s="656"/>
      <c r="BV118" s="656"/>
      <c r="BW118" s="656"/>
      <c r="BX118" s="656"/>
      <c r="BY118" s="656"/>
      <c r="BZ118" s="656"/>
      <c r="CA118" s="656"/>
      <c r="CB118" s="656"/>
      <c r="CC118" s="656"/>
      <c r="CD118" s="656"/>
      <c r="CE118" s="656"/>
      <c r="CF118" s="656"/>
      <c r="CG118" s="656"/>
      <c r="CH118" s="656"/>
      <c r="CI118" s="656"/>
      <c r="CJ118" s="656"/>
      <c r="CK118" s="656"/>
      <c r="CL118" s="656"/>
      <c r="CM118" s="656"/>
      <c r="CN118" s="656"/>
      <c r="CO118" s="656"/>
      <c r="CP118" s="656"/>
      <c r="CQ118" s="656"/>
      <c r="CR118" s="656"/>
      <c r="CS118" s="656"/>
      <c r="CT118" s="656"/>
      <c r="CU118" s="656"/>
      <c r="CV118" s="656"/>
      <c r="CW118" s="656"/>
      <c r="CX118" s="656"/>
      <c r="CY118" s="656"/>
      <c r="CZ118" s="656"/>
      <c r="DA118" s="656"/>
      <c r="DB118" s="656"/>
      <c r="DC118" s="656"/>
      <c r="DD118" s="656"/>
      <c r="DE118" s="656"/>
      <c r="DF118" s="656"/>
      <c r="DG118" s="656"/>
      <c r="DH118" s="656"/>
      <c r="DI118" s="656"/>
      <c r="DJ118" s="656"/>
      <c r="DK118" s="656"/>
      <c r="DL118" s="656"/>
      <c r="DM118" s="656"/>
      <c r="DN118" s="656"/>
      <c r="DO118" s="656"/>
      <c r="DP118" s="656"/>
      <c r="DQ118" s="656"/>
      <c r="DR118" s="656"/>
      <c r="DS118" s="656"/>
      <c r="DT118" s="656"/>
      <c r="DU118" s="656"/>
      <c r="DV118" s="656"/>
      <c r="DW118" s="656"/>
      <c r="DX118" s="656"/>
      <c r="DY118" s="656"/>
      <c r="DZ118" s="656"/>
      <c r="EA118" s="656"/>
      <c r="EB118" s="656"/>
      <c r="EC118" s="656"/>
      <c r="ED118" s="656"/>
      <c r="EE118" s="656"/>
      <c r="EF118" s="656"/>
      <c r="EG118" s="656"/>
      <c r="EH118" s="656"/>
      <c r="EI118" s="656"/>
      <c r="EJ118" s="656"/>
      <c r="EK118" s="656"/>
      <c r="EL118" s="656"/>
      <c r="EM118" s="656"/>
      <c r="EN118" s="656"/>
      <c r="EO118" s="656"/>
      <c r="EP118" s="656"/>
      <c r="EQ118" s="656"/>
      <c r="ER118" s="656"/>
      <c r="ES118" s="656"/>
      <c r="ET118" s="656"/>
      <c r="EU118" s="656"/>
      <c r="EV118" s="656"/>
      <c r="EW118" s="656"/>
      <c r="EX118" s="656"/>
      <c r="EY118" s="656"/>
      <c r="EZ118" s="656"/>
      <c r="FA118" s="656"/>
      <c r="FB118" s="656"/>
      <c r="FC118" s="656"/>
      <c r="FD118" s="656"/>
      <c r="FE118" s="656"/>
      <c r="FF118" s="656"/>
      <c r="FG118" s="656"/>
      <c r="FH118" s="656"/>
      <c r="FI118" s="656"/>
      <c r="FJ118" s="656"/>
      <c r="FK118" s="656"/>
      <c r="FL118" s="656"/>
      <c r="FM118" s="656"/>
      <c r="FN118" s="656"/>
      <c r="FO118" s="656"/>
      <c r="FP118" s="656"/>
      <c r="FQ118" s="656"/>
      <c r="FR118" s="656"/>
      <c r="FS118" s="656"/>
      <c r="FT118" s="656"/>
      <c r="FU118" s="656"/>
      <c r="FV118" s="656"/>
      <c r="FW118" s="656"/>
      <c r="FX118" s="656"/>
      <c r="FY118" s="656"/>
      <c r="FZ118" s="656"/>
      <c r="GA118" s="656"/>
      <c r="GB118" s="656"/>
      <c r="GC118" s="656"/>
      <c r="GD118" s="656"/>
      <c r="GE118" s="656"/>
      <c r="GF118" s="656"/>
      <c r="GG118" s="656"/>
      <c r="GH118" s="656"/>
      <c r="GI118" s="656"/>
      <c r="GJ118" s="656"/>
      <c r="GK118" s="656"/>
      <c r="GL118" s="656"/>
      <c r="GM118" s="656"/>
      <c r="GN118" s="656"/>
      <c r="GO118" s="656"/>
      <c r="GP118" s="656"/>
      <c r="GQ118" s="656"/>
      <c r="GR118" s="656"/>
      <c r="GS118" s="656"/>
      <c r="GT118" s="656"/>
      <c r="GU118" s="656"/>
      <c r="GV118" s="656"/>
      <c r="GW118" s="656"/>
      <c r="GX118" s="656"/>
      <c r="GY118" s="656"/>
      <c r="GZ118" s="656"/>
      <c r="HA118" s="656"/>
      <c r="HB118" s="656"/>
      <c r="HC118" s="656"/>
      <c r="HD118" s="656"/>
      <c r="HE118" s="656"/>
      <c r="HF118" s="656"/>
      <c r="HG118" s="656"/>
      <c r="HH118" s="656"/>
      <c r="HI118" s="656"/>
      <c r="HJ118" s="656"/>
      <c r="HK118" s="656"/>
      <c r="HL118" s="656"/>
      <c r="HM118" s="656"/>
      <c r="HN118" s="656"/>
      <c r="HO118" s="656"/>
      <c r="HP118" s="656"/>
      <c r="HQ118" s="656"/>
      <c r="HR118" s="656"/>
      <c r="HS118" s="656"/>
      <c r="HT118" s="656"/>
      <c r="HU118" s="656"/>
      <c r="HV118" s="656"/>
      <c r="HW118" s="656"/>
    </row>
    <row r="119" spans="1:231" s="657" customFormat="1" x14ac:dyDescent="0.25">
      <c r="A119" s="646">
        <v>46</v>
      </c>
      <c r="B119" s="693" t="s">
        <v>1037</v>
      </c>
      <c r="C119" s="721" t="s">
        <v>1038</v>
      </c>
      <c r="D119" s="695" t="s">
        <v>14</v>
      </c>
      <c r="E119" s="695">
        <v>0</v>
      </c>
      <c r="F119" s="722">
        <v>10546.76</v>
      </c>
      <c r="G119" s="722">
        <v>0</v>
      </c>
      <c r="H119" s="688">
        <v>35</v>
      </c>
      <c r="I119" s="688">
        <v>0</v>
      </c>
      <c r="J119" s="689">
        <v>35</v>
      </c>
      <c r="K119" s="696">
        <v>369137</v>
      </c>
      <c r="L119" s="689">
        <v>0</v>
      </c>
      <c r="M119" s="696">
        <v>0</v>
      </c>
      <c r="N119" s="689">
        <v>0</v>
      </c>
      <c r="O119" s="697">
        <v>0</v>
      </c>
      <c r="P119" s="656"/>
      <c r="Q119" s="656"/>
      <c r="R119" s="656"/>
      <c r="S119" s="656"/>
      <c r="T119" s="656"/>
      <c r="U119" s="656"/>
      <c r="V119" s="656"/>
      <c r="W119" s="656"/>
      <c r="X119" s="656"/>
      <c r="Y119" s="656"/>
      <c r="Z119" s="656"/>
      <c r="AA119" s="656"/>
      <c r="AB119" s="656"/>
      <c r="AC119" s="656"/>
      <c r="AD119" s="656"/>
      <c r="AE119" s="656"/>
      <c r="AF119" s="656"/>
      <c r="AG119" s="656"/>
      <c r="AH119" s="656"/>
      <c r="AI119" s="656"/>
      <c r="AJ119" s="656"/>
      <c r="AK119" s="656"/>
      <c r="AL119" s="656"/>
      <c r="AM119" s="656"/>
      <c r="AN119" s="656"/>
      <c r="AO119" s="656"/>
      <c r="AP119" s="656"/>
      <c r="AQ119" s="656"/>
      <c r="AR119" s="656"/>
      <c r="AS119" s="656"/>
      <c r="AT119" s="656"/>
      <c r="AU119" s="656"/>
      <c r="AV119" s="656"/>
      <c r="AW119" s="656"/>
      <c r="AX119" s="656"/>
      <c r="AY119" s="656"/>
      <c r="AZ119" s="656"/>
      <c r="BA119" s="656"/>
      <c r="BB119" s="656"/>
      <c r="BC119" s="656"/>
      <c r="BD119" s="656"/>
      <c r="BE119" s="656"/>
      <c r="BF119" s="656"/>
      <c r="BG119" s="656"/>
      <c r="BH119" s="656"/>
      <c r="BI119" s="656"/>
      <c r="BJ119" s="656"/>
      <c r="BK119" s="656"/>
      <c r="BL119" s="656"/>
      <c r="BM119" s="656"/>
      <c r="BN119" s="656"/>
      <c r="BO119" s="656"/>
      <c r="BP119" s="656"/>
      <c r="BQ119" s="656"/>
      <c r="BR119" s="656"/>
      <c r="BS119" s="656"/>
      <c r="BT119" s="656"/>
      <c r="BU119" s="656"/>
      <c r="BV119" s="656"/>
      <c r="BW119" s="656"/>
      <c r="BX119" s="656"/>
      <c r="BY119" s="656"/>
      <c r="BZ119" s="656"/>
      <c r="CA119" s="656"/>
      <c r="CB119" s="656"/>
      <c r="CC119" s="656"/>
      <c r="CD119" s="656"/>
      <c r="CE119" s="656"/>
      <c r="CF119" s="656"/>
      <c r="CG119" s="656"/>
      <c r="CH119" s="656"/>
      <c r="CI119" s="656"/>
      <c r="CJ119" s="656"/>
      <c r="CK119" s="656"/>
      <c r="CL119" s="656"/>
      <c r="CM119" s="656"/>
      <c r="CN119" s="656"/>
      <c r="CO119" s="656"/>
      <c r="CP119" s="656"/>
      <c r="CQ119" s="656"/>
      <c r="CR119" s="656"/>
      <c r="CS119" s="656"/>
      <c r="CT119" s="656"/>
      <c r="CU119" s="656"/>
      <c r="CV119" s="656"/>
      <c r="CW119" s="656"/>
      <c r="CX119" s="656"/>
      <c r="CY119" s="656"/>
      <c r="CZ119" s="656"/>
      <c r="DA119" s="656"/>
      <c r="DB119" s="656"/>
      <c r="DC119" s="656"/>
      <c r="DD119" s="656"/>
      <c r="DE119" s="656"/>
      <c r="DF119" s="656"/>
      <c r="DG119" s="656"/>
      <c r="DH119" s="656"/>
      <c r="DI119" s="656"/>
      <c r="DJ119" s="656"/>
      <c r="DK119" s="656"/>
      <c r="DL119" s="656"/>
      <c r="DM119" s="656"/>
      <c r="DN119" s="656"/>
      <c r="DO119" s="656"/>
      <c r="DP119" s="656"/>
      <c r="DQ119" s="656"/>
      <c r="DR119" s="656"/>
      <c r="DS119" s="656"/>
      <c r="DT119" s="656"/>
      <c r="DU119" s="656"/>
      <c r="DV119" s="656"/>
      <c r="DW119" s="656"/>
      <c r="DX119" s="656"/>
      <c r="DY119" s="656"/>
      <c r="DZ119" s="656"/>
      <c r="EA119" s="656"/>
      <c r="EB119" s="656"/>
      <c r="EC119" s="656"/>
      <c r="ED119" s="656"/>
      <c r="EE119" s="656"/>
      <c r="EF119" s="656"/>
      <c r="EG119" s="656"/>
      <c r="EH119" s="656"/>
      <c r="EI119" s="656"/>
      <c r="EJ119" s="656"/>
      <c r="EK119" s="656"/>
      <c r="EL119" s="656"/>
      <c r="EM119" s="656"/>
      <c r="EN119" s="656"/>
      <c r="EO119" s="656"/>
      <c r="EP119" s="656"/>
      <c r="EQ119" s="656"/>
      <c r="ER119" s="656"/>
      <c r="ES119" s="656"/>
      <c r="ET119" s="656"/>
      <c r="EU119" s="656"/>
      <c r="EV119" s="656"/>
      <c r="EW119" s="656"/>
      <c r="EX119" s="656"/>
      <c r="EY119" s="656"/>
      <c r="EZ119" s="656"/>
      <c r="FA119" s="656"/>
      <c r="FB119" s="656"/>
      <c r="FC119" s="656"/>
      <c r="FD119" s="656"/>
      <c r="FE119" s="656"/>
      <c r="FF119" s="656"/>
      <c r="FG119" s="656"/>
      <c r="FH119" s="656"/>
      <c r="FI119" s="656"/>
      <c r="FJ119" s="656"/>
      <c r="FK119" s="656"/>
      <c r="FL119" s="656"/>
      <c r="FM119" s="656"/>
      <c r="FN119" s="656"/>
      <c r="FO119" s="656"/>
      <c r="FP119" s="656"/>
      <c r="FQ119" s="656"/>
      <c r="FR119" s="656"/>
      <c r="FS119" s="656"/>
      <c r="FT119" s="656"/>
      <c r="FU119" s="656"/>
      <c r="FV119" s="656"/>
      <c r="FW119" s="656"/>
      <c r="FX119" s="656"/>
      <c r="FY119" s="656"/>
      <c r="FZ119" s="656"/>
      <c r="GA119" s="656"/>
      <c r="GB119" s="656"/>
      <c r="GC119" s="656"/>
      <c r="GD119" s="656"/>
      <c r="GE119" s="656"/>
      <c r="GF119" s="656"/>
      <c r="GG119" s="656"/>
      <c r="GH119" s="656"/>
      <c r="GI119" s="656"/>
      <c r="GJ119" s="656"/>
      <c r="GK119" s="656"/>
      <c r="GL119" s="656"/>
      <c r="GM119" s="656"/>
      <c r="GN119" s="656"/>
      <c r="GO119" s="656"/>
      <c r="GP119" s="656"/>
      <c r="GQ119" s="656"/>
      <c r="GR119" s="656"/>
      <c r="GS119" s="656"/>
      <c r="GT119" s="656"/>
      <c r="GU119" s="656"/>
      <c r="GV119" s="656"/>
      <c r="GW119" s="656"/>
      <c r="GX119" s="656"/>
      <c r="GY119" s="656"/>
      <c r="GZ119" s="656"/>
      <c r="HA119" s="656"/>
      <c r="HB119" s="656"/>
      <c r="HC119" s="656"/>
      <c r="HD119" s="656"/>
      <c r="HE119" s="656"/>
      <c r="HF119" s="656"/>
      <c r="HG119" s="656"/>
      <c r="HH119" s="656"/>
      <c r="HI119" s="656"/>
      <c r="HJ119" s="656"/>
      <c r="HK119" s="656"/>
      <c r="HL119" s="656"/>
      <c r="HM119" s="656"/>
      <c r="HN119" s="656"/>
      <c r="HO119" s="656"/>
      <c r="HP119" s="656"/>
      <c r="HQ119" s="656"/>
      <c r="HR119" s="656"/>
      <c r="HS119" s="656"/>
      <c r="HT119" s="656"/>
      <c r="HU119" s="656"/>
      <c r="HV119" s="656"/>
      <c r="HW119" s="656"/>
    </row>
    <row r="120" spans="1:231" s="657" customFormat="1" x14ac:dyDescent="0.25">
      <c r="A120" s="646"/>
      <c r="B120" s="669" t="s">
        <v>1135</v>
      </c>
      <c r="C120" s="670" t="s">
        <v>1136</v>
      </c>
      <c r="D120" s="671"/>
      <c r="E120" s="672"/>
      <c r="F120" s="673"/>
      <c r="G120" s="720">
        <v>0</v>
      </c>
      <c r="H120" s="675"/>
      <c r="I120" s="676"/>
      <c r="J120" s="672"/>
      <c r="K120" s="684">
        <v>0</v>
      </c>
      <c r="L120" s="683">
        <v>0</v>
      </c>
      <c r="M120" s="684">
        <v>0</v>
      </c>
      <c r="N120" s="672">
        <v>0</v>
      </c>
      <c r="O120" s="687">
        <v>0</v>
      </c>
      <c r="P120" s="656"/>
      <c r="Q120" s="656"/>
      <c r="R120" s="656"/>
      <c r="S120" s="656"/>
      <c r="T120" s="656"/>
      <c r="U120" s="656"/>
      <c r="V120" s="656"/>
      <c r="W120" s="656"/>
      <c r="X120" s="656"/>
      <c r="Y120" s="656"/>
      <c r="Z120" s="656"/>
      <c r="AA120" s="656"/>
      <c r="AB120" s="656"/>
      <c r="AC120" s="656"/>
      <c r="AD120" s="656"/>
      <c r="AE120" s="656"/>
      <c r="AF120" s="656"/>
      <c r="AG120" s="656"/>
      <c r="AH120" s="656"/>
      <c r="AI120" s="656"/>
      <c r="AJ120" s="656"/>
      <c r="AK120" s="656"/>
      <c r="AL120" s="656"/>
      <c r="AM120" s="656"/>
      <c r="AN120" s="656"/>
      <c r="AO120" s="656"/>
      <c r="AP120" s="656"/>
      <c r="AQ120" s="656"/>
      <c r="AR120" s="656"/>
      <c r="AS120" s="656"/>
      <c r="AT120" s="656"/>
      <c r="AU120" s="656"/>
      <c r="AV120" s="656"/>
      <c r="AW120" s="656"/>
      <c r="AX120" s="656"/>
      <c r="AY120" s="656"/>
      <c r="AZ120" s="656"/>
      <c r="BA120" s="656"/>
      <c r="BB120" s="656"/>
      <c r="BC120" s="656"/>
      <c r="BD120" s="656"/>
      <c r="BE120" s="656"/>
      <c r="BF120" s="656"/>
      <c r="BG120" s="656"/>
      <c r="BH120" s="656"/>
      <c r="BI120" s="656"/>
      <c r="BJ120" s="656"/>
      <c r="BK120" s="656"/>
      <c r="BL120" s="656"/>
      <c r="BM120" s="656"/>
      <c r="BN120" s="656"/>
      <c r="BO120" s="656"/>
      <c r="BP120" s="656"/>
      <c r="BQ120" s="656"/>
      <c r="BR120" s="656"/>
      <c r="BS120" s="656"/>
      <c r="BT120" s="656"/>
      <c r="BU120" s="656"/>
      <c r="BV120" s="656"/>
      <c r="BW120" s="656"/>
      <c r="BX120" s="656"/>
      <c r="BY120" s="656"/>
      <c r="BZ120" s="656"/>
      <c r="CA120" s="656"/>
      <c r="CB120" s="656"/>
      <c r="CC120" s="656"/>
      <c r="CD120" s="656"/>
      <c r="CE120" s="656"/>
      <c r="CF120" s="656"/>
      <c r="CG120" s="656"/>
      <c r="CH120" s="656"/>
      <c r="CI120" s="656"/>
      <c r="CJ120" s="656"/>
      <c r="CK120" s="656"/>
      <c r="CL120" s="656"/>
      <c r="CM120" s="656"/>
      <c r="CN120" s="656"/>
      <c r="CO120" s="656"/>
      <c r="CP120" s="656"/>
      <c r="CQ120" s="656"/>
      <c r="CR120" s="656"/>
      <c r="CS120" s="656"/>
      <c r="CT120" s="656"/>
      <c r="CU120" s="656"/>
      <c r="CV120" s="656"/>
      <c r="CW120" s="656"/>
      <c r="CX120" s="656"/>
      <c r="CY120" s="656"/>
      <c r="CZ120" s="656"/>
      <c r="DA120" s="656"/>
      <c r="DB120" s="656"/>
      <c r="DC120" s="656"/>
      <c r="DD120" s="656"/>
      <c r="DE120" s="656"/>
      <c r="DF120" s="656"/>
      <c r="DG120" s="656"/>
      <c r="DH120" s="656"/>
      <c r="DI120" s="656"/>
      <c r="DJ120" s="656"/>
      <c r="DK120" s="656"/>
      <c r="DL120" s="656"/>
      <c r="DM120" s="656"/>
      <c r="DN120" s="656"/>
      <c r="DO120" s="656"/>
      <c r="DP120" s="656"/>
      <c r="DQ120" s="656"/>
      <c r="DR120" s="656"/>
      <c r="DS120" s="656"/>
      <c r="DT120" s="656"/>
      <c r="DU120" s="656"/>
      <c r="DV120" s="656"/>
      <c r="DW120" s="656"/>
      <c r="DX120" s="656"/>
      <c r="DY120" s="656"/>
      <c r="DZ120" s="656"/>
      <c r="EA120" s="656"/>
      <c r="EB120" s="656"/>
      <c r="EC120" s="656"/>
      <c r="ED120" s="656"/>
      <c r="EE120" s="656"/>
      <c r="EF120" s="656"/>
      <c r="EG120" s="656"/>
      <c r="EH120" s="656"/>
      <c r="EI120" s="656"/>
      <c r="EJ120" s="656"/>
      <c r="EK120" s="656"/>
      <c r="EL120" s="656"/>
      <c r="EM120" s="656"/>
      <c r="EN120" s="656"/>
      <c r="EO120" s="656"/>
      <c r="EP120" s="656"/>
      <c r="EQ120" s="656"/>
      <c r="ER120" s="656"/>
      <c r="ES120" s="656"/>
      <c r="ET120" s="656"/>
      <c r="EU120" s="656"/>
      <c r="EV120" s="656"/>
      <c r="EW120" s="656"/>
      <c r="EX120" s="656"/>
      <c r="EY120" s="656"/>
      <c r="EZ120" s="656"/>
      <c r="FA120" s="656"/>
      <c r="FB120" s="656"/>
      <c r="FC120" s="656"/>
      <c r="FD120" s="656"/>
      <c r="FE120" s="656"/>
      <c r="FF120" s="656"/>
      <c r="FG120" s="656"/>
      <c r="FH120" s="656"/>
      <c r="FI120" s="656"/>
      <c r="FJ120" s="656"/>
      <c r="FK120" s="656"/>
      <c r="FL120" s="656"/>
      <c r="FM120" s="656"/>
      <c r="FN120" s="656"/>
      <c r="FO120" s="656"/>
      <c r="FP120" s="656"/>
      <c r="FQ120" s="656"/>
      <c r="FR120" s="656"/>
      <c r="FS120" s="656"/>
      <c r="FT120" s="656"/>
      <c r="FU120" s="656"/>
      <c r="FV120" s="656"/>
      <c r="FW120" s="656"/>
      <c r="FX120" s="656"/>
      <c r="FY120" s="656"/>
      <c r="FZ120" s="656"/>
      <c r="GA120" s="656"/>
      <c r="GB120" s="656"/>
      <c r="GC120" s="656"/>
      <c r="GD120" s="656"/>
      <c r="GE120" s="656"/>
      <c r="GF120" s="656"/>
      <c r="GG120" s="656"/>
      <c r="GH120" s="656"/>
      <c r="GI120" s="656"/>
      <c r="GJ120" s="656"/>
      <c r="GK120" s="656"/>
      <c r="GL120" s="656"/>
      <c r="GM120" s="656"/>
      <c r="GN120" s="656"/>
      <c r="GO120" s="656"/>
      <c r="GP120" s="656"/>
      <c r="GQ120" s="656"/>
      <c r="GR120" s="656"/>
      <c r="GS120" s="656"/>
      <c r="GT120" s="656"/>
      <c r="GU120" s="656"/>
      <c r="GV120" s="656"/>
      <c r="GW120" s="656"/>
      <c r="GX120" s="656"/>
      <c r="GY120" s="656"/>
      <c r="GZ120" s="656"/>
      <c r="HA120" s="656"/>
      <c r="HB120" s="656"/>
      <c r="HC120" s="656"/>
      <c r="HD120" s="656"/>
      <c r="HE120" s="656"/>
      <c r="HF120" s="656"/>
      <c r="HG120" s="656"/>
      <c r="HH120" s="656"/>
      <c r="HI120" s="656"/>
      <c r="HJ120" s="656"/>
      <c r="HK120" s="656"/>
      <c r="HL120" s="656"/>
      <c r="HM120" s="656"/>
      <c r="HN120" s="656"/>
      <c r="HO120" s="656"/>
      <c r="HP120" s="656"/>
      <c r="HQ120" s="656"/>
      <c r="HR120" s="656"/>
      <c r="HS120" s="656"/>
      <c r="HT120" s="656"/>
      <c r="HU120" s="656"/>
      <c r="HV120" s="656"/>
      <c r="HW120" s="656"/>
    </row>
    <row r="121" spans="1:231" s="657" customFormat="1" x14ac:dyDescent="0.25">
      <c r="A121" s="646">
        <v>94</v>
      </c>
      <c r="B121" s="723" t="s">
        <v>1137</v>
      </c>
      <c r="C121" s="724" t="s">
        <v>1138</v>
      </c>
      <c r="D121" s="725" t="s">
        <v>19</v>
      </c>
      <c r="E121" s="726">
        <v>0</v>
      </c>
      <c r="F121" s="1278">
        <v>208470</v>
      </c>
      <c r="G121" s="720">
        <v>0</v>
      </c>
      <c r="H121" s="728">
        <v>237.8</v>
      </c>
      <c r="I121" s="729">
        <v>0</v>
      </c>
      <c r="J121" s="726">
        <v>237.8</v>
      </c>
      <c r="K121" s="684">
        <v>49574166</v>
      </c>
      <c r="L121" s="683">
        <v>0</v>
      </c>
      <c r="M121" s="684">
        <v>0</v>
      </c>
      <c r="N121" s="726">
        <v>0</v>
      </c>
      <c r="O121" s="687">
        <v>0</v>
      </c>
      <c r="P121" s="656"/>
      <c r="Q121" s="656"/>
      <c r="R121" s="656"/>
      <c r="S121" s="656"/>
      <c r="T121" s="656"/>
      <c r="U121" s="656"/>
      <c r="V121" s="656"/>
      <c r="W121" s="656"/>
      <c r="X121" s="656"/>
      <c r="Y121" s="656"/>
      <c r="Z121" s="656"/>
      <c r="AA121" s="656"/>
      <c r="AB121" s="656"/>
      <c r="AC121" s="656"/>
      <c r="AD121" s="656"/>
      <c r="AE121" s="656"/>
      <c r="AF121" s="656"/>
      <c r="AG121" s="656"/>
      <c r="AH121" s="656"/>
      <c r="AI121" s="656"/>
      <c r="AJ121" s="656"/>
      <c r="AK121" s="656"/>
      <c r="AL121" s="656"/>
      <c r="AM121" s="656"/>
      <c r="AN121" s="656"/>
      <c r="AO121" s="656"/>
      <c r="AP121" s="656"/>
      <c r="AQ121" s="656"/>
      <c r="AR121" s="656"/>
      <c r="AS121" s="656"/>
      <c r="AT121" s="656"/>
      <c r="AU121" s="656"/>
      <c r="AV121" s="656"/>
      <c r="AW121" s="656"/>
      <c r="AX121" s="656"/>
      <c r="AY121" s="656"/>
      <c r="AZ121" s="656"/>
      <c r="BA121" s="656"/>
      <c r="BB121" s="656"/>
      <c r="BC121" s="656"/>
      <c r="BD121" s="656"/>
      <c r="BE121" s="656"/>
      <c r="BF121" s="656"/>
      <c r="BG121" s="656"/>
      <c r="BH121" s="656"/>
      <c r="BI121" s="656"/>
      <c r="BJ121" s="656"/>
      <c r="BK121" s="656"/>
      <c r="BL121" s="656"/>
      <c r="BM121" s="656"/>
      <c r="BN121" s="656"/>
      <c r="BO121" s="656"/>
      <c r="BP121" s="656"/>
      <c r="BQ121" s="656"/>
      <c r="BR121" s="656"/>
      <c r="BS121" s="656"/>
      <c r="BT121" s="656"/>
      <c r="BU121" s="656"/>
      <c r="BV121" s="656"/>
      <c r="BW121" s="656"/>
      <c r="BX121" s="656"/>
      <c r="BY121" s="656"/>
      <c r="BZ121" s="656"/>
      <c r="CA121" s="656"/>
      <c r="CB121" s="656"/>
      <c r="CC121" s="656"/>
      <c r="CD121" s="656"/>
      <c r="CE121" s="656"/>
      <c r="CF121" s="656"/>
      <c r="CG121" s="656"/>
      <c r="CH121" s="656"/>
      <c r="CI121" s="656"/>
      <c r="CJ121" s="656"/>
      <c r="CK121" s="656"/>
      <c r="CL121" s="656"/>
      <c r="CM121" s="656"/>
      <c r="CN121" s="656"/>
      <c r="CO121" s="656"/>
      <c r="CP121" s="656"/>
      <c r="CQ121" s="656"/>
      <c r="CR121" s="656"/>
      <c r="CS121" s="656"/>
      <c r="CT121" s="656"/>
      <c r="CU121" s="656"/>
      <c r="CV121" s="656"/>
      <c r="CW121" s="656"/>
      <c r="CX121" s="656"/>
      <c r="CY121" s="656"/>
      <c r="CZ121" s="656"/>
      <c r="DA121" s="656"/>
      <c r="DB121" s="656"/>
      <c r="DC121" s="656"/>
      <c r="DD121" s="656"/>
      <c r="DE121" s="656"/>
      <c r="DF121" s="656"/>
      <c r="DG121" s="656"/>
      <c r="DH121" s="656"/>
      <c r="DI121" s="656"/>
      <c r="DJ121" s="656"/>
      <c r="DK121" s="656"/>
      <c r="DL121" s="656"/>
      <c r="DM121" s="656"/>
      <c r="DN121" s="656"/>
      <c r="DO121" s="656"/>
      <c r="DP121" s="656"/>
      <c r="DQ121" s="656"/>
      <c r="DR121" s="656"/>
      <c r="DS121" s="656"/>
      <c r="DT121" s="656"/>
      <c r="DU121" s="656"/>
      <c r="DV121" s="656"/>
      <c r="DW121" s="656"/>
      <c r="DX121" s="656"/>
      <c r="DY121" s="656"/>
      <c r="DZ121" s="656"/>
      <c r="EA121" s="656"/>
      <c r="EB121" s="656"/>
      <c r="EC121" s="656"/>
      <c r="ED121" s="656"/>
      <c r="EE121" s="656"/>
      <c r="EF121" s="656"/>
      <c r="EG121" s="656"/>
      <c r="EH121" s="656"/>
      <c r="EI121" s="656"/>
      <c r="EJ121" s="656"/>
      <c r="EK121" s="656"/>
      <c r="EL121" s="656"/>
      <c r="EM121" s="656"/>
      <c r="EN121" s="656"/>
      <c r="EO121" s="656"/>
      <c r="EP121" s="656"/>
      <c r="EQ121" s="656"/>
      <c r="ER121" s="656"/>
      <c r="ES121" s="656"/>
      <c r="ET121" s="656"/>
      <c r="EU121" s="656"/>
      <c r="EV121" s="656"/>
      <c r="EW121" s="656"/>
      <c r="EX121" s="656"/>
      <c r="EY121" s="656"/>
      <c r="EZ121" s="656"/>
      <c r="FA121" s="656"/>
      <c r="FB121" s="656"/>
      <c r="FC121" s="656"/>
      <c r="FD121" s="656"/>
      <c r="FE121" s="656"/>
      <c r="FF121" s="656"/>
      <c r="FG121" s="656"/>
      <c r="FH121" s="656"/>
      <c r="FI121" s="656"/>
      <c r="FJ121" s="656"/>
      <c r="FK121" s="656"/>
      <c r="FL121" s="656"/>
      <c r="FM121" s="656"/>
      <c r="FN121" s="656"/>
      <c r="FO121" s="656"/>
      <c r="FP121" s="656"/>
      <c r="FQ121" s="656"/>
      <c r="FR121" s="656"/>
      <c r="FS121" s="656"/>
      <c r="FT121" s="656"/>
      <c r="FU121" s="656"/>
      <c r="FV121" s="656"/>
      <c r="FW121" s="656"/>
      <c r="FX121" s="656"/>
      <c r="FY121" s="656"/>
      <c r="FZ121" s="656"/>
      <c r="GA121" s="656"/>
      <c r="GB121" s="656"/>
      <c r="GC121" s="656"/>
      <c r="GD121" s="656"/>
      <c r="GE121" s="656"/>
      <c r="GF121" s="656"/>
      <c r="GG121" s="656"/>
      <c r="GH121" s="656"/>
      <c r="GI121" s="656"/>
      <c r="GJ121" s="656"/>
      <c r="GK121" s="656"/>
      <c r="GL121" s="656"/>
      <c r="GM121" s="656"/>
      <c r="GN121" s="656"/>
      <c r="GO121" s="656"/>
      <c r="GP121" s="656"/>
      <c r="GQ121" s="656"/>
      <c r="GR121" s="656"/>
      <c r="GS121" s="656"/>
      <c r="GT121" s="656"/>
      <c r="GU121" s="656"/>
      <c r="GV121" s="656"/>
      <c r="GW121" s="656"/>
      <c r="GX121" s="656"/>
      <c r="GY121" s="656"/>
      <c r="GZ121" s="656"/>
      <c r="HA121" s="656"/>
      <c r="HB121" s="656"/>
      <c r="HC121" s="656"/>
      <c r="HD121" s="656"/>
      <c r="HE121" s="656"/>
      <c r="HF121" s="656"/>
      <c r="HG121" s="656"/>
      <c r="HH121" s="656"/>
      <c r="HI121" s="656"/>
      <c r="HJ121" s="656"/>
      <c r="HK121" s="656"/>
      <c r="HL121" s="656"/>
      <c r="HM121" s="656"/>
      <c r="HN121" s="656"/>
      <c r="HO121" s="656"/>
      <c r="HP121" s="656"/>
      <c r="HQ121" s="656"/>
      <c r="HR121" s="656"/>
      <c r="HS121" s="656"/>
      <c r="HT121" s="656"/>
      <c r="HU121" s="656"/>
      <c r="HV121" s="656"/>
      <c r="HW121" s="656"/>
    </row>
    <row r="122" spans="1:231" s="657" customFormat="1" ht="28.5" x14ac:dyDescent="0.25">
      <c r="A122" s="646">
        <v>95</v>
      </c>
      <c r="B122" s="730" t="s">
        <v>1139</v>
      </c>
      <c r="C122" s="731" t="s">
        <v>1140</v>
      </c>
      <c r="D122" s="732" t="s">
        <v>19</v>
      </c>
      <c r="E122" s="733">
        <v>0</v>
      </c>
      <c r="F122" s="734">
        <v>5816</v>
      </c>
      <c r="G122" s="722">
        <v>0</v>
      </c>
      <c r="H122" s="735">
        <v>237.8</v>
      </c>
      <c r="I122" s="736">
        <v>0</v>
      </c>
      <c r="J122" s="733">
        <v>237.8</v>
      </c>
      <c r="K122" s="696">
        <v>1383045</v>
      </c>
      <c r="L122" s="689">
        <v>0</v>
      </c>
      <c r="M122" s="696">
        <v>0</v>
      </c>
      <c r="N122" s="733">
        <v>0</v>
      </c>
      <c r="O122" s="697">
        <v>0</v>
      </c>
      <c r="P122" s="656"/>
      <c r="Q122" s="656"/>
      <c r="R122" s="656"/>
      <c r="S122" s="656"/>
      <c r="T122" s="656"/>
      <c r="U122" s="656"/>
      <c r="V122" s="656"/>
      <c r="W122" s="656"/>
      <c r="X122" s="656"/>
      <c r="Y122" s="656"/>
      <c r="Z122" s="656"/>
      <c r="AA122" s="656"/>
      <c r="AB122" s="656"/>
      <c r="AC122" s="656"/>
      <c r="AD122" s="656"/>
      <c r="AE122" s="656"/>
      <c r="AF122" s="656"/>
      <c r="AG122" s="656"/>
      <c r="AH122" s="656"/>
      <c r="AI122" s="656"/>
      <c r="AJ122" s="656"/>
      <c r="AK122" s="656"/>
      <c r="AL122" s="656"/>
      <c r="AM122" s="656"/>
      <c r="AN122" s="656"/>
      <c r="AO122" s="656"/>
      <c r="AP122" s="656"/>
      <c r="AQ122" s="656"/>
      <c r="AR122" s="656"/>
      <c r="AS122" s="656"/>
      <c r="AT122" s="656"/>
      <c r="AU122" s="656"/>
      <c r="AV122" s="656"/>
      <c r="AW122" s="656"/>
      <c r="AX122" s="656"/>
      <c r="AY122" s="656"/>
      <c r="AZ122" s="656"/>
      <c r="BA122" s="656"/>
      <c r="BB122" s="656"/>
      <c r="BC122" s="656"/>
      <c r="BD122" s="656"/>
      <c r="BE122" s="656"/>
      <c r="BF122" s="656"/>
      <c r="BG122" s="656"/>
      <c r="BH122" s="656"/>
      <c r="BI122" s="656"/>
      <c r="BJ122" s="656"/>
      <c r="BK122" s="656"/>
      <c r="BL122" s="656"/>
      <c r="BM122" s="656"/>
      <c r="BN122" s="656"/>
      <c r="BO122" s="656"/>
      <c r="BP122" s="656"/>
      <c r="BQ122" s="656"/>
      <c r="BR122" s="656"/>
      <c r="BS122" s="656"/>
      <c r="BT122" s="656"/>
      <c r="BU122" s="656"/>
      <c r="BV122" s="656"/>
      <c r="BW122" s="656"/>
      <c r="BX122" s="656"/>
      <c r="BY122" s="656"/>
      <c r="BZ122" s="656"/>
      <c r="CA122" s="656"/>
      <c r="CB122" s="656"/>
      <c r="CC122" s="656"/>
      <c r="CD122" s="656"/>
      <c r="CE122" s="656"/>
      <c r="CF122" s="656"/>
      <c r="CG122" s="656"/>
      <c r="CH122" s="656"/>
      <c r="CI122" s="656"/>
      <c r="CJ122" s="656"/>
      <c r="CK122" s="656"/>
      <c r="CL122" s="656"/>
      <c r="CM122" s="656"/>
      <c r="CN122" s="656"/>
      <c r="CO122" s="656"/>
      <c r="CP122" s="656"/>
      <c r="CQ122" s="656"/>
      <c r="CR122" s="656"/>
      <c r="CS122" s="656"/>
      <c r="CT122" s="656"/>
      <c r="CU122" s="656"/>
      <c r="CV122" s="656"/>
      <c r="CW122" s="656"/>
      <c r="CX122" s="656"/>
      <c r="CY122" s="656"/>
      <c r="CZ122" s="656"/>
      <c r="DA122" s="656"/>
      <c r="DB122" s="656"/>
      <c r="DC122" s="656"/>
      <c r="DD122" s="656"/>
      <c r="DE122" s="656"/>
      <c r="DF122" s="656"/>
      <c r="DG122" s="656"/>
      <c r="DH122" s="656"/>
      <c r="DI122" s="656"/>
      <c r="DJ122" s="656"/>
      <c r="DK122" s="656"/>
      <c r="DL122" s="656"/>
      <c r="DM122" s="656"/>
      <c r="DN122" s="656"/>
      <c r="DO122" s="656"/>
      <c r="DP122" s="656"/>
      <c r="DQ122" s="656"/>
      <c r="DR122" s="656"/>
      <c r="DS122" s="656"/>
      <c r="DT122" s="656"/>
      <c r="DU122" s="656"/>
      <c r="DV122" s="656"/>
      <c r="DW122" s="656"/>
      <c r="DX122" s="656"/>
      <c r="DY122" s="656"/>
      <c r="DZ122" s="656"/>
      <c r="EA122" s="656"/>
      <c r="EB122" s="656"/>
      <c r="EC122" s="656"/>
      <c r="ED122" s="656"/>
      <c r="EE122" s="656"/>
      <c r="EF122" s="656"/>
      <c r="EG122" s="656"/>
      <c r="EH122" s="656"/>
      <c r="EI122" s="656"/>
      <c r="EJ122" s="656"/>
      <c r="EK122" s="656"/>
      <c r="EL122" s="656"/>
      <c r="EM122" s="656"/>
      <c r="EN122" s="656"/>
      <c r="EO122" s="656"/>
      <c r="EP122" s="656"/>
      <c r="EQ122" s="656"/>
      <c r="ER122" s="656"/>
      <c r="ES122" s="656"/>
      <c r="ET122" s="656"/>
      <c r="EU122" s="656"/>
      <c r="EV122" s="656"/>
      <c r="EW122" s="656"/>
      <c r="EX122" s="656"/>
      <c r="EY122" s="656"/>
      <c r="EZ122" s="656"/>
      <c r="FA122" s="656"/>
      <c r="FB122" s="656"/>
      <c r="FC122" s="656"/>
      <c r="FD122" s="656"/>
      <c r="FE122" s="656"/>
      <c r="FF122" s="656"/>
      <c r="FG122" s="656"/>
      <c r="FH122" s="656"/>
      <c r="FI122" s="656"/>
      <c r="FJ122" s="656"/>
      <c r="FK122" s="656"/>
      <c r="FL122" s="656"/>
      <c r="FM122" s="656"/>
      <c r="FN122" s="656"/>
      <c r="FO122" s="656"/>
      <c r="FP122" s="656"/>
      <c r="FQ122" s="656"/>
      <c r="FR122" s="656"/>
      <c r="FS122" s="656"/>
      <c r="FT122" s="656"/>
      <c r="FU122" s="656"/>
      <c r="FV122" s="656"/>
      <c r="FW122" s="656"/>
      <c r="FX122" s="656"/>
      <c r="FY122" s="656"/>
      <c r="FZ122" s="656"/>
      <c r="GA122" s="656"/>
      <c r="GB122" s="656"/>
      <c r="GC122" s="656"/>
      <c r="GD122" s="656"/>
      <c r="GE122" s="656"/>
      <c r="GF122" s="656"/>
      <c r="GG122" s="656"/>
      <c r="GH122" s="656"/>
      <c r="GI122" s="656"/>
      <c r="GJ122" s="656"/>
      <c r="GK122" s="656"/>
      <c r="GL122" s="656"/>
      <c r="GM122" s="656"/>
      <c r="GN122" s="656"/>
      <c r="GO122" s="656"/>
      <c r="GP122" s="656"/>
      <c r="GQ122" s="656"/>
      <c r="GR122" s="656"/>
      <c r="GS122" s="656"/>
      <c r="GT122" s="656"/>
      <c r="GU122" s="656"/>
      <c r="GV122" s="656"/>
      <c r="GW122" s="656"/>
      <c r="GX122" s="656"/>
      <c r="GY122" s="656"/>
      <c r="GZ122" s="656"/>
      <c r="HA122" s="656"/>
      <c r="HB122" s="656"/>
      <c r="HC122" s="656"/>
      <c r="HD122" s="656"/>
      <c r="HE122" s="656"/>
      <c r="HF122" s="656"/>
      <c r="HG122" s="656"/>
      <c r="HH122" s="656"/>
      <c r="HI122" s="656"/>
      <c r="HJ122" s="656"/>
      <c r="HK122" s="656"/>
      <c r="HL122" s="656"/>
      <c r="HM122" s="656"/>
      <c r="HN122" s="656"/>
      <c r="HO122" s="656"/>
      <c r="HP122" s="656"/>
      <c r="HQ122" s="656"/>
      <c r="HR122" s="656"/>
      <c r="HS122" s="656"/>
      <c r="HT122" s="656"/>
      <c r="HU122" s="656"/>
      <c r="HV122" s="656"/>
      <c r="HW122" s="656"/>
    </row>
    <row r="123" spans="1:231" s="707" customFormat="1" ht="15.75" thickBot="1" x14ac:dyDescent="0.3">
      <c r="A123" s="698"/>
      <c r="B123" s="699"/>
      <c r="C123" s="737"/>
      <c r="D123" s="701"/>
      <c r="E123" s="701"/>
      <c r="F123" s="738"/>
      <c r="G123" s="738"/>
      <c r="H123" s="703"/>
      <c r="I123" s="703"/>
      <c r="J123" s="704"/>
      <c r="K123" s="702"/>
      <c r="L123" s="704"/>
      <c r="M123" s="702"/>
      <c r="N123" s="704"/>
      <c r="O123" s="705"/>
      <c r="P123" s="706"/>
      <c r="Q123" s="706"/>
      <c r="R123" s="706"/>
      <c r="S123" s="706"/>
      <c r="T123" s="706"/>
      <c r="U123" s="706"/>
      <c r="V123" s="706"/>
      <c r="W123" s="706"/>
      <c r="X123" s="706"/>
      <c r="Y123" s="706"/>
      <c r="Z123" s="706"/>
      <c r="AA123" s="706"/>
      <c r="AB123" s="706"/>
      <c r="AC123" s="706"/>
      <c r="AD123" s="706"/>
      <c r="AE123" s="706"/>
      <c r="AF123" s="706"/>
      <c r="AG123" s="706"/>
      <c r="AH123" s="706"/>
      <c r="AI123" s="706"/>
      <c r="AJ123" s="706"/>
      <c r="AK123" s="706"/>
      <c r="AL123" s="706"/>
      <c r="AM123" s="706"/>
      <c r="AN123" s="706"/>
      <c r="AO123" s="706"/>
      <c r="AP123" s="706"/>
      <c r="AQ123" s="706"/>
      <c r="AR123" s="706"/>
      <c r="AS123" s="706"/>
      <c r="AT123" s="706"/>
      <c r="AU123" s="706"/>
      <c r="AV123" s="706"/>
      <c r="AW123" s="706"/>
      <c r="AX123" s="706"/>
      <c r="AY123" s="706"/>
      <c r="AZ123" s="706"/>
      <c r="BA123" s="706"/>
      <c r="BB123" s="706"/>
      <c r="BC123" s="706"/>
      <c r="BD123" s="706"/>
      <c r="BE123" s="706"/>
      <c r="BF123" s="706"/>
      <c r="BG123" s="706"/>
      <c r="BH123" s="706"/>
      <c r="BI123" s="706"/>
      <c r="BJ123" s="706"/>
      <c r="BK123" s="706"/>
      <c r="BL123" s="706"/>
      <c r="BM123" s="706"/>
      <c r="BN123" s="706"/>
      <c r="BO123" s="706"/>
      <c r="BP123" s="706"/>
      <c r="BQ123" s="706"/>
      <c r="BR123" s="706"/>
      <c r="BS123" s="706"/>
      <c r="BT123" s="706"/>
      <c r="BU123" s="706"/>
      <c r="BV123" s="706"/>
      <c r="BW123" s="706"/>
      <c r="BX123" s="706"/>
      <c r="BY123" s="706"/>
      <c r="BZ123" s="706"/>
      <c r="CA123" s="706"/>
      <c r="CB123" s="706"/>
      <c r="CC123" s="706"/>
      <c r="CD123" s="706"/>
      <c r="CE123" s="706"/>
      <c r="CF123" s="706"/>
      <c r="CG123" s="706"/>
      <c r="CH123" s="706"/>
      <c r="CI123" s="706"/>
      <c r="CJ123" s="706"/>
      <c r="CK123" s="706"/>
      <c r="CL123" s="706"/>
      <c r="CM123" s="706"/>
      <c r="CN123" s="706"/>
      <c r="CO123" s="706"/>
      <c r="CP123" s="706"/>
      <c r="CQ123" s="706"/>
      <c r="CR123" s="706"/>
      <c r="CS123" s="706"/>
      <c r="CT123" s="706"/>
      <c r="CU123" s="706"/>
      <c r="CV123" s="706"/>
      <c r="CW123" s="706"/>
      <c r="CX123" s="706"/>
      <c r="CY123" s="706"/>
      <c r="CZ123" s="706"/>
      <c r="DA123" s="706"/>
      <c r="DB123" s="706"/>
      <c r="DC123" s="706"/>
      <c r="DD123" s="706"/>
      <c r="DE123" s="706"/>
      <c r="DF123" s="706"/>
      <c r="DG123" s="706"/>
      <c r="DH123" s="706"/>
      <c r="DI123" s="706"/>
      <c r="DJ123" s="706"/>
      <c r="DK123" s="706"/>
      <c r="DL123" s="706"/>
      <c r="DM123" s="706"/>
      <c r="DN123" s="706"/>
      <c r="DO123" s="706"/>
      <c r="DP123" s="706"/>
      <c r="DQ123" s="706"/>
      <c r="DR123" s="706"/>
      <c r="DS123" s="706"/>
      <c r="DT123" s="706"/>
      <c r="DU123" s="706"/>
      <c r="DV123" s="706"/>
      <c r="DW123" s="706"/>
      <c r="DX123" s="706"/>
      <c r="DY123" s="706"/>
      <c r="DZ123" s="706"/>
      <c r="EA123" s="706"/>
      <c r="EB123" s="706"/>
      <c r="EC123" s="706"/>
      <c r="ED123" s="706"/>
      <c r="EE123" s="706"/>
      <c r="EF123" s="706"/>
      <c r="EG123" s="706"/>
      <c r="EH123" s="706"/>
      <c r="EI123" s="706"/>
      <c r="EJ123" s="706"/>
      <c r="EK123" s="706"/>
      <c r="EL123" s="706"/>
      <c r="EM123" s="706"/>
      <c r="EN123" s="706"/>
      <c r="EO123" s="706"/>
      <c r="EP123" s="706"/>
      <c r="EQ123" s="706"/>
      <c r="ER123" s="706"/>
      <c r="ES123" s="706"/>
      <c r="ET123" s="706"/>
      <c r="EU123" s="706"/>
      <c r="EV123" s="706"/>
      <c r="EW123" s="706"/>
      <c r="EX123" s="706"/>
      <c r="EY123" s="706"/>
      <c r="EZ123" s="706"/>
      <c r="FA123" s="706"/>
      <c r="FB123" s="706"/>
      <c r="FC123" s="706"/>
      <c r="FD123" s="706"/>
      <c r="FE123" s="706"/>
      <c r="FF123" s="706"/>
      <c r="FG123" s="706"/>
      <c r="FH123" s="706"/>
      <c r="FI123" s="706"/>
      <c r="FJ123" s="706"/>
      <c r="FK123" s="706"/>
      <c r="FL123" s="706"/>
      <c r="FM123" s="706"/>
      <c r="FN123" s="706"/>
      <c r="FO123" s="706"/>
      <c r="FP123" s="706"/>
      <c r="FQ123" s="706"/>
      <c r="FR123" s="706"/>
      <c r="FS123" s="706"/>
      <c r="FT123" s="706"/>
      <c r="FU123" s="706"/>
      <c r="FV123" s="706"/>
      <c r="FW123" s="706"/>
      <c r="FX123" s="706"/>
      <c r="FY123" s="706"/>
      <c r="FZ123" s="706"/>
      <c r="GA123" s="706"/>
      <c r="GB123" s="706"/>
      <c r="GC123" s="706"/>
      <c r="GD123" s="706"/>
      <c r="GE123" s="706"/>
      <c r="GF123" s="706"/>
      <c r="GG123" s="706"/>
      <c r="GH123" s="706"/>
      <c r="GI123" s="706"/>
      <c r="GJ123" s="706"/>
      <c r="GK123" s="706"/>
      <c r="GL123" s="706"/>
      <c r="GM123" s="706"/>
      <c r="GN123" s="706"/>
      <c r="GO123" s="706"/>
      <c r="GP123" s="706"/>
      <c r="GQ123" s="706"/>
      <c r="GR123" s="706"/>
      <c r="GS123" s="706"/>
      <c r="GT123" s="706"/>
      <c r="GU123" s="706"/>
      <c r="GV123" s="706"/>
      <c r="GW123" s="706"/>
      <c r="GX123" s="706"/>
      <c r="GY123" s="706"/>
      <c r="GZ123" s="706"/>
      <c r="HA123" s="706"/>
      <c r="HB123" s="706"/>
      <c r="HC123" s="706"/>
      <c r="HD123" s="706"/>
      <c r="HE123" s="706"/>
      <c r="HF123" s="706"/>
      <c r="HG123" s="706"/>
      <c r="HH123" s="706"/>
      <c r="HI123" s="706"/>
      <c r="HJ123" s="706"/>
      <c r="HK123" s="706"/>
      <c r="HL123" s="706"/>
      <c r="HM123" s="706"/>
      <c r="HN123" s="706"/>
      <c r="HO123" s="706"/>
      <c r="HP123" s="706"/>
      <c r="HQ123" s="706"/>
      <c r="HR123" s="706"/>
      <c r="HS123" s="706"/>
      <c r="HT123" s="706"/>
      <c r="HU123" s="706"/>
      <c r="HV123" s="706"/>
      <c r="HW123" s="706"/>
    </row>
    <row r="124" spans="1:231" s="657" customFormat="1" x14ac:dyDescent="0.25">
      <c r="A124" s="646"/>
      <c r="B124" s="1996"/>
      <c r="C124" s="1997"/>
      <c r="D124" s="2002" t="s">
        <v>1106</v>
      </c>
      <c r="E124" s="2003"/>
      <c r="F124" s="2003"/>
      <c r="G124" s="739">
        <v>99044199</v>
      </c>
      <c r="H124" s="2003" t="s">
        <v>1106</v>
      </c>
      <c r="I124" s="2003"/>
      <c r="J124" s="2003"/>
      <c r="K124" s="739">
        <v>94084691</v>
      </c>
      <c r="L124" s="740" t="s">
        <v>1106</v>
      </c>
      <c r="M124" s="739">
        <v>229026</v>
      </c>
      <c r="N124" s="740" t="s">
        <v>1106</v>
      </c>
      <c r="O124" s="741">
        <v>229026</v>
      </c>
      <c r="P124" s="656"/>
      <c r="Q124" s="656"/>
      <c r="R124" s="656"/>
      <c r="S124" s="656"/>
      <c r="T124" s="656"/>
      <c r="U124" s="656"/>
      <c r="V124" s="656"/>
      <c r="W124" s="656"/>
      <c r="X124" s="656"/>
      <c r="Y124" s="656"/>
      <c r="Z124" s="656"/>
      <c r="AA124" s="656"/>
      <c r="AB124" s="656"/>
      <c r="AC124" s="656"/>
      <c r="AD124" s="656"/>
      <c r="AE124" s="656"/>
      <c r="AF124" s="656"/>
      <c r="AG124" s="656"/>
      <c r="AH124" s="656"/>
      <c r="AI124" s="656"/>
      <c r="AJ124" s="656"/>
      <c r="AK124" s="656"/>
      <c r="AL124" s="656"/>
      <c r="AM124" s="656"/>
      <c r="AN124" s="656"/>
      <c r="AO124" s="656"/>
      <c r="AP124" s="656"/>
      <c r="AQ124" s="656"/>
      <c r="AR124" s="656"/>
      <c r="AS124" s="656"/>
      <c r="AT124" s="656"/>
      <c r="AU124" s="656"/>
      <c r="AV124" s="656"/>
      <c r="AW124" s="656"/>
      <c r="AX124" s="656"/>
      <c r="AY124" s="656"/>
      <c r="AZ124" s="656"/>
      <c r="BA124" s="656"/>
      <c r="BB124" s="656"/>
      <c r="BC124" s="656"/>
      <c r="BD124" s="656"/>
      <c r="BE124" s="656"/>
      <c r="BF124" s="656"/>
      <c r="BG124" s="656"/>
      <c r="BH124" s="656"/>
      <c r="BI124" s="656"/>
      <c r="BJ124" s="656"/>
      <c r="BK124" s="656"/>
      <c r="BL124" s="656"/>
      <c r="BM124" s="656"/>
      <c r="BN124" s="656"/>
      <c r="BO124" s="656"/>
      <c r="BP124" s="656"/>
      <c r="BQ124" s="656"/>
      <c r="BR124" s="656"/>
      <c r="BS124" s="656"/>
      <c r="BT124" s="656"/>
      <c r="BU124" s="656"/>
      <c r="BV124" s="656"/>
      <c r="BW124" s="656"/>
      <c r="BX124" s="656"/>
      <c r="BY124" s="656"/>
      <c r="BZ124" s="656"/>
      <c r="CA124" s="656"/>
      <c r="CB124" s="656"/>
      <c r="CC124" s="656"/>
      <c r="CD124" s="656"/>
      <c r="CE124" s="656"/>
      <c r="CF124" s="656"/>
      <c r="CG124" s="656"/>
      <c r="CH124" s="656"/>
      <c r="CI124" s="656"/>
      <c r="CJ124" s="656"/>
      <c r="CK124" s="656"/>
      <c r="CL124" s="656"/>
      <c r="CM124" s="656"/>
      <c r="CN124" s="656"/>
      <c r="CO124" s="656"/>
      <c r="CP124" s="656"/>
      <c r="CQ124" s="656"/>
      <c r="CR124" s="656"/>
      <c r="CS124" s="656"/>
      <c r="CT124" s="656"/>
      <c r="CU124" s="656"/>
      <c r="CV124" s="656"/>
      <c r="CW124" s="656"/>
      <c r="CX124" s="656"/>
      <c r="CY124" s="656"/>
      <c r="CZ124" s="656"/>
      <c r="DA124" s="656"/>
      <c r="DB124" s="656"/>
      <c r="DC124" s="656"/>
      <c r="DD124" s="656"/>
      <c r="DE124" s="656"/>
      <c r="DF124" s="656"/>
      <c r="DG124" s="656"/>
      <c r="DH124" s="656"/>
      <c r="DI124" s="656"/>
      <c r="DJ124" s="656"/>
      <c r="DK124" s="656"/>
      <c r="DL124" s="656"/>
      <c r="DM124" s="656"/>
      <c r="DN124" s="656"/>
      <c r="DO124" s="656"/>
      <c r="DP124" s="656"/>
      <c r="DQ124" s="656"/>
      <c r="DR124" s="656"/>
      <c r="DS124" s="656"/>
      <c r="DT124" s="656"/>
      <c r="DU124" s="656"/>
      <c r="DV124" s="656"/>
      <c r="DW124" s="656"/>
      <c r="DX124" s="656"/>
      <c r="DY124" s="656"/>
      <c r="DZ124" s="656"/>
      <c r="EA124" s="656"/>
      <c r="EB124" s="656"/>
      <c r="EC124" s="656"/>
      <c r="ED124" s="656"/>
      <c r="EE124" s="656"/>
      <c r="EF124" s="656"/>
      <c r="EG124" s="656"/>
      <c r="EH124" s="656"/>
      <c r="EI124" s="656"/>
      <c r="EJ124" s="656"/>
      <c r="EK124" s="656"/>
      <c r="EL124" s="656"/>
      <c r="EM124" s="656"/>
      <c r="EN124" s="656"/>
      <c r="EO124" s="656"/>
      <c r="EP124" s="656"/>
      <c r="EQ124" s="656"/>
      <c r="ER124" s="656"/>
      <c r="ES124" s="656"/>
      <c r="ET124" s="656"/>
      <c r="EU124" s="656"/>
      <c r="EV124" s="656"/>
      <c r="EW124" s="656"/>
      <c r="EX124" s="656"/>
      <c r="EY124" s="656"/>
      <c r="EZ124" s="656"/>
      <c r="FA124" s="656"/>
      <c r="FB124" s="656"/>
      <c r="FC124" s="656"/>
      <c r="FD124" s="656"/>
      <c r="FE124" s="656"/>
      <c r="FF124" s="656"/>
      <c r="FG124" s="656"/>
      <c r="FH124" s="656"/>
      <c r="FI124" s="656"/>
      <c r="FJ124" s="656"/>
      <c r="FK124" s="656"/>
      <c r="FL124" s="656"/>
      <c r="FM124" s="656"/>
      <c r="FN124" s="656"/>
      <c r="FO124" s="656"/>
      <c r="FP124" s="656"/>
      <c r="FQ124" s="656"/>
      <c r="FR124" s="656"/>
      <c r="FS124" s="656"/>
      <c r="FT124" s="656"/>
      <c r="FU124" s="656"/>
      <c r="FV124" s="656"/>
      <c r="FW124" s="656"/>
      <c r="FX124" s="656"/>
      <c r="FY124" s="656"/>
      <c r="FZ124" s="656"/>
      <c r="GA124" s="656"/>
      <c r="GB124" s="656"/>
      <c r="GC124" s="656"/>
      <c r="GD124" s="656"/>
      <c r="GE124" s="656"/>
      <c r="GF124" s="656"/>
      <c r="GG124" s="656"/>
      <c r="GH124" s="656"/>
      <c r="GI124" s="656"/>
      <c r="GJ124" s="656"/>
      <c r="GK124" s="656"/>
      <c r="GL124" s="656"/>
      <c r="GM124" s="656"/>
      <c r="GN124" s="656"/>
      <c r="GO124" s="656"/>
      <c r="GP124" s="656"/>
      <c r="GQ124" s="656"/>
      <c r="GR124" s="656"/>
      <c r="GS124" s="656"/>
      <c r="GT124" s="656"/>
      <c r="GU124" s="656"/>
      <c r="GV124" s="656"/>
      <c r="GW124" s="656"/>
      <c r="GX124" s="656"/>
      <c r="GY124" s="656"/>
      <c r="GZ124" s="656"/>
      <c r="HA124" s="656"/>
      <c r="HB124" s="656"/>
      <c r="HC124" s="656"/>
      <c r="HD124" s="656"/>
      <c r="HE124" s="656"/>
      <c r="HF124" s="656"/>
      <c r="HG124" s="656"/>
      <c r="HH124" s="656"/>
      <c r="HI124" s="656"/>
      <c r="HJ124" s="656"/>
      <c r="HK124" s="656"/>
      <c r="HL124" s="656"/>
      <c r="HM124" s="656"/>
      <c r="HN124" s="656"/>
      <c r="HO124" s="656"/>
      <c r="HP124" s="656"/>
      <c r="HQ124" s="656"/>
      <c r="HR124" s="656"/>
      <c r="HS124" s="656"/>
      <c r="HT124" s="656"/>
      <c r="HU124" s="656"/>
      <c r="HV124" s="656"/>
      <c r="HW124" s="656"/>
    </row>
    <row r="125" spans="1:231" s="657" customFormat="1" x14ac:dyDescent="0.25">
      <c r="A125" s="646"/>
      <c r="B125" s="1998"/>
      <c r="C125" s="1999"/>
      <c r="D125" s="2004" t="s">
        <v>197</v>
      </c>
      <c r="E125" s="1984"/>
      <c r="F125" s="710">
        <v>0.219</v>
      </c>
      <c r="G125" s="696">
        <v>21690680</v>
      </c>
      <c r="H125" s="1984" t="s">
        <v>197</v>
      </c>
      <c r="I125" s="1984"/>
      <c r="J125" s="710">
        <v>0.219</v>
      </c>
      <c r="K125" s="696">
        <v>20604547</v>
      </c>
      <c r="L125" s="710">
        <v>0.219</v>
      </c>
      <c r="M125" s="696">
        <v>50157</v>
      </c>
      <c r="N125" s="710">
        <v>0.219</v>
      </c>
      <c r="O125" s="697">
        <v>50157</v>
      </c>
      <c r="P125" s="656"/>
      <c r="Q125" s="656"/>
      <c r="R125" s="656"/>
      <c r="S125" s="656"/>
      <c r="T125" s="656"/>
      <c r="U125" s="656"/>
      <c r="V125" s="656"/>
      <c r="W125" s="656"/>
      <c r="X125" s="656"/>
      <c r="Y125" s="656"/>
      <c r="Z125" s="656"/>
      <c r="AA125" s="656"/>
      <c r="AB125" s="656"/>
      <c r="AC125" s="656"/>
      <c r="AD125" s="656"/>
      <c r="AE125" s="656"/>
      <c r="AF125" s="656"/>
      <c r="AG125" s="656"/>
      <c r="AH125" s="656"/>
      <c r="AI125" s="656"/>
      <c r="AJ125" s="656"/>
      <c r="AK125" s="656"/>
      <c r="AL125" s="656"/>
      <c r="AM125" s="656"/>
      <c r="AN125" s="656"/>
      <c r="AO125" s="656"/>
      <c r="AP125" s="656"/>
      <c r="AQ125" s="656"/>
      <c r="AR125" s="656"/>
      <c r="AS125" s="656"/>
      <c r="AT125" s="656"/>
      <c r="AU125" s="656"/>
      <c r="AV125" s="656"/>
      <c r="AW125" s="656"/>
      <c r="AX125" s="656"/>
      <c r="AY125" s="656"/>
      <c r="AZ125" s="656"/>
      <c r="BA125" s="656"/>
      <c r="BB125" s="656"/>
      <c r="BC125" s="656"/>
      <c r="BD125" s="656"/>
      <c r="BE125" s="656"/>
      <c r="BF125" s="656"/>
      <c r="BG125" s="656"/>
      <c r="BH125" s="656"/>
      <c r="BI125" s="656"/>
      <c r="BJ125" s="656"/>
      <c r="BK125" s="656"/>
      <c r="BL125" s="656"/>
      <c r="BM125" s="656"/>
      <c r="BN125" s="656"/>
      <c r="BO125" s="656"/>
      <c r="BP125" s="656"/>
      <c r="BQ125" s="656"/>
      <c r="BR125" s="656"/>
      <c r="BS125" s="656"/>
      <c r="BT125" s="656"/>
      <c r="BU125" s="656"/>
      <c r="BV125" s="656"/>
      <c r="BW125" s="656"/>
      <c r="BX125" s="656"/>
      <c r="BY125" s="656"/>
      <c r="BZ125" s="656"/>
      <c r="CA125" s="656"/>
      <c r="CB125" s="656"/>
      <c r="CC125" s="656"/>
      <c r="CD125" s="656"/>
      <c r="CE125" s="656"/>
      <c r="CF125" s="656"/>
      <c r="CG125" s="656"/>
      <c r="CH125" s="656"/>
      <c r="CI125" s="656"/>
      <c r="CJ125" s="656"/>
      <c r="CK125" s="656"/>
      <c r="CL125" s="656"/>
      <c r="CM125" s="656"/>
      <c r="CN125" s="656"/>
      <c r="CO125" s="656"/>
      <c r="CP125" s="656"/>
      <c r="CQ125" s="656"/>
      <c r="CR125" s="656"/>
      <c r="CS125" s="656"/>
      <c r="CT125" s="656"/>
      <c r="CU125" s="656"/>
      <c r="CV125" s="656"/>
      <c r="CW125" s="656"/>
      <c r="CX125" s="656"/>
      <c r="CY125" s="656"/>
      <c r="CZ125" s="656"/>
      <c r="DA125" s="656"/>
      <c r="DB125" s="656"/>
      <c r="DC125" s="656"/>
      <c r="DD125" s="656"/>
      <c r="DE125" s="656"/>
      <c r="DF125" s="656"/>
      <c r="DG125" s="656"/>
      <c r="DH125" s="656"/>
      <c r="DI125" s="656"/>
      <c r="DJ125" s="656"/>
      <c r="DK125" s="656"/>
      <c r="DL125" s="656"/>
      <c r="DM125" s="656"/>
      <c r="DN125" s="656"/>
      <c r="DO125" s="656"/>
      <c r="DP125" s="656"/>
      <c r="DQ125" s="656"/>
      <c r="DR125" s="656"/>
      <c r="DS125" s="656"/>
      <c r="DT125" s="656"/>
      <c r="DU125" s="656"/>
      <c r="DV125" s="656"/>
      <c r="DW125" s="656"/>
      <c r="DX125" s="656"/>
      <c r="DY125" s="656"/>
      <c r="DZ125" s="656"/>
      <c r="EA125" s="656"/>
      <c r="EB125" s="656"/>
      <c r="EC125" s="656"/>
      <c r="ED125" s="656"/>
      <c r="EE125" s="656"/>
      <c r="EF125" s="656"/>
      <c r="EG125" s="656"/>
      <c r="EH125" s="656"/>
      <c r="EI125" s="656"/>
      <c r="EJ125" s="656"/>
      <c r="EK125" s="656"/>
      <c r="EL125" s="656"/>
      <c r="EM125" s="656"/>
      <c r="EN125" s="656"/>
      <c r="EO125" s="656"/>
      <c r="EP125" s="656"/>
      <c r="EQ125" s="656"/>
      <c r="ER125" s="656"/>
      <c r="ES125" s="656"/>
      <c r="ET125" s="656"/>
      <c r="EU125" s="656"/>
      <c r="EV125" s="656"/>
      <c r="EW125" s="656"/>
      <c r="EX125" s="656"/>
      <c r="EY125" s="656"/>
      <c r="EZ125" s="656"/>
      <c r="FA125" s="656"/>
      <c r="FB125" s="656"/>
      <c r="FC125" s="656"/>
      <c r="FD125" s="656"/>
      <c r="FE125" s="656"/>
      <c r="FF125" s="656"/>
      <c r="FG125" s="656"/>
      <c r="FH125" s="656"/>
      <c r="FI125" s="656"/>
      <c r="FJ125" s="656"/>
      <c r="FK125" s="656"/>
      <c r="FL125" s="656"/>
      <c r="FM125" s="656"/>
      <c r="FN125" s="656"/>
      <c r="FO125" s="656"/>
      <c r="FP125" s="656"/>
      <c r="FQ125" s="656"/>
      <c r="FR125" s="656"/>
      <c r="FS125" s="656"/>
      <c r="FT125" s="656"/>
      <c r="FU125" s="656"/>
      <c r="FV125" s="656"/>
      <c r="FW125" s="656"/>
      <c r="FX125" s="656"/>
      <c r="FY125" s="656"/>
      <c r="FZ125" s="656"/>
      <c r="GA125" s="656"/>
      <c r="GB125" s="656"/>
      <c r="GC125" s="656"/>
      <c r="GD125" s="656"/>
      <c r="GE125" s="656"/>
      <c r="GF125" s="656"/>
      <c r="GG125" s="656"/>
      <c r="GH125" s="656"/>
      <c r="GI125" s="656"/>
      <c r="GJ125" s="656"/>
      <c r="GK125" s="656"/>
      <c r="GL125" s="656"/>
      <c r="GM125" s="656"/>
      <c r="GN125" s="656"/>
      <c r="GO125" s="656"/>
      <c r="GP125" s="656"/>
      <c r="GQ125" s="656"/>
      <c r="GR125" s="656"/>
      <c r="GS125" s="656"/>
      <c r="GT125" s="656"/>
      <c r="GU125" s="656"/>
      <c r="GV125" s="656"/>
      <c r="GW125" s="656"/>
      <c r="GX125" s="656"/>
      <c r="GY125" s="656"/>
      <c r="GZ125" s="656"/>
      <c r="HA125" s="656"/>
      <c r="HB125" s="656"/>
      <c r="HC125" s="656"/>
      <c r="HD125" s="656"/>
      <c r="HE125" s="656"/>
      <c r="HF125" s="656"/>
      <c r="HG125" s="656"/>
      <c r="HH125" s="656"/>
      <c r="HI125" s="656"/>
      <c r="HJ125" s="656"/>
      <c r="HK125" s="656"/>
      <c r="HL125" s="656"/>
      <c r="HM125" s="656"/>
      <c r="HN125" s="656"/>
      <c r="HO125" s="656"/>
      <c r="HP125" s="656"/>
      <c r="HQ125" s="656"/>
      <c r="HR125" s="656"/>
      <c r="HS125" s="656"/>
      <c r="HT125" s="656"/>
      <c r="HU125" s="656"/>
      <c r="HV125" s="656"/>
      <c r="HW125" s="656"/>
    </row>
    <row r="126" spans="1:231" s="657" customFormat="1" x14ac:dyDescent="0.25">
      <c r="A126" s="646"/>
      <c r="B126" s="1998"/>
      <c r="C126" s="1999"/>
      <c r="D126" s="2004" t="s">
        <v>1107</v>
      </c>
      <c r="E126" s="1984"/>
      <c r="F126" s="710">
        <v>1E-3</v>
      </c>
      <c r="G126" s="696">
        <v>99044</v>
      </c>
      <c r="H126" s="1984" t="s">
        <v>1107</v>
      </c>
      <c r="I126" s="1984"/>
      <c r="J126" s="710">
        <v>1E-3</v>
      </c>
      <c r="K126" s="696">
        <v>94085</v>
      </c>
      <c r="L126" s="710">
        <v>1E-3</v>
      </c>
      <c r="M126" s="696">
        <v>229</v>
      </c>
      <c r="N126" s="710">
        <v>1E-3</v>
      </c>
      <c r="O126" s="697">
        <v>229</v>
      </c>
      <c r="P126" s="656"/>
      <c r="Q126" s="656"/>
      <c r="R126" s="656"/>
      <c r="S126" s="656"/>
      <c r="T126" s="656"/>
      <c r="U126" s="656"/>
      <c r="V126" s="656"/>
      <c r="W126" s="656"/>
      <c r="X126" s="656"/>
      <c r="Y126" s="656"/>
      <c r="Z126" s="656"/>
      <c r="AA126" s="656"/>
      <c r="AB126" s="656"/>
      <c r="AC126" s="656"/>
      <c r="AD126" s="656"/>
      <c r="AE126" s="656"/>
      <c r="AF126" s="656"/>
      <c r="AG126" s="656"/>
      <c r="AH126" s="656"/>
      <c r="AI126" s="656"/>
      <c r="AJ126" s="656"/>
      <c r="AK126" s="656"/>
      <c r="AL126" s="656"/>
      <c r="AM126" s="656"/>
      <c r="AN126" s="656"/>
      <c r="AO126" s="656"/>
      <c r="AP126" s="656"/>
      <c r="AQ126" s="656"/>
      <c r="AR126" s="656"/>
      <c r="AS126" s="656"/>
      <c r="AT126" s="656"/>
      <c r="AU126" s="656"/>
      <c r="AV126" s="656"/>
      <c r="AW126" s="656"/>
      <c r="AX126" s="656"/>
      <c r="AY126" s="656"/>
      <c r="AZ126" s="656"/>
      <c r="BA126" s="656"/>
      <c r="BB126" s="656"/>
      <c r="BC126" s="656"/>
      <c r="BD126" s="656"/>
      <c r="BE126" s="656"/>
      <c r="BF126" s="656"/>
      <c r="BG126" s="656"/>
      <c r="BH126" s="656"/>
      <c r="BI126" s="656"/>
      <c r="BJ126" s="656"/>
      <c r="BK126" s="656"/>
      <c r="BL126" s="656"/>
      <c r="BM126" s="656"/>
      <c r="BN126" s="656"/>
      <c r="BO126" s="656"/>
      <c r="BP126" s="656"/>
      <c r="BQ126" s="656"/>
      <c r="BR126" s="656"/>
      <c r="BS126" s="656"/>
      <c r="BT126" s="656"/>
      <c r="BU126" s="656"/>
      <c r="BV126" s="656"/>
      <c r="BW126" s="656"/>
      <c r="BX126" s="656"/>
      <c r="BY126" s="656"/>
      <c r="BZ126" s="656"/>
      <c r="CA126" s="656"/>
      <c r="CB126" s="656"/>
      <c r="CC126" s="656"/>
      <c r="CD126" s="656"/>
      <c r="CE126" s="656"/>
      <c r="CF126" s="656"/>
      <c r="CG126" s="656"/>
      <c r="CH126" s="656"/>
      <c r="CI126" s="656"/>
      <c r="CJ126" s="656"/>
      <c r="CK126" s="656"/>
      <c r="CL126" s="656"/>
      <c r="CM126" s="656"/>
      <c r="CN126" s="656"/>
      <c r="CO126" s="656"/>
      <c r="CP126" s="656"/>
      <c r="CQ126" s="656"/>
      <c r="CR126" s="656"/>
      <c r="CS126" s="656"/>
      <c r="CT126" s="656"/>
      <c r="CU126" s="656"/>
      <c r="CV126" s="656"/>
      <c r="CW126" s="656"/>
      <c r="CX126" s="656"/>
      <c r="CY126" s="656"/>
      <c r="CZ126" s="656"/>
      <c r="DA126" s="656"/>
      <c r="DB126" s="656"/>
      <c r="DC126" s="656"/>
      <c r="DD126" s="656"/>
      <c r="DE126" s="656"/>
      <c r="DF126" s="656"/>
      <c r="DG126" s="656"/>
      <c r="DH126" s="656"/>
      <c r="DI126" s="656"/>
      <c r="DJ126" s="656"/>
      <c r="DK126" s="656"/>
      <c r="DL126" s="656"/>
      <c r="DM126" s="656"/>
      <c r="DN126" s="656"/>
      <c r="DO126" s="656"/>
      <c r="DP126" s="656"/>
      <c r="DQ126" s="656"/>
      <c r="DR126" s="656"/>
      <c r="DS126" s="656"/>
      <c r="DT126" s="656"/>
      <c r="DU126" s="656"/>
      <c r="DV126" s="656"/>
      <c r="DW126" s="656"/>
      <c r="DX126" s="656"/>
      <c r="DY126" s="656"/>
      <c r="DZ126" s="656"/>
      <c r="EA126" s="656"/>
      <c r="EB126" s="656"/>
      <c r="EC126" s="656"/>
      <c r="ED126" s="656"/>
      <c r="EE126" s="656"/>
      <c r="EF126" s="656"/>
      <c r="EG126" s="656"/>
      <c r="EH126" s="656"/>
      <c r="EI126" s="656"/>
      <c r="EJ126" s="656"/>
      <c r="EK126" s="656"/>
      <c r="EL126" s="656"/>
      <c r="EM126" s="656"/>
      <c r="EN126" s="656"/>
      <c r="EO126" s="656"/>
      <c r="EP126" s="656"/>
      <c r="EQ126" s="656"/>
      <c r="ER126" s="656"/>
      <c r="ES126" s="656"/>
      <c r="ET126" s="656"/>
      <c r="EU126" s="656"/>
      <c r="EV126" s="656"/>
      <c r="EW126" s="656"/>
      <c r="EX126" s="656"/>
      <c r="EY126" s="656"/>
      <c r="EZ126" s="656"/>
      <c r="FA126" s="656"/>
      <c r="FB126" s="656"/>
      <c r="FC126" s="656"/>
      <c r="FD126" s="656"/>
      <c r="FE126" s="656"/>
      <c r="FF126" s="656"/>
      <c r="FG126" s="656"/>
      <c r="FH126" s="656"/>
      <c r="FI126" s="656"/>
      <c r="FJ126" s="656"/>
      <c r="FK126" s="656"/>
      <c r="FL126" s="656"/>
      <c r="FM126" s="656"/>
      <c r="FN126" s="656"/>
      <c r="FO126" s="656"/>
      <c r="FP126" s="656"/>
      <c r="FQ126" s="656"/>
      <c r="FR126" s="656"/>
      <c r="FS126" s="656"/>
      <c r="FT126" s="656"/>
      <c r="FU126" s="656"/>
      <c r="FV126" s="656"/>
      <c r="FW126" s="656"/>
      <c r="FX126" s="656"/>
      <c r="FY126" s="656"/>
      <c r="FZ126" s="656"/>
      <c r="GA126" s="656"/>
      <c r="GB126" s="656"/>
      <c r="GC126" s="656"/>
      <c r="GD126" s="656"/>
      <c r="GE126" s="656"/>
      <c r="GF126" s="656"/>
      <c r="GG126" s="656"/>
      <c r="GH126" s="656"/>
      <c r="GI126" s="656"/>
      <c r="GJ126" s="656"/>
      <c r="GK126" s="656"/>
      <c r="GL126" s="656"/>
      <c r="GM126" s="656"/>
      <c r="GN126" s="656"/>
      <c r="GO126" s="656"/>
      <c r="GP126" s="656"/>
      <c r="GQ126" s="656"/>
      <c r="GR126" s="656"/>
      <c r="GS126" s="656"/>
      <c r="GT126" s="656"/>
      <c r="GU126" s="656"/>
      <c r="GV126" s="656"/>
      <c r="GW126" s="656"/>
      <c r="GX126" s="656"/>
      <c r="GY126" s="656"/>
      <c r="GZ126" s="656"/>
      <c r="HA126" s="656"/>
      <c r="HB126" s="656"/>
      <c r="HC126" s="656"/>
      <c r="HD126" s="656"/>
      <c r="HE126" s="656"/>
      <c r="HF126" s="656"/>
      <c r="HG126" s="656"/>
      <c r="HH126" s="656"/>
      <c r="HI126" s="656"/>
      <c r="HJ126" s="656"/>
      <c r="HK126" s="656"/>
      <c r="HL126" s="656"/>
      <c r="HM126" s="656"/>
      <c r="HN126" s="656"/>
      <c r="HO126" s="656"/>
      <c r="HP126" s="656"/>
      <c r="HQ126" s="656"/>
      <c r="HR126" s="656"/>
      <c r="HS126" s="656"/>
      <c r="HT126" s="656"/>
      <c r="HU126" s="656"/>
      <c r="HV126" s="656"/>
      <c r="HW126" s="656"/>
    </row>
    <row r="127" spans="1:231" s="657" customFormat="1" x14ac:dyDescent="0.25">
      <c r="A127" s="646"/>
      <c r="B127" s="1998"/>
      <c r="C127" s="1999"/>
      <c r="D127" s="2004" t="s">
        <v>1108</v>
      </c>
      <c r="E127" s="1984"/>
      <c r="F127" s="710">
        <v>0.03</v>
      </c>
      <c r="G127" s="696">
        <v>2971326</v>
      </c>
      <c r="H127" s="1984" t="s">
        <v>1108</v>
      </c>
      <c r="I127" s="1984"/>
      <c r="J127" s="710">
        <v>0.03</v>
      </c>
      <c r="K127" s="696">
        <v>2822541</v>
      </c>
      <c r="L127" s="710">
        <v>0.03</v>
      </c>
      <c r="M127" s="697">
        <v>6870</v>
      </c>
      <c r="N127" s="710">
        <v>0.03</v>
      </c>
      <c r="O127" s="697">
        <v>6870</v>
      </c>
      <c r="P127" s="656"/>
      <c r="Q127" s="656"/>
      <c r="R127" s="656"/>
      <c r="S127" s="656"/>
      <c r="T127" s="656"/>
      <c r="U127" s="656"/>
      <c r="V127" s="656"/>
      <c r="W127" s="656"/>
      <c r="X127" s="656"/>
      <c r="Y127" s="656"/>
      <c r="Z127" s="656"/>
      <c r="AA127" s="656"/>
      <c r="AB127" s="656"/>
      <c r="AC127" s="656"/>
      <c r="AD127" s="656"/>
      <c r="AE127" s="656"/>
      <c r="AF127" s="656"/>
      <c r="AG127" s="656"/>
      <c r="AH127" s="656"/>
      <c r="AI127" s="656"/>
      <c r="AJ127" s="656"/>
      <c r="AK127" s="656"/>
      <c r="AL127" s="656"/>
      <c r="AM127" s="656"/>
      <c r="AN127" s="656"/>
      <c r="AO127" s="656"/>
      <c r="AP127" s="656"/>
      <c r="AQ127" s="656"/>
      <c r="AR127" s="656"/>
      <c r="AS127" s="656"/>
      <c r="AT127" s="656"/>
      <c r="AU127" s="656"/>
      <c r="AV127" s="656"/>
      <c r="AW127" s="656"/>
      <c r="AX127" s="656"/>
      <c r="AY127" s="656"/>
      <c r="AZ127" s="656"/>
      <c r="BA127" s="656"/>
      <c r="BB127" s="656"/>
      <c r="BC127" s="656"/>
      <c r="BD127" s="656"/>
      <c r="BE127" s="656"/>
      <c r="BF127" s="656"/>
      <c r="BG127" s="656"/>
      <c r="BH127" s="656"/>
      <c r="BI127" s="656"/>
      <c r="BJ127" s="656"/>
      <c r="BK127" s="656"/>
      <c r="BL127" s="656"/>
      <c r="BM127" s="656"/>
      <c r="BN127" s="656"/>
      <c r="BO127" s="656"/>
      <c r="BP127" s="656"/>
      <c r="BQ127" s="656"/>
      <c r="BR127" s="656"/>
      <c r="BS127" s="656"/>
      <c r="BT127" s="656"/>
      <c r="BU127" s="656"/>
      <c r="BV127" s="656"/>
      <c r="BW127" s="656"/>
      <c r="BX127" s="656"/>
      <c r="BY127" s="656"/>
      <c r="BZ127" s="656"/>
      <c r="CA127" s="656"/>
      <c r="CB127" s="656"/>
      <c r="CC127" s="656"/>
      <c r="CD127" s="656"/>
      <c r="CE127" s="656"/>
      <c r="CF127" s="656"/>
      <c r="CG127" s="656"/>
      <c r="CH127" s="656"/>
      <c r="CI127" s="656"/>
      <c r="CJ127" s="656"/>
      <c r="CK127" s="656"/>
      <c r="CL127" s="656"/>
      <c r="CM127" s="656"/>
      <c r="CN127" s="656"/>
      <c r="CO127" s="656"/>
      <c r="CP127" s="656"/>
      <c r="CQ127" s="656"/>
      <c r="CR127" s="656"/>
      <c r="CS127" s="656"/>
      <c r="CT127" s="656"/>
      <c r="CU127" s="656"/>
      <c r="CV127" s="656"/>
      <c r="CW127" s="656"/>
      <c r="CX127" s="656"/>
      <c r="CY127" s="656"/>
      <c r="CZ127" s="656"/>
      <c r="DA127" s="656"/>
      <c r="DB127" s="656"/>
      <c r="DC127" s="656"/>
      <c r="DD127" s="656"/>
      <c r="DE127" s="656"/>
      <c r="DF127" s="656"/>
      <c r="DG127" s="656"/>
      <c r="DH127" s="656"/>
      <c r="DI127" s="656"/>
      <c r="DJ127" s="656"/>
      <c r="DK127" s="656"/>
      <c r="DL127" s="656"/>
      <c r="DM127" s="656"/>
      <c r="DN127" s="656"/>
      <c r="DO127" s="656"/>
      <c r="DP127" s="656"/>
      <c r="DQ127" s="656"/>
      <c r="DR127" s="656"/>
      <c r="DS127" s="656"/>
      <c r="DT127" s="656"/>
      <c r="DU127" s="656"/>
      <c r="DV127" s="656"/>
      <c r="DW127" s="656"/>
      <c r="DX127" s="656"/>
      <c r="DY127" s="656"/>
      <c r="DZ127" s="656"/>
      <c r="EA127" s="656"/>
      <c r="EB127" s="656"/>
      <c r="EC127" s="656"/>
      <c r="ED127" s="656"/>
      <c r="EE127" s="656"/>
      <c r="EF127" s="656"/>
      <c r="EG127" s="656"/>
      <c r="EH127" s="656"/>
      <c r="EI127" s="656"/>
      <c r="EJ127" s="656"/>
      <c r="EK127" s="656"/>
      <c r="EL127" s="656"/>
      <c r="EM127" s="656"/>
      <c r="EN127" s="656"/>
      <c r="EO127" s="656"/>
      <c r="EP127" s="656"/>
      <c r="EQ127" s="656"/>
      <c r="ER127" s="656"/>
      <c r="ES127" s="656"/>
      <c r="ET127" s="656"/>
      <c r="EU127" s="656"/>
      <c r="EV127" s="656"/>
      <c r="EW127" s="656"/>
      <c r="EX127" s="656"/>
      <c r="EY127" s="656"/>
      <c r="EZ127" s="656"/>
      <c r="FA127" s="656"/>
      <c r="FB127" s="656"/>
      <c r="FC127" s="656"/>
      <c r="FD127" s="656"/>
      <c r="FE127" s="656"/>
      <c r="FF127" s="656"/>
      <c r="FG127" s="656"/>
      <c r="FH127" s="656"/>
      <c r="FI127" s="656"/>
      <c r="FJ127" s="656"/>
      <c r="FK127" s="656"/>
      <c r="FL127" s="656"/>
      <c r="FM127" s="656"/>
      <c r="FN127" s="656"/>
      <c r="FO127" s="656"/>
      <c r="FP127" s="656"/>
      <c r="FQ127" s="656"/>
      <c r="FR127" s="656"/>
      <c r="FS127" s="656"/>
      <c r="FT127" s="656"/>
      <c r="FU127" s="656"/>
      <c r="FV127" s="656"/>
      <c r="FW127" s="656"/>
      <c r="FX127" s="656"/>
      <c r="FY127" s="656"/>
      <c r="FZ127" s="656"/>
      <c r="GA127" s="656"/>
      <c r="GB127" s="656"/>
      <c r="GC127" s="656"/>
      <c r="GD127" s="656"/>
      <c r="GE127" s="656"/>
      <c r="GF127" s="656"/>
      <c r="GG127" s="656"/>
      <c r="GH127" s="656"/>
      <c r="GI127" s="656"/>
      <c r="GJ127" s="656"/>
      <c r="GK127" s="656"/>
      <c r="GL127" s="656"/>
      <c r="GM127" s="656"/>
      <c r="GN127" s="656"/>
      <c r="GO127" s="656"/>
      <c r="GP127" s="656"/>
      <c r="GQ127" s="656"/>
      <c r="GR127" s="656"/>
      <c r="GS127" s="656"/>
      <c r="GT127" s="656"/>
      <c r="GU127" s="656"/>
      <c r="GV127" s="656"/>
      <c r="GW127" s="656"/>
      <c r="GX127" s="656"/>
      <c r="GY127" s="656"/>
      <c r="GZ127" s="656"/>
      <c r="HA127" s="656"/>
      <c r="HB127" s="656"/>
      <c r="HC127" s="656"/>
      <c r="HD127" s="656"/>
      <c r="HE127" s="656"/>
      <c r="HF127" s="656"/>
      <c r="HG127" s="656"/>
      <c r="HH127" s="656"/>
      <c r="HI127" s="656"/>
      <c r="HJ127" s="656"/>
      <c r="HK127" s="656"/>
      <c r="HL127" s="656"/>
      <c r="HM127" s="656"/>
      <c r="HN127" s="656"/>
      <c r="HO127" s="656"/>
      <c r="HP127" s="656"/>
      <c r="HQ127" s="656"/>
      <c r="HR127" s="656"/>
      <c r="HS127" s="656"/>
      <c r="HT127" s="656"/>
      <c r="HU127" s="656"/>
      <c r="HV127" s="656"/>
      <c r="HW127" s="656"/>
    </row>
    <row r="128" spans="1:231" s="657" customFormat="1" ht="15.75" thickBot="1" x14ac:dyDescent="0.3">
      <c r="A128" s="646"/>
      <c r="B128" s="1998"/>
      <c r="C128" s="1999"/>
      <c r="D128" s="2005" t="s">
        <v>1109</v>
      </c>
      <c r="E128" s="2006"/>
      <c r="F128" s="742">
        <v>0.19</v>
      </c>
      <c r="G128" s="743">
        <v>564552</v>
      </c>
      <c r="H128" s="2006" t="s">
        <v>1109</v>
      </c>
      <c r="I128" s="2006"/>
      <c r="J128" s="742">
        <v>0.19</v>
      </c>
      <c r="K128" s="743">
        <v>536283</v>
      </c>
      <c r="L128" s="742">
        <v>0.19</v>
      </c>
      <c r="M128" s="743">
        <v>1305</v>
      </c>
      <c r="N128" s="742">
        <v>0.19</v>
      </c>
      <c r="O128" s="744">
        <v>1305</v>
      </c>
      <c r="P128" s="656"/>
      <c r="Q128" s="656"/>
      <c r="R128" s="656"/>
      <c r="S128" s="656"/>
      <c r="T128" s="656"/>
      <c r="U128" s="656"/>
      <c r="V128" s="656"/>
      <c r="W128" s="656"/>
      <c r="X128" s="656"/>
      <c r="Y128" s="656"/>
      <c r="Z128" s="656"/>
      <c r="AA128" s="656"/>
      <c r="AB128" s="656"/>
      <c r="AC128" s="656"/>
      <c r="AD128" s="656"/>
      <c r="AE128" s="656"/>
      <c r="AF128" s="656"/>
      <c r="AG128" s="656"/>
      <c r="AH128" s="656"/>
      <c r="AI128" s="656"/>
      <c r="AJ128" s="656"/>
      <c r="AK128" s="656"/>
      <c r="AL128" s="656"/>
      <c r="AM128" s="656"/>
      <c r="AN128" s="656"/>
      <c r="AO128" s="656"/>
      <c r="AP128" s="656"/>
      <c r="AQ128" s="656"/>
      <c r="AR128" s="656"/>
      <c r="AS128" s="656"/>
      <c r="AT128" s="656"/>
      <c r="AU128" s="656"/>
      <c r="AV128" s="656"/>
      <c r="AW128" s="656"/>
      <c r="AX128" s="656"/>
      <c r="AY128" s="656"/>
      <c r="AZ128" s="656"/>
      <c r="BA128" s="656"/>
      <c r="BB128" s="656"/>
      <c r="BC128" s="656"/>
      <c r="BD128" s="656"/>
      <c r="BE128" s="656"/>
      <c r="BF128" s="656"/>
      <c r="BG128" s="656"/>
      <c r="BH128" s="656"/>
      <c r="BI128" s="656"/>
      <c r="BJ128" s="656"/>
      <c r="BK128" s="656"/>
      <c r="BL128" s="656"/>
      <c r="BM128" s="656"/>
      <c r="BN128" s="656"/>
      <c r="BO128" s="656"/>
      <c r="BP128" s="656"/>
      <c r="BQ128" s="656"/>
      <c r="BR128" s="656"/>
      <c r="BS128" s="656"/>
      <c r="BT128" s="656"/>
      <c r="BU128" s="656"/>
      <c r="BV128" s="656"/>
      <c r="BW128" s="656"/>
      <c r="BX128" s="656"/>
      <c r="BY128" s="656"/>
      <c r="BZ128" s="656"/>
      <c r="CA128" s="656"/>
      <c r="CB128" s="656"/>
      <c r="CC128" s="656"/>
      <c r="CD128" s="656"/>
      <c r="CE128" s="656"/>
      <c r="CF128" s="656"/>
      <c r="CG128" s="656"/>
      <c r="CH128" s="656"/>
      <c r="CI128" s="656"/>
      <c r="CJ128" s="656"/>
      <c r="CK128" s="656"/>
      <c r="CL128" s="656"/>
      <c r="CM128" s="656"/>
      <c r="CN128" s="656"/>
      <c r="CO128" s="656"/>
      <c r="CP128" s="656"/>
      <c r="CQ128" s="656"/>
      <c r="CR128" s="656"/>
      <c r="CS128" s="656"/>
      <c r="CT128" s="656"/>
      <c r="CU128" s="656"/>
      <c r="CV128" s="656"/>
      <c r="CW128" s="656"/>
      <c r="CX128" s="656"/>
      <c r="CY128" s="656"/>
      <c r="CZ128" s="656"/>
      <c r="DA128" s="656"/>
      <c r="DB128" s="656"/>
      <c r="DC128" s="656"/>
      <c r="DD128" s="656"/>
      <c r="DE128" s="656"/>
      <c r="DF128" s="656"/>
      <c r="DG128" s="656"/>
      <c r="DH128" s="656"/>
      <c r="DI128" s="656"/>
      <c r="DJ128" s="656"/>
      <c r="DK128" s="656"/>
      <c r="DL128" s="656"/>
      <c r="DM128" s="656"/>
      <c r="DN128" s="656"/>
      <c r="DO128" s="656"/>
      <c r="DP128" s="656"/>
      <c r="DQ128" s="656"/>
      <c r="DR128" s="656"/>
      <c r="DS128" s="656"/>
      <c r="DT128" s="656"/>
      <c r="DU128" s="656"/>
      <c r="DV128" s="656"/>
      <c r="DW128" s="656"/>
      <c r="DX128" s="656"/>
      <c r="DY128" s="656"/>
      <c r="DZ128" s="656"/>
      <c r="EA128" s="656"/>
      <c r="EB128" s="656"/>
      <c r="EC128" s="656"/>
      <c r="ED128" s="656"/>
      <c r="EE128" s="656"/>
      <c r="EF128" s="656"/>
      <c r="EG128" s="656"/>
      <c r="EH128" s="656"/>
      <c r="EI128" s="656"/>
      <c r="EJ128" s="656"/>
      <c r="EK128" s="656"/>
      <c r="EL128" s="656"/>
      <c r="EM128" s="656"/>
      <c r="EN128" s="656"/>
      <c r="EO128" s="656"/>
      <c r="EP128" s="656"/>
      <c r="EQ128" s="656"/>
      <c r="ER128" s="656"/>
      <c r="ES128" s="656"/>
      <c r="ET128" s="656"/>
      <c r="EU128" s="656"/>
      <c r="EV128" s="656"/>
      <c r="EW128" s="656"/>
      <c r="EX128" s="656"/>
      <c r="EY128" s="656"/>
      <c r="EZ128" s="656"/>
      <c r="FA128" s="656"/>
      <c r="FB128" s="656"/>
      <c r="FC128" s="656"/>
      <c r="FD128" s="656"/>
      <c r="FE128" s="656"/>
      <c r="FF128" s="656"/>
      <c r="FG128" s="656"/>
      <c r="FH128" s="656"/>
      <c r="FI128" s="656"/>
      <c r="FJ128" s="656"/>
      <c r="FK128" s="656"/>
      <c r="FL128" s="656"/>
      <c r="FM128" s="656"/>
      <c r="FN128" s="656"/>
      <c r="FO128" s="656"/>
      <c r="FP128" s="656"/>
      <c r="FQ128" s="656"/>
      <c r="FR128" s="656"/>
      <c r="FS128" s="656"/>
      <c r="FT128" s="656"/>
      <c r="FU128" s="656"/>
      <c r="FV128" s="656"/>
      <c r="FW128" s="656"/>
      <c r="FX128" s="656"/>
      <c r="FY128" s="656"/>
      <c r="FZ128" s="656"/>
      <c r="GA128" s="656"/>
      <c r="GB128" s="656"/>
      <c r="GC128" s="656"/>
      <c r="GD128" s="656"/>
      <c r="GE128" s="656"/>
      <c r="GF128" s="656"/>
      <c r="GG128" s="656"/>
      <c r="GH128" s="656"/>
      <c r="GI128" s="656"/>
      <c r="GJ128" s="656"/>
      <c r="GK128" s="656"/>
      <c r="GL128" s="656"/>
      <c r="GM128" s="656"/>
      <c r="GN128" s="656"/>
      <c r="GO128" s="656"/>
      <c r="GP128" s="656"/>
      <c r="GQ128" s="656"/>
      <c r="GR128" s="656"/>
      <c r="GS128" s="656"/>
      <c r="GT128" s="656"/>
      <c r="GU128" s="656"/>
      <c r="GV128" s="656"/>
      <c r="GW128" s="656"/>
      <c r="GX128" s="656"/>
      <c r="GY128" s="656"/>
      <c r="GZ128" s="656"/>
      <c r="HA128" s="656"/>
      <c r="HB128" s="656"/>
      <c r="HC128" s="656"/>
      <c r="HD128" s="656"/>
      <c r="HE128" s="656"/>
      <c r="HF128" s="656"/>
      <c r="HG128" s="656"/>
      <c r="HH128" s="656"/>
      <c r="HI128" s="656"/>
      <c r="HJ128" s="656"/>
      <c r="HK128" s="656"/>
      <c r="HL128" s="656"/>
      <c r="HM128" s="656"/>
      <c r="HN128" s="656"/>
      <c r="HO128" s="656"/>
      <c r="HP128" s="656"/>
      <c r="HQ128" s="656"/>
      <c r="HR128" s="656"/>
      <c r="HS128" s="656"/>
      <c r="HT128" s="656"/>
      <c r="HU128" s="656"/>
      <c r="HV128" s="656"/>
      <c r="HW128" s="656"/>
    </row>
    <row r="129" spans="1:231" s="657" customFormat="1" ht="15.75" thickBot="1" x14ac:dyDescent="0.3">
      <c r="A129" s="646"/>
      <c r="B129" s="2000"/>
      <c r="C129" s="2001"/>
      <c r="D129" s="745"/>
      <c r="E129" s="2007" t="s">
        <v>1110</v>
      </c>
      <c r="F129" s="2007"/>
      <c r="G129" s="746">
        <v>124369801</v>
      </c>
      <c r="H129" s="747"/>
      <c r="I129" s="2007" t="s">
        <v>1110</v>
      </c>
      <c r="J129" s="2007"/>
      <c r="K129" s="746">
        <v>118142147</v>
      </c>
      <c r="L129" s="748" t="s">
        <v>1111</v>
      </c>
      <c r="M129" s="746">
        <v>287587</v>
      </c>
      <c r="N129" s="748" t="s">
        <v>1111</v>
      </c>
      <c r="O129" s="749">
        <v>287587</v>
      </c>
      <c r="P129" s="656"/>
      <c r="Q129" s="656"/>
      <c r="R129" s="656"/>
      <c r="S129" s="656"/>
      <c r="T129" s="656"/>
      <c r="U129" s="656"/>
      <c r="V129" s="656"/>
      <c r="W129" s="656"/>
      <c r="X129" s="656"/>
      <c r="Y129" s="656"/>
      <c r="Z129" s="656"/>
      <c r="AA129" s="656"/>
      <c r="AB129" s="656"/>
      <c r="AC129" s="656"/>
      <c r="AD129" s="656"/>
      <c r="AE129" s="656"/>
      <c r="AF129" s="656"/>
      <c r="AG129" s="656"/>
      <c r="AH129" s="656"/>
      <c r="AI129" s="656"/>
      <c r="AJ129" s="656"/>
      <c r="AK129" s="656"/>
      <c r="AL129" s="656"/>
      <c r="AM129" s="656"/>
      <c r="AN129" s="656"/>
      <c r="AO129" s="656"/>
      <c r="AP129" s="656"/>
      <c r="AQ129" s="656"/>
      <c r="AR129" s="656"/>
      <c r="AS129" s="656"/>
      <c r="AT129" s="656"/>
      <c r="AU129" s="656"/>
      <c r="AV129" s="656"/>
      <c r="AW129" s="656"/>
      <c r="AX129" s="656"/>
      <c r="AY129" s="656"/>
      <c r="AZ129" s="656"/>
      <c r="BA129" s="656"/>
      <c r="BB129" s="656"/>
      <c r="BC129" s="656"/>
      <c r="BD129" s="656"/>
      <c r="BE129" s="656"/>
      <c r="BF129" s="656"/>
      <c r="BG129" s="656"/>
      <c r="BH129" s="656"/>
      <c r="BI129" s="656"/>
      <c r="BJ129" s="656"/>
      <c r="BK129" s="656"/>
      <c r="BL129" s="656"/>
      <c r="BM129" s="656"/>
      <c r="BN129" s="656"/>
      <c r="BO129" s="656"/>
      <c r="BP129" s="656"/>
      <c r="BQ129" s="656"/>
      <c r="BR129" s="656"/>
      <c r="BS129" s="656"/>
      <c r="BT129" s="656"/>
      <c r="BU129" s="656"/>
      <c r="BV129" s="656"/>
      <c r="BW129" s="656"/>
      <c r="BX129" s="656"/>
      <c r="BY129" s="656"/>
      <c r="BZ129" s="656"/>
      <c r="CA129" s="656"/>
      <c r="CB129" s="656"/>
      <c r="CC129" s="656"/>
      <c r="CD129" s="656"/>
      <c r="CE129" s="656"/>
      <c r="CF129" s="656"/>
      <c r="CG129" s="656"/>
      <c r="CH129" s="656"/>
      <c r="CI129" s="656"/>
      <c r="CJ129" s="656"/>
      <c r="CK129" s="656"/>
      <c r="CL129" s="656"/>
      <c r="CM129" s="656"/>
      <c r="CN129" s="656"/>
      <c r="CO129" s="656"/>
      <c r="CP129" s="656"/>
      <c r="CQ129" s="656"/>
      <c r="CR129" s="656"/>
      <c r="CS129" s="656"/>
      <c r="CT129" s="656"/>
      <c r="CU129" s="656"/>
      <c r="CV129" s="656"/>
      <c r="CW129" s="656"/>
      <c r="CX129" s="656"/>
      <c r="CY129" s="656"/>
      <c r="CZ129" s="656"/>
      <c r="DA129" s="656"/>
      <c r="DB129" s="656"/>
      <c r="DC129" s="656"/>
      <c r="DD129" s="656"/>
      <c r="DE129" s="656"/>
      <c r="DF129" s="656"/>
      <c r="DG129" s="656"/>
      <c r="DH129" s="656"/>
      <c r="DI129" s="656"/>
      <c r="DJ129" s="656"/>
      <c r="DK129" s="656"/>
      <c r="DL129" s="656"/>
      <c r="DM129" s="656"/>
      <c r="DN129" s="656"/>
      <c r="DO129" s="656"/>
      <c r="DP129" s="656"/>
      <c r="DQ129" s="656"/>
      <c r="DR129" s="656"/>
      <c r="DS129" s="656"/>
      <c r="DT129" s="656"/>
      <c r="DU129" s="656"/>
      <c r="DV129" s="656"/>
      <c r="DW129" s="656"/>
      <c r="DX129" s="656"/>
      <c r="DY129" s="656"/>
      <c r="DZ129" s="656"/>
      <c r="EA129" s="656"/>
      <c r="EB129" s="656"/>
      <c r="EC129" s="656"/>
      <c r="ED129" s="656"/>
      <c r="EE129" s="656"/>
      <c r="EF129" s="656"/>
      <c r="EG129" s="656"/>
      <c r="EH129" s="656"/>
      <c r="EI129" s="656"/>
      <c r="EJ129" s="656"/>
      <c r="EK129" s="656"/>
      <c r="EL129" s="656"/>
      <c r="EM129" s="656"/>
      <c r="EN129" s="656"/>
      <c r="EO129" s="656"/>
      <c r="EP129" s="656"/>
      <c r="EQ129" s="656"/>
      <c r="ER129" s="656"/>
      <c r="ES129" s="656"/>
      <c r="ET129" s="656"/>
      <c r="EU129" s="656"/>
      <c r="EV129" s="656"/>
      <c r="EW129" s="656"/>
      <c r="EX129" s="656"/>
      <c r="EY129" s="656"/>
      <c r="EZ129" s="656"/>
      <c r="FA129" s="656"/>
      <c r="FB129" s="656"/>
      <c r="FC129" s="656"/>
      <c r="FD129" s="656"/>
      <c r="FE129" s="656"/>
      <c r="FF129" s="656"/>
      <c r="FG129" s="656"/>
      <c r="FH129" s="656"/>
      <c r="FI129" s="656"/>
      <c r="FJ129" s="656"/>
      <c r="FK129" s="656"/>
      <c r="FL129" s="656"/>
      <c r="FM129" s="656"/>
      <c r="FN129" s="656"/>
      <c r="FO129" s="656"/>
      <c r="FP129" s="656"/>
      <c r="FQ129" s="656"/>
      <c r="FR129" s="656"/>
      <c r="FS129" s="656"/>
      <c r="FT129" s="656"/>
      <c r="FU129" s="656"/>
      <c r="FV129" s="656"/>
      <c r="FW129" s="656"/>
      <c r="FX129" s="656"/>
      <c r="FY129" s="656"/>
      <c r="FZ129" s="656"/>
      <c r="GA129" s="656"/>
      <c r="GB129" s="656"/>
      <c r="GC129" s="656"/>
      <c r="GD129" s="656"/>
      <c r="GE129" s="656"/>
      <c r="GF129" s="656"/>
      <c r="GG129" s="656"/>
      <c r="GH129" s="656"/>
      <c r="GI129" s="656"/>
      <c r="GJ129" s="656"/>
      <c r="GK129" s="656"/>
      <c r="GL129" s="656"/>
      <c r="GM129" s="656"/>
      <c r="GN129" s="656"/>
      <c r="GO129" s="656"/>
      <c r="GP129" s="656"/>
      <c r="GQ129" s="656"/>
      <c r="GR129" s="656"/>
      <c r="GS129" s="656"/>
      <c r="GT129" s="656"/>
      <c r="GU129" s="656"/>
      <c r="GV129" s="656"/>
      <c r="GW129" s="656"/>
      <c r="GX129" s="656"/>
      <c r="GY129" s="656"/>
      <c r="GZ129" s="656"/>
      <c r="HA129" s="656"/>
      <c r="HB129" s="656"/>
      <c r="HC129" s="656"/>
      <c r="HD129" s="656"/>
      <c r="HE129" s="656"/>
      <c r="HF129" s="656"/>
      <c r="HG129" s="656"/>
      <c r="HH129" s="656"/>
      <c r="HI129" s="656"/>
      <c r="HJ129" s="656"/>
      <c r="HK129" s="656"/>
      <c r="HL129" s="656"/>
      <c r="HM129" s="656"/>
      <c r="HN129" s="656"/>
      <c r="HO129" s="656"/>
      <c r="HP129" s="656"/>
      <c r="HQ129" s="656"/>
      <c r="HR129" s="656"/>
      <c r="HS129" s="656"/>
      <c r="HT129" s="656"/>
      <c r="HU129" s="656"/>
      <c r="HV129" s="656"/>
      <c r="HW129" s="656"/>
    </row>
    <row r="130" spans="1:231" s="657" customFormat="1" x14ac:dyDescent="0.25">
      <c r="A130" s="646"/>
      <c r="B130" s="718" t="s">
        <v>217</v>
      </c>
      <c r="C130" s="719" t="s">
        <v>1141</v>
      </c>
      <c r="D130" s="2008"/>
      <c r="E130" s="2009"/>
      <c r="F130" s="2009"/>
      <c r="G130" s="2009"/>
      <c r="H130" s="2009"/>
      <c r="I130" s="2009"/>
      <c r="J130" s="2009"/>
      <c r="K130" s="2009"/>
      <c r="L130" s="2009"/>
      <c r="M130" s="2009"/>
      <c r="N130" s="2009"/>
      <c r="O130" s="2010"/>
      <c r="P130" s="656"/>
      <c r="Q130" s="656"/>
      <c r="R130" s="656"/>
      <c r="S130" s="656"/>
      <c r="T130" s="656"/>
      <c r="U130" s="656"/>
      <c r="V130" s="656"/>
      <c r="W130" s="656"/>
      <c r="X130" s="656"/>
      <c r="Y130" s="656"/>
      <c r="Z130" s="656"/>
      <c r="AA130" s="656"/>
      <c r="AB130" s="656"/>
      <c r="AC130" s="656"/>
      <c r="AD130" s="656"/>
      <c r="AE130" s="656"/>
      <c r="AF130" s="656"/>
      <c r="AG130" s="656"/>
      <c r="AH130" s="656"/>
      <c r="AI130" s="656"/>
      <c r="AJ130" s="656"/>
      <c r="AK130" s="656"/>
      <c r="AL130" s="656"/>
      <c r="AM130" s="656"/>
      <c r="AN130" s="656"/>
      <c r="AO130" s="656"/>
      <c r="AP130" s="656"/>
      <c r="AQ130" s="656"/>
      <c r="AR130" s="656"/>
      <c r="AS130" s="656"/>
      <c r="AT130" s="656"/>
      <c r="AU130" s="656"/>
      <c r="AV130" s="656"/>
      <c r="AW130" s="656"/>
      <c r="AX130" s="656"/>
      <c r="AY130" s="656"/>
      <c r="AZ130" s="656"/>
      <c r="BA130" s="656"/>
      <c r="BB130" s="656"/>
      <c r="BC130" s="656"/>
      <c r="BD130" s="656"/>
      <c r="BE130" s="656"/>
      <c r="BF130" s="656"/>
      <c r="BG130" s="656"/>
      <c r="BH130" s="656"/>
      <c r="BI130" s="656"/>
      <c r="BJ130" s="656"/>
      <c r="BK130" s="656"/>
      <c r="BL130" s="656"/>
      <c r="BM130" s="656"/>
      <c r="BN130" s="656"/>
      <c r="BO130" s="656"/>
      <c r="BP130" s="656"/>
      <c r="BQ130" s="656"/>
      <c r="BR130" s="656"/>
      <c r="BS130" s="656"/>
      <c r="BT130" s="656"/>
      <c r="BU130" s="656"/>
      <c r="BV130" s="656"/>
      <c r="BW130" s="656"/>
      <c r="BX130" s="656"/>
      <c r="BY130" s="656"/>
      <c r="BZ130" s="656"/>
      <c r="CA130" s="656"/>
      <c r="CB130" s="656"/>
      <c r="CC130" s="656"/>
      <c r="CD130" s="656"/>
      <c r="CE130" s="656"/>
      <c r="CF130" s="656"/>
      <c r="CG130" s="656"/>
      <c r="CH130" s="656"/>
      <c r="CI130" s="656"/>
      <c r="CJ130" s="656"/>
      <c r="CK130" s="656"/>
      <c r="CL130" s="656"/>
      <c r="CM130" s="656"/>
      <c r="CN130" s="656"/>
      <c r="CO130" s="656"/>
      <c r="CP130" s="656"/>
      <c r="CQ130" s="656"/>
      <c r="CR130" s="656"/>
      <c r="CS130" s="656"/>
      <c r="CT130" s="656"/>
      <c r="CU130" s="656"/>
      <c r="CV130" s="656"/>
      <c r="CW130" s="656"/>
      <c r="CX130" s="656"/>
      <c r="CY130" s="656"/>
      <c r="CZ130" s="656"/>
      <c r="DA130" s="656"/>
      <c r="DB130" s="656"/>
      <c r="DC130" s="656"/>
      <c r="DD130" s="656"/>
      <c r="DE130" s="656"/>
      <c r="DF130" s="656"/>
      <c r="DG130" s="656"/>
      <c r="DH130" s="656"/>
      <c r="DI130" s="656"/>
      <c r="DJ130" s="656"/>
      <c r="DK130" s="656"/>
      <c r="DL130" s="656"/>
      <c r="DM130" s="656"/>
      <c r="DN130" s="656"/>
      <c r="DO130" s="656"/>
      <c r="DP130" s="656"/>
      <c r="DQ130" s="656"/>
      <c r="DR130" s="656"/>
      <c r="DS130" s="656"/>
      <c r="DT130" s="656"/>
      <c r="DU130" s="656"/>
      <c r="DV130" s="656"/>
      <c r="DW130" s="656"/>
      <c r="DX130" s="656"/>
      <c r="DY130" s="656"/>
      <c r="DZ130" s="656"/>
      <c r="EA130" s="656"/>
      <c r="EB130" s="656"/>
      <c r="EC130" s="656"/>
      <c r="ED130" s="656"/>
      <c r="EE130" s="656"/>
      <c r="EF130" s="656"/>
      <c r="EG130" s="656"/>
      <c r="EH130" s="656"/>
      <c r="EI130" s="656"/>
      <c r="EJ130" s="656"/>
      <c r="EK130" s="656"/>
      <c r="EL130" s="656"/>
      <c r="EM130" s="656"/>
      <c r="EN130" s="656"/>
      <c r="EO130" s="656"/>
      <c r="EP130" s="656"/>
      <c r="EQ130" s="656"/>
      <c r="ER130" s="656"/>
      <c r="ES130" s="656"/>
      <c r="ET130" s="656"/>
      <c r="EU130" s="656"/>
      <c r="EV130" s="656"/>
      <c r="EW130" s="656"/>
      <c r="EX130" s="656"/>
      <c r="EY130" s="656"/>
      <c r="EZ130" s="656"/>
      <c r="FA130" s="656"/>
      <c r="FB130" s="656"/>
      <c r="FC130" s="656"/>
      <c r="FD130" s="656"/>
      <c r="FE130" s="656"/>
      <c r="FF130" s="656"/>
      <c r="FG130" s="656"/>
      <c r="FH130" s="656"/>
      <c r="FI130" s="656"/>
      <c r="FJ130" s="656"/>
      <c r="FK130" s="656"/>
      <c r="FL130" s="656"/>
      <c r="FM130" s="656"/>
      <c r="FN130" s="656"/>
      <c r="FO130" s="656"/>
      <c r="FP130" s="656"/>
      <c r="FQ130" s="656"/>
      <c r="FR130" s="656"/>
      <c r="FS130" s="656"/>
      <c r="FT130" s="656"/>
      <c r="FU130" s="656"/>
      <c r="FV130" s="656"/>
      <c r="FW130" s="656"/>
      <c r="FX130" s="656"/>
      <c r="FY130" s="656"/>
      <c r="FZ130" s="656"/>
      <c r="GA130" s="656"/>
      <c r="GB130" s="656"/>
      <c r="GC130" s="656"/>
      <c r="GD130" s="656"/>
      <c r="GE130" s="656"/>
      <c r="GF130" s="656"/>
      <c r="GG130" s="656"/>
      <c r="GH130" s="656"/>
      <c r="GI130" s="656"/>
      <c r="GJ130" s="656"/>
      <c r="GK130" s="656"/>
      <c r="GL130" s="656"/>
      <c r="GM130" s="656"/>
      <c r="GN130" s="656"/>
      <c r="GO130" s="656"/>
      <c r="GP130" s="656"/>
      <c r="GQ130" s="656"/>
      <c r="GR130" s="656"/>
      <c r="GS130" s="656"/>
      <c r="GT130" s="656"/>
      <c r="GU130" s="656"/>
      <c r="GV130" s="656"/>
      <c r="GW130" s="656"/>
      <c r="GX130" s="656"/>
      <c r="GY130" s="656"/>
      <c r="GZ130" s="656"/>
      <c r="HA130" s="656"/>
      <c r="HB130" s="656"/>
      <c r="HC130" s="656"/>
      <c r="HD130" s="656"/>
      <c r="HE130" s="656"/>
      <c r="HF130" s="656"/>
      <c r="HG130" s="656"/>
      <c r="HH130" s="656"/>
      <c r="HI130" s="656"/>
      <c r="HJ130" s="656"/>
      <c r="HK130" s="656"/>
      <c r="HL130" s="656"/>
      <c r="HM130" s="656"/>
      <c r="HN130" s="656"/>
      <c r="HO130" s="656"/>
      <c r="HP130" s="656"/>
      <c r="HQ130" s="656"/>
      <c r="HR130" s="656"/>
      <c r="HS130" s="656"/>
      <c r="HT130" s="656"/>
      <c r="HU130" s="656"/>
      <c r="HV130" s="656"/>
      <c r="HW130" s="656"/>
    </row>
    <row r="131" spans="1:231" s="657" customFormat="1" x14ac:dyDescent="0.25">
      <c r="A131" s="646">
        <v>81</v>
      </c>
      <c r="B131" s="680" t="s">
        <v>1142</v>
      </c>
      <c r="C131" s="690" t="s">
        <v>1114</v>
      </c>
      <c r="D131" s="691" t="s">
        <v>19</v>
      </c>
      <c r="E131" s="691">
        <v>44</v>
      </c>
      <c r="F131" s="720">
        <v>9161.0399999999991</v>
      </c>
      <c r="G131" s="720">
        <v>403086</v>
      </c>
      <c r="H131" s="685">
        <v>0</v>
      </c>
      <c r="I131" s="686">
        <v>-29</v>
      </c>
      <c r="J131" s="683">
        <v>15</v>
      </c>
      <c r="K131" s="684">
        <v>137416</v>
      </c>
      <c r="L131" s="683">
        <v>0</v>
      </c>
      <c r="M131" s="684">
        <v>0</v>
      </c>
      <c r="N131" s="683">
        <v>0</v>
      </c>
      <c r="O131" s="687">
        <v>0</v>
      </c>
      <c r="P131" s="656"/>
      <c r="Q131" s="656"/>
      <c r="R131" s="656"/>
      <c r="S131" s="656"/>
      <c r="T131" s="656"/>
      <c r="U131" s="656"/>
      <c r="V131" s="656"/>
      <c r="W131" s="656"/>
      <c r="X131" s="656"/>
      <c r="Y131" s="656"/>
      <c r="Z131" s="656"/>
      <c r="AA131" s="656"/>
      <c r="AB131" s="656"/>
      <c r="AC131" s="656"/>
      <c r="AD131" s="656"/>
      <c r="AE131" s="656"/>
      <c r="AF131" s="656"/>
      <c r="AG131" s="656"/>
      <c r="AH131" s="656"/>
      <c r="AI131" s="656"/>
      <c r="AJ131" s="656"/>
      <c r="AK131" s="656"/>
      <c r="AL131" s="656"/>
      <c r="AM131" s="656"/>
      <c r="AN131" s="656"/>
      <c r="AO131" s="656"/>
      <c r="AP131" s="656"/>
      <c r="AQ131" s="656"/>
      <c r="AR131" s="656"/>
      <c r="AS131" s="656"/>
      <c r="AT131" s="656"/>
      <c r="AU131" s="656"/>
      <c r="AV131" s="656"/>
      <c r="AW131" s="656"/>
      <c r="AX131" s="656"/>
      <c r="AY131" s="656"/>
      <c r="AZ131" s="656"/>
      <c r="BA131" s="656"/>
      <c r="BB131" s="656"/>
      <c r="BC131" s="656"/>
      <c r="BD131" s="656"/>
      <c r="BE131" s="656"/>
      <c r="BF131" s="656"/>
      <c r="BG131" s="656"/>
      <c r="BH131" s="656"/>
      <c r="BI131" s="656"/>
      <c r="BJ131" s="656"/>
      <c r="BK131" s="656"/>
      <c r="BL131" s="656"/>
      <c r="BM131" s="656"/>
      <c r="BN131" s="656"/>
      <c r="BO131" s="656"/>
      <c r="BP131" s="656"/>
      <c r="BQ131" s="656"/>
      <c r="BR131" s="656"/>
      <c r="BS131" s="656"/>
      <c r="BT131" s="656"/>
      <c r="BU131" s="656"/>
      <c r="BV131" s="656"/>
      <c r="BW131" s="656"/>
      <c r="BX131" s="656"/>
      <c r="BY131" s="656"/>
      <c r="BZ131" s="656"/>
      <c r="CA131" s="656"/>
      <c r="CB131" s="656"/>
      <c r="CC131" s="656"/>
      <c r="CD131" s="656"/>
      <c r="CE131" s="656"/>
      <c r="CF131" s="656"/>
      <c r="CG131" s="656"/>
      <c r="CH131" s="656"/>
      <c r="CI131" s="656"/>
      <c r="CJ131" s="656"/>
      <c r="CK131" s="656"/>
      <c r="CL131" s="656"/>
      <c r="CM131" s="656"/>
      <c r="CN131" s="656"/>
      <c r="CO131" s="656"/>
      <c r="CP131" s="656"/>
      <c r="CQ131" s="656"/>
      <c r="CR131" s="656"/>
      <c r="CS131" s="656"/>
      <c r="CT131" s="656"/>
      <c r="CU131" s="656"/>
      <c r="CV131" s="656"/>
      <c r="CW131" s="656"/>
      <c r="CX131" s="656"/>
      <c r="CY131" s="656"/>
      <c r="CZ131" s="656"/>
      <c r="DA131" s="656"/>
      <c r="DB131" s="656"/>
      <c r="DC131" s="656"/>
      <c r="DD131" s="656"/>
      <c r="DE131" s="656"/>
      <c r="DF131" s="656"/>
      <c r="DG131" s="656"/>
      <c r="DH131" s="656"/>
      <c r="DI131" s="656"/>
      <c r="DJ131" s="656"/>
      <c r="DK131" s="656"/>
      <c r="DL131" s="656"/>
      <c r="DM131" s="656"/>
      <c r="DN131" s="656"/>
      <c r="DO131" s="656"/>
      <c r="DP131" s="656"/>
      <c r="DQ131" s="656"/>
      <c r="DR131" s="656"/>
      <c r="DS131" s="656"/>
      <c r="DT131" s="656"/>
      <c r="DU131" s="656"/>
      <c r="DV131" s="656"/>
      <c r="DW131" s="656"/>
      <c r="DX131" s="656"/>
      <c r="DY131" s="656"/>
      <c r="DZ131" s="656"/>
      <c r="EA131" s="656"/>
      <c r="EB131" s="656"/>
      <c r="EC131" s="656"/>
      <c r="ED131" s="656"/>
      <c r="EE131" s="656"/>
      <c r="EF131" s="656"/>
      <c r="EG131" s="656"/>
      <c r="EH131" s="656"/>
      <c r="EI131" s="656"/>
      <c r="EJ131" s="656"/>
      <c r="EK131" s="656"/>
      <c r="EL131" s="656"/>
      <c r="EM131" s="656"/>
      <c r="EN131" s="656"/>
      <c r="EO131" s="656"/>
      <c r="EP131" s="656"/>
      <c r="EQ131" s="656"/>
      <c r="ER131" s="656"/>
      <c r="ES131" s="656"/>
      <c r="ET131" s="656"/>
      <c r="EU131" s="656"/>
      <c r="EV131" s="656"/>
      <c r="EW131" s="656"/>
      <c r="EX131" s="656"/>
      <c r="EY131" s="656"/>
      <c r="EZ131" s="656"/>
      <c r="FA131" s="656"/>
      <c r="FB131" s="656"/>
      <c r="FC131" s="656"/>
      <c r="FD131" s="656"/>
      <c r="FE131" s="656"/>
      <c r="FF131" s="656"/>
      <c r="FG131" s="656"/>
      <c r="FH131" s="656"/>
      <c r="FI131" s="656"/>
      <c r="FJ131" s="656"/>
      <c r="FK131" s="656"/>
      <c r="FL131" s="656"/>
      <c r="FM131" s="656"/>
      <c r="FN131" s="656"/>
      <c r="FO131" s="656"/>
      <c r="FP131" s="656"/>
      <c r="FQ131" s="656"/>
      <c r="FR131" s="656"/>
      <c r="FS131" s="656"/>
      <c r="FT131" s="656"/>
      <c r="FU131" s="656"/>
      <c r="FV131" s="656"/>
      <c r="FW131" s="656"/>
      <c r="FX131" s="656"/>
      <c r="FY131" s="656"/>
      <c r="FZ131" s="656"/>
      <c r="GA131" s="656"/>
      <c r="GB131" s="656"/>
      <c r="GC131" s="656"/>
      <c r="GD131" s="656"/>
      <c r="GE131" s="656"/>
      <c r="GF131" s="656"/>
      <c r="GG131" s="656"/>
      <c r="GH131" s="656"/>
      <c r="GI131" s="656"/>
      <c r="GJ131" s="656"/>
      <c r="GK131" s="656"/>
      <c r="GL131" s="656"/>
      <c r="GM131" s="656"/>
      <c r="GN131" s="656"/>
      <c r="GO131" s="656"/>
      <c r="GP131" s="656"/>
      <c r="GQ131" s="656"/>
      <c r="GR131" s="656"/>
      <c r="GS131" s="656"/>
      <c r="GT131" s="656"/>
      <c r="GU131" s="656"/>
      <c r="GV131" s="656"/>
      <c r="GW131" s="656"/>
      <c r="GX131" s="656"/>
      <c r="GY131" s="656"/>
      <c r="GZ131" s="656"/>
      <c r="HA131" s="656"/>
      <c r="HB131" s="656"/>
      <c r="HC131" s="656"/>
      <c r="HD131" s="656"/>
      <c r="HE131" s="656"/>
      <c r="HF131" s="656"/>
      <c r="HG131" s="656"/>
      <c r="HH131" s="656"/>
      <c r="HI131" s="656"/>
      <c r="HJ131" s="656"/>
      <c r="HK131" s="656"/>
      <c r="HL131" s="656"/>
      <c r="HM131" s="656"/>
      <c r="HN131" s="656"/>
      <c r="HO131" s="656"/>
      <c r="HP131" s="656"/>
      <c r="HQ131" s="656"/>
      <c r="HR131" s="656"/>
      <c r="HS131" s="656"/>
      <c r="HT131" s="656"/>
      <c r="HU131" s="656"/>
      <c r="HV131" s="656"/>
      <c r="HW131" s="656"/>
    </row>
    <row r="132" spans="1:231" s="657" customFormat="1" x14ac:dyDescent="0.25">
      <c r="A132" s="646">
        <v>82</v>
      </c>
      <c r="B132" s="680" t="s">
        <v>1143</v>
      </c>
      <c r="C132" s="690" t="s">
        <v>1116</v>
      </c>
      <c r="D132" s="691" t="s">
        <v>19</v>
      </c>
      <c r="E132" s="691">
        <v>44</v>
      </c>
      <c r="F132" s="720">
        <v>29841</v>
      </c>
      <c r="G132" s="720">
        <v>1313004</v>
      </c>
      <c r="H132" s="685">
        <v>0</v>
      </c>
      <c r="I132" s="686">
        <v>-44</v>
      </c>
      <c r="J132" s="683">
        <v>0</v>
      </c>
      <c r="K132" s="684">
        <v>0</v>
      </c>
      <c r="L132" s="683">
        <v>0</v>
      </c>
      <c r="M132" s="684">
        <v>0</v>
      </c>
      <c r="N132" s="683">
        <v>0</v>
      </c>
      <c r="O132" s="687">
        <v>0</v>
      </c>
      <c r="P132" s="656"/>
      <c r="Q132" s="656"/>
      <c r="R132" s="656"/>
      <c r="S132" s="656"/>
      <c r="T132" s="656"/>
      <c r="U132" s="656"/>
      <c r="V132" s="656"/>
      <c r="W132" s="656"/>
      <c r="X132" s="656"/>
      <c r="Y132" s="656"/>
      <c r="Z132" s="656"/>
      <c r="AA132" s="656"/>
      <c r="AB132" s="656"/>
      <c r="AC132" s="656"/>
      <c r="AD132" s="656"/>
      <c r="AE132" s="656"/>
      <c r="AF132" s="656"/>
      <c r="AG132" s="656"/>
      <c r="AH132" s="656"/>
      <c r="AI132" s="656"/>
      <c r="AJ132" s="656"/>
      <c r="AK132" s="656"/>
      <c r="AL132" s="656"/>
      <c r="AM132" s="656"/>
      <c r="AN132" s="656"/>
      <c r="AO132" s="656"/>
      <c r="AP132" s="656"/>
      <c r="AQ132" s="656"/>
      <c r="AR132" s="656"/>
      <c r="AS132" s="656"/>
      <c r="AT132" s="656"/>
      <c r="AU132" s="656"/>
      <c r="AV132" s="656"/>
      <c r="AW132" s="656"/>
      <c r="AX132" s="656"/>
      <c r="AY132" s="656"/>
      <c r="AZ132" s="656"/>
      <c r="BA132" s="656"/>
      <c r="BB132" s="656"/>
      <c r="BC132" s="656"/>
      <c r="BD132" s="656"/>
      <c r="BE132" s="656"/>
      <c r="BF132" s="656"/>
      <c r="BG132" s="656"/>
      <c r="BH132" s="656"/>
      <c r="BI132" s="656"/>
      <c r="BJ132" s="656"/>
      <c r="BK132" s="656"/>
      <c r="BL132" s="656"/>
      <c r="BM132" s="656"/>
      <c r="BN132" s="656"/>
      <c r="BO132" s="656"/>
      <c r="BP132" s="656"/>
      <c r="BQ132" s="656"/>
      <c r="BR132" s="656"/>
      <c r="BS132" s="656"/>
      <c r="BT132" s="656"/>
      <c r="BU132" s="656"/>
      <c r="BV132" s="656"/>
      <c r="BW132" s="656"/>
      <c r="BX132" s="656"/>
      <c r="BY132" s="656"/>
      <c r="BZ132" s="656"/>
      <c r="CA132" s="656"/>
      <c r="CB132" s="656"/>
      <c r="CC132" s="656"/>
      <c r="CD132" s="656"/>
      <c r="CE132" s="656"/>
      <c r="CF132" s="656"/>
      <c r="CG132" s="656"/>
      <c r="CH132" s="656"/>
      <c r="CI132" s="656"/>
      <c r="CJ132" s="656"/>
      <c r="CK132" s="656"/>
      <c r="CL132" s="656"/>
      <c r="CM132" s="656"/>
      <c r="CN132" s="656"/>
      <c r="CO132" s="656"/>
      <c r="CP132" s="656"/>
      <c r="CQ132" s="656"/>
      <c r="CR132" s="656"/>
      <c r="CS132" s="656"/>
      <c r="CT132" s="656"/>
      <c r="CU132" s="656"/>
      <c r="CV132" s="656"/>
      <c r="CW132" s="656"/>
      <c r="CX132" s="656"/>
      <c r="CY132" s="656"/>
      <c r="CZ132" s="656"/>
      <c r="DA132" s="656"/>
      <c r="DB132" s="656"/>
      <c r="DC132" s="656"/>
      <c r="DD132" s="656"/>
      <c r="DE132" s="656"/>
      <c r="DF132" s="656"/>
      <c r="DG132" s="656"/>
      <c r="DH132" s="656"/>
      <c r="DI132" s="656"/>
      <c r="DJ132" s="656"/>
      <c r="DK132" s="656"/>
      <c r="DL132" s="656"/>
      <c r="DM132" s="656"/>
      <c r="DN132" s="656"/>
      <c r="DO132" s="656"/>
      <c r="DP132" s="656"/>
      <c r="DQ132" s="656"/>
      <c r="DR132" s="656"/>
      <c r="DS132" s="656"/>
      <c r="DT132" s="656"/>
      <c r="DU132" s="656"/>
      <c r="DV132" s="656"/>
      <c r="DW132" s="656"/>
      <c r="DX132" s="656"/>
      <c r="DY132" s="656"/>
      <c r="DZ132" s="656"/>
      <c r="EA132" s="656"/>
      <c r="EB132" s="656"/>
      <c r="EC132" s="656"/>
      <c r="ED132" s="656"/>
      <c r="EE132" s="656"/>
      <c r="EF132" s="656"/>
      <c r="EG132" s="656"/>
      <c r="EH132" s="656"/>
      <c r="EI132" s="656"/>
      <c r="EJ132" s="656"/>
      <c r="EK132" s="656"/>
      <c r="EL132" s="656"/>
      <c r="EM132" s="656"/>
      <c r="EN132" s="656"/>
      <c r="EO132" s="656"/>
      <c r="EP132" s="656"/>
      <c r="EQ132" s="656"/>
      <c r="ER132" s="656"/>
      <c r="ES132" s="656"/>
      <c r="ET132" s="656"/>
      <c r="EU132" s="656"/>
      <c r="EV132" s="656"/>
      <c r="EW132" s="656"/>
      <c r="EX132" s="656"/>
      <c r="EY132" s="656"/>
      <c r="EZ132" s="656"/>
      <c r="FA132" s="656"/>
      <c r="FB132" s="656"/>
      <c r="FC132" s="656"/>
      <c r="FD132" s="656"/>
      <c r="FE132" s="656"/>
      <c r="FF132" s="656"/>
      <c r="FG132" s="656"/>
      <c r="FH132" s="656"/>
      <c r="FI132" s="656"/>
      <c r="FJ132" s="656"/>
      <c r="FK132" s="656"/>
      <c r="FL132" s="656"/>
      <c r="FM132" s="656"/>
      <c r="FN132" s="656"/>
      <c r="FO132" s="656"/>
      <c r="FP132" s="656"/>
      <c r="FQ132" s="656"/>
      <c r="FR132" s="656"/>
      <c r="FS132" s="656"/>
      <c r="FT132" s="656"/>
      <c r="FU132" s="656"/>
      <c r="FV132" s="656"/>
      <c r="FW132" s="656"/>
      <c r="FX132" s="656"/>
      <c r="FY132" s="656"/>
      <c r="FZ132" s="656"/>
      <c r="GA132" s="656"/>
      <c r="GB132" s="656"/>
      <c r="GC132" s="656"/>
      <c r="GD132" s="656"/>
      <c r="GE132" s="656"/>
      <c r="GF132" s="656"/>
      <c r="GG132" s="656"/>
      <c r="GH132" s="656"/>
      <c r="GI132" s="656"/>
      <c r="GJ132" s="656"/>
      <c r="GK132" s="656"/>
      <c r="GL132" s="656"/>
      <c r="GM132" s="656"/>
      <c r="GN132" s="656"/>
      <c r="GO132" s="656"/>
      <c r="GP132" s="656"/>
      <c r="GQ132" s="656"/>
      <c r="GR132" s="656"/>
      <c r="GS132" s="656"/>
      <c r="GT132" s="656"/>
      <c r="GU132" s="656"/>
      <c r="GV132" s="656"/>
      <c r="GW132" s="656"/>
      <c r="GX132" s="656"/>
      <c r="GY132" s="656"/>
      <c r="GZ132" s="656"/>
      <c r="HA132" s="656"/>
      <c r="HB132" s="656"/>
      <c r="HC132" s="656"/>
      <c r="HD132" s="656"/>
      <c r="HE132" s="656"/>
      <c r="HF132" s="656"/>
      <c r="HG132" s="656"/>
      <c r="HH132" s="656"/>
      <c r="HI132" s="656"/>
      <c r="HJ132" s="656"/>
      <c r="HK132" s="656"/>
      <c r="HL132" s="656"/>
      <c r="HM132" s="656"/>
      <c r="HN132" s="656"/>
      <c r="HO132" s="656"/>
      <c r="HP132" s="656"/>
      <c r="HQ132" s="656"/>
      <c r="HR132" s="656"/>
      <c r="HS132" s="656"/>
      <c r="HT132" s="656"/>
      <c r="HU132" s="656"/>
      <c r="HV132" s="656"/>
      <c r="HW132" s="656"/>
    </row>
    <row r="133" spans="1:231" s="657" customFormat="1" ht="28.5" x14ac:dyDescent="0.25">
      <c r="A133" s="646">
        <v>83</v>
      </c>
      <c r="B133" s="680" t="s">
        <v>1144</v>
      </c>
      <c r="C133" s="690" t="s">
        <v>1118</v>
      </c>
      <c r="D133" s="691" t="s">
        <v>19</v>
      </c>
      <c r="E133" s="691">
        <v>44</v>
      </c>
      <c r="F133" s="720">
        <v>42158.62</v>
      </c>
      <c r="G133" s="720">
        <v>1854979</v>
      </c>
      <c r="H133" s="685">
        <v>0</v>
      </c>
      <c r="I133" s="686">
        <v>0</v>
      </c>
      <c r="J133" s="683">
        <v>104</v>
      </c>
      <c r="K133" s="684">
        <v>4384496</v>
      </c>
      <c r="L133" s="683">
        <v>0</v>
      </c>
      <c r="M133" s="684">
        <v>0</v>
      </c>
      <c r="N133" s="683">
        <v>0</v>
      </c>
      <c r="O133" s="687">
        <v>0</v>
      </c>
      <c r="P133" s="656"/>
      <c r="Q133" s="656"/>
      <c r="R133" s="656"/>
      <c r="S133" s="656"/>
      <c r="T133" s="656"/>
      <c r="U133" s="656"/>
      <c r="V133" s="656"/>
      <c r="W133" s="656"/>
      <c r="X133" s="656"/>
      <c r="Y133" s="656"/>
      <c r="Z133" s="656"/>
      <c r="AA133" s="656"/>
      <c r="AB133" s="656"/>
      <c r="AC133" s="656"/>
      <c r="AD133" s="656"/>
      <c r="AE133" s="656"/>
      <c r="AF133" s="656"/>
      <c r="AG133" s="656"/>
      <c r="AH133" s="656"/>
      <c r="AI133" s="656"/>
      <c r="AJ133" s="656"/>
      <c r="AK133" s="656"/>
      <c r="AL133" s="656"/>
      <c r="AM133" s="656"/>
      <c r="AN133" s="656"/>
      <c r="AO133" s="656"/>
      <c r="AP133" s="656"/>
      <c r="AQ133" s="656"/>
      <c r="AR133" s="656"/>
      <c r="AS133" s="656"/>
      <c r="AT133" s="656"/>
      <c r="AU133" s="656"/>
      <c r="AV133" s="656"/>
      <c r="AW133" s="656"/>
      <c r="AX133" s="656"/>
      <c r="AY133" s="656"/>
      <c r="AZ133" s="656"/>
      <c r="BA133" s="656"/>
      <c r="BB133" s="656"/>
      <c r="BC133" s="656"/>
      <c r="BD133" s="656"/>
      <c r="BE133" s="656"/>
      <c r="BF133" s="656"/>
      <c r="BG133" s="656"/>
      <c r="BH133" s="656"/>
      <c r="BI133" s="656"/>
      <c r="BJ133" s="656"/>
      <c r="BK133" s="656"/>
      <c r="BL133" s="656"/>
      <c r="BM133" s="656"/>
      <c r="BN133" s="656"/>
      <c r="BO133" s="656"/>
      <c r="BP133" s="656"/>
      <c r="BQ133" s="656"/>
      <c r="BR133" s="656"/>
      <c r="BS133" s="656"/>
      <c r="BT133" s="656"/>
      <c r="BU133" s="656"/>
      <c r="BV133" s="656"/>
      <c r="BW133" s="656"/>
      <c r="BX133" s="656"/>
      <c r="BY133" s="656"/>
      <c r="BZ133" s="656"/>
      <c r="CA133" s="656"/>
      <c r="CB133" s="656"/>
      <c r="CC133" s="656"/>
      <c r="CD133" s="656"/>
      <c r="CE133" s="656"/>
      <c r="CF133" s="656"/>
      <c r="CG133" s="656"/>
      <c r="CH133" s="656"/>
      <c r="CI133" s="656"/>
      <c r="CJ133" s="656"/>
      <c r="CK133" s="656"/>
      <c r="CL133" s="656"/>
      <c r="CM133" s="656"/>
      <c r="CN133" s="656"/>
      <c r="CO133" s="656"/>
      <c r="CP133" s="656"/>
      <c r="CQ133" s="656"/>
      <c r="CR133" s="656"/>
      <c r="CS133" s="656"/>
      <c r="CT133" s="656"/>
      <c r="CU133" s="656"/>
      <c r="CV133" s="656"/>
      <c r="CW133" s="656"/>
      <c r="CX133" s="656"/>
      <c r="CY133" s="656"/>
      <c r="CZ133" s="656"/>
      <c r="DA133" s="656"/>
      <c r="DB133" s="656"/>
      <c r="DC133" s="656"/>
      <c r="DD133" s="656"/>
      <c r="DE133" s="656"/>
      <c r="DF133" s="656"/>
      <c r="DG133" s="656"/>
      <c r="DH133" s="656"/>
      <c r="DI133" s="656"/>
      <c r="DJ133" s="656"/>
      <c r="DK133" s="656"/>
      <c r="DL133" s="656"/>
      <c r="DM133" s="656"/>
      <c r="DN133" s="656"/>
      <c r="DO133" s="656"/>
      <c r="DP133" s="656"/>
      <c r="DQ133" s="656"/>
      <c r="DR133" s="656"/>
      <c r="DS133" s="656"/>
      <c r="DT133" s="656"/>
      <c r="DU133" s="656"/>
      <c r="DV133" s="656"/>
      <c r="DW133" s="656"/>
      <c r="DX133" s="656"/>
      <c r="DY133" s="656"/>
      <c r="DZ133" s="656"/>
      <c r="EA133" s="656"/>
      <c r="EB133" s="656"/>
      <c r="EC133" s="656"/>
      <c r="ED133" s="656"/>
      <c r="EE133" s="656"/>
      <c r="EF133" s="656"/>
      <c r="EG133" s="656"/>
      <c r="EH133" s="656"/>
      <c r="EI133" s="656"/>
      <c r="EJ133" s="656"/>
      <c r="EK133" s="656"/>
      <c r="EL133" s="656"/>
      <c r="EM133" s="656"/>
      <c r="EN133" s="656"/>
      <c r="EO133" s="656"/>
      <c r="EP133" s="656"/>
      <c r="EQ133" s="656"/>
      <c r="ER133" s="656"/>
      <c r="ES133" s="656"/>
      <c r="ET133" s="656"/>
      <c r="EU133" s="656"/>
      <c r="EV133" s="656"/>
      <c r="EW133" s="656"/>
      <c r="EX133" s="656"/>
      <c r="EY133" s="656"/>
      <c r="EZ133" s="656"/>
      <c r="FA133" s="656"/>
      <c r="FB133" s="656"/>
      <c r="FC133" s="656"/>
      <c r="FD133" s="656"/>
      <c r="FE133" s="656"/>
      <c r="FF133" s="656"/>
      <c r="FG133" s="656"/>
      <c r="FH133" s="656"/>
      <c r="FI133" s="656"/>
      <c r="FJ133" s="656"/>
      <c r="FK133" s="656"/>
      <c r="FL133" s="656"/>
      <c r="FM133" s="656"/>
      <c r="FN133" s="656"/>
      <c r="FO133" s="656"/>
      <c r="FP133" s="656"/>
      <c r="FQ133" s="656"/>
      <c r="FR133" s="656"/>
      <c r="FS133" s="656"/>
      <c r="FT133" s="656"/>
      <c r="FU133" s="656"/>
      <c r="FV133" s="656"/>
      <c r="FW133" s="656"/>
      <c r="FX133" s="656"/>
      <c r="FY133" s="656"/>
      <c r="FZ133" s="656"/>
      <c r="GA133" s="656"/>
      <c r="GB133" s="656"/>
      <c r="GC133" s="656"/>
      <c r="GD133" s="656"/>
      <c r="GE133" s="656"/>
      <c r="GF133" s="656"/>
      <c r="GG133" s="656"/>
      <c r="GH133" s="656"/>
      <c r="GI133" s="656"/>
      <c r="GJ133" s="656"/>
      <c r="GK133" s="656"/>
      <c r="GL133" s="656"/>
      <c r="GM133" s="656"/>
      <c r="GN133" s="656"/>
      <c r="GO133" s="656"/>
      <c r="GP133" s="656"/>
      <c r="GQ133" s="656"/>
      <c r="GR133" s="656"/>
      <c r="GS133" s="656"/>
      <c r="GT133" s="656"/>
      <c r="GU133" s="656"/>
      <c r="GV133" s="656"/>
      <c r="GW133" s="656"/>
      <c r="GX133" s="656"/>
      <c r="GY133" s="656"/>
      <c r="GZ133" s="656"/>
      <c r="HA133" s="656"/>
      <c r="HB133" s="656"/>
      <c r="HC133" s="656"/>
      <c r="HD133" s="656"/>
      <c r="HE133" s="656"/>
      <c r="HF133" s="656"/>
      <c r="HG133" s="656"/>
      <c r="HH133" s="656"/>
      <c r="HI133" s="656"/>
      <c r="HJ133" s="656"/>
      <c r="HK133" s="656"/>
      <c r="HL133" s="656"/>
      <c r="HM133" s="656"/>
      <c r="HN133" s="656"/>
      <c r="HO133" s="656"/>
      <c r="HP133" s="656"/>
      <c r="HQ133" s="656"/>
      <c r="HR133" s="656"/>
      <c r="HS133" s="656"/>
      <c r="HT133" s="656"/>
      <c r="HU133" s="656"/>
      <c r="HV133" s="656"/>
      <c r="HW133" s="656"/>
    </row>
    <row r="134" spans="1:231" s="657" customFormat="1" ht="28.5" x14ac:dyDescent="0.25">
      <c r="A134" s="646">
        <v>84</v>
      </c>
      <c r="B134" s="680" t="s">
        <v>1145</v>
      </c>
      <c r="C134" s="690" t="s">
        <v>1146</v>
      </c>
      <c r="D134" s="691" t="s">
        <v>19</v>
      </c>
      <c r="E134" s="691">
        <v>44</v>
      </c>
      <c r="F134" s="720">
        <v>39751.74</v>
      </c>
      <c r="G134" s="720">
        <v>1749077</v>
      </c>
      <c r="H134" s="685">
        <v>0</v>
      </c>
      <c r="I134" s="686">
        <v>-44</v>
      </c>
      <c r="J134" s="683">
        <v>0</v>
      </c>
      <c r="K134" s="684">
        <v>0</v>
      </c>
      <c r="L134" s="683">
        <v>0</v>
      </c>
      <c r="M134" s="684">
        <v>0</v>
      </c>
      <c r="N134" s="683">
        <v>0</v>
      </c>
      <c r="O134" s="687">
        <v>0</v>
      </c>
      <c r="P134" s="656"/>
      <c r="Q134" s="656"/>
      <c r="R134" s="656"/>
      <c r="S134" s="656"/>
      <c r="T134" s="656"/>
      <c r="U134" s="656"/>
      <c r="V134" s="656"/>
      <c r="W134" s="656"/>
      <c r="X134" s="656"/>
      <c r="Y134" s="656"/>
      <c r="Z134" s="656"/>
      <c r="AA134" s="656"/>
      <c r="AB134" s="656"/>
      <c r="AC134" s="656"/>
      <c r="AD134" s="656"/>
      <c r="AE134" s="656"/>
      <c r="AF134" s="656"/>
      <c r="AG134" s="656"/>
      <c r="AH134" s="656"/>
      <c r="AI134" s="656"/>
      <c r="AJ134" s="656"/>
      <c r="AK134" s="656"/>
      <c r="AL134" s="656"/>
      <c r="AM134" s="656"/>
      <c r="AN134" s="656"/>
      <c r="AO134" s="656"/>
      <c r="AP134" s="656"/>
      <c r="AQ134" s="656"/>
      <c r="AR134" s="656"/>
      <c r="AS134" s="656"/>
      <c r="AT134" s="656"/>
      <c r="AU134" s="656"/>
      <c r="AV134" s="656"/>
      <c r="AW134" s="656"/>
      <c r="AX134" s="656"/>
      <c r="AY134" s="656"/>
      <c r="AZ134" s="656"/>
      <c r="BA134" s="656"/>
      <c r="BB134" s="656"/>
      <c r="BC134" s="656"/>
      <c r="BD134" s="656"/>
      <c r="BE134" s="656"/>
      <c r="BF134" s="656"/>
      <c r="BG134" s="656"/>
      <c r="BH134" s="656"/>
      <c r="BI134" s="656"/>
      <c r="BJ134" s="656"/>
      <c r="BK134" s="656"/>
      <c r="BL134" s="656"/>
      <c r="BM134" s="656"/>
      <c r="BN134" s="656"/>
      <c r="BO134" s="656"/>
      <c r="BP134" s="656"/>
      <c r="BQ134" s="656"/>
      <c r="BR134" s="656"/>
      <c r="BS134" s="656"/>
      <c r="BT134" s="656"/>
      <c r="BU134" s="656"/>
      <c r="BV134" s="656"/>
      <c r="BW134" s="656"/>
      <c r="BX134" s="656"/>
      <c r="BY134" s="656"/>
      <c r="BZ134" s="656"/>
      <c r="CA134" s="656"/>
      <c r="CB134" s="656"/>
      <c r="CC134" s="656"/>
      <c r="CD134" s="656"/>
      <c r="CE134" s="656"/>
      <c r="CF134" s="656"/>
      <c r="CG134" s="656"/>
      <c r="CH134" s="656"/>
      <c r="CI134" s="656"/>
      <c r="CJ134" s="656"/>
      <c r="CK134" s="656"/>
      <c r="CL134" s="656"/>
      <c r="CM134" s="656"/>
      <c r="CN134" s="656"/>
      <c r="CO134" s="656"/>
      <c r="CP134" s="656"/>
      <c r="CQ134" s="656"/>
      <c r="CR134" s="656"/>
      <c r="CS134" s="656"/>
      <c r="CT134" s="656"/>
      <c r="CU134" s="656"/>
      <c r="CV134" s="656"/>
      <c r="CW134" s="656"/>
      <c r="CX134" s="656"/>
      <c r="CY134" s="656"/>
      <c r="CZ134" s="656"/>
      <c r="DA134" s="656"/>
      <c r="DB134" s="656"/>
      <c r="DC134" s="656"/>
      <c r="DD134" s="656"/>
      <c r="DE134" s="656"/>
      <c r="DF134" s="656"/>
      <c r="DG134" s="656"/>
      <c r="DH134" s="656"/>
      <c r="DI134" s="656"/>
      <c r="DJ134" s="656"/>
      <c r="DK134" s="656"/>
      <c r="DL134" s="656"/>
      <c r="DM134" s="656"/>
      <c r="DN134" s="656"/>
      <c r="DO134" s="656"/>
      <c r="DP134" s="656"/>
      <c r="DQ134" s="656"/>
      <c r="DR134" s="656"/>
      <c r="DS134" s="656"/>
      <c r="DT134" s="656"/>
      <c r="DU134" s="656"/>
      <c r="DV134" s="656"/>
      <c r="DW134" s="656"/>
      <c r="DX134" s="656"/>
      <c r="DY134" s="656"/>
      <c r="DZ134" s="656"/>
      <c r="EA134" s="656"/>
      <c r="EB134" s="656"/>
      <c r="EC134" s="656"/>
      <c r="ED134" s="656"/>
      <c r="EE134" s="656"/>
      <c r="EF134" s="656"/>
      <c r="EG134" s="656"/>
      <c r="EH134" s="656"/>
      <c r="EI134" s="656"/>
      <c r="EJ134" s="656"/>
      <c r="EK134" s="656"/>
      <c r="EL134" s="656"/>
      <c r="EM134" s="656"/>
      <c r="EN134" s="656"/>
      <c r="EO134" s="656"/>
      <c r="EP134" s="656"/>
      <c r="EQ134" s="656"/>
      <c r="ER134" s="656"/>
      <c r="ES134" s="656"/>
      <c r="ET134" s="656"/>
      <c r="EU134" s="656"/>
      <c r="EV134" s="656"/>
      <c r="EW134" s="656"/>
      <c r="EX134" s="656"/>
      <c r="EY134" s="656"/>
      <c r="EZ134" s="656"/>
      <c r="FA134" s="656"/>
      <c r="FB134" s="656"/>
      <c r="FC134" s="656"/>
      <c r="FD134" s="656"/>
      <c r="FE134" s="656"/>
      <c r="FF134" s="656"/>
      <c r="FG134" s="656"/>
      <c r="FH134" s="656"/>
      <c r="FI134" s="656"/>
      <c r="FJ134" s="656"/>
      <c r="FK134" s="656"/>
      <c r="FL134" s="656"/>
      <c r="FM134" s="656"/>
      <c r="FN134" s="656"/>
      <c r="FO134" s="656"/>
      <c r="FP134" s="656"/>
      <c r="FQ134" s="656"/>
      <c r="FR134" s="656"/>
      <c r="FS134" s="656"/>
      <c r="FT134" s="656"/>
      <c r="FU134" s="656"/>
      <c r="FV134" s="656"/>
      <c r="FW134" s="656"/>
      <c r="FX134" s="656"/>
      <c r="FY134" s="656"/>
      <c r="FZ134" s="656"/>
      <c r="GA134" s="656"/>
      <c r="GB134" s="656"/>
      <c r="GC134" s="656"/>
      <c r="GD134" s="656"/>
      <c r="GE134" s="656"/>
      <c r="GF134" s="656"/>
      <c r="GG134" s="656"/>
      <c r="GH134" s="656"/>
      <c r="GI134" s="656"/>
      <c r="GJ134" s="656"/>
      <c r="GK134" s="656"/>
      <c r="GL134" s="656"/>
      <c r="GM134" s="656"/>
      <c r="GN134" s="656"/>
      <c r="GO134" s="656"/>
      <c r="GP134" s="656"/>
      <c r="GQ134" s="656"/>
      <c r="GR134" s="656"/>
      <c r="GS134" s="656"/>
      <c r="GT134" s="656"/>
      <c r="GU134" s="656"/>
      <c r="GV134" s="656"/>
      <c r="GW134" s="656"/>
      <c r="GX134" s="656"/>
      <c r="GY134" s="656"/>
      <c r="GZ134" s="656"/>
      <c r="HA134" s="656"/>
      <c r="HB134" s="656"/>
      <c r="HC134" s="656"/>
      <c r="HD134" s="656"/>
      <c r="HE134" s="656"/>
      <c r="HF134" s="656"/>
      <c r="HG134" s="656"/>
      <c r="HH134" s="656"/>
      <c r="HI134" s="656"/>
      <c r="HJ134" s="656"/>
      <c r="HK134" s="656"/>
      <c r="HL134" s="656"/>
      <c r="HM134" s="656"/>
      <c r="HN134" s="656"/>
      <c r="HO134" s="656"/>
      <c r="HP134" s="656"/>
      <c r="HQ134" s="656"/>
      <c r="HR134" s="656"/>
      <c r="HS134" s="656"/>
      <c r="HT134" s="656"/>
      <c r="HU134" s="656"/>
      <c r="HV134" s="656"/>
      <c r="HW134" s="656"/>
    </row>
    <row r="135" spans="1:231" s="657" customFormat="1" ht="42.75" x14ac:dyDescent="0.25">
      <c r="A135" s="646">
        <v>85</v>
      </c>
      <c r="B135" s="680" t="s">
        <v>1147</v>
      </c>
      <c r="C135" s="690" t="s">
        <v>1122</v>
      </c>
      <c r="D135" s="691" t="s">
        <v>19</v>
      </c>
      <c r="E135" s="691">
        <v>44</v>
      </c>
      <c r="F135" s="720">
        <v>102014.08</v>
      </c>
      <c r="G135" s="720">
        <v>4488620</v>
      </c>
      <c r="H135" s="685">
        <v>0</v>
      </c>
      <c r="I135" s="686">
        <v>-44</v>
      </c>
      <c r="J135" s="683">
        <v>0</v>
      </c>
      <c r="K135" s="684">
        <v>0</v>
      </c>
      <c r="L135" s="683">
        <v>0</v>
      </c>
      <c r="M135" s="684">
        <v>0</v>
      </c>
      <c r="N135" s="683">
        <v>0</v>
      </c>
      <c r="O135" s="687">
        <v>0</v>
      </c>
      <c r="P135" s="656"/>
      <c r="Q135" s="656"/>
      <c r="R135" s="656"/>
      <c r="S135" s="656"/>
      <c r="T135" s="656"/>
      <c r="U135" s="656"/>
      <c r="V135" s="656"/>
      <c r="W135" s="656"/>
      <c r="X135" s="656"/>
      <c r="Y135" s="656"/>
      <c r="Z135" s="656"/>
      <c r="AA135" s="656"/>
      <c r="AB135" s="656"/>
      <c r="AC135" s="656"/>
      <c r="AD135" s="656"/>
      <c r="AE135" s="656"/>
      <c r="AF135" s="656"/>
      <c r="AG135" s="656"/>
      <c r="AH135" s="656"/>
      <c r="AI135" s="656"/>
      <c r="AJ135" s="656"/>
      <c r="AK135" s="656"/>
      <c r="AL135" s="656"/>
      <c r="AM135" s="656"/>
      <c r="AN135" s="656"/>
      <c r="AO135" s="656"/>
      <c r="AP135" s="656"/>
      <c r="AQ135" s="656"/>
      <c r="AR135" s="656"/>
      <c r="AS135" s="656"/>
      <c r="AT135" s="656"/>
      <c r="AU135" s="656"/>
      <c r="AV135" s="656"/>
      <c r="AW135" s="656"/>
      <c r="AX135" s="656"/>
      <c r="AY135" s="656"/>
      <c r="AZ135" s="656"/>
      <c r="BA135" s="656"/>
      <c r="BB135" s="656"/>
      <c r="BC135" s="656"/>
      <c r="BD135" s="656"/>
      <c r="BE135" s="656"/>
      <c r="BF135" s="656"/>
      <c r="BG135" s="656"/>
      <c r="BH135" s="656"/>
      <c r="BI135" s="656"/>
      <c r="BJ135" s="656"/>
      <c r="BK135" s="656"/>
      <c r="BL135" s="656"/>
      <c r="BM135" s="656"/>
      <c r="BN135" s="656"/>
      <c r="BO135" s="656"/>
      <c r="BP135" s="656"/>
      <c r="BQ135" s="656"/>
      <c r="BR135" s="656"/>
      <c r="BS135" s="656"/>
      <c r="BT135" s="656"/>
      <c r="BU135" s="656"/>
      <c r="BV135" s="656"/>
      <c r="BW135" s="656"/>
      <c r="BX135" s="656"/>
      <c r="BY135" s="656"/>
      <c r="BZ135" s="656"/>
      <c r="CA135" s="656"/>
      <c r="CB135" s="656"/>
      <c r="CC135" s="656"/>
      <c r="CD135" s="656"/>
      <c r="CE135" s="656"/>
      <c r="CF135" s="656"/>
      <c r="CG135" s="656"/>
      <c r="CH135" s="656"/>
      <c r="CI135" s="656"/>
      <c r="CJ135" s="656"/>
      <c r="CK135" s="656"/>
      <c r="CL135" s="656"/>
      <c r="CM135" s="656"/>
      <c r="CN135" s="656"/>
      <c r="CO135" s="656"/>
      <c r="CP135" s="656"/>
      <c r="CQ135" s="656"/>
      <c r="CR135" s="656"/>
      <c r="CS135" s="656"/>
      <c r="CT135" s="656"/>
      <c r="CU135" s="656"/>
      <c r="CV135" s="656"/>
      <c r="CW135" s="656"/>
      <c r="CX135" s="656"/>
      <c r="CY135" s="656"/>
      <c r="CZ135" s="656"/>
      <c r="DA135" s="656"/>
      <c r="DB135" s="656"/>
      <c r="DC135" s="656"/>
      <c r="DD135" s="656"/>
      <c r="DE135" s="656"/>
      <c r="DF135" s="656"/>
      <c r="DG135" s="656"/>
      <c r="DH135" s="656"/>
      <c r="DI135" s="656"/>
      <c r="DJ135" s="656"/>
      <c r="DK135" s="656"/>
      <c r="DL135" s="656"/>
      <c r="DM135" s="656"/>
      <c r="DN135" s="656"/>
      <c r="DO135" s="656"/>
      <c r="DP135" s="656"/>
      <c r="DQ135" s="656"/>
      <c r="DR135" s="656"/>
      <c r="DS135" s="656"/>
      <c r="DT135" s="656"/>
      <c r="DU135" s="656"/>
      <c r="DV135" s="656"/>
      <c r="DW135" s="656"/>
      <c r="DX135" s="656"/>
      <c r="DY135" s="656"/>
      <c r="DZ135" s="656"/>
      <c r="EA135" s="656"/>
      <c r="EB135" s="656"/>
      <c r="EC135" s="656"/>
      <c r="ED135" s="656"/>
      <c r="EE135" s="656"/>
      <c r="EF135" s="656"/>
      <c r="EG135" s="656"/>
      <c r="EH135" s="656"/>
      <c r="EI135" s="656"/>
      <c r="EJ135" s="656"/>
      <c r="EK135" s="656"/>
      <c r="EL135" s="656"/>
      <c r="EM135" s="656"/>
      <c r="EN135" s="656"/>
      <c r="EO135" s="656"/>
      <c r="EP135" s="656"/>
      <c r="EQ135" s="656"/>
      <c r="ER135" s="656"/>
      <c r="ES135" s="656"/>
      <c r="ET135" s="656"/>
      <c r="EU135" s="656"/>
      <c r="EV135" s="656"/>
      <c r="EW135" s="656"/>
      <c r="EX135" s="656"/>
      <c r="EY135" s="656"/>
      <c r="EZ135" s="656"/>
      <c r="FA135" s="656"/>
      <c r="FB135" s="656"/>
      <c r="FC135" s="656"/>
      <c r="FD135" s="656"/>
      <c r="FE135" s="656"/>
      <c r="FF135" s="656"/>
      <c r="FG135" s="656"/>
      <c r="FH135" s="656"/>
      <c r="FI135" s="656"/>
      <c r="FJ135" s="656"/>
      <c r="FK135" s="656"/>
      <c r="FL135" s="656"/>
      <c r="FM135" s="656"/>
      <c r="FN135" s="656"/>
      <c r="FO135" s="656"/>
      <c r="FP135" s="656"/>
      <c r="FQ135" s="656"/>
      <c r="FR135" s="656"/>
      <c r="FS135" s="656"/>
      <c r="FT135" s="656"/>
      <c r="FU135" s="656"/>
      <c r="FV135" s="656"/>
      <c r="FW135" s="656"/>
      <c r="FX135" s="656"/>
      <c r="FY135" s="656"/>
      <c r="FZ135" s="656"/>
      <c r="GA135" s="656"/>
      <c r="GB135" s="656"/>
      <c r="GC135" s="656"/>
      <c r="GD135" s="656"/>
      <c r="GE135" s="656"/>
      <c r="GF135" s="656"/>
      <c r="GG135" s="656"/>
      <c r="GH135" s="656"/>
      <c r="GI135" s="656"/>
      <c r="GJ135" s="656"/>
      <c r="GK135" s="656"/>
      <c r="GL135" s="656"/>
      <c r="GM135" s="656"/>
      <c r="GN135" s="656"/>
      <c r="GO135" s="656"/>
      <c r="GP135" s="656"/>
      <c r="GQ135" s="656"/>
      <c r="GR135" s="656"/>
      <c r="GS135" s="656"/>
      <c r="GT135" s="656"/>
      <c r="GU135" s="656"/>
      <c r="GV135" s="656"/>
      <c r="GW135" s="656"/>
      <c r="GX135" s="656"/>
      <c r="GY135" s="656"/>
      <c r="GZ135" s="656"/>
      <c r="HA135" s="656"/>
      <c r="HB135" s="656"/>
      <c r="HC135" s="656"/>
      <c r="HD135" s="656"/>
      <c r="HE135" s="656"/>
      <c r="HF135" s="656"/>
      <c r="HG135" s="656"/>
      <c r="HH135" s="656"/>
      <c r="HI135" s="656"/>
      <c r="HJ135" s="656"/>
      <c r="HK135" s="656"/>
      <c r="HL135" s="656"/>
      <c r="HM135" s="656"/>
      <c r="HN135" s="656"/>
      <c r="HO135" s="656"/>
      <c r="HP135" s="656"/>
      <c r="HQ135" s="656"/>
      <c r="HR135" s="656"/>
      <c r="HS135" s="656"/>
      <c r="HT135" s="656"/>
      <c r="HU135" s="656"/>
      <c r="HV135" s="656"/>
      <c r="HW135" s="656"/>
    </row>
    <row r="136" spans="1:231" s="657" customFormat="1" ht="33" customHeight="1" x14ac:dyDescent="0.25">
      <c r="A136" s="646">
        <v>86</v>
      </c>
      <c r="B136" s="680" t="s">
        <v>1148</v>
      </c>
      <c r="C136" s="690" t="s">
        <v>1125</v>
      </c>
      <c r="D136" s="691" t="s">
        <v>14</v>
      </c>
      <c r="E136" s="691">
        <v>6</v>
      </c>
      <c r="F136" s="720">
        <v>51901.78</v>
      </c>
      <c r="G136" s="720">
        <v>311411</v>
      </c>
      <c r="H136" s="685">
        <v>0</v>
      </c>
      <c r="I136" s="686">
        <v>0</v>
      </c>
      <c r="J136" s="683">
        <v>6</v>
      </c>
      <c r="K136" s="684">
        <v>311411</v>
      </c>
      <c r="L136" s="683">
        <v>0</v>
      </c>
      <c r="M136" s="684">
        <v>0</v>
      </c>
      <c r="N136" s="683">
        <v>0</v>
      </c>
      <c r="O136" s="687">
        <v>0</v>
      </c>
      <c r="P136" s="656"/>
      <c r="Q136" s="656"/>
      <c r="R136" s="656"/>
      <c r="S136" s="656"/>
      <c r="T136" s="656"/>
      <c r="U136" s="656"/>
      <c r="V136" s="656"/>
      <c r="W136" s="656"/>
      <c r="X136" s="656"/>
      <c r="Y136" s="656"/>
      <c r="Z136" s="656"/>
      <c r="AA136" s="656"/>
      <c r="AB136" s="656"/>
      <c r="AC136" s="656"/>
      <c r="AD136" s="656"/>
      <c r="AE136" s="656"/>
      <c r="AF136" s="656"/>
      <c r="AG136" s="656"/>
      <c r="AH136" s="656"/>
      <c r="AI136" s="656"/>
      <c r="AJ136" s="656"/>
      <c r="AK136" s="656"/>
      <c r="AL136" s="656"/>
      <c r="AM136" s="656"/>
      <c r="AN136" s="656"/>
      <c r="AO136" s="656"/>
      <c r="AP136" s="656"/>
      <c r="AQ136" s="656"/>
      <c r="AR136" s="656"/>
      <c r="AS136" s="656"/>
      <c r="AT136" s="656"/>
      <c r="AU136" s="656"/>
      <c r="AV136" s="656"/>
      <c r="AW136" s="656"/>
      <c r="AX136" s="656"/>
      <c r="AY136" s="656"/>
      <c r="AZ136" s="656"/>
      <c r="BA136" s="656"/>
      <c r="BB136" s="656"/>
      <c r="BC136" s="656"/>
      <c r="BD136" s="656"/>
      <c r="BE136" s="656"/>
      <c r="BF136" s="656"/>
      <c r="BG136" s="656"/>
      <c r="BH136" s="656"/>
      <c r="BI136" s="656"/>
      <c r="BJ136" s="656"/>
      <c r="BK136" s="656"/>
      <c r="BL136" s="656"/>
      <c r="BM136" s="656"/>
      <c r="BN136" s="656"/>
      <c r="BO136" s="656"/>
      <c r="BP136" s="656"/>
      <c r="BQ136" s="656"/>
      <c r="BR136" s="656"/>
      <c r="BS136" s="656"/>
      <c r="BT136" s="656"/>
      <c r="BU136" s="656"/>
      <c r="BV136" s="656"/>
      <c r="BW136" s="656"/>
      <c r="BX136" s="656"/>
      <c r="BY136" s="656"/>
      <c r="BZ136" s="656"/>
      <c r="CA136" s="656"/>
      <c r="CB136" s="656"/>
      <c r="CC136" s="656"/>
      <c r="CD136" s="656"/>
      <c r="CE136" s="656"/>
      <c r="CF136" s="656"/>
      <c r="CG136" s="656"/>
      <c r="CH136" s="656"/>
      <c r="CI136" s="656"/>
      <c r="CJ136" s="656"/>
      <c r="CK136" s="656"/>
      <c r="CL136" s="656"/>
      <c r="CM136" s="656"/>
      <c r="CN136" s="656"/>
      <c r="CO136" s="656"/>
      <c r="CP136" s="656"/>
      <c r="CQ136" s="656"/>
      <c r="CR136" s="656"/>
      <c r="CS136" s="656"/>
      <c r="CT136" s="656"/>
      <c r="CU136" s="656"/>
      <c r="CV136" s="656"/>
      <c r="CW136" s="656"/>
      <c r="CX136" s="656"/>
      <c r="CY136" s="656"/>
      <c r="CZ136" s="656"/>
      <c r="DA136" s="656"/>
      <c r="DB136" s="656"/>
      <c r="DC136" s="656"/>
      <c r="DD136" s="656"/>
      <c r="DE136" s="656"/>
      <c r="DF136" s="656"/>
      <c r="DG136" s="656"/>
      <c r="DH136" s="656"/>
      <c r="DI136" s="656"/>
      <c r="DJ136" s="656"/>
      <c r="DK136" s="656"/>
      <c r="DL136" s="656"/>
      <c r="DM136" s="656"/>
      <c r="DN136" s="656"/>
      <c r="DO136" s="656"/>
      <c r="DP136" s="656"/>
      <c r="DQ136" s="656"/>
      <c r="DR136" s="656"/>
      <c r="DS136" s="656"/>
      <c r="DT136" s="656"/>
      <c r="DU136" s="656"/>
      <c r="DV136" s="656"/>
      <c r="DW136" s="656"/>
      <c r="DX136" s="656"/>
      <c r="DY136" s="656"/>
      <c r="DZ136" s="656"/>
      <c r="EA136" s="656"/>
      <c r="EB136" s="656"/>
      <c r="EC136" s="656"/>
      <c r="ED136" s="656"/>
      <c r="EE136" s="656"/>
      <c r="EF136" s="656"/>
      <c r="EG136" s="656"/>
      <c r="EH136" s="656"/>
      <c r="EI136" s="656"/>
      <c r="EJ136" s="656"/>
      <c r="EK136" s="656"/>
      <c r="EL136" s="656"/>
      <c r="EM136" s="656"/>
      <c r="EN136" s="656"/>
      <c r="EO136" s="656"/>
      <c r="EP136" s="656"/>
      <c r="EQ136" s="656"/>
      <c r="ER136" s="656"/>
      <c r="ES136" s="656"/>
      <c r="ET136" s="656"/>
      <c r="EU136" s="656"/>
      <c r="EV136" s="656"/>
      <c r="EW136" s="656"/>
      <c r="EX136" s="656"/>
      <c r="EY136" s="656"/>
      <c r="EZ136" s="656"/>
      <c r="FA136" s="656"/>
      <c r="FB136" s="656"/>
      <c r="FC136" s="656"/>
      <c r="FD136" s="656"/>
      <c r="FE136" s="656"/>
      <c r="FF136" s="656"/>
      <c r="FG136" s="656"/>
      <c r="FH136" s="656"/>
      <c r="FI136" s="656"/>
      <c r="FJ136" s="656"/>
      <c r="FK136" s="656"/>
      <c r="FL136" s="656"/>
      <c r="FM136" s="656"/>
      <c r="FN136" s="656"/>
      <c r="FO136" s="656"/>
      <c r="FP136" s="656"/>
      <c r="FQ136" s="656"/>
      <c r="FR136" s="656"/>
      <c r="FS136" s="656"/>
      <c r="FT136" s="656"/>
      <c r="FU136" s="656"/>
      <c r="FV136" s="656"/>
      <c r="FW136" s="656"/>
      <c r="FX136" s="656"/>
      <c r="FY136" s="656"/>
      <c r="FZ136" s="656"/>
      <c r="GA136" s="656"/>
      <c r="GB136" s="656"/>
      <c r="GC136" s="656"/>
      <c r="GD136" s="656"/>
      <c r="GE136" s="656"/>
      <c r="GF136" s="656"/>
      <c r="GG136" s="656"/>
      <c r="GH136" s="656"/>
      <c r="GI136" s="656"/>
      <c r="GJ136" s="656"/>
      <c r="GK136" s="656"/>
      <c r="GL136" s="656"/>
      <c r="GM136" s="656"/>
      <c r="GN136" s="656"/>
      <c r="GO136" s="656"/>
      <c r="GP136" s="656"/>
      <c r="GQ136" s="656"/>
      <c r="GR136" s="656"/>
      <c r="GS136" s="656"/>
      <c r="GT136" s="656"/>
      <c r="GU136" s="656"/>
      <c r="GV136" s="656"/>
      <c r="GW136" s="656"/>
      <c r="GX136" s="656"/>
      <c r="GY136" s="656"/>
      <c r="GZ136" s="656"/>
      <c r="HA136" s="656"/>
      <c r="HB136" s="656"/>
      <c r="HC136" s="656"/>
      <c r="HD136" s="656"/>
      <c r="HE136" s="656"/>
      <c r="HF136" s="656"/>
      <c r="HG136" s="656"/>
      <c r="HH136" s="656"/>
      <c r="HI136" s="656"/>
      <c r="HJ136" s="656"/>
      <c r="HK136" s="656"/>
      <c r="HL136" s="656"/>
      <c r="HM136" s="656"/>
      <c r="HN136" s="656"/>
      <c r="HO136" s="656"/>
      <c r="HP136" s="656"/>
      <c r="HQ136" s="656"/>
      <c r="HR136" s="656"/>
      <c r="HS136" s="656"/>
      <c r="HT136" s="656"/>
      <c r="HU136" s="656"/>
      <c r="HV136" s="656"/>
      <c r="HW136" s="656"/>
    </row>
    <row r="137" spans="1:231" s="657" customFormat="1" x14ac:dyDescent="0.25">
      <c r="A137" s="646">
        <v>87</v>
      </c>
      <c r="B137" s="680" t="s">
        <v>1149</v>
      </c>
      <c r="C137" s="690" t="s">
        <v>1127</v>
      </c>
      <c r="D137" s="691" t="s">
        <v>6</v>
      </c>
      <c r="E137" s="691">
        <v>2</v>
      </c>
      <c r="F137" s="720">
        <v>136112.20000000001</v>
      </c>
      <c r="G137" s="720">
        <v>272224</v>
      </c>
      <c r="H137" s="685">
        <v>0</v>
      </c>
      <c r="I137" s="686">
        <v>0</v>
      </c>
      <c r="J137" s="683">
        <v>2</v>
      </c>
      <c r="K137" s="684">
        <v>272224</v>
      </c>
      <c r="L137" s="683">
        <v>0</v>
      </c>
      <c r="M137" s="684">
        <v>0</v>
      </c>
      <c r="N137" s="683">
        <v>0</v>
      </c>
      <c r="O137" s="687">
        <v>0</v>
      </c>
      <c r="P137" s="656"/>
      <c r="Q137" s="656"/>
      <c r="R137" s="656"/>
      <c r="S137" s="656"/>
      <c r="T137" s="656"/>
      <c r="U137" s="656"/>
      <c r="V137" s="656"/>
      <c r="W137" s="656"/>
      <c r="X137" s="656"/>
      <c r="Y137" s="656"/>
      <c r="Z137" s="656"/>
      <c r="AA137" s="656"/>
      <c r="AB137" s="656"/>
      <c r="AC137" s="656"/>
      <c r="AD137" s="656"/>
      <c r="AE137" s="656"/>
      <c r="AF137" s="656"/>
      <c r="AG137" s="656"/>
      <c r="AH137" s="656"/>
      <c r="AI137" s="656"/>
      <c r="AJ137" s="656"/>
      <c r="AK137" s="656"/>
      <c r="AL137" s="656"/>
      <c r="AM137" s="656"/>
      <c r="AN137" s="656"/>
      <c r="AO137" s="656"/>
      <c r="AP137" s="656"/>
      <c r="AQ137" s="656"/>
      <c r="AR137" s="656"/>
      <c r="AS137" s="656"/>
      <c r="AT137" s="656"/>
      <c r="AU137" s="656"/>
      <c r="AV137" s="656"/>
      <c r="AW137" s="656"/>
      <c r="AX137" s="656"/>
      <c r="AY137" s="656"/>
      <c r="AZ137" s="656"/>
      <c r="BA137" s="656"/>
      <c r="BB137" s="656"/>
      <c r="BC137" s="656"/>
      <c r="BD137" s="656"/>
      <c r="BE137" s="656"/>
      <c r="BF137" s="656"/>
      <c r="BG137" s="656"/>
      <c r="BH137" s="656"/>
      <c r="BI137" s="656"/>
      <c r="BJ137" s="656"/>
      <c r="BK137" s="656"/>
      <c r="BL137" s="656"/>
      <c r="BM137" s="656"/>
      <c r="BN137" s="656"/>
      <c r="BO137" s="656"/>
      <c r="BP137" s="656"/>
      <c r="BQ137" s="656"/>
      <c r="BR137" s="656"/>
      <c r="BS137" s="656"/>
      <c r="BT137" s="656"/>
      <c r="BU137" s="656"/>
      <c r="BV137" s="656"/>
      <c r="BW137" s="656"/>
      <c r="BX137" s="656"/>
      <c r="BY137" s="656"/>
      <c r="BZ137" s="656"/>
      <c r="CA137" s="656"/>
      <c r="CB137" s="656"/>
      <c r="CC137" s="656"/>
      <c r="CD137" s="656"/>
      <c r="CE137" s="656"/>
      <c r="CF137" s="656"/>
      <c r="CG137" s="656"/>
      <c r="CH137" s="656"/>
      <c r="CI137" s="656"/>
      <c r="CJ137" s="656"/>
      <c r="CK137" s="656"/>
      <c r="CL137" s="656"/>
      <c r="CM137" s="656"/>
      <c r="CN137" s="656"/>
      <c r="CO137" s="656"/>
      <c r="CP137" s="656"/>
      <c r="CQ137" s="656"/>
      <c r="CR137" s="656"/>
      <c r="CS137" s="656"/>
      <c r="CT137" s="656"/>
      <c r="CU137" s="656"/>
      <c r="CV137" s="656"/>
      <c r="CW137" s="656"/>
      <c r="CX137" s="656"/>
      <c r="CY137" s="656"/>
      <c r="CZ137" s="656"/>
      <c r="DA137" s="656"/>
      <c r="DB137" s="656"/>
      <c r="DC137" s="656"/>
      <c r="DD137" s="656"/>
      <c r="DE137" s="656"/>
      <c r="DF137" s="656"/>
      <c r="DG137" s="656"/>
      <c r="DH137" s="656"/>
      <c r="DI137" s="656"/>
      <c r="DJ137" s="656"/>
      <c r="DK137" s="656"/>
      <c r="DL137" s="656"/>
      <c r="DM137" s="656"/>
      <c r="DN137" s="656"/>
      <c r="DO137" s="656"/>
      <c r="DP137" s="656"/>
      <c r="DQ137" s="656"/>
      <c r="DR137" s="656"/>
      <c r="DS137" s="656"/>
      <c r="DT137" s="656"/>
      <c r="DU137" s="656"/>
      <c r="DV137" s="656"/>
      <c r="DW137" s="656"/>
      <c r="DX137" s="656"/>
      <c r="DY137" s="656"/>
      <c r="DZ137" s="656"/>
      <c r="EA137" s="656"/>
      <c r="EB137" s="656"/>
      <c r="EC137" s="656"/>
      <c r="ED137" s="656"/>
      <c r="EE137" s="656"/>
      <c r="EF137" s="656"/>
      <c r="EG137" s="656"/>
      <c r="EH137" s="656"/>
      <c r="EI137" s="656"/>
      <c r="EJ137" s="656"/>
      <c r="EK137" s="656"/>
      <c r="EL137" s="656"/>
      <c r="EM137" s="656"/>
      <c r="EN137" s="656"/>
      <c r="EO137" s="656"/>
      <c r="EP137" s="656"/>
      <c r="EQ137" s="656"/>
      <c r="ER137" s="656"/>
      <c r="ES137" s="656"/>
      <c r="ET137" s="656"/>
      <c r="EU137" s="656"/>
      <c r="EV137" s="656"/>
      <c r="EW137" s="656"/>
      <c r="EX137" s="656"/>
      <c r="EY137" s="656"/>
      <c r="EZ137" s="656"/>
      <c r="FA137" s="656"/>
      <c r="FB137" s="656"/>
      <c r="FC137" s="656"/>
      <c r="FD137" s="656"/>
      <c r="FE137" s="656"/>
      <c r="FF137" s="656"/>
      <c r="FG137" s="656"/>
      <c r="FH137" s="656"/>
      <c r="FI137" s="656"/>
      <c r="FJ137" s="656"/>
      <c r="FK137" s="656"/>
      <c r="FL137" s="656"/>
      <c r="FM137" s="656"/>
      <c r="FN137" s="656"/>
      <c r="FO137" s="656"/>
      <c r="FP137" s="656"/>
      <c r="FQ137" s="656"/>
      <c r="FR137" s="656"/>
      <c r="FS137" s="656"/>
      <c r="FT137" s="656"/>
      <c r="FU137" s="656"/>
      <c r="FV137" s="656"/>
      <c r="FW137" s="656"/>
      <c r="FX137" s="656"/>
      <c r="FY137" s="656"/>
      <c r="FZ137" s="656"/>
      <c r="GA137" s="656"/>
      <c r="GB137" s="656"/>
      <c r="GC137" s="656"/>
      <c r="GD137" s="656"/>
      <c r="GE137" s="656"/>
      <c r="GF137" s="656"/>
      <c r="GG137" s="656"/>
      <c r="GH137" s="656"/>
      <c r="GI137" s="656"/>
      <c r="GJ137" s="656"/>
      <c r="GK137" s="656"/>
      <c r="GL137" s="656"/>
      <c r="GM137" s="656"/>
      <c r="GN137" s="656"/>
      <c r="GO137" s="656"/>
      <c r="GP137" s="656"/>
      <c r="GQ137" s="656"/>
      <c r="GR137" s="656"/>
      <c r="GS137" s="656"/>
      <c r="GT137" s="656"/>
      <c r="GU137" s="656"/>
      <c r="GV137" s="656"/>
      <c r="GW137" s="656"/>
      <c r="GX137" s="656"/>
      <c r="GY137" s="656"/>
      <c r="GZ137" s="656"/>
      <c r="HA137" s="656"/>
      <c r="HB137" s="656"/>
      <c r="HC137" s="656"/>
      <c r="HD137" s="656"/>
      <c r="HE137" s="656"/>
      <c r="HF137" s="656"/>
      <c r="HG137" s="656"/>
      <c r="HH137" s="656"/>
      <c r="HI137" s="656"/>
      <c r="HJ137" s="656"/>
      <c r="HK137" s="656"/>
      <c r="HL137" s="656"/>
      <c r="HM137" s="656"/>
      <c r="HN137" s="656"/>
      <c r="HO137" s="656"/>
      <c r="HP137" s="656"/>
      <c r="HQ137" s="656"/>
      <c r="HR137" s="656"/>
      <c r="HS137" s="656"/>
      <c r="HT137" s="656"/>
      <c r="HU137" s="656"/>
      <c r="HV137" s="656"/>
      <c r="HW137" s="656"/>
    </row>
    <row r="138" spans="1:231" s="657" customFormat="1" x14ac:dyDescent="0.25">
      <c r="A138" s="646">
        <v>88</v>
      </c>
      <c r="B138" s="680" t="s">
        <v>1150</v>
      </c>
      <c r="C138" s="690" t="s">
        <v>851</v>
      </c>
      <c r="D138" s="691" t="s">
        <v>6</v>
      </c>
      <c r="E138" s="691">
        <v>2</v>
      </c>
      <c r="F138" s="720">
        <v>78843.94</v>
      </c>
      <c r="G138" s="720">
        <v>157688</v>
      </c>
      <c r="H138" s="685">
        <v>0</v>
      </c>
      <c r="I138" s="686">
        <v>0</v>
      </c>
      <c r="J138" s="683">
        <v>2</v>
      </c>
      <c r="K138" s="684">
        <v>157688</v>
      </c>
      <c r="L138" s="683">
        <v>0</v>
      </c>
      <c r="M138" s="684">
        <v>0</v>
      </c>
      <c r="N138" s="683">
        <v>0</v>
      </c>
      <c r="O138" s="687">
        <v>0</v>
      </c>
      <c r="P138" s="656"/>
      <c r="Q138" s="656"/>
      <c r="R138" s="656"/>
      <c r="S138" s="656"/>
      <c r="T138" s="656"/>
      <c r="U138" s="656"/>
      <c r="V138" s="656"/>
      <c r="W138" s="656"/>
      <c r="X138" s="656"/>
      <c r="Y138" s="656"/>
      <c r="Z138" s="656"/>
      <c r="AA138" s="656"/>
      <c r="AB138" s="656"/>
      <c r="AC138" s="656"/>
      <c r="AD138" s="656"/>
      <c r="AE138" s="656"/>
      <c r="AF138" s="656"/>
      <c r="AG138" s="656"/>
      <c r="AH138" s="656"/>
      <c r="AI138" s="656"/>
      <c r="AJ138" s="656"/>
      <c r="AK138" s="656"/>
      <c r="AL138" s="656"/>
      <c r="AM138" s="656"/>
      <c r="AN138" s="656"/>
      <c r="AO138" s="656"/>
      <c r="AP138" s="656"/>
      <c r="AQ138" s="656"/>
      <c r="AR138" s="656"/>
      <c r="AS138" s="656"/>
      <c r="AT138" s="656"/>
      <c r="AU138" s="656"/>
      <c r="AV138" s="656"/>
      <c r="AW138" s="656"/>
      <c r="AX138" s="656"/>
      <c r="AY138" s="656"/>
      <c r="AZ138" s="656"/>
      <c r="BA138" s="656"/>
      <c r="BB138" s="656"/>
      <c r="BC138" s="656"/>
      <c r="BD138" s="656"/>
      <c r="BE138" s="656"/>
      <c r="BF138" s="656"/>
      <c r="BG138" s="656"/>
      <c r="BH138" s="656"/>
      <c r="BI138" s="656"/>
      <c r="BJ138" s="656"/>
      <c r="BK138" s="656"/>
      <c r="BL138" s="656"/>
      <c r="BM138" s="656"/>
      <c r="BN138" s="656"/>
      <c r="BO138" s="656"/>
      <c r="BP138" s="656"/>
      <c r="BQ138" s="656"/>
      <c r="BR138" s="656"/>
      <c r="BS138" s="656"/>
      <c r="BT138" s="656"/>
      <c r="BU138" s="656"/>
      <c r="BV138" s="656"/>
      <c r="BW138" s="656"/>
      <c r="BX138" s="656"/>
      <c r="BY138" s="656"/>
      <c r="BZ138" s="656"/>
      <c r="CA138" s="656"/>
      <c r="CB138" s="656"/>
      <c r="CC138" s="656"/>
      <c r="CD138" s="656"/>
      <c r="CE138" s="656"/>
      <c r="CF138" s="656"/>
      <c r="CG138" s="656"/>
      <c r="CH138" s="656"/>
      <c r="CI138" s="656"/>
      <c r="CJ138" s="656"/>
      <c r="CK138" s="656"/>
      <c r="CL138" s="656"/>
      <c r="CM138" s="656"/>
      <c r="CN138" s="656"/>
      <c r="CO138" s="656"/>
      <c r="CP138" s="656"/>
      <c r="CQ138" s="656"/>
      <c r="CR138" s="656"/>
      <c r="CS138" s="656"/>
      <c r="CT138" s="656"/>
      <c r="CU138" s="656"/>
      <c r="CV138" s="656"/>
      <c r="CW138" s="656"/>
      <c r="CX138" s="656"/>
      <c r="CY138" s="656"/>
      <c r="CZ138" s="656"/>
      <c r="DA138" s="656"/>
      <c r="DB138" s="656"/>
      <c r="DC138" s="656"/>
      <c r="DD138" s="656"/>
      <c r="DE138" s="656"/>
      <c r="DF138" s="656"/>
      <c r="DG138" s="656"/>
      <c r="DH138" s="656"/>
      <c r="DI138" s="656"/>
      <c r="DJ138" s="656"/>
      <c r="DK138" s="656"/>
      <c r="DL138" s="656"/>
      <c r="DM138" s="656"/>
      <c r="DN138" s="656"/>
      <c r="DO138" s="656"/>
      <c r="DP138" s="656"/>
      <c r="DQ138" s="656"/>
      <c r="DR138" s="656"/>
      <c r="DS138" s="656"/>
      <c r="DT138" s="656"/>
      <c r="DU138" s="656"/>
      <c r="DV138" s="656"/>
      <c r="DW138" s="656"/>
      <c r="DX138" s="656"/>
      <c r="DY138" s="656"/>
      <c r="DZ138" s="656"/>
      <c r="EA138" s="656"/>
      <c r="EB138" s="656"/>
      <c r="EC138" s="656"/>
      <c r="ED138" s="656"/>
      <c r="EE138" s="656"/>
      <c r="EF138" s="656"/>
      <c r="EG138" s="656"/>
      <c r="EH138" s="656"/>
      <c r="EI138" s="656"/>
      <c r="EJ138" s="656"/>
      <c r="EK138" s="656"/>
      <c r="EL138" s="656"/>
      <c r="EM138" s="656"/>
      <c r="EN138" s="656"/>
      <c r="EO138" s="656"/>
      <c r="EP138" s="656"/>
      <c r="EQ138" s="656"/>
      <c r="ER138" s="656"/>
      <c r="ES138" s="656"/>
      <c r="ET138" s="656"/>
      <c r="EU138" s="656"/>
      <c r="EV138" s="656"/>
      <c r="EW138" s="656"/>
      <c r="EX138" s="656"/>
      <c r="EY138" s="656"/>
      <c r="EZ138" s="656"/>
      <c r="FA138" s="656"/>
      <c r="FB138" s="656"/>
      <c r="FC138" s="656"/>
      <c r="FD138" s="656"/>
      <c r="FE138" s="656"/>
      <c r="FF138" s="656"/>
      <c r="FG138" s="656"/>
      <c r="FH138" s="656"/>
      <c r="FI138" s="656"/>
      <c r="FJ138" s="656"/>
      <c r="FK138" s="656"/>
      <c r="FL138" s="656"/>
      <c r="FM138" s="656"/>
      <c r="FN138" s="656"/>
      <c r="FO138" s="656"/>
      <c r="FP138" s="656"/>
      <c r="FQ138" s="656"/>
      <c r="FR138" s="656"/>
      <c r="FS138" s="656"/>
      <c r="FT138" s="656"/>
      <c r="FU138" s="656"/>
      <c r="FV138" s="656"/>
      <c r="FW138" s="656"/>
      <c r="FX138" s="656"/>
      <c r="FY138" s="656"/>
      <c r="FZ138" s="656"/>
      <c r="GA138" s="656"/>
      <c r="GB138" s="656"/>
      <c r="GC138" s="656"/>
      <c r="GD138" s="656"/>
      <c r="GE138" s="656"/>
      <c r="GF138" s="656"/>
      <c r="GG138" s="656"/>
      <c r="GH138" s="656"/>
      <c r="GI138" s="656"/>
      <c r="GJ138" s="656"/>
      <c r="GK138" s="656"/>
      <c r="GL138" s="656"/>
      <c r="GM138" s="656"/>
      <c r="GN138" s="656"/>
      <c r="GO138" s="656"/>
      <c r="GP138" s="656"/>
      <c r="GQ138" s="656"/>
      <c r="GR138" s="656"/>
      <c r="GS138" s="656"/>
      <c r="GT138" s="656"/>
      <c r="GU138" s="656"/>
      <c r="GV138" s="656"/>
      <c r="GW138" s="656"/>
      <c r="GX138" s="656"/>
      <c r="GY138" s="656"/>
      <c r="GZ138" s="656"/>
      <c r="HA138" s="656"/>
      <c r="HB138" s="656"/>
      <c r="HC138" s="656"/>
      <c r="HD138" s="656"/>
      <c r="HE138" s="656"/>
      <c r="HF138" s="656"/>
      <c r="HG138" s="656"/>
      <c r="HH138" s="656"/>
      <c r="HI138" s="656"/>
      <c r="HJ138" s="656"/>
      <c r="HK138" s="656"/>
      <c r="HL138" s="656"/>
      <c r="HM138" s="656"/>
      <c r="HN138" s="656"/>
      <c r="HO138" s="656"/>
      <c r="HP138" s="656"/>
      <c r="HQ138" s="656"/>
      <c r="HR138" s="656"/>
      <c r="HS138" s="656"/>
      <c r="HT138" s="656"/>
      <c r="HU138" s="656"/>
      <c r="HV138" s="656"/>
      <c r="HW138" s="656"/>
    </row>
    <row r="139" spans="1:231" s="657" customFormat="1" x14ac:dyDescent="0.25">
      <c r="A139" s="646">
        <v>89</v>
      </c>
      <c r="B139" s="680" t="s">
        <v>1151</v>
      </c>
      <c r="C139" s="690" t="s">
        <v>1130</v>
      </c>
      <c r="D139" s="691" t="s">
        <v>19</v>
      </c>
      <c r="E139" s="691">
        <v>90</v>
      </c>
      <c r="F139" s="720">
        <v>7883.12</v>
      </c>
      <c r="G139" s="720">
        <v>709481</v>
      </c>
      <c r="H139" s="685">
        <v>0</v>
      </c>
      <c r="I139" s="686">
        <v>0</v>
      </c>
      <c r="J139" s="683">
        <v>90</v>
      </c>
      <c r="K139" s="684">
        <v>709481</v>
      </c>
      <c r="L139" s="683">
        <v>0</v>
      </c>
      <c r="M139" s="684">
        <v>0</v>
      </c>
      <c r="N139" s="683">
        <v>0</v>
      </c>
      <c r="O139" s="687">
        <v>0</v>
      </c>
      <c r="P139" s="656"/>
      <c r="Q139" s="656"/>
      <c r="R139" s="656"/>
      <c r="S139" s="656"/>
      <c r="T139" s="656"/>
      <c r="U139" s="656"/>
      <c r="V139" s="656"/>
      <c r="W139" s="656"/>
      <c r="X139" s="656"/>
      <c r="Y139" s="656"/>
      <c r="Z139" s="656"/>
      <c r="AA139" s="656"/>
      <c r="AB139" s="656"/>
      <c r="AC139" s="656"/>
      <c r="AD139" s="656"/>
      <c r="AE139" s="656"/>
      <c r="AF139" s="656"/>
      <c r="AG139" s="656"/>
      <c r="AH139" s="656"/>
      <c r="AI139" s="656"/>
      <c r="AJ139" s="656"/>
      <c r="AK139" s="656"/>
      <c r="AL139" s="656"/>
      <c r="AM139" s="656"/>
      <c r="AN139" s="656"/>
      <c r="AO139" s="656"/>
      <c r="AP139" s="656"/>
      <c r="AQ139" s="656"/>
      <c r="AR139" s="656"/>
      <c r="AS139" s="656"/>
      <c r="AT139" s="656"/>
      <c r="AU139" s="656"/>
      <c r="AV139" s="656"/>
      <c r="AW139" s="656"/>
      <c r="AX139" s="656"/>
      <c r="AY139" s="656"/>
      <c r="AZ139" s="656"/>
      <c r="BA139" s="656"/>
      <c r="BB139" s="656"/>
      <c r="BC139" s="656"/>
      <c r="BD139" s="656"/>
      <c r="BE139" s="656"/>
      <c r="BF139" s="656"/>
      <c r="BG139" s="656"/>
      <c r="BH139" s="656"/>
      <c r="BI139" s="656"/>
      <c r="BJ139" s="656"/>
      <c r="BK139" s="656"/>
      <c r="BL139" s="656"/>
      <c r="BM139" s="656"/>
      <c r="BN139" s="656"/>
      <c r="BO139" s="656"/>
      <c r="BP139" s="656"/>
      <c r="BQ139" s="656"/>
      <c r="BR139" s="656"/>
      <c r="BS139" s="656"/>
      <c r="BT139" s="656"/>
      <c r="BU139" s="656"/>
      <c r="BV139" s="656"/>
      <c r="BW139" s="656"/>
      <c r="BX139" s="656"/>
      <c r="BY139" s="656"/>
      <c r="BZ139" s="656"/>
      <c r="CA139" s="656"/>
      <c r="CB139" s="656"/>
      <c r="CC139" s="656"/>
      <c r="CD139" s="656"/>
      <c r="CE139" s="656"/>
      <c r="CF139" s="656"/>
      <c r="CG139" s="656"/>
      <c r="CH139" s="656"/>
      <c r="CI139" s="656"/>
      <c r="CJ139" s="656"/>
      <c r="CK139" s="656"/>
      <c r="CL139" s="656"/>
      <c r="CM139" s="656"/>
      <c r="CN139" s="656"/>
      <c r="CO139" s="656"/>
      <c r="CP139" s="656"/>
      <c r="CQ139" s="656"/>
      <c r="CR139" s="656"/>
      <c r="CS139" s="656"/>
      <c r="CT139" s="656"/>
      <c r="CU139" s="656"/>
      <c r="CV139" s="656"/>
      <c r="CW139" s="656"/>
      <c r="CX139" s="656"/>
      <c r="CY139" s="656"/>
      <c r="CZ139" s="656"/>
      <c r="DA139" s="656"/>
      <c r="DB139" s="656"/>
      <c r="DC139" s="656"/>
      <c r="DD139" s="656"/>
      <c r="DE139" s="656"/>
      <c r="DF139" s="656"/>
      <c r="DG139" s="656"/>
      <c r="DH139" s="656"/>
      <c r="DI139" s="656"/>
      <c r="DJ139" s="656"/>
      <c r="DK139" s="656"/>
      <c r="DL139" s="656"/>
      <c r="DM139" s="656"/>
      <c r="DN139" s="656"/>
      <c r="DO139" s="656"/>
      <c r="DP139" s="656"/>
      <c r="DQ139" s="656"/>
      <c r="DR139" s="656"/>
      <c r="DS139" s="656"/>
      <c r="DT139" s="656"/>
      <c r="DU139" s="656"/>
      <c r="DV139" s="656"/>
      <c r="DW139" s="656"/>
      <c r="DX139" s="656"/>
      <c r="DY139" s="656"/>
      <c r="DZ139" s="656"/>
      <c r="EA139" s="656"/>
      <c r="EB139" s="656"/>
      <c r="EC139" s="656"/>
      <c r="ED139" s="656"/>
      <c r="EE139" s="656"/>
      <c r="EF139" s="656"/>
      <c r="EG139" s="656"/>
      <c r="EH139" s="656"/>
      <c r="EI139" s="656"/>
      <c r="EJ139" s="656"/>
      <c r="EK139" s="656"/>
      <c r="EL139" s="656"/>
      <c r="EM139" s="656"/>
      <c r="EN139" s="656"/>
      <c r="EO139" s="656"/>
      <c r="EP139" s="656"/>
      <c r="EQ139" s="656"/>
      <c r="ER139" s="656"/>
      <c r="ES139" s="656"/>
      <c r="ET139" s="656"/>
      <c r="EU139" s="656"/>
      <c r="EV139" s="656"/>
      <c r="EW139" s="656"/>
      <c r="EX139" s="656"/>
      <c r="EY139" s="656"/>
      <c r="EZ139" s="656"/>
      <c r="FA139" s="656"/>
      <c r="FB139" s="656"/>
      <c r="FC139" s="656"/>
      <c r="FD139" s="656"/>
      <c r="FE139" s="656"/>
      <c r="FF139" s="656"/>
      <c r="FG139" s="656"/>
      <c r="FH139" s="656"/>
      <c r="FI139" s="656"/>
      <c r="FJ139" s="656"/>
      <c r="FK139" s="656"/>
      <c r="FL139" s="656"/>
      <c r="FM139" s="656"/>
      <c r="FN139" s="656"/>
      <c r="FO139" s="656"/>
      <c r="FP139" s="656"/>
      <c r="FQ139" s="656"/>
      <c r="FR139" s="656"/>
      <c r="FS139" s="656"/>
      <c r="FT139" s="656"/>
      <c r="FU139" s="656"/>
      <c r="FV139" s="656"/>
      <c r="FW139" s="656"/>
      <c r="FX139" s="656"/>
      <c r="FY139" s="656"/>
      <c r="FZ139" s="656"/>
      <c r="GA139" s="656"/>
      <c r="GB139" s="656"/>
      <c r="GC139" s="656"/>
      <c r="GD139" s="656"/>
      <c r="GE139" s="656"/>
      <c r="GF139" s="656"/>
      <c r="GG139" s="656"/>
      <c r="GH139" s="656"/>
      <c r="GI139" s="656"/>
      <c r="GJ139" s="656"/>
      <c r="GK139" s="656"/>
      <c r="GL139" s="656"/>
      <c r="GM139" s="656"/>
      <c r="GN139" s="656"/>
      <c r="GO139" s="656"/>
      <c r="GP139" s="656"/>
      <c r="GQ139" s="656"/>
      <c r="GR139" s="656"/>
      <c r="GS139" s="656"/>
      <c r="GT139" s="656"/>
      <c r="GU139" s="656"/>
      <c r="GV139" s="656"/>
      <c r="GW139" s="656"/>
      <c r="GX139" s="656"/>
      <c r="GY139" s="656"/>
      <c r="GZ139" s="656"/>
      <c r="HA139" s="656"/>
      <c r="HB139" s="656"/>
      <c r="HC139" s="656"/>
      <c r="HD139" s="656"/>
      <c r="HE139" s="656"/>
      <c r="HF139" s="656"/>
      <c r="HG139" s="656"/>
      <c r="HH139" s="656"/>
      <c r="HI139" s="656"/>
      <c r="HJ139" s="656"/>
      <c r="HK139" s="656"/>
      <c r="HL139" s="656"/>
      <c r="HM139" s="656"/>
      <c r="HN139" s="656"/>
      <c r="HO139" s="656"/>
      <c r="HP139" s="656"/>
      <c r="HQ139" s="656"/>
      <c r="HR139" s="656"/>
      <c r="HS139" s="656"/>
      <c r="HT139" s="656"/>
      <c r="HU139" s="656"/>
      <c r="HV139" s="656"/>
      <c r="HW139" s="656"/>
    </row>
    <row r="140" spans="1:231" s="657" customFormat="1" ht="28.5" x14ac:dyDescent="0.25">
      <c r="A140" s="646">
        <v>90</v>
      </c>
      <c r="B140" s="680" t="s">
        <v>1152</v>
      </c>
      <c r="C140" s="690" t="s">
        <v>86</v>
      </c>
      <c r="D140" s="691" t="s">
        <v>19</v>
      </c>
      <c r="E140" s="691">
        <v>40</v>
      </c>
      <c r="F140" s="720">
        <v>38122</v>
      </c>
      <c r="G140" s="720">
        <v>1524880</v>
      </c>
      <c r="H140" s="685">
        <v>0</v>
      </c>
      <c r="I140" s="686">
        <v>0</v>
      </c>
      <c r="J140" s="683">
        <v>40</v>
      </c>
      <c r="K140" s="684">
        <v>1524880</v>
      </c>
      <c r="L140" s="683">
        <v>0</v>
      </c>
      <c r="M140" s="684">
        <v>0</v>
      </c>
      <c r="N140" s="683">
        <v>0</v>
      </c>
      <c r="O140" s="687">
        <v>0</v>
      </c>
      <c r="P140" s="656"/>
      <c r="Q140" s="656"/>
      <c r="R140" s="656"/>
      <c r="S140" s="656"/>
      <c r="T140" s="656"/>
      <c r="U140" s="656"/>
      <c r="V140" s="656"/>
      <c r="W140" s="656"/>
      <c r="X140" s="656"/>
      <c r="Y140" s="656"/>
      <c r="Z140" s="656"/>
      <c r="AA140" s="656"/>
      <c r="AB140" s="656"/>
      <c r="AC140" s="656"/>
      <c r="AD140" s="656"/>
      <c r="AE140" s="656"/>
      <c r="AF140" s="656"/>
      <c r="AG140" s="656"/>
      <c r="AH140" s="656"/>
      <c r="AI140" s="656"/>
      <c r="AJ140" s="656"/>
      <c r="AK140" s="656"/>
      <c r="AL140" s="656"/>
      <c r="AM140" s="656"/>
      <c r="AN140" s="656"/>
      <c r="AO140" s="656"/>
      <c r="AP140" s="656"/>
      <c r="AQ140" s="656"/>
      <c r="AR140" s="656"/>
      <c r="AS140" s="656"/>
      <c r="AT140" s="656"/>
      <c r="AU140" s="656"/>
      <c r="AV140" s="656"/>
      <c r="AW140" s="656"/>
      <c r="AX140" s="656"/>
      <c r="AY140" s="656"/>
      <c r="AZ140" s="656"/>
      <c r="BA140" s="656"/>
      <c r="BB140" s="656"/>
      <c r="BC140" s="656"/>
      <c r="BD140" s="656"/>
      <c r="BE140" s="656"/>
      <c r="BF140" s="656"/>
      <c r="BG140" s="656"/>
      <c r="BH140" s="656"/>
      <c r="BI140" s="656"/>
      <c r="BJ140" s="656"/>
      <c r="BK140" s="656"/>
      <c r="BL140" s="656"/>
      <c r="BM140" s="656"/>
      <c r="BN140" s="656"/>
      <c r="BO140" s="656"/>
      <c r="BP140" s="656"/>
      <c r="BQ140" s="656"/>
      <c r="BR140" s="656"/>
      <c r="BS140" s="656"/>
      <c r="BT140" s="656"/>
      <c r="BU140" s="656"/>
      <c r="BV140" s="656"/>
      <c r="BW140" s="656"/>
      <c r="BX140" s="656"/>
      <c r="BY140" s="656"/>
      <c r="BZ140" s="656"/>
      <c r="CA140" s="656"/>
      <c r="CB140" s="656"/>
      <c r="CC140" s="656"/>
      <c r="CD140" s="656"/>
      <c r="CE140" s="656"/>
      <c r="CF140" s="656"/>
      <c r="CG140" s="656"/>
      <c r="CH140" s="656"/>
      <c r="CI140" s="656"/>
      <c r="CJ140" s="656"/>
      <c r="CK140" s="656"/>
      <c r="CL140" s="656"/>
      <c r="CM140" s="656"/>
      <c r="CN140" s="656"/>
      <c r="CO140" s="656"/>
      <c r="CP140" s="656"/>
      <c r="CQ140" s="656"/>
      <c r="CR140" s="656"/>
      <c r="CS140" s="656"/>
      <c r="CT140" s="656"/>
      <c r="CU140" s="656"/>
      <c r="CV140" s="656"/>
      <c r="CW140" s="656"/>
      <c r="CX140" s="656"/>
      <c r="CY140" s="656"/>
      <c r="CZ140" s="656"/>
      <c r="DA140" s="656"/>
      <c r="DB140" s="656"/>
      <c r="DC140" s="656"/>
      <c r="DD140" s="656"/>
      <c r="DE140" s="656"/>
      <c r="DF140" s="656"/>
      <c r="DG140" s="656"/>
      <c r="DH140" s="656"/>
      <c r="DI140" s="656"/>
      <c r="DJ140" s="656"/>
      <c r="DK140" s="656"/>
      <c r="DL140" s="656"/>
      <c r="DM140" s="656"/>
      <c r="DN140" s="656"/>
      <c r="DO140" s="656"/>
      <c r="DP140" s="656"/>
      <c r="DQ140" s="656"/>
      <c r="DR140" s="656"/>
      <c r="DS140" s="656"/>
      <c r="DT140" s="656"/>
      <c r="DU140" s="656"/>
      <c r="DV140" s="656"/>
      <c r="DW140" s="656"/>
      <c r="DX140" s="656"/>
      <c r="DY140" s="656"/>
      <c r="DZ140" s="656"/>
      <c r="EA140" s="656"/>
      <c r="EB140" s="656"/>
      <c r="EC140" s="656"/>
      <c r="ED140" s="656"/>
      <c r="EE140" s="656"/>
      <c r="EF140" s="656"/>
      <c r="EG140" s="656"/>
      <c r="EH140" s="656"/>
      <c r="EI140" s="656"/>
      <c r="EJ140" s="656"/>
      <c r="EK140" s="656"/>
      <c r="EL140" s="656"/>
      <c r="EM140" s="656"/>
      <c r="EN140" s="656"/>
      <c r="EO140" s="656"/>
      <c r="EP140" s="656"/>
      <c r="EQ140" s="656"/>
      <c r="ER140" s="656"/>
      <c r="ES140" s="656"/>
      <c r="ET140" s="656"/>
      <c r="EU140" s="656"/>
      <c r="EV140" s="656"/>
      <c r="EW140" s="656"/>
      <c r="EX140" s="656"/>
      <c r="EY140" s="656"/>
      <c r="EZ140" s="656"/>
      <c r="FA140" s="656"/>
      <c r="FB140" s="656"/>
      <c r="FC140" s="656"/>
      <c r="FD140" s="656"/>
      <c r="FE140" s="656"/>
      <c r="FF140" s="656"/>
      <c r="FG140" s="656"/>
      <c r="FH140" s="656"/>
      <c r="FI140" s="656"/>
      <c r="FJ140" s="656"/>
      <c r="FK140" s="656"/>
      <c r="FL140" s="656"/>
      <c r="FM140" s="656"/>
      <c r="FN140" s="656"/>
      <c r="FO140" s="656"/>
      <c r="FP140" s="656"/>
      <c r="FQ140" s="656"/>
      <c r="FR140" s="656"/>
      <c r="FS140" s="656"/>
      <c r="FT140" s="656"/>
      <c r="FU140" s="656"/>
      <c r="FV140" s="656"/>
      <c r="FW140" s="656"/>
      <c r="FX140" s="656"/>
      <c r="FY140" s="656"/>
      <c r="FZ140" s="656"/>
      <c r="GA140" s="656"/>
      <c r="GB140" s="656"/>
      <c r="GC140" s="656"/>
      <c r="GD140" s="656"/>
      <c r="GE140" s="656"/>
      <c r="GF140" s="656"/>
      <c r="GG140" s="656"/>
      <c r="GH140" s="656"/>
      <c r="GI140" s="656"/>
      <c r="GJ140" s="656"/>
      <c r="GK140" s="656"/>
      <c r="GL140" s="656"/>
      <c r="GM140" s="656"/>
      <c r="GN140" s="656"/>
      <c r="GO140" s="656"/>
      <c r="GP140" s="656"/>
      <c r="GQ140" s="656"/>
      <c r="GR140" s="656"/>
      <c r="GS140" s="656"/>
      <c r="GT140" s="656"/>
      <c r="GU140" s="656"/>
      <c r="GV140" s="656"/>
      <c r="GW140" s="656"/>
      <c r="GX140" s="656"/>
      <c r="GY140" s="656"/>
      <c r="GZ140" s="656"/>
      <c r="HA140" s="656"/>
      <c r="HB140" s="656"/>
      <c r="HC140" s="656"/>
      <c r="HD140" s="656"/>
      <c r="HE140" s="656"/>
      <c r="HF140" s="656"/>
      <c r="HG140" s="656"/>
      <c r="HH140" s="656"/>
      <c r="HI140" s="656"/>
      <c r="HJ140" s="656"/>
      <c r="HK140" s="656"/>
      <c r="HL140" s="656"/>
      <c r="HM140" s="656"/>
      <c r="HN140" s="656"/>
      <c r="HO140" s="656"/>
      <c r="HP140" s="656"/>
      <c r="HQ140" s="656"/>
      <c r="HR140" s="656"/>
      <c r="HS140" s="656"/>
      <c r="HT140" s="656"/>
      <c r="HU140" s="656"/>
      <c r="HV140" s="656"/>
      <c r="HW140" s="656"/>
    </row>
    <row r="141" spans="1:231" s="657" customFormat="1" x14ac:dyDescent="0.25">
      <c r="A141" s="646">
        <v>91</v>
      </c>
      <c r="B141" s="680" t="s">
        <v>1153</v>
      </c>
      <c r="C141" s="690" t="s">
        <v>88</v>
      </c>
      <c r="D141" s="691" t="s">
        <v>19</v>
      </c>
      <c r="E141" s="691">
        <v>94</v>
      </c>
      <c r="F141" s="720">
        <v>13757.24</v>
      </c>
      <c r="G141" s="720">
        <v>1293181</v>
      </c>
      <c r="H141" s="685">
        <v>0</v>
      </c>
      <c r="I141" s="686">
        <v>0</v>
      </c>
      <c r="J141" s="683">
        <v>94</v>
      </c>
      <c r="K141" s="684">
        <v>1293181</v>
      </c>
      <c r="L141" s="683">
        <v>0</v>
      </c>
      <c r="M141" s="684">
        <v>0</v>
      </c>
      <c r="N141" s="683">
        <v>0</v>
      </c>
      <c r="O141" s="687">
        <v>0</v>
      </c>
      <c r="P141" s="656"/>
      <c r="Q141" s="656"/>
      <c r="R141" s="656"/>
      <c r="S141" s="656"/>
      <c r="T141" s="656"/>
      <c r="U141" s="656"/>
      <c r="V141" s="656"/>
      <c r="W141" s="656"/>
      <c r="X141" s="656"/>
      <c r="Y141" s="656"/>
      <c r="Z141" s="656"/>
      <c r="AA141" s="656"/>
      <c r="AB141" s="656"/>
      <c r="AC141" s="656"/>
      <c r="AD141" s="656"/>
      <c r="AE141" s="656"/>
      <c r="AF141" s="656"/>
      <c r="AG141" s="656"/>
      <c r="AH141" s="656"/>
      <c r="AI141" s="656"/>
      <c r="AJ141" s="656"/>
      <c r="AK141" s="656"/>
      <c r="AL141" s="656"/>
      <c r="AM141" s="656"/>
      <c r="AN141" s="656"/>
      <c r="AO141" s="656"/>
      <c r="AP141" s="656"/>
      <c r="AQ141" s="656"/>
      <c r="AR141" s="656"/>
      <c r="AS141" s="656"/>
      <c r="AT141" s="656"/>
      <c r="AU141" s="656"/>
      <c r="AV141" s="656"/>
      <c r="AW141" s="656"/>
      <c r="AX141" s="656"/>
      <c r="AY141" s="656"/>
      <c r="AZ141" s="656"/>
      <c r="BA141" s="656"/>
      <c r="BB141" s="656"/>
      <c r="BC141" s="656"/>
      <c r="BD141" s="656"/>
      <c r="BE141" s="656"/>
      <c r="BF141" s="656"/>
      <c r="BG141" s="656"/>
      <c r="BH141" s="656"/>
      <c r="BI141" s="656"/>
      <c r="BJ141" s="656"/>
      <c r="BK141" s="656"/>
      <c r="BL141" s="656"/>
      <c r="BM141" s="656"/>
      <c r="BN141" s="656"/>
      <c r="BO141" s="656"/>
      <c r="BP141" s="656"/>
      <c r="BQ141" s="656"/>
      <c r="BR141" s="656"/>
      <c r="BS141" s="656"/>
      <c r="BT141" s="656"/>
      <c r="BU141" s="656"/>
      <c r="BV141" s="656"/>
      <c r="BW141" s="656"/>
      <c r="BX141" s="656"/>
      <c r="BY141" s="656"/>
      <c r="BZ141" s="656"/>
      <c r="CA141" s="656"/>
      <c r="CB141" s="656"/>
      <c r="CC141" s="656"/>
      <c r="CD141" s="656"/>
      <c r="CE141" s="656"/>
      <c r="CF141" s="656"/>
      <c r="CG141" s="656"/>
      <c r="CH141" s="656"/>
      <c r="CI141" s="656"/>
      <c r="CJ141" s="656"/>
      <c r="CK141" s="656"/>
      <c r="CL141" s="656"/>
      <c r="CM141" s="656"/>
      <c r="CN141" s="656"/>
      <c r="CO141" s="656"/>
      <c r="CP141" s="656"/>
      <c r="CQ141" s="656"/>
      <c r="CR141" s="656"/>
      <c r="CS141" s="656"/>
      <c r="CT141" s="656"/>
      <c r="CU141" s="656"/>
      <c r="CV141" s="656"/>
      <c r="CW141" s="656"/>
      <c r="CX141" s="656"/>
      <c r="CY141" s="656"/>
      <c r="CZ141" s="656"/>
      <c r="DA141" s="656"/>
      <c r="DB141" s="656"/>
      <c r="DC141" s="656"/>
      <c r="DD141" s="656"/>
      <c r="DE141" s="656"/>
      <c r="DF141" s="656"/>
      <c r="DG141" s="656"/>
      <c r="DH141" s="656"/>
      <c r="DI141" s="656"/>
      <c r="DJ141" s="656"/>
      <c r="DK141" s="656"/>
      <c r="DL141" s="656"/>
      <c r="DM141" s="656"/>
      <c r="DN141" s="656"/>
      <c r="DO141" s="656"/>
      <c r="DP141" s="656"/>
      <c r="DQ141" s="656"/>
      <c r="DR141" s="656"/>
      <c r="DS141" s="656"/>
      <c r="DT141" s="656"/>
      <c r="DU141" s="656"/>
      <c r="DV141" s="656"/>
      <c r="DW141" s="656"/>
      <c r="DX141" s="656"/>
      <c r="DY141" s="656"/>
      <c r="DZ141" s="656"/>
      <c r="EA141" s="656"/>
      <c r="EB141" s="656"/>
      <c r="EC141" s="656"/>
      <c r="ED141" s="656"/>
      <c r="EE141" s="656"/>
      <c r="EF141" s="656"/>
      <c r="EG141" s="656"/>
      <c r="EH141" s="656"/>
      <c r="EI141" s="656"/>
      <c r="EJ141" s="656"/>
      <c r="EK141" s="656"/>
      <c r="EL141" s="656"/>
      <c r="EM141" s="656"/>
      <c r="EN141" s="656"/>
      <c r="EO141" s="656"/>
      <c r="EP141" s="656"/>
      <c r="EQ141" s="656"/>
      <c r="ER141" s="656"/>
      <c r="ES141" s="656"/>
      <c r="ET141" s="656"/>
      <c r="EU141" s="656"/>
      <c r="EV141" s="656"/>
      <c r="EW141" s="656"/>
      <c r="EX141" s="656"/>
      <c r="EY141" s="656"/>
      <c r="EZ141" s="656"/>
      <c r="FA141" s="656"/>
      <c r="FB141" s="656"/>
      <c r="FC141" s="656"/>
      <c r="FD141" s="656"/>
      <c r="FE141" s="656"/>
      <c r="FF141" s="656"/>
      <c r="FG141" s="656"/>
      <c r="FH141" s="656"/>
      <c r="FI141" s="656"/>
      <c r="FJ141" s="656"/>
      <c r="FK141" s="656"/>
      <c r="FL141" s="656"/>
      <c r="FM141" s="656"/>
      <c r="FN141" s="656"/>
      <c r="FO141" s="656"/>
      <c r="FP141" s="656"/>
      <c r="FQ141" s="656"/>
      <c r="FR141" s="656"/>
      <c r="FS141" s="656"/>
      <c r="FT141" s="656"/>
      <c r="FU141" s="656"/>
      <c r="FV141" s="656"/>
      <c r="FW141" s="656"/>
      <c r="FX141" s="656"/>
      <c r="FY141" s="656"/>
      <c r="FZ141" s="656"/>
      <c r="GA141" s="656"/>
      <c r="GB141" s="656"/>
      <c r="GC141" s="656"/>
      <c r="GD141" s="656"/>
      <c r="GE141" s="656"/>
      <c r="GF141" s="656"/>
      <c r="GG141" s="656"/>
      <c r="GH141" s="656"/>
      <c r="GI141" s="656"/>
      <c r="GJ141" s="656"/>
      <c r="GK141" s="656"/>
      <c r="GL141" s="656"/>
      <c r="GM141" s="656"/>
      <c r="GN141" s="656"/>
      <c r="GO141" s="656"/>
      <c r="GP141" s="656"/>
      <c r="GQ141" s="656"/>
      <c r="GR141" s="656"/>
      <c r="GS141" s="656"/>
      <c r="GT141" s="656"/>
      <c r="GU141" s="656"/>
      <c r="GV141" s="656"/>
      <c r="GW141" s="656"/>
      <c r="GX141" s="656"/>
      <c r="GY141" s="656"/>
      <c r="GZ141" s="656"/>
      <c r="HA141" s="656"/>
      <c r="HB141" s="656"/>
      <c r="HC141" s="656"/>
      <c r="HD141" s="656"/>
      <c r="HE141" s="656"/>
      <c r="HF141" s="656"/>
      <c r="HG141" s="656"/>
      <c r="HH141" s="656"/>
      <c r="HI141" s="656"/>
      <c r="HJ141" s="656"/>
      <c r="HK141" s="656"/>
      <c r="HL141" s="656"/>
      <c r="HM141" s="656"/>
      <c r="HN141" s="656"/>
      <c r="HO141" s="656"/>
      <c r="HP141" s="656"/>
      <c r="HQ141" s="656"/>
      <c r="HR141" s="656"/>
      <c r="HS141" s="656"/>
      <c r="HT141" s="656"/>
      <c r="HU141" s="656"/>
      <c r="HV141" s="656"/>
      <c r="HW141" s="656"/>
    </row>
    <row r="142" spans="1:231" s="657" customFormat="1" x14ac:dyDescent="0.25">
      <c r="A142" s="646">
        <v>92</v>
      </c>
      <c r="B142" s="680" t="s">
        <v>1154</v>
      </c>
      <c r="C142" s="690" t="s">
        <v>639</v>
      </c>
      <c r="D142" s="691" t="s">
        <v>19</v>
      </c>
      <c r="E142" s="691">
        <v>94</v>
      </c>
      <c r="F142" s="720">
        <v>10546.76</v>
      </c>
      <c r="G142" s="720">
        <v>991395</v>
      </c>
      <c r="H142" s="685">
        <v>0</v>
      </c>
      <c r="I142" s="686">
        <v>0</v>
      </c>
      <c r="J142" s="683">
        <v>94</v>
      </c>
      <c r="K142" s="684">
        <v>991395</v>
      </c>
      <c r="L142" s="683">
        <v>0</v>
      </c>
      <c r="M142" s="684">
        <v>0</v>
      </c>
      <c r="N142" s="683">
        <v>0</v>
      </c>
      <c r="O142" s="687">
        <v>0</v>
      </c>
      <c r="P142" s="656"/>
      <c r="Q142" s="656"/>
      <c r="R142" s="656"/>
      <c r="S142" s="656"/>
      <c r="T142" s="656"/>
      <c r="U142" s="656"/>
      <c r="V142" s="656"/>
      <c r="W142" s="656"/>
      <c r="X142" s="656"/>
      <c r="Y142" s="656"/>
      <c r="Z142" s="656"/>
      <c r="AA142" s="656"/>
      <c r="AB142" s="656"/>
      <c r="AC142" s="656"/>
      <c r="AD142" s="656"/>
      <c r="AE142" s="656"/>
      <c r="AF142" s="656"/>
      <c r="AG142" s="656"/>
      <c r="AH142" s="656"/>
      <c r="AI142" s="656"/>
      <c r="AJ142" s="656"/>
      <c r="AK142" s="656"/>
      <c r="AL142" s="656"/>
      <c r="AM142" s="656"/>
      <c r="AN142" s="656"/>
      <c r="AO142" s="656"/>
      <c r="AP142" s="656"/>
      <c r="AQ142" s="656"/>
      <c r="AR142" s="656"/>
      <c r="AS142" s="656"/>
      <c r="AT142" s="656"/>
      <c r="AU142" s="656"/>
      <c r="AV142" s="656"/>
      <c r="AW142" s="656"/>
      <c r="AX142" s="656"/>
      <c r="AY142" s="656"/>
      <c r="AZ142" s="656"/>
      <c r="BA142" s="656"/>
      <c r="BB142" s="656"/>
      <c r="BC142" s="656"/>
      <c r="BD142" s="656"/>
      <c r="BE142" s="656"/>
      <c r="BF142" s="656"/>
      <c r="BG142" s="656"/>
      <c r="BH142" s="656"/>
      <c r="BI142" s="656"/>
      <c r="BJ142" s="656"/>
      <c r="BK142" s="656"/>
      <c r="BL142" s="656"/>
      <c r="BM142" s="656"/>
      <c r="BN142" s="656"/>
      <c r="BO142" s="656"/>
      <c r="BP142" s="656"/>
      <c r="BQ142" s="656"/>
      <c r="BR142" s="656"/>
      <c r="BS142" s="656"/>
      <c r="BT142" s="656"/>
      <c r="BU142" s="656"/>
      <c r="BV142" s="656"/>
      <c r="BW142" s="656"/>
      <c r="BX142" s="656"/>
      <c r="BY142" s="656"/>
      <c r="BZ142" s="656"/>
      <c r="CA142" s="656"/>
      <c r="CB142" s="656"/>
      <c r="CC142" s="656"/>
      <c r="CD142" s="656"/>
      <c r="CE142" s="656"/>
      <c r="CF142" s="656"/>
      <c r="CG142" s="656"/>
      <c r="CH142" s="656"/>
      <c r="CI142" s="656"/>
      <c r="CJ142" s="656"/>
      <c r="CK142" s="656"/>
      <c r="CL142" s="656"/>
      <c r="CM142" s="656"/>
      <c r="CN142" s="656"/>
      <c r="CO142" s="656"/>
      <c r="CP142" s="656"/>
      <c r="CQ142" s="656"/>
      <c r="CR142" s="656"/>
      <c r="CS142" s="656"/>
      <c r="CT142" s="656"/>
      <c r="CU142" s="656"/>
      <c r="CV142" s="656"/>
      <c r="CW142" s="656"/>
      <c r="CX142" s="656"/>
      <c r="CY142" s="656"/>
      <c r="CZ142" s="656"/>
      <c r="DA142" s="656"/>
      <c r="DB142" s="656"/>
      <c r="DC142" s="656"/>
      <c r="DD142" s="656"/>
      <c r="DE142" s="656"/>
      <c r="DF142" s="656"/>
      <c r="DG142" s="656"/>
      <c r="DH142" s="656"/>
      <c r="DI142" s="656"/>
      <c r="DJ142" s="656"/>
      <c r="DK142" s="656"/>
      <c r="DL142" s="656"/>
      <c r="DM142" s="656"/>
      <c r="DN142" s="656"/>
      <c r="DO142" s="656"/>
      <c r="DP142" s="656"/>
      <c r="DQ142" s="656"/>
      <c r="DR142" s="656"/>
      <c r="DS142" s="656"/>
      <c r="DT142" s="656"/>
      <c r="DU142" s="656"/>
      <c r="DV142" s="656"/>
      <c r="DW142" s="656"/>
      <c r="DX142" s="656"/>
      <c r="DY142" s="656"/>
      <c r="DZ142" s="656"/>
      <c r="EA142" s="656"/>
      <c r="EB142" s="656"/>
      <c r="EC142" s="656"/>
      <c r="ED142" s="656"/>
      <c r="EE142" s="656"/>
      <c r="EF142" s="656"/>
      <c r="EG142" s="656"/>
      <c r="EH142" s="656"/>
      <c r="EI142" s="656"/>
      <c r="EJ142" s="656"/>
      <c r="EK142" s="656"/>
      <c r="EL142" s="656"/>
      <c r="EM142" s="656"/>
      <c r="EN142" s="656"/>
      <c r="EO142" s="656"/>
      <c r="EP142" s="656"/>
      <c r="EQ142" s="656"/>
      <c r="ER142" s="656"/>
      <c r="ES142" s="656"/>
      <c r="ET142" s="656"/>
      <c r="EU142" s="656"/>
      <c r="EV142" s="656"/>
      <c r="EW142" s="656"/>
      <c r="EX142" s="656"/>
      <c r="EY142" s="656"/>
      <c r="EZ142" s="656"/>
      <c r="FA142" s="656"/>
      <c r="FB142" s="656"/>
      <c r="FC142" s="656"/>
      <c r="FD142" s="656"/>
      <c r="FE142" s="656"/>
      <c r="FF142" s="656"/>
      <c r="FG142" s="656"/>
      <c r="FH142" s="656"/>
      <c r="FI142" s="656"/>
      <c r="FJ142" s="656"/>
      <c r="FK142" s="656"/>
      <c r="FL142" s="656"/>
      <c r="FM142" s="656"/>
      <c r="FN142" s="656"/>
      <c r="FO142" s="656"/>
      <c r="FP142" s="656"/>
      <c r="FQ142" s="656"/>
      <c r="FR142" s="656"/>
      <c r="FS142" s="656"/>
      <c r="FT142" s="656"/>
      <c r="FU142" s="656"/>
      <c r="FV142" s="656"/>
      <c r="FW142" s="656"/>
      <c r="FX142" s="656"/>
      <c r="FY142" s="656"/>
      <c r="FZ142" s="656"/>
      <c r="GA142" s="656"/>
      <c r="GB142" s="656"/>
      <c r="GC142" s="656"/>
      <c r="GD142" s="656"/>
      <c r="GE142" s="656"/>
      <c r="GF142" s="656"/>
      <c r="GG142" s="656"/>
      <c r="GH142" s="656"/>
      <c r="GI142" s="656"/>
      <c r="GJ142" s="656"/>
      <c r="GK142" s="656"/>
      <c r="GL142" s="656"/>
      <c r="GM142" s="656"/>
      <c r="GN142" s="656"/>
      <c r="GO142" s="656"/>
      <c r="GP142" s="656"/>
      <c r="GQ142" s="656"/>
      <c r="GR142" s="656"/>
      <c r="GS142" s="656"/>
      <c r="GT142" s="656"/>
      <c r="GU142" s="656"/>
      <c r="GV142" s="656"/>
      <c r="GW142" s="656"/>
      <c r="GX142" s="656"/>
      <c r="GY142" s="656"/>
      <c r="GZ142" s="656"/>
      <c r="HA142" s="656"/>
      <c r="HB142" s="656"/>
      <c r="HC142" s="656"/>
      <c r="HD142" s="656"/>
      <c r="HE142" s="656"/>
      <c r="HF142" s="656"/>
      <c r="HG142" s="656"/>
      <c r="HH142" s="656"/>
      <c r="HI142" s="656"/>
      <c r="HJ142" s="656"/>
      <c r="HK142" s="656"/>
      <c r="HL142" s="656"/>
      <c r="HM142" s="656"/>
      <c r="HN142" s="656"/>
      <c r="HO142" s="656"/>
      <c r="HP142" s="656"/>
      <c r="HQ142" s="656"/>
      <c r="HR142" s="656"/>
      <c r="HS142" s="656"/>
      <c r="HT142" s="656"/>
      <c r="HU142" s="656"/>
      <c r="HV142" s="656"/>
      <c r="HW142" s="656"/>
    </row>
    <row r="143" spans="1:231" s="657" customFormat="1" x14ac:dyDescent="0.25">
      <c r="A143" s="646">
        <v>93</v>
      </c>
      <c r="B143" s="680" t="s">
        <v>1155</v>
      </c>
      <c r="C143" s="690" t="s">
        <v>195</v>
      </c>
      <c r="D143" s="691" t="s">
        <v>19</v>
      </c>
      <c r="E143" s="691">
        <v>94</v>
      </c>
      <c r="F143" s="720">
        <v>3843.56</v>
      </c>
      <c r="G143" s="720">
        <v>361295</v>
      </c>
      <c r="H143" s="685">
        <v>0</v>
      </c>
      <c r="I143" s="686">
        <v>0</v>
      </c>
      <c r="J143" s="683">
        <v>94</v>
      </c>
      <c r="K143" s="684">
        <v>361295</v>
      </c>
      <c r="L143" s="683">
        <v>0</v>
      </c>
      <c r="M143" s="684">
        <v>0</v>
      </c>
      <c r="N143" s="683">
        <v>0</v>
      </c>
      <c r="O143" s="687">
        <v>0</v>
      </c>
      <c r="P143" s="656"/>
      <c r="Q143" s="656"/>
      <c r="R143" s="656"/>
      <c r="S143" s="656"/>
      <c r="T143" s="656"/>
      <c r="U143" s="656"/>
      <c r="V143" s="656"/>
      <c r="W143" s="656"/>
      <c r="X143" s="656"/>
      <c r="Y143" s="656"/>
      <c r="Z143" s="656"/>
      <c r="AA143" s="656"/>
      <c r="AB143" s="656"/>
      <c r="AC143" s="656"/>
      <c r="AD143" s="656"/>
      <c r="AE143" s="656"/>
      <c r="AF143" s="656"/>
      <c r="AG143" s="656"/>
      <c r="AH143" s="656"/>
      <c r="AI143" s="656"/>
      <c r="AJ143" s="656"/>
      <c r="AK143" s="656"/>
      <c r="AL143" s="656"/>
      <c r="AM143" s="656"/>
      <c r="AN143" s="656"/>
      <c r="AO143" s="656"/>
      <c r="AP143" s="656"/>
      <c r="AQ143" s="656"/>
      <c r="AR143" s="656"/>
      <c r="AS143" s="656"/>
      <c r="AT143" s="656"/>
      <c r="AU143" s="656"/>
      <c r="AV143" s="656"/>
      <c r="AW143" s="656"/>
      <c r="AX143" s="656"/>
      <c r="AY143" s="656"/>
      <c r="AZ143" s="656"/>
      <c r="BA143" s="656"/>
      <c r="BB143" s="656"/>
      <c r="BC143" s="656"/>
      <c r="BD143" s="656"/>
      <c r="BE143" s="656"/>
      <c r="BF143" s="656"/>
      <c r="BG143" s="656"/>
      <c r="BH143" s="656"/>
      <c r="BI143" s="656"/>
      <c r="BJ143" s="656"/>
      <c r="BK143" s="656"/>
      <c r="BL143" s="656"/>
      <c r="BM143" s="656"/>
      <c r="BN143" s="656"/>
      <c r="BO143" s="656"/>
      <c r="BP143" s="656"/>
      <c r="BQ143" s="656"/>
      <c r="BR143" s="656"/>
      <c r="BS143" s="656"/>
      <c r="BT143" s="656"/>
      <c r="BU143" s="656"/>
      <c r="BV143" s="656"/>
      <c r="BW143" s="656"/>
      <c r="BX143" s="656"/>
      <c r="BY143" s="656"/>
      <c r="BZ143" s="656"/>
      <c r="CA143" s="656"/>
      <c r="CB143" s="656"/>
      <c r="CC143" s="656"/>
      <c r="CD143" s="656"/>
      <c r="CE143" s="656"/>
      <c r="CF143" s="656"/>
      <c r="CG143" s="656"/>
      <c r="CH143" s="656"/>
      <c r="CI143" s="656"/>
      <c r="CJ143" s="656"/>
      <c r="CK143" s="656"/>
      <c r="CL143" s="656"/>
      <c r="CM143" s="656"/>
      <c r="CN143" s="656"/>
      <c r="CO143" s="656"/>
      <c r="CP143" s="656"/>
      <c r="CQ143" s="656"/>
      <c r="CR143" s="656"/>
      <c r="CS143" s="656"/>
      <c r="CT143" s="656"/>
      <c r="CU143" s="656"/>
      <c r="CV143" s="656"/>
      <c r="CW143" s="656"/>
      <c r="CX143" s="656"/>
      <c r="CY143" s="656"/>
      <c r="CZ143" s="656"/>
      <c r="DA143" s="656"/>
      <c r="DB143" s="656"/>
      <c r="DC143" s="656"/>
      <c r="DD143" s="656"/>
      <c r="DE143" s="656"/>
      <c r="DF143" s="656"/>
      <c r="DG143" s="656"/>
      <c r="DH143" s="656"/>
      <c r="DI143" s="656"/>
      <c r="DJ143" s="656"/>
      <c r="DK143" s="656"/>
      <c r="DL143" s="656"/>
      <c r="DM143" s="656"/>
      <c r="DN143" s="656"/>
      <c r="DO143" s="656"/>
      <c r="DP143" s="656"/>
      <c r="DQ143" s="656"/>
      <c r="DR143" s="656"/>
      <c r="DS143" s="656"/>
      <c r="DT143" s="656"/>
      <c r="DU143" s="656"/>
      <c r="DV143" s="656"/>
      <c r="DW143" s="656"/>
      <c r="DX143" s="656"/>
      <c r="DY143" s="656"/>
      <c r="DZ143" s="656"/>
      <c r="EA143" s="656"/>
      <c r="EB143" s="656"/>
      <c r="EC143" s="656"/>
      <c r="ED143" s="656"/>
      <c r="EE143" s="656"/>
      <c r="EF143" s="656"/>
      <c r="EG143" s="656"/>
      <c r="EH143" s="656"/>
      <c r="EI143" s="656"/>
      <c r="EJ143" s="656"/>
      <c r="EK143" s="656"/>
      <c r="EL143" s="656"/>
      <c r="EM143" s="656"/>
      <c r="EN143" s="656"/>
      <c r="EO143" s="656"/>
      <c r="EP143" s="656"/>
      <c r="EQ143" s="656"/>
      <c r="ER143" s="656"/>
      <c r="ES143" s="656"/>
      <c r="ET143" s="656"/>
      <c r="EU143" s="656"/>
      <c r="EV143" s="656"/>
      <c r="EW143" s="656"/>
      <c r="EX143" s="656"/>
      <c r="EY143" s="656"/>
      <c r="EZ143" s="656"/>
      <c r="FA143" s="656"/>
      <c r="FB143" s="656"/>
      <c r="FC143" s="656"/>
      <c r="FD143" s="656"/>
      <c r="FE143" s="656"/>
      <c r="FF143" s="656"/>
      <c r="FG143" s="656"/>
      <c r="FH143" s="656"/>
      <c r="FI143" s="656"/>
      <c r="FJ143" s="656"/>
      <c r="FK143" s="656"/>
      <c r="FL143" s="656"/>
      <c r="FM143" s="656"/>
      <c r="FN143" s="656"/>
      <c r="FO143" s="656"/>
      <c r="FP143" s="656"/>
      <c r="FQ143" s="656"/>
      <c r="FR143" s="656"/>
      <c r="FS143" s="656"/>
      <c r="FT143" s="656"/>
      <c r="FU143" s="656"/>
      <c r="FV143" s="656"/>
      <c r="FW143" s="656"/>
      <c r="FX143" s="656"/>
      <c r="FY143" s="656"/>
      <c r="FZ143" s="656"/>
      <c r="GA143" s="656"/>
      <c r="GB143" s="656"/>
      <c r="GC143" s="656"/>
      <c r="GD143" s="656"/>
      <c r="GE143" s="656"/>
      <c r="GF143" s="656"/>
      <c r="GG143" s="656"/>
      <c r="GH143" s="656"/>
      <c r="GI143" s="656"/>
      <c r="GJ143" s="656"/>
      <c r="GK143" s="656"/>
      <c r="GL143" s="656"/>
      <c r="GM143" s="656"/>
      <c r="GN143" s="656"/>
      <c r="GO143" s="656"/>
      <c r="GP143" s="656"/>
      <c r="GQ143" s="656"/>
      <c r="GR143" s="656"/>
      <c r="GS143" s="656"/>
      <c r="GT143" s="656"/>
      <c r="GU143" s="656"/>
      <c r="GV143" s="656"/>
      <c r="GW143" s="656"/>
      <c r="GX143" s="656"/>
      <c r="GY143" s="656"/>
      <c r="GZ143" s="656"/>
      <c r="HA143" s="656"/>
      <c r="HB143" s="656"/>
      <c r="HC143" s="656"/>
      <c r="HD143" s="656"/>
      <c r="HE143" s="656"/>
      <c r="HF143" s="656"/>
      <c r="HG143" s="656"/>
      <c r="HH143" s="656"/>
      <c r="HI143" s="656"/>
      <c r="HJ143" s="656"/>
      <c r="HK143" s="656"/>
      <c r="HL143" s="656"/>
      <c r="HM143" s="656"/>
      <c r="HN143" s="656"/>
      <c r="HO143" s="656"/>
      <c r="HP143" s="656"/>
      <c r="HQ143" s="656"/>
      <c r="HR143" s="656"/>
      <c r="HS143" s="656"/>
      <c r="HT143" s="656"/>
      <c r="HU143" s="656"/>
      <c r="HV143" s="656"/>
      <c r="HW143" s="656"/>
    </row>
    <row r="144" spans="1:231" s="657" customFormat="1" x14ac:dyDescent="0.25">
      <c r="A144" s="646">
        <v>45</v>
      </c>
      <c r="B144" s="680" t="s">
        <v>1035</v>
      </c>
      <c r="C144" s="681" t="s">
        <v>1036</v>
      </c>
      <c r="D144" s="691" t="s">
        <v>14</v>
      </c>
      <c r="E144" s="691">
        <v>0</v>
      </c>
      <c r="F144" s="684">
        <v>13757.24</v>
      </c>
      <c r="G144" s="720">
        <v>0</v>
      </c>
      <c r="H144" s="685">
        <v>50</v>
      </c>
      <c r="I144" s="686">
        <v>0</v>
      </c>
      <c r="J144" s="683">
        <v>50</v>
      </c>
      <c r="K144" s="684">
        <v>687862</v>
      </c>
      <c r="L144" s="683">
        <v>0</v>
      </c>
      <c r="M144" s="684">
        <v>0</v>
      </c>
      <c r="N144" s="683">
        <v>0</v>
      </c>
      <c r="O144" s="687">
        <v>0</v>
      </c>
      <c r="P144" s="656"/>
      <c r="Q144" s="656"/>
      <c r="R144" s="656"/>
      <c r="S144" s="656"/>
      <c r="T144" s="656"/>
      <c r="U144" s="656"/>
      <c r="V144" s="656"/>
      <c r="W144" s="656"/>
      <c r="X144" s="656"/>
      <c r="Y144" s="656"/>
      <c r="Z144" s="656"/>
      <c r="AA144" s="656"/>
      <c r="AB144" s="656"/>
      <c r="AC144" s="656"/>
      <c r="AD144" s="656"/>
      <c r="AE144" s="656"/>
      <c r="AF144" s="656"/>
      <c r="AG144" s="656"/>
      <c r="AH144" s="656"/>
      <c r="AI144" s="656"/>
      <c r="AJ144" s="656"/>
      <c r="AK144" s="656"/>
      <c r="AL144" s="656"/>
      <c r="AM144" s="656"/>
      <c r="AN144" s="656"/>
      <c r="AO144" s="656"/>
      <c r="AP144" s="656"/>
      <c r="AQ144" s="656"/>
      <c r="AR144" s="656"/>
      <c r="AS144" s="656"/>
      <c r="AT144" s="656"/>
      <c r="AU144" s="656"/>
      <c r="AV144" s="656"/>
      <c r="AW144" s="656"/>
      <c r="AX144" s="656"/>
      <c r="AY144" s="656"/>
      <c r="AZ144" s="656"/>
      <c r="BA144" s="656"/>
      <c r="BB144" s="656"/>
      <c r="BC144" s="656"/>
      <c r="BD144" s="656"/>
      <c r="BE144" s="656"/>
      <c r="BF144" s="656"/>
      <c r="BG144" s="656"/>
      <c r="BH144" s="656"/>
      <c r="BI144" s="656"/>
      <c r="BJ144" s="656"/>
      <c r="BK144" s="656"/>
      <c r="BL144" s="656"/>
      <c r="BM144" s="656"/>
      <c r="BN144" s="656"/>
      <c r="BO144" s="656"/>
      <c r="BP144" s="656"/>
      <c r="BQ144" s="656"/>
      <c r="BR144" s="656"/>
      <c r="BS144" s="656"/>
      <c r="BT144" s="656"/>
      <c r="BU144" s="656"/>
      <c r="BV144" s="656"/>
      <c r="BW144" s="656"/>
      <c r="BX144" s="656"/>
      <c r="BY144" s="656"/>
      <c r="BZ144" s="656"/>
      <c r="CA144" s="656"/>
      <c r="CB144" s="656"/>
      <c r="CC144" s="656"/>
      <c r="CD144" s="656"/>
      <c r="CE144" s="656"/>
      <c r="CF144" s="656"/>
      <c r="CG144" s="656"/>
      <c r="CH144" s="656"/>
      <c r="CI144" s="656"/>
      <c r="CJ144" s="656"/>
      <c r="CK144" s="656"/>
      <c r="CL144" s="656"/>
      <c r="CM144" s="656"/>
      <c r="CN144" s="656"/>
      <c r="CO144" s="656"/>
      <c r="CP144" s="656"/>
      <c r="CQ144" s="656"/>
      <c r="CR144" s="656"/>
      <c r="CS144" s="656"/>
      <c r="CT144" s="656"/>
      <c r="CU144" s="656"/>
      <c r="CV144" s="656"/>
      <c r="CW144" s="656"/>
      <c r="CX144" s="656"/>
      <c r="CY144" s="656"/>
      <c r="CZ144" s="656"/>
      <c r="DA144" s="656"/>
      <c r="DB144" s="656"/>
      <c r="DC144" s="656"/>
      <c r="DD144" s="656"/>
      <c r="DE144" s="656"/>
      <c r="DF144" s="656"/>
      <c r="DG144" s="656"/>
      <c r="DH144" s="656"/>
      <c r="DI144" s="656"/>
      <c r="DJ144" s="656"/>
      <c r="DK144" s="656"/>
      <c r="DL144" s="656"/>
      <c r="DM144" s="656"/>
      <c r="DN144" s="656"/>
      <c r="DO144" s="656"/>
      <c r="DP144" s="656"/>
      <c r="DQ144" s="656"/>
      <c r="DR144" s="656"/>
      <c r="DS144" s="656"/>
      <c r="DT144" s="656"/>
      <c r="DU144" s="656"/>
      <c r="DV144" s="656"/>
      <c r="DW144" s="656"/>
      <c r="DX144" s="656"/>
      <c r="DY144" s="656"/>
      <c r="DZ144" s="656"/>
      <c r="EA144" s="656"/>
      <c r="EB144" s="656"/>
      <c r="EC144" s="656"/>
      <c r="ED144" s="656"/>
      <c r="EE144" s="656"/>
      <c r="EF144" s="656"/>
      <c r="EG144" s="656"/>
      <c r="EH144" s="656"/>
      <c r="EI144" s="656"/>
      <c r="EJ144" s="656"/>
      <c r="EK144" s="656"/>
      <c r="EL144" s="656"/>
      <c r="EM144" s="656"/>
      <c r="EN144" s="656"/>
      <c r="EO144" s="656"/>
      <c r="EP144" s="656"/>
      <c r="EQ144" s="656"/>
      <c r="ER144" s="656"/>
      <c r="ES144" s="656"/>
      <c r="ET144" s="656"/>
      <c r="EU144" s="656"/>
      <c r="EV144" s="656"/>
      <c r="EW144" s="656"/>
      <c r="EX144" s="656"/>
      <c r="EY144" s="656"/>
      <c r="EZ144" s="656"/>
      <c r="FA144" s="656"/>
      <c r="FB144" s="656"/>
      <c r="FC144" s="656"/>
      <c r="FD144" s="656"/>
      <c r="FE144" s="656"/>
      <c r="FF144" s="656"/>
      <c r="FG144" s="656"/>
      <c r="FH144" s="656"/>
      <c r="FI144" s="656"/>
      <c r="FJ144" s="656"/>
      <c r="FK144" s="656"/>
      <c r="FL144" s="656"/>
      <c r="FM144" s="656"/>
      <c r="FN144" s="656"/>
      <c r="FO144" s="656"/>
      <c r="FP144" s="656"/>
      <c r="FQ144" s="656"/>
      <c r="FR144" s="656"/>
      <c r="FS144" s="656"/>
      <c r="FT144" s="656"/>
      <c r="FU144" s="656"/>
      <c r="FV144" s="656"/>
      <c r="FW144" s="656"/>
      <c r="FX144" s="656"/>
      <c r="FY144" s="656"/>
      <c r="FZ144" s="656"/>
      <c r="GA144" s="656"/>
      <c r="GB144" s="656"/>
      <c r="GC144" s="656"/>
      <c r="GD144" s="656"/>
      <c r="GE144" s="656"/>
      <c r="GF144" s="656"/>
      <c r="GG144" s="656"/>
      <c r="GH144" s="656"/>
      <c r="GI144" s="656"/>
      <c r="GJ144" s="656"/>
      <c r="GK144" s="656"/>
      <c r="GL144" s="656"/>
      <c r="GM144" s="656"/>
      <c r="GN144" s="656"/>
      <c r="GO144" s="656"/>
      <c r="GP144" s="656"/>
      <c r="GQ144" s="656"/>
      <c r="GR144" s="656"/>
      <c r="GS144" s="656"/>
      <c r="GT144" s="656"/>
      <c r="GU144" s="656"/>
      <c r="GV144" s="656"/>
      <c r="GW144" s="656"/>
      <c r="GX144" s="656"/>
      <c r="GY144" s="656"/>
      <c r="GZ144" s="656"/>
      <c r="HA144" s="656"/>
      <c r="HB144" s="656"/>
      <c r="HC144" s="656"/>
      <c r="HD144" s="656"/>
      <c r="HE144" s="656"/>
      <c r="HF144" s="656"/>
      <c r="HG144" s="656"/>
      <c r="HH144" s="656"/>
      <c r="HI144" s="656"/>
      <c r="HJ144" s="656"/>
      <c r="HK144" s="656"/>
      <c r="HL144" s="656"/>
      <c r="HM144" s="656"/>
      <c r="HN144" s="656"/>
      <c r="HO144" s="656"/>
      <c r="HP144" s="656"/>
      <c r="HQ144" s="656"/>
      <c r="HR144" s="656"/>
      <c r="HS144" s="656"/>
      <c r="HT144" s="656"/>
      <c r="HU144" s="656"/>
      <c r="HV144" s="656"/>
      <c r="HW144" s="656"/>
    </row>
    <row r="145" spans="1:231" s="657" customFormat="1" x14ac:dyDescent="0.25">
      <c r="A145" s="646">
        <v>46</v>
      </c>
      <c r="B145" s="680" t="s">
        <v>1037</v>
      </c>
      <c r="C145" s="681" t="s">
        <v>1038</v>
      </c>
      <c r="D145" s="691" t="s">
        <v>14</v>
      </c>
      <c r="E145" s="691">
        <v>0</v>
      </c>
      <c r="F145" s="684">
        <v>10546.76</v>
      </c>
      <c r="G145" s="720">
        <v>0</v>
      </c>
      <c r="H145" s="685">
        <v>24.999749999999999</v>
      </c>
      <c r="I145" s="686">
        <v>0</v>
      </c>
      <c r="J145" s="683">
        <v>24.999749999999999</v>
      </c>
      <c r="K145" s="684">
        <v>263666</v>
      </c>
      <c r="L145" s="683">
        <v>0</v>
      </c>
      <c r="M145" s="684">
        <v>0</v>
      </c>
      <c r="N145" s="683">
        <v>0</v>
      </c>
      <c r="O145" s="687">
        <v>0</v>
      </c>
      <c r="P145" s="656"/>
      <c r="Q145" s="656"/>
      <c r="R145" s="656"/>
      <c r="S145" s="656"/>
      <c r="T145" s="656"/>
      <c r="U145" s="656"/>
      <c r="V145" s="656"/>
      <c r="W145" s="656"/>
      <c r="X145" s="656"/>
      <c r="Y145" s="656"/>
      <c r="Z145" s="656"/>
      <c r="AA145" s="656"/>
      <c r="AB145" s="656"/>
      <c r="AC145" s="656"/>
      <c r="AD145" s="656"/>
      <c r="AE145" s="656"/>
      <c r="AF145" s="656"/>
      <c r="AG145" s="656"/>
      <c r="AH145" s="656"/>
      <c r="AI145" s="656"/>
      <c r="AJ145" s="656"/>
      <c r="AK145" s="656"/>
      <c r="AL145" s="656"/>
      <c r="AM145" s="656"/>
      <c r="AN145" s="656"/>
      <c r="AO145" s="656"/>
      <c r="AP145" s="656"/>
      <c r="AQ145" s="656"/>
      <c r="AR145" s="656"/>
      <c r="AS145" s="656"/>
      <c r="AT145" s="656"/>
      <c r="AU145" s="656"/>
      <c r="AV145" s="656"/>
      <c r="AW145" s="656"/>
      <c r="AX145" s="656"/>
      <c r="AY145" s="656"/>
      <c r="AZ145" s="656"/>
      <c r="BA145" s="656"/>
      <c r="BB145" s="656"/>
      <c r="BC145" s="656"/>
      <c r="BD145" s="656"/>
      <c r="BE145" s="656"/>
      <c r="BF145" s="656"/>
      <c r="BG145" s="656"/>
      <c r="BH145" s="656"/>
      <c r="BI145" s="656"/>
      <c r="BJ145" s="656"/>
      <c r="BK145" s="656"/>
      <c r="BL145" s="656"/>
      <c r="BM145" s="656"/>
      <c r="BN145" s="656"/>
      <c r="BO145" s="656"/>
      <c r="BP145" s="656"/>
      <c r="BQ145" s="656"/>
      <c r="BR145" s="656"/>
      <c r="BS145" s="656"/>
      <c r="BT145" s="656"/>
      <c r="BU145" s="656"/>
      <c r="BV145" s="656"/>
      <c r="BW145" s="656"/>
      <c r="BX145" s="656"/>
      <c r="BY145" s="656"/>
      <c r="BZ145" s="656"/>
      <c r="CA145" s="656"/>
      <c r="CB145" s="656"/>
      <c r="CC145" s="656"/>
      <c r="CD145" s="656"/>
      <c r="CE145" s="656"/>
      <c r="CF145" s="656"/>
      <c r="CG145" s="656"/>
      <c r="CH145" s="656"/>
      <c r="CI145" s="656"/>
      <c r="CJ145" s="656"/>
      <c r="CK145" s="656"/>
      <c r="CL145" s="656"/>
      <c r="CM145" s="656"/>
      <c r="CN145" s="656"/>
      <c r="CO145" s="656"/>
      <c r="CP145" s="656"/>
      <c r="CQ145" s="656"/>
      <c r="CR145" s="656"/>
      <c r="CS145" s="656"/>
      <c r="CT145" s="656"/>
      <c r="CU145" s="656"/>
      <c r="CV145" s="656"/>
      <c r="CW145" s="656"/>
      <c r="CX145" s="656"/>
      <c r="CY145" s="656"/>
      <c r="CZ145" s="656"/>
      <c r="DA145" s="656"/>
      <c r="DB145" s="656"/>
      <c r="DC145" s="656"/>
      <c r="DD145" s="656"/>
      <c r="DE145" s="656"/>
      <c r="DF145" s="656"/>
      <c r="DG145" s="656"/>
      <c r="DH145" s="656"/>
      <c r="DI145" s="656"/>
      <c r="DJ145" s="656"/>
      <c r="DK145" s="656"/>
      <c r="DL145" s="656"/>
      <c r="DM145" s="656"/>
      <c r="DN145" s="656"/>
      <c r="DO145" s="656"/>
      <c r="DP145" s="656"/>
      <c r="DQ145" s="656"/>
      <c r="DR145" s="656"/>
      <c r="DS145" s="656"/>
      <c r="DT145" s="656"/>
      <c r="DU145" s="656"/>
      <c r="DV145" s="656"/>
      <c r="DW145" s="656"/>
      <c r="DX145" s="656"/>
      <c r="DY145" s="656"/>
      <c r="DZ145" s="656"/>
      <c r="EA145" s="656"/>
      <c r="EB145" s="656"/>
      <c r="EC145" s="656"/>
      <c r="ED145" s="656"/>
      <c r="EE145" s="656"/>
      <c r="EF145" s="656"/>
      <c r="EG145" s="656"/>
      <c r="EH145" s="656"/>
      <c r="EI145" s="656"/>
      <c r="EJ145" s="656"/>
      <c r="EK145" s="656"/>
      <c r="EL145" s="656"/>
      <c r="EM145" s="656"/>
      <c r="EN145" s="656"/>
      <c r="EO145" s="656"/>
      <c r="EP145" s="656"/>
      <c r="EQ145" s="656"/>
      <c r="ER145" s="656"/>
      <c r="ES145" s="656"/>
      <c r="ET145" s="656"/>
      <c r="EU145" s="656"/>
      <c r="EV145" s="656"/>
      <c r="EW145" s="656"/>
      <c r="EX145" s="656"/>
      <c r="EY145" s="656"/>
      <c r="EZ145" s="656"/>
      <c r="FA145" s="656"/>
      <c r="FB145" s="656"/>
      <c r="FC145" s="656"/>
      <c r="FD145" s="656"/>
      <c r="FE145" s="656"/>
      <c r="FF145" s="656"/>
      <c r="FG145" s="656"/>
      <c r="FH145" s="656"/>
      <c r="FI145" s="656"/>
      <c r="FJ145" s="656"/>
      <c r="FK145" s="656"/>
      <c r="FL145" s="656"/>
      <c r="FM145" s="656"/>
      <c r="FN145" s="656"/>
      <c r="FO145" s="656"/>
      <c r="FP145" s="656"/>
      <c r="FQ145" s="656"/>
      <c r="FR145" s="656"/>
      <c r="FS145" s="656"/>
      <c r="FT145" s="656"/>
      <c r="FU145" s="656"/>
      <c r="FV145" s="656"/>
      <c r="FW145" s="656"/>
      <c r="FX145" s="656"/>
      <c r="FY145" s="656"/>
      <c r="FZ145" s="656"/>
      <c r="GA145" s="656"/>
      <c r="GB145" s="656"/>
      <c r="GC145" s="656"/>
      <c r="GD145" s="656"/>
      <c r="GE145" s="656"/>
      <c r="GF145" s="656"/>
      <c r="GG145" s="656"/>
      <c r="GH145" s="656"/>
      <c r="GI145" s="656"/>
      <c r="GJ145" s="656"/>
      <c r="GK145" s="656"/>
      <c r="GL145" s="656"/>
      <c r="GM145" s="656"/>
      <c r="GN145" s="656"/>
      <c r="GO145" s="656"/>
      <c r="GP145" s="656"/>
      <c r="GQ145" s="656"/>
      <c r="GR145" s="656"/>
      <c r="GS145" s="656"/>
      <c r="GT145" s="656"/>
      <c r="GU145" s="656"/>
      <c r="GV145" s="656"/>
      <c r="GW145" s="656"/>
      <c r="GX145" s="656"/>
      <c r="GY145" s="656"/>
      <c r="GZ145" s="656"/>
      <c r="HA145" s="656"/>
      <c r="HB145" s="656"/>
      <c r="HC145" s="656"/>
      <c r="HD145" s="656"/>
      <c r="HE145" s="656"/>
      <c r="HF145" s="656"/>
      <c r="HG145" s="656"/>
      <c r="HH145" s="656"/>
      <c r="HI145" s="656"/>
      <c r="HJ145" s="656"/>
      <c r="HK145" s="656"/>
      <c r="HL145" s="656"/>
      <c r="HM145" s="656"/>
      <c r="HN145" s="656"/>
      <c r="HO145" s="656"/>
      <c r="HP145" s="656"/>
      <c r="HQ145" s="656"/>
      <c r="HR145" s="656"/>
      <c r="HS145" s="656"/>
      <c r="HT145" s="656"/>
      <c r="HU145" s="656"/>
      <c r="HV145" s="656"/>
      <c r="HW145" s="656"/>
    </row>
    <row r="146" spans="1:231" s="657" customFormat="1" x14ac:dyDescent="0.25">
      <c r="A146" s="646"/>
      <c r="B146" s="669" t="s">
        <v>1135</v>
      </c>
      <c r="C146" s="670" t="s">
        <v>1136</v>
      </c>
      <c r="D146" s="671"/>
      <c r="E146" s="672"/>
      <c r="F146" s="673"/>
      <c r="G146" s="720">
        <v>0</v>
      </c>
      <c r="H146" s="675"/>
      <c r="I146" s="676"/>
      <c r="J146" s="672"/>
      <c r="K146" s="684">
        <v>0</v>
      </c>
      <c r="L146" s="683">
        <v>0</v>
      </c>
      <c r="M146" s="684">
        <v>0</v>
      </c>
      <c r="N146" s="672">
        <v>0</v>
      </c>
      <c r="O146" s="687">
        <v>0</v>
      </c>
      <c r="P146" s="656"/>
      <c r="Q146" s="656"/>
      <c r="R146" s="656"/>
      <c r="S146" s="656"/>
      <c r="T146" s="656"/>
      <c r="U146" s="656"/>
      <c r="V146" s="656"/>
      <c r="W146" s="656"/>
      <c r="X146" s="656"/>
      <c r="Y146" s="656"/>
      <c r="Z146" s="656"/>
      <c r="AA146" s="656"/>
      <c r="AB146" s="656"/>
      <c r="AC146" s="656"/>
      <c r="AD146" s="656"/>
      <c r="AE146" s="656"/>
      <c r="AF146" s="656"/>
      <c r="AG146" s="656"/>
      <c r="AH146" s="656"/>
      <c r="AI146" s="656"/>
      <c r="AJ146" s="656"/>
      <c r="AK146" s="656"/>
      <c r="AL146" s="656"/>
      <c r="AM146" s="656"/>
      <c r="AN146" s="656"/>
      <c r="AO146" s="656"/>
      <c r="AP146" s="656"/>
      <c r="AQ146" s="656"/>
      <c r="AR146" s="656"/>
      <c r="AS146" s="656"/>
      <c r="AT146" s="656"/>
      <c r="AU146" s="656"/>
      <c r="AV146" s="656"/>
      <c r="AW146" s="656"/>
      <c r="AX146" s="656"/>
      <c r="AY146" s="656"/>
      <c r="AZ146" s="656"/>
      <c r="BA146" s="656"/>
      <c r="BB146" s="656"/>
      <c r="BC146" s="656"/>
      <c r="BD146" s="656"/>
      <c r="BE146" s="656"/>
      <c r="BF146" s="656"/>
      <c r="BG146" s="656"/>
      <c r="BH146" s="656"/>
      <c r="BI146" s="656"/>
      <c r="BJ146" s="656"/>
      <c r="BK146" s="656"/>
      <c r="BL146" s="656"/>
      <c r="BM146" s="656"/>
      <c r="BN146" s="656"/>
      <c r="BO146" s="656"/>
      <c r="BP146" s="656"/>
      <c r="BQ146" s="656"/>
      <c r="BR146" s="656"/>
      <c r="BS146" s="656"/>
      <c r="BT146" s="656"/>
      <c r="BU146" s="656"/>
      <c r="BV146" s="656"/>
      <c r="BW146" s="656"/>
      <c r="BX146" s="656"/>
      <c r="BY146" s="656"/>
      <c r="BZ146" s="656"/>
      <c r="CA146" s="656"/>
      <c r="CB146" s="656"/>
      <c r="CC146" s="656"/>
      <c r="CD146" s="656"/>
      <c r="CE146" s="656"/>
      <c r="CF146" s="656"/>
      <c r="CG146" s="656"/>
      <c r="CH146" s="656"/>
      <c r="CI146" s="656"/>
      <c r="CJ146" s="656"/>
      <c r="CK146" s="656"/>
      <c r="CL146" s="656"/>
      <c r="CM146" s="656"/>
      <c r="CN146" s="656"/>
      <c r="CO146" s="656"/>
      <c r="CP146" s="656"/>
      <c r="CQ146" s="656"/>
      <c r="CR146" s="656"/>
      <c r="CS146" s="656"/>
      <c r="CT146" s="656"/>
      <c r="CU146" s="656"/>
      <c r="CV146" s="656"/>
      <c r="CW146" s="656"/>
      <c r="CX146" s="656"/>
      <c r="CY146" s="656"/>
      <c r="CZ146" s="656"/>
      <c r="DA146" s="656"/>
      <c r="DB146" s="656"/>
      <c r="DC146" s="656"/>
      <c r="DD146" s="656"/>
      <c r="DE146" s="656"/>
      <c r="DF146" s="656"/>
      <c r="DG146" s="656"/>
      <c r="DH146" s="656"/>
      <c r="DI146" s="656"/>
      <c r="DJ146" s="656"/>
      <c r="DK146" s="656"/>
      <c r="DL146" s="656"/>
      <c r="DM146" s="656"/>
      <c r="DN146" s="656"/>
      <c r="DO146" s="656"/>
      <c r="DP146" s="656"/>
      <c r="DQ146" s="656"/>
      <c r="DR146" s="656"/>
      <c r="DS146" s="656"/>
      <c r="DT146" s="656"/>
      <c r="DU146" s="656"/>
      <c r="DV146" s="656"/>
      <c r="DW146" s="656"/>
      <c r="DX146" s="656"/>
      <c r="DY146" s="656"/>
      <c r="DZ146" s="656"/>
      <c r="EA146" s="656"/>
      <c r="EB146" s="656"/>
      <c r="EC146" s="656"/>
      <c r="ED146" s="656"/>
      <c r="EE146" s="656"/>
      <c r="EF146" s="656"/>
      <c r="EG146" s="656"/>
      <c r="EH146" s="656"/>
      <c r="EI146" s="656"/>
      <c r="EJ146" s="656"/>
      <c r="EK146" s="656"/>
      <c r="EL146" s="656"/>
      <c r="EM146" s="656"/>
      <c r="EN146" s="656"/>
      <c r="EO146" s="656"/>
      <c r="EP146" s="656"/>
      <c r="EQ146" s="656"/>
      <c r="ER146" s="656"/>
      <c r="ES146" s="656"/>
      <c r="ET146" s="656"/>
      <c r="EU146" s="656"/>
      <c r="EV146" s="656"/>
      <c r="EW146" s="656"/>
      <c r="EX146" s="656"/>
      <c r="EY146" s="656"/>
      <c r="EZ146" s="656"/>
      <c r="FA146" s="656"/>
      <c r="FB146" s="656"/>
      <c r="FC146" s="656"/>
      <c r="FD146" s="656"/>
      <c r="FE146" s="656"/>
      <c r="FF146" s="656"/>
      <c r="FG146" s="656"/>
      <c r="FH146" s="656"/>
      <c r="FI146" s="656"/>
      <c r="FJ146" s="656"/>
      <c r="FK146" s="656"/>
      <c r="FL146" s="656"/>
      <c r="FM146" s="656"/>
      <c r="FN146" s="656"/>
      <c r="FO146" s="656"/>
      <c r="FP146" s="656"/>
      <c r="FQ146" s="656"/>
      <c r="FR146" s="656"/>
      <c r="FS146" s="656"/>
      <c r="FT146" s="656"/>
      <c r="FU146" s="656"/>
      <c r="FV146" s="656"/>
      <c r="FW146" s="656"/>
      <c r="FX146" s="656"/>
      <c r="FY146" s="656"/>
      <c r="FZ146" s="656"/>
      <c r="GA146" s="656"/>
      <c r="GB146" s="656"/>
      <c r="GC146" s="656"/>
      <c r="GD146" s="656"/>
      <c r="GE146" s="656"/>
      <c r="GF146" s="656"/>
      <c r="GG146" s="656"/>
      <c r="GH146" s="656"/>
      <c r="GI146" s="656"/>
      <c r="GJ146" s="656"/>
      <c r="GK146" s="656"/>
      <c r="GL146" s="656"/>
      <c r="GM146" s="656"/>
      <c r="GN146" s="656"/>
      <c r="GO146" s="656"/>
      <c r="GP146" s="656"/>
      <c r="GQ146" s="656"/>
      <c r="GR146" s="656"/>
      <c r="GS146" s="656"/>
      <c r="GT146" s="656"/>
      <c r="GU146" s="656"/>
      <c r="GV146" s="656"/>
      <c r="GW146" s="656"/>
      <c r="GX146" s="656"/>
      <c r="GY146" s="656"/>
      <c r="GZ146" s="656"/>
      <c r="HA146" s="656"/>
      <c r="HB146" s="656"/>
      <c r="HC146" s="656"/>
      <c r="HD146" s="656"/>
      <c r="HE146" s="656"/>
      <c r="HF146" s="656"/>
      <c r="HG146" s="656"/>
      <c r="HH146" s="656"/>
      <c r="HI146" s="656"/>
      <c r="HJ146" s="656"/>
      <c r="HK146" s="656"/>
      <c r="HL146" s="656"/>
      <c r="HM146" s="656"/>
      <c r="HN146" s="656"/>
      <c r="HO146" s="656"/>
      <c r="HP146" s="656"/>
      <c r="HQ146" s="656"/>
      <c r="HR146" s="656"/>
      <c r="HS146" s="656"/>
      <c r="HT146" s="656"/>
      <c r="HU146" s="656"/>
      <c r="HV146" s="656"/>
      <c r="HW146" s="656"/>
    </row>
    <row r="147" spans="1:231" s="657" customFormat="1" x14ac:dyDescent="0.25">
      <c r="A147" s="646">
        <v>94</v>
      </c>
      <c r="B147" s="723" t="s">
        <v>1137</v>
      </c>
      <c r="C147" s="724" t="s">
        <v>1138</v>
      </c>
      <c r="D147" s="725" t="s">
        <v>19</v>
      </c>
      <c r="E147" s="726">
        <v>0</v>
      </c>
      <c r="F147" s="727">
        <v>208470</v>
      </c>
      <c r="G147" s="720">
        <v>0</v>
      </c>
      <c r="H147" s="728">
        <v>104</v>
      </c>
      <c r="I147" s="729">
        <v>0</v>
      </c>
      <c r="J147" s="726">
        <v>104</v>
      </c>
      <c r="K147" s="684">
        <v>21680880</v>
      </c>
      <c r="L147" s="683">
        <v>0</v>
      </c>
      <c r="M147" s="684">
        <v>0</v>
      </c>
      <c r="N147" s="726">
        <v>0</v>
      </c>
      <c r="O147" s="687">
        <v>0</v>
      </c>
      <c r="P147" s="656"/>
      <c r="Q147" s="656"/>
      <c r="R147" s="656"/>
      <c r="S147" s="656"/>
      <c r="T147" s="656"/>
      <c r="U147" s="656"/>
      <c r="V147" s="656"/>
      <c r="W147" s="656"/>
      <c r="X147" s="656"/>
      <c r="Y147" s="656"/>
      <c r="Z147" s="656"/>
      <c r="AA147" s="656"/>
      <c r="AB147" s="656"/>
      <c r="AC147" s="656"/>
      <c r="AD147" s="656"/>
      <c r="AE147" s="656"/>
      <c r="AF147" s="656"/>
      <c r="AG147" s="656"/>
      <c r="AH147" s="656"/>
      <c r="AI147" s="656"/>
      <c r="AJ147" s="656"/>
      <c r="AK147" s="656"/>
      <c r="AL147" s="656"/>
      <c r="AM147" s="656"/>
      <c r="AN147" s="656"/>
      <c r="AO147" s="656"/>
      <c r="AP147" s="656"/>
      <c r="AQ147" s="656"/>
      <c r="AR147" s="656"/>
      <c r="AS147" s="656"/>
      <c r="AT147" s="656"/>
      <c r="AU147" s="656"/>
      <c r="AV147" s="656"/>
      <c r="AW147" s="656"/>
      <c r="AX147" s="656"/>
      <c r="AY147" s="656"/>
      <c r="AZ147" s="656"/>
      <c r="BA147" s="656"/>
      <c r="BB147" s="656"/>
      <c r="BC147" s="656"/>
      <c r="BD147" s="656"/>
      <c r="BE147" s="656"/>
      <c r="BF147" s="656"/>
      <c r="BG147" s="656"/>
      <c r="BH147" s="656"/>
      <c r="BI147" s="656"/>
      <c r="BJ147" s="656"/>
      <c r="BK147" s="656"/>
      <c r="BL147" s="656"/>
      <c r="BM147" s="656"/>
      <c r="BN147" s="656"/>
      <c r="BO147" s="656"/>
      <c r="BP147" s="656"/>
      <c r="BQ147" s="656"/>
      <c r="BR147" s="656"/>
      <c r="BS147" s="656"/>
      <c r="BT147" s="656"/>
      <c r="BU147" s="656"/>
      <c r="BV147" s="656"/>
      <c r="BW147" s="656"/>
      <c r="BX147" s="656"/>
      <c r="BY147" s="656"/>
      <c r="BZ147" s="656"/>
      <c r="CA147" s="656"/>
      <c r="CB147" s="656"/>
      <c r="CC147" s="656"/>
      <c r="CD147" s="656"/>
      <c r="CE147" s="656"/>
      <c r="CF147" s="656"/>
      <c r="CG147" s="656"/>
      <c r="CH147" s="656"/>
      <c r="CI147" s="656"/>
      <c r="CJ147" s="656"/>
      <c r="CK147" s="656"/>
      <c r="CL147" s="656"/>
      <c r="CM147" s="656"/>
      <c r="CN147" s="656"/>
      <c r="CO147" s="656"/>
      <c r="CP147" s="656"/>
      <c r="CQ147" s="656"/>
      <c r="CR147" s="656"/>
      <c r="CS147" s="656"/>
      <c r="CT147" s="656"/>
      <c r="CU147" s="656"/>
      <c r="CV147" s="656"/>
      <c r="CW147" s="656"/>
      <c r="CX147" s="656"/>
      <c r="CY147" s="656"/>
      <c r="CZ147" s="656"/>
      <c r="DA147" s="656"/>
      <c r="DB147" s="656"/>
      <c r="DC147" s="656"/>
      <c r="DD147" s="656"/>
      <c r="DE147" s="656"/>
      <c r="DF147" s="656"/>
      <c r="DG147" s="656"/>
      <c r="DH147" s="656"/>
      <c r="DI147" s="656"/>
      <c r="DJ147" s="656"/>
      <c r="DK147" s="656"/>
      <c r="DL147" s="656"/>
      <c r="DM147" s="656"/>
      <c r="DN147" s="656"/>
      <c r="DO147" s="656"/>
      <c r="DP147" s="656"/>
      <c r="DQ147" s="656"/>
      <c r="DR147" s="656"/>
      <c r="DS147" s="656"/>
      <c r="DT147" s="656"/>
      <c r="DU147" s="656"/>
      <c r="DV147" s="656"/>
      <c r="DW147" s="656"/>
      <c r="DX147" s="656"/>
      <c r="DY147" s="656"/>
      <c r="DZ147" s="656"/>
      <c r="EA147" s="656"/>
      <c r="EB147" s="656"/>
      <c r="EC147" s="656"/>
      <c r="ED147" s="656"/>
      <c r="EE147" s="656"/>
      <c r="EF147" s="656"/>
      <c r="EG147" s="656"/>
      <c r="EH147" s="656"/>
      <c r="EI147" s="656"/>
      <c r="EJ147" s="656"/>
      <c r="EK147" s="656"/>
      <c r="EL147" s="656"/>
      <c r="EM147" s="656"/>
      <c r="EN147" s="656"/>
      <c r="EO147" s="656"/>
      <c r="EP147" s="656"/>
      <c r="EQ147" s="656"/>
      <c r="ER147" s="656"/>
      <c r="ES147" s="656"/>
      <c r="ET147" s="656"/>
      <c r="EU147" s="656"/>
      <c r="EV147" s="656"/>
      <c r="EW147" s="656"/>
      <c r="EX147" s="656"/>
      <c r="EY147" s="656"/>
      <c r="EZ147" s="656"/>
      <c r="FA147" s="656"/>
      <c r="FB147" s="656"/>
      <c r="FC147" s="656"/>
      <c r="FD147" s="656"/>
      <c r="FE147" s="656"/>
      <c r="FF147" s="656"/>
      <c r="FG147" s="656"/>
      <c r="FH147" s="656"/>
      <c r="FI147" s="656"/>
      <c r="FJ147" s="656"/>
      <c r="FK147" s="656"/>
      <c r="FL147" s="656"/>
      <c r="FM147" s="656"/>
      <c r="FN147" s="656"/>
      <c r="FO147" s="656"/>
      <c r="FP147" s="656"/>
      <c r="FQ147" s="656"/>
      <c r="FR147" s="656"/>
      <c r="FS147" s="656"/>
      <c r="FT147" s="656"/>
      <c r="FU147" s="656"/>
      <c r="FV147" s="656"/>
      <c r="FW147" s="656"/>
      <c r="FX147" s="656"/>
      <c r="FY147" s="656"/>
      <c r="FZ147" s="656"/>
      <c r="GA147" s="656"/>
      <c r="GB147" s="656"/>
      <c r="GC147" s="656"/>
      <c r="GD147" s="656"/>
      <c r="GE147" s="656"/>
      <c r="GF147" s="656"/>
      <c r="GG147" s="656"/>
      <c r="GH147" s="656"/>
      <c r="GI147" s="656"/>
      <c r="GJ147" s="656"/>
      <c r="GK147" s="656"/>
      <c r="GL147" s="656"/>
      <c r="GM147" s="656"/>
      <c r="GN147" s="656"/>
      <c r="GO147" s="656"/>
      <c r="GP147" s="656"/>
      <c r="GQ147" s="656"/>
      <c r="GR147" s="656"/>
      <c r="GS147" s="656"/>
      <c r="GT147" s="656"/>
      <c r="GU147" s="656"/>
      <c r="GV147" s="656"/>
      <c r="GW147" s="656"/>
      <c r="GX147" s="656"/>
      <c r="GY147" s="656"/>
      <c r="GZ147" s="656"/>
      <c r="HA147" s="656"/>
      <c r="HB147" s="656"/>
      <c r="HC147" s="656"/>
      <c r="HD147" s="656"/>
      <c r="HE147" s="656"/>
      <c r="HF147" s="656"/>
      <c r="HG147" s="656"/>
      <c r="HH147" s="656"/>
      <c r="HI147" s="656"/>
      <c r="HJ147" s="656"/>
      <c r="HK147" s="656"/>
      <c r="HL147" s="656"/>
      <c r="HM147" s="656"/>
      <c r="HN147" s="656"/>
      <c r="HO147" s="656"/>
      <c r="HP147" s="656"/>
      <c r="HQ147" s="656"/>
      <c r="HR147" s="656"/>
      <c r="HS147" s="656"/>
      <c r="HT147" s="656"/>
      <c r="HU147" s="656"/>
      <c r="HV147" s="656"/>
      <c r="HW147" s="656"/>
    </row>
    <row r="148" spans="1:231" s="657" customFormat="1" ht="29.25" thickBot="1" x14ac:dyDescent="0.3">
      <c r="A148" s="646">
        <v>95</v>
      </c>
      <c r="B148" s="723" t="s">
        <v>1139</v>
      </c>
      <c r="C148" s="724" t="s">
        <v>1140</v>
      </c>
      <c r="D148" s="750" t="s">
        <v>19</v>
      </c>
      <c r="E148" s="751">
        <v>0</v>
      </c>
      <c r="F148" s="752">
        <v>5816</v>
      </c>
      <c r="G148" s="753">
        <v>0</v>
      </c>
      <c r="H148" s="754">
        <v>104</v>
      </c>
      <c r="I148" s="755">
        <v>0</v>
      </c>
      <c r="J148" s="751">
        <v>104</v>
      </c>
      <c r="K148" s="756">
        <v>604864</v>
      </c>
      <c r="L148" s="757">
        <v>0</v>
      </c>
      <c r="M148" s="756">
        <v>0</v>
      </c>
      <c r="N148" s="751">
        <v>0</v>
      </c>
      <c r="O148" s="758">
        <v>0</v>
      </c>
      <c r="P148" s="656"/>
      <c r="Q148" s="656"/>
      <c r="R148" s="656"/>
      <c r="S148" s="656"/>
      <c r="T148" s="656"/>
      <c r="U148" s="656"/>
      <c r="V148" s="656"/>
      <c r="W148" s="656"/>
      <c r="X148" s="656"/>
      <c r="Y148" s="656"/>
      <c r="Z148" s="656"/>
      <c r="AA148" s="656"/>
      <c r="AB148" s="656"/>
      <c r="AC148" s="656"/>
      <c r="AD148" s="656"/>
      <c r="AE148" s="656"/>
      <c r="AF148" s="656"/>
      <c r="AG148" s="656"/>
      <c r="AH148" s="656"/>
      <c r="AI148" s="656"/>
      <c r="AJ148" s="656"/>
      <c r="AK148" s="656"/>
      <c r="AL148" s="656"/>
      <c r="AM148" s="656"/>
      <c r="AN148" s="656"/>
      <c r="AO148" s="656"/>
      <c r="AP148" s="656"/>
      <c r="AQ148" s="656"/>
      <c r="AR148" s="656"/>
      <c r="AS148" s="656"/>
      <c r="AT148" s="656"/>
      <c r="AU148" s="656"/>
      <c r="AV148" s="656"/>
      <c r="AW148" s="656"/>
      <c r="AX148" s="656"/>
      <c r="AY148" s="656"/>
      <c r="AZ148" s="656"/>
      <c r="BA148" s="656"/>
      <c r="BB148" s="656"/>
      <c r="BC148" s="656"/>
      <c r="BD148" s="656"/>
      <c r="BE148" s="656"/>
      <c r="BF148" s="656"/>
      <c r="BG148" s="656"/>
      <c r="BH148" s="656"/>
      <c r="BI148" s="656"/>
      <c r="BJ148" s="656"/>
      <c r="BK148" s="656"/>
      <c r="BL148" s="656"/>
      <c r="BM148" s="656"/>
      <c r="BN148" s="656"/>
      <c r="BO148" s="656"/>
      <c r="BP148" s="656"/>
      <c r="BQ148" s="656"/>
      <c r="BR148" s="656"/>
      <c r="BS148" s="656"/>
      <c r="BT148" s="656"/>
      <c r="BU148" s="656"/>
      <c r="BV148" s="656"/>
      <c r="BW148" s="656"/>
      <c r="BX148" s="656"/>
      <c r="BY148" s="656"/>
      <c r="BZ148" s="656"/>
      <c r="CA148" s="656"/>
      <c r="CB148" s="656"/>
      <c r="CC148" s="656"/>
      <c r="CD148" s="656"/>
      <c r="CE148" s="656"/>
      <c r="CF148" s="656"/>
      <c r="CG148" s="656"/>
      <c r="CH148" s="656"/>
      <c r="CI148" s="656"/>
      <c r="CJ148" s="656"/>
      <c r="CK148" s="656"/>
      <c r="CL148" s="656"/>
      <c r="CM148" s="656"/>
      <c r="CN148" s="656"/>
      <c r="CO148" s="656"/>
      <c r="CP148" s="656"/>
      <c r="CQ148" s="656"/>
      <c r="CR148" s="656"/>
      <c r="CS148" s="656"/>
      <c r="CT148" s="656"/>
      <c r="CU148" s="656"/>
      <c r="CV148" s="656"/>
      <c r="CW148" s="656"/>
      <c r="CX148" s="656"/>
      <c r="CY148" s="656"/>
      <c r="CZ148" s="656"/>
      <c r="DA148" s="656"/>
      <c r="DB148" s="656"/>
      <c r="DC148" s="656"/>
      <c r="DD148" s="656"/>
      <c r="DE148" s="656"/>
      <c r="DF148" s="656"/>
      <c r="DG148" s="656"/>
      <c r="DH148" s="656"/>
      <c r="DI148" s="656"/>
      <c r="DJ148" s="656"/>
      <c r="DK148" s="656"/>
      <c r="DL148" s="656"/>
      <c r="DM148" s="656"/>
      <c r="DN148" s="656"/>
      <c r="DO148" s="656"/>
      <c r="DP148" s="656"/>
      <c r="DQ148" s="656"/>
      <c r="DR148" s="656"/>
      <c r="DS148" s="656"/>
      <c r="DT148" s="656"/>
      <c r="DU148" s="656"/>
      <c r="DV148" s="656"/>
      <c r="DW148" s="656"/>
      <c r="DX148" s="656"/>
      <c r="DY148" s="656"/>
      <c r="DZ148" s="656"/>
      <c r="EA148" s="656"/>
      <c r="EB148" s="656"/>
      <c r="EC148" s="656"/>
      <c r="ED148" s="656"/>
      <c r="EE148" s="656"/>
      <c r="EF148" s="656"/>
      <c r="EG148" s="656"/>
      <c r="EH148" s="656"/>
      <c r="EI148" s="656"/>
      <c r="EJ148" s="656"/>
      <c r="EK148" s="656"/>
      <c r="EL148" s="656"/>
      <c r="EM148" s="656"/>
      <c r="EN148" s="656"/>
      <c r="EO148" s="656"/>
      <c r="EP148" s="656"/>
      <c r="EQ148" s="656"/>
      <c r="ER148" s="656"/>
      <c r="ES148" s="656"/>
      <c r="ET148" s="656"/>
      <c r="EU148" s="656"/>
      <c r="EV148" s="656"/>
      <c r="EW148" s="656"/>
      <c r="EX148" s="656"/>
      <c r="EY148" s="656"/>
      <c r="EZ148" s="656"/>
      <c r="FA148" s="656"/>
      <c r="FB148" s="656"/>
      <c r="FC148" s="656"/>
      <c r="FD148" s="656"/>
      <c r="FE148" s="656"/>
      <c r="FF148" s="656"/>
      <c r="FG148" s="656"/>
      <c r="FH148" s="656"/>
      <c r="FI148" s="656"/>
      <c r="FJ148" s="656"/>
      <c r="FK148" s="656"/>
      <c r="FL148" s="656"/>
      <c r="FM148" s="656"/>
      <c r="FN148" s="656"/>
      <c r="FO148" s="656"/>
      <c r="FP148" s="656"/>
      <c r="FQ148" s="656"/>
      <c r="FR148" s="656"/>
      <c r="FS148" s="656"/>
      <c r="FT148" s="656"/>
      <c r="FU148" s="656"/>
      <c r="FV148" s="656"/>
      <c r="FW148" s="656"/>
      <c r="FX148" s="656"/>
      <c r="FY148" s="656"/>
      <c r="FZ148" s="656"/>
      <c r="GA148" s="656"/>
      <c r="GB148" s="656"/>
      <c r="GC148" s="656"/>
      <c r="GD148" s="656"/>
      <c r="GE148" s="656"/>
      <c r="GF148" s="656"/>
      <c r="GG148" s="656"/>
      <c r="GH148" s="656"/>
      <c r="GI148" s="656"/>
      <c r="GJ148" s="656"/>
      <c r="GK148" s="656"/>
      <c r="GL148" s="656"/>
      <c r="GM148" s="656"/>
      <c r="GN148" s="656"/>
      <c r="GO148" s="656"/>
      <c r="GP148" s="656"/>
      <c r="GQ148" s="656"/>
      <c r="GR148" s="656"/>
      <c r="GS148" s="656"/>
      <c r="GT148" s="656"/>
      <c r="GU148" s="656"/>
      <c r="GV148" s="656"/>
      <c r="GW148" s="656"/>
      <c r="GX148" s="656"/>
      <c r="GY148" s="656"/>
      <c r="GZ148" s="656"/>
      <c r="HA148" s="656"/>
      <c r="HB148" s="656"/>
      <c r="HC148" s="656"/>
      <c r="HD148" s="656"/>
      <c r="HE148" s="656"/>
      <c r="HF148" s="656"/>
      <c r="HG148" s="656"/>
      <c r="HH148" s="656"/>
      <c r="HI148" s="656"/>
      <c r="HJ148" s="656"/>
      <c r="HK148" s="656"/>
      <c r="HL148" s="656"/>
      <c r="HM148" s="656"/>
      <c r="HN148" s="656"/>
      <c r="HO148" s="656"/>
      <c r="HP148" s="656"/>
      <c r="HQ148" s="656"/>
      <c r="HR148" s="656"/>
      <c r="HS148" s="656"/>
      <c r="HT148" s="656"/>
      <c r="HU148" s="656"/>
      <c r="HV148" s="656"/>
      <c r="HW148" s="656"/>
    </row>
    <row r="149" spans="1:231" s="657" customFormat="1" x14ac:dyDescent="0.25">
      <c r="A149" s="646"/>
      <c r="B149" s="2017"/>
      <c r="C149" s="2018"/>
      <c r="D149" s="2023" t="s">
        <v>1106</v>
      </c>
      <c r="E149" s="2024"/>
      <c r="F149" s="2025"/>
      <c r="G149" s="759">
        <v>15430321</v>
      </c>
      <c r="H149" s="2026" t="s">
        <v>1106</v>
      </c>
      <c r="I149" s="2024"/>
      <c r="J149" s="2025"/>
      <c r="K149" s="759">
        <v>33380739</v>
      </c>
      <c r="L149" s="740" t="s">
        <v>1106</v>
      </c>
      <c r="M149" s="739">
        <v>0</v>
      </c>
      <c r="N149" s="740" t="s">
        <v>1106</v>
      </c>
      <c r="O149" s="741">
        <v>0</v>
      </c>
      <c r="P149" s="656"/>
      <c r="Q149" s="656"/>
      <c r="R149" s="656"/>
      <c r="S149" s="656"/>
      <c r="T149" s="656"/>
      <c r="U149" s="656"/>
      <c r="V149" s="656"/>
      <c r="W149" s="656"/>
      <c r="X149" s="656"/>
      <c r="Y149" s="656"/>
      <c r="Z149" s="656"/>
      <c r="AA149" s="656"/>
      <c r="AB149" s="656"/>
      <c r="AC149" s="656"/>
      <c r="AD149" s="656"/>
      <c r="AE149" s="656"/>
      <c r="AF149" s="656"/>
      <c r="AG149" s="656"/>
      <c r="AH149" s="656"/>
      <c r="AI149" s="656"/>
      <c r="AJ149" s="656"/>
      <c r="AK149" s="656"/>
      <c r="AL149" s="656"/>
      <c r="AM149" s="656"/>
      <c r="AN149" s="656"/>
      <c r="AO149" s="656"/>
      <c r="AP149" s="656"/>
      <c r="AQ149" s="656"/>
      <c r="AR149" s="656"/>
      <c r="AS149" s="656"/>
      <c r="AT149" s="656"/>
      <c r="AU149" s="656"/>
      <c r="AV149" s="656"/>
      <c r="AW149" s="656"/>
      <c r="AX149" s="656"/>
      <c r="AY149" s="656"/>
      <c r="AZ149" s="656"/>
      <c r="BA149" s="656"/>
      <c r="BB149" s="656"/>
      <c r="BC149" s="656"/>
      <c r="BD149" s="656"/>
      <c r="BE149" s="656"/>
      <c r="BF149" s="656"/>
      <c r="BG149" s="656"/>
      <c r="BH149" s="656"/>
      <c r="BI149" s="656"/>
      <c r="BJ149" s="656"/>
      <c r="BK149" s="656"/>
      <c r="BL149" s="656"/>
      <c r="BM149" s="656"/>
      <c r="BN149" s="656"/>
      <c r="BO149" s="656"/>
      <c r="BP149" s="656"/>
      <c r="BQ149" s="656"/>
      <c r="BR149" s="656"/>
      <c r="BS149" s="656"/>
      <c r="BT149" s="656"/>
      <c r="BU149" s="656"/>
      <c r="BV149" s="656"/>
      <c r="BW149" s="656"/>
      <c r="BX149" s="656"/>
      <c r="BY149" s="656"/>
      <c r="BZ149" s="656"/>
      <c r="CA149" s="656"/>
      <c r="CB149" s="656"/>
      <c r="CC149" s="656"/>
      <c r="CD149" s="656"/>
      <c r="CE149" s="656"/>
      <c r="CF149" s="656"/>
      <c r="CG149" s="656"/>
      <c r="CH149" s="656"/>
      <c r="CI149" s="656"/>
      <c r="CJ149" s="656"/>
      <c r="CK149" s="656"/>
      <c r="CL149" s="656"/>
      <c r="CM149" s="656"/>
      <c r="CN149" s="656"/>
      <c r="CO149" s="656"/>
      <c r="CP149" s="656"/>
      <c r="CQ149" s="656"/>
      <c r="CR149" s="656"/>
      <c r="CS149" s="656"/>
      <c r="CT149" s="656"/>
      <c r="CU149" s="656"/>
      <c r="CV149" s="656"/>
      <c r="CW149" s="656"/>
      <c r="CX149" s="656"/>
      <c r="CY149" s="656"/>
      <c r="CZ149" s="656"/>
      <c r="DA149" s="656"/>
      <c r="DB149" s="656"/>
      <c r="DC149" s="656"/>
      <c r="DD149" s="656"/>
      <c r="DE149" s="656"/>
      <c r="DF149" s="656"/>
      <c r="DG149" s="656"/>
      <c r="DH149" s="656"/>
      <c r="DI149" s="656"/>
      <c r="DJ149" s="656"/>
      <c r="DK149" s="656"/>
      <c r="DL149" s="656"/>
      <c r="DM149" s="656"/>
      <c r="DN149" s="656"/>
      <c r="DO149" s="656"/>
      <c r="DP149" s="656"/>
      <c r="DQ149" s="656"/>
      <c r="DR149" s="656"/>
      <c r="DS149" s="656"/>
      <c r="DT149" s="656"/>
      <c r="DU149" s="656"/>
      <c r="DV149" s="656"/>
      <c r="DW149" s="656"/>
      <c r="DX149" s="656"/>
      <c r="DY149" s="656"/>
      <c r="DZ149" s="656"/>
      <c r="EA149" s="656"/>
      <c r="EB149" s="656"/>
      <c r="EC149" s="656"/>
      <c r="ED149" s="656"/>
      <c r="EE149" s="656"/>
      <c r="EF149" s="656"/>
      <c r="EG149" s="656"/>
      <c r="EH149" s="656"/>
      <c r="EI149" s="656"/>
      <c r="EJ149" s="656"/>
      <c r="EK149" s="656"/>
      <c r="EL149" s="656"/>
      <c r="EM149" s="656"/>
      <c r="EN149" s="656"/>
      <c r="EO149" s="656"/>
      <c r="EP149" s="656"/>
      <c r="EQ149" s="656"/>
      <c r="ER149" s="656"/>
      <c r="ES149" s="656"/>
      <c r="ET149" s="656"/>
      <c r="EU149" s="656"/>
      <c r="EV149" s="656"/>
      <c r="EW149" s="656"/>
      <c r="EX149" s="656"/>
      <c r="EY149" s="656"/>
      <c r="EZ149" s="656"/>
      <c r="FA149" s="656"/>
      <c r="FB149" s="656"/>
      <c r="FC149" s="656"/>
      <c r="FD149" s="656"/>
      <c r="FE149" s="656"/>
      <c r="FF149" s="656"/>
      <c r="FG149" s="656"/>
      <c r="FH149" s="656"/>
      <c r="FI149" s="656"/>
      <c r="FJ149" s="656"/>
      <c r="FK149" s="656"/>
      <c r="FL149" s="656"/>
      <c r="FM149" s="656"/>
      <c r="FN149" s="656"/>
      <c r="FO149" s="656"/>
      <c r="FP149" s="656"/>
      <c r="FQ149" s="656"/>
      <c r="FR149" s="656"/>
      <c r="FS149" s="656"/>
      <c r="FT149" s="656"/>
      <c r="FU149" s="656"/>
      <c r="FV149" s="656"/>
      <c r="FW149" s="656"/>
      <c r="FX149" s="656"/>
      <c r="FY149" s="656"/>
      <c r="FZ149" s="656"/>
      <c r="GA149" s="656"/>
      <c r="GB149" s="656"/>
      <c r="GC149" s="656"/>
      <c r="GD149" s="656"/>
      <c r="GE149" s="656"/>
      <c r="GF149" s="656"/>
      <c r="GG149" s="656"/>
      <c r="GH149" s="656"/>
      <c r="GI149" s="656"/>
      <c r="GJ149" s="656"/>
      <c r="GK149" s="656"/>
      <c r="GL149" s="656"/>
      <c r="GM149" s="656"/>
      <c r="GN149" s="656"/>
      <c r="GO149" s="656"/>
      <c r="GP149" s="656"/>
      <c r="GQ149" s="656"/>
      <c r="GR149" s="656"/>
      <c r="GS149" s="656"/>
      <c r="GT149" s="656"/>
      <c r="GU149" s="656"/>
      <c r="GV149" s="656"/>
      <c r="GW149" s="656"/>
      <c r="GX149" s="656"/>
      <c r="GY149" s="656"/>
      <c r="GZ149" s="656"/>
      <c r="HA149" s="656"/>
      <c r="HB149" s="656"/>
      <c r="HC149" s="656"/>
      <c r="HD149" s="656"/>
      <c r="HE149" s="656"/>
      <c r="HF149" s="656"/>
      <c r="HG149" s="656"/>
      <c r="HH149" s="656"/>
      <c r="HI149" s="656"/>
      <c r="HJ149" s="656"/>
      <c r="HK149" s="656"/>
      <c r="HL149" s="656"/>
      <c r="HM149" s="656"/>
      <c r="HN149" s="656"/>
      <c r="HO149" s="656"/>
      <c r="HP149" s="656"/>
      <c r="HQ149" s="656"/>
      <c r="HR149" s="656"/>
      <c r="HS149" s="656"/>
      <c r="HT149" s="656"/>
      <c r="HU149" s="656"/>
      <c r="HV149" s="656"/>
      <c r="HW149" s="656"/>
    </row>
    <row r="150" spans="1:231" s="657" customFormat="1" x14ac:dyDescent="0.25">
      <c r="A150" s="646"/>
      <c r="B150" s="2019"/>
      <c r="C150" s="2020"/>
      <c r="D150" s="2011" t="s">
        <v>197</v>
      </c>
      <c r="E150" s="1992"/>
      <c r="F150" s="712">
        <v>0.219</v>
      </c>
      <c r="G150" s="713">
        <v>3379240</v>
      </c>
      <c r="H150" s="1991" t="s">
        <v>197</v>
      </c>
      <c r="I150" s="1992"/>
      <c r="J150" s="712">
        <v>0.219</v>
      </c>
      <c r="K150" s="713">
        <v>7310382</v>
      </c>
      <c r="L150" s="710">
        <v>0.219</v>
      </c>
      <c r="M150" s="696">
        <v>0</v>
      </c>
      <c r="N150" s="710">
        <v>0.219</v>
      </c>
      <c r="O150" s="697">
        <v>0</v>
      </c>
      <c r="P150" s="656"/>
      <c r="Q150" s="656"/>
      <c r="R150" s="656"/>
      <c r="S150" s="656"/>
      <c r="T150" s="656"/>
      <c r="U150" s="656"/>
      <c r="V150" s="656"/>
      <c r="W150" s="656"/>
      <c r="X150" s="656"/>
      <c r="Y150" s="656"/>
      <c r="Z150" s="656"/>
      <c r="AA150" s="656"/>
      <c r="AB150" s="656"/>
      <c r="AC150" s="656"/>
      <c r="AD150" s="656"/>
      <c r="AE150" s="656"/>
      <c r="AF150" s="656"/>
      <c r="AG150" s="656"/>
      <c r="AH150" s="656"/>
      <c r="AI150" s="656"/>
      <c r="AJ150" s="656"/>
      <c r="AK150" s="656"/>
      <c r="AL150" s="656"/>
      <c r="AM150" s="656"/>
      <c r="AN150" s="656"/>
      <c r="AO150" s="656"/>
      <c r="AP150" s="656"/>
      <c r="AQ150" s="656"/>
      <c r="AR150" s="656"/>
      <c r="AS150" s="656"/>
      <c r="AT150" s="656"/>
      <c r="AU150" s="656"/>
      <c r="AV150" s="656"/>
      <c r="AW150" s="656"/>
      <c r="AX150" s="656"/>
      <c r="AY150" s="656"/>
      <c r="AZ150" s="656"/>
      <c r="BA150" s="656"/>
      <c r="BB150" s="656"/>
      <c r="BC150" s="656"/>
      <c r="BD150" s="656"/>
      <c r="BE150" s="656"/>
      <c r="BF150" s="656"/>
      <c r="BG150" s="656"/>
      <c r="BH150" s="656"/>
      <c r="BI150" s="656"/>
      <c r="BJ150" s="656"/>
      <c r="BK150" s="656"/>
      <c r="BL150" s="656"/>
      <c r="BM150" s="656"/>
      <c r="BN150" s="656"/>
      <c r="BO150" s="656"/>
      <c r="BP150" s="656"/>
      <c r="BQ150" s="656"/>
      <c r="BR150" s="656"/>
      <c r="BS150" s="656"/>
      <c r="BT150" s="656"/>
      <c r="BU150" s="656"/>
      <c r="BV150" s="656"/>
      <c r="BW150" s="656"/>
      <c r="BX150" s="656"/>
      <c r="BY150" s="656"/>
      <c r="BZ150" s="656"/>
      <c r="CA150" s="656"/>
      <c r="CB150" s="656"/>
      <c r="CC150" s="656"/>
      <c r="CD150" s="656"/>
      <c r="CE150" s="656"/>
      <c r="CF150" s="656"/>
      <c r="CG150" s="656"/>
      <c r="CH150" s="656"/>
      <c r="CI150" s="656"/>
      <c r="CJ150" s="656"/>
      <c r="CK150" s="656"/>
      <c r="CL150" s="656"/>
      <c r="CM150" s="656"/>
      <c r="CN150" s="656"/>
      <c r="CO150" s="656"/>
      <c r="CP150" s="656"/>
      <c r="CQ150" s="656"/>
      <c r="CR150" s="656"/>
      <c r="CS150" s="656"/>
      <c r="CT150" s="656"/>
      <c r="CU150" s="656"/>
      <c r="CV150" s="656"/>
      <c r="CW150" s="656"/>
      <c r="CX150" s="656"/>
      <c r="CY150" s="656"/>
      <c r="CZ150" s="656"/>
      <c r="DA150" s="656"/>
      <c r="DB150" s="656"/>
      <c r="DC150" s="656"/>
      <c r="DD150" s="656"/>
      <c r="DE150" s="656"/>
      <c r="DF150" s="656"/>
      <c r="DG150" s="656"/>
      <c r="DH150" s="656"/>
      <c r="DI150" s="656"/>
      <c r="DJ150" s="656"/>
      <c r="DK150" s="656"/>
      <c r="DL150" s="656"/>
      <c r="DM150" s="656"/>
      <c r="DN150" s="656"/>
      <c r="DO150" s="656"/>
      <c r="DP150" s="656"/>
      <c r="DQ150" s="656"/>
      <c r="DR150" s="656"/>
      <c r="DS150" s="656"/>
      <c r="DT150" s="656"/>
      <c r="DU150" s="656"/>
      <c r="DV150" s="656"/>
      <c r="DW150" s="656"/>
      <c r="DX150" s="656"/>
      <c r="DY150" s="656"/>
      <c r="DZ150" s="656"/>
      <c r="EA150" s="656"/>
      <c r="EB150" s="656"/>
      <c r="EC150" s="656"/>
      <c r="ED150" s="656"/>
      <c r="EE150" s="656"/>
      <c r="EF150" s="656"/>
      <c r="EG150" s="656"/>
      <c r="EH150" s="656"/>
      <c r="EI150" s="656"/>
      <c r="EJ150" s="656"/>
      <c r="EK150" s="656"/>
      <c r="EL150" s="656"/>
      <c r="EM150" s="656"/>
      <c r="EN150" s="656"/>
      <c r="EO150" s="656"/>
      <c r="EP150" s="656"/>
      <c r="EQ150" s="656"/>
      <c r="ER150" s="656"/>
      <c r="ES150" s="656"/>
      <c r="ET150" s="656"/>
      <c r="EU150" s="656"/>
      <c r="EV150" s="656"/>
      <c r="EW150" s="656"/>
      <c r="EX150" s="656"/>
      <c r="EY150" s="656"/>
      <c r="EZ150" s="656"/>
      <c r="FA150" s="656"/>
      <c r="FB150" s="656"/>
      <c r="FC150" s="656"/>
      <c r="FD150" s="656"/>
      <c r="FE150" s="656"/>
      <c r="FF150" s="656"/>
      <c r="FG150" s="656"/>
      <c r="FH150" s="656"/>
      <c r="FI150" s="656"/>
      <c r="FJ150" s="656"/>
      <c r="FK150" s="656"/>
      <c r="FL150" s="656"/>
      <c r="FM150" s="656"/>
      <c r="FN150" s="656"/>
      <c r="FO150" s="656"/>
      <c r="FP150" s="656"/>
      <c r="FQ150" s="656"/>
      <c r="FR150" s="656"/>
      <c r="FS150" s="656"/>
      <c r="FT150" s="656"/>
      <c r="FU150" s="656"/>
      <c r="FV150" s="656"/>
      <c r="FW150" s="656"/>
      <c r="FX150" s="656"/>
      <c r="FY150" s="656"/>
      <c r="FZ150" s="656"/>
      <c r="GA150" s="656"/>
      <c r="GB150" s="656"/>
      <c r="GC150" s="656"/>
      <c r="GD150" s="656"/>
      <c r="GE150" s="656"/>
      <c r="GF150" s="656"/>
      <c r="GG150" s="656"/>
      <c r="GH150" s="656"/>
      <c r="GI150" s="656"/>
      <c r="GJ150" s="656"/>
      <c r="GK150" s="656"/>
      <c r="GL150" s="656"/>
      <c r="GM150" s="656"/>
      <c r="GN150" s="656"/>
      <c r="GO150" s="656"/>
      <c r="GP150" s="656"/>
      <c r="GQ150" s="656"/>
      <c r="GR150" s="656"/>
      <c r="GS150" s="656"/>
      <c r="GT150" s="656"/>
      <c r="GU150" s="656"/>
      <c r="GV150" s="656"/>
      <c r="GW150" s="656"/>
      <c r="GX150" s="656"/>
      <c r="GY150" s="656"/>
      <c r="GZ150" s="656"/>
      <c r="HA150" s="656"/>
      <c r="HB150" s="656"/>
      <c r="HC150" s="656"/>
      <c r="HD150" s="656"/>
      <c r="HE150" s="656"/>
      <c r="HF150" s="656"/>
      <c r="HG150" s="656"/>
      <c r="HH150" s="656"/>
      <c r="HI150" s="656"/>
      <c r="HJ150" s="656"/>
      <c r="HK150" s="656"/>
      <c r="HL150" s="656"/>
      <c r="HM150" s="656"/>
      <c r="HN150" s="656"/>
      <c r="HO150" s="656"/>
      <c r="HP150" s="656"/>
      <c r="HQ150" s="656"/>
      <c r="HR150" s="656"/>
      <c r="HS150" s="656"/>
      <c r="HT150" s="656"/>
      <c r="HU150" s="656"/>
      <c r="HV150" s="656"/>
      <c r="HW150" s="656"/>
    </row>
    <row r="151" spans="1:231" s="657" customFormat="1" x14ac:dyDescent="0.25">
      <c r="A151" s="646"/>
      <c r="B151" s="2019"/>
      <c r="C151" s="2020"/>
      <c r="D151" s="2011" t="s">
        <v>1107</v>
      </c>
      <c r="E151" s="1992"/>
      <c r="F151" s="712">
        <v>1E-3</v>
      </c>
      <c r="G151" s="713">
        <v>15430</v>
      </c>
      <c r="H151" s="1991" t="s">
        <v>1107</v>
      </c>
      <c r="I151" s="1992"/>
      <c r="J151" s="712">
        <v>1E-3</v>
      </c>
      <c r="K151" s="713">
        <v>33381</v>
      </c>
      <c r="L151" s="710">
        <v>1E-3</v>
      </c>
      <c r="M151" s="696">
        <v>0</v>
      </c>
      <c r="N151" s="710">
        <v>1E-3</v>
      </c>
      <c r="O151" s="697">
        <v>0</v>
      </c>
      <c r="P151" s="656"/>
      <c r="Q151" s="656"/>
      <c r="R151" s="656"/>
      <c r="S151" s="656"/>
      <c r="T151" s="656"/>
      <c r="U151" s="656"/>
      <c r="V151" s="656"/>
      <c r="W151" s="656"/>
      <c r="X151" s="656"/>
      <c r="Y151" s="656"/>
      <c r="Z151" s="656"/>
      <c r="AA151" s="656"/>
      <c r="AB151" s="656"/>
      <c r="AC151" s="656"/>
      <c r="AD151" s="656"/>
      <c r="AE151" s="656"/>
      <c r="AF151" s="656"/>
      <c r="AG151" s="656"/>
      <c r="AH151" s="656"/>
      <c r="AI151" s="656"/>
      <c r="AJ151" s="656"/>
      <c r="AK151" s="656"/>
      <c r="AL151" s="656"/>
      <c r="AM151" s="656"/>
      <c r="AN151" s="656"/>
      <c r="AO151" s="656"/>
      <c r="AP151" s="656"/>
      <c r="AQ151" s="656"/>
      <c r="AR151" s="656"/>
      <c r="AS151" s="656"/>
      <c r="AT151" s="656"/>
      <c r="AU151" s="656"/>
      <c r="AV151" s="656"/>
      <c r="AW151" s="656"/>
      <c r="AX151" s="656"/>
      <c r="AY151" s="656"/>
      <c r="AZ151" s="656"/>
      <c r="BA151" s="656"/>
      <c r="BB151" s="656"/>
      <c r="BC151" s="656"/>
      <c r="BD151" s="656"/>
      <c r="BE151" s="656"/>
      <c r="BF151" s="656"/>
      <c r="BG151" s="656"/>
      <c r="BH151" s="656"/>
      <c r="BI151" s="656"/>
      <c r="BJ151" s="656"/>
      <c r="BK151" s="656"/>
      <c r="BL151" s="656"/>
      <c r="BM151" s="656"/>
      <c r="BN151" s="656"/>
      <c r="BO151" s="656"/>
      <c r="BP151" s="656"/>
      <c r="BQ151" s="656"/>
      <c r="BR151" s="656"/>
      <c r="BS151" s="656"/>
      <c r="BT151" s="656"/>
      <c r="BU151" s="656"/>
      <c r="BV151" s="656"/>
      <c r="BW151" s="656"/>
      <c r="BX151" s="656"/>
      <c r="BY151" s="656"/>
      <c r="BZ151" s="656"/>
      <c r="CA151" s="656"/>
      <c r="CB151" s="656"/>
      <c r="CC151" s="656"/>
      <c r="CD151" s="656"/>
      <c r="CE151" s="656"/>
      <c r="CF151" s="656"/>
      <c r="CG151" s="656"/>
      <c r="CH151" s="656"/>
      <c r="CI151" s="656"/>
      <c r="CJ151" s="656"/>
      <c r="CK151" s="656"/>
      <c r="CL151" s="656"/>
      <c r="CM151" s="656"/>
      <c r="CN151" s="656"/>
      <c r="CO151" s="656"/>
      <c r="CP151" s="656"/>
      <c r="CQ151" s="656"/>
      <c r="CR151" s="656"/>
      <c r="CS151" s="656"/>
      <c r="CT151" s="656"/>
      <c r="CU151" s="656"/>
      <c r="CV151" s="656"/>
      <c r="CW151" s="656"/>
      <c r="CX151" s="656"/>
      <c r="CY151" s="656"/>
      <c r="CZ151" s="656"/>
      <c r="DA151" s="656"/>
      <c r="DB151" s="656"/>
      <c r="DC151" s="656"/>
      <c r="DD151" s="656"/>
      <c r="DE151" s="656"/>
      <c r="DF151" s="656"/>
      <c r="DG151" s="656"/>
      <c r="DH151" s="656"/>
      <c r="DI151" s="656"/>
      <c r="DJ151" s="656"/>
      <c r="DK151" s="656"/>
      <c r="DL151" s="656"/>
      <c r="DM151" s="656"/>
      <c r="DN151" s="656"/>
      <c r="DO151" s="656"/>
      <c r="DP151" s="656"/>
      <c r="DQ151" s="656"/>
      <c r="DR151" s="656"/>
      <c r="DS151" s="656"/>
      <c r="DT151" s="656"/>
      <c r="DU151" s="656"/>
      <c r="DV151" s="656"/>
      <c r="DW151" s="656"/>
      <c r="DX151" s="656"/>
      <c r="DY151" s="656"/>
      <c r="DZ151" s="656"/>
      <c r="EA151" s="656"/>
      <c r="EB151" s="656"/>
      <c r="EC151" s="656"/>
      <c r="ED151" s="656"/>
      <c r="EE151" s="656"/>
      <c r="EF151" s="656"/>
      <c r="EG151" s="656"/>
      <c r="EH151" s="656"/>
      <c r="EI151" s="656"/>
      <c r="EJ151" s="656"/>
      <c r="EK151" s="656"/>
      <c r="EL151" s="656"/>
      <c r="EM151" s="656"/>
      <c r="EN151" s="656"/>
      <c r="EO151" s="656"/>
      <c r="EP151" s="656"/>
      <c r="EQ151" s="656"/>
      <c r="ER151" s="656"/>
      <c r="ES151" s="656"/>
      <c r="ET151" s="656"/>
      <c r="EU151" s="656"/>
      <c r="EV151" s="656"/>
      <c r="EW151" s="656"/>
      <c r="EX151" s="656"/>
      <c r="EY151" s="656"/>
      <c r="EZ151" s="656"/>
      <c r="FA151" s="656"/>
      <c r="FB151" s="656"/>
      <c r="FC151" s="656"/>
      <c r="FD151" s="656"/>
      <c r="FE151" s="656"/>
      <c r="FF151" s="656"/>
      <c r="FG151" s="656"/>
      <c r="FH151" s="656"/>
      <c r="FI151" s="656"/>
      <c r="FJ151" s="656"/>
      <c r="FK151" s="656"/>
      <c r="FL151" s="656"/>
      <c r="FM151" s="656"/>
      <c r="FN151" s="656"/>
      <c r="FO151" s="656"/>
      <c r="FP151" s="656"/>
      <c r="FQ151" s="656"/>
      <c r="FR151" s="656"/>
      <c r="FS151" s="656"/>
      <c r="FT151" s="656"/>
      <c r="FU151" s="656"/>
      <c r="FV151" s="656"/>
      <c r="FW151" s="656"/>
      <c r="FX151" s="656"/>
      <c r="FY151" s="656"/>
      <c r="FZ151" s="656"/>
      <c r="GA151" s="656"/>
      <c r="GB151" s="656"/>
      <c r="GC151" s="656"/>
      <c r="GD151" s="656"/>
      <c r="GE151" s="656"/>
      <c r="GF151" s="656"/>
      <c r="GG151" s="656"/>
      <c r="GH151" s="656"/>
      <c r="GI151" s="656"/>
      <c r="GJ151" s="656"/>
      <c r="GK151" s="656"/>
      <c r="GL151" s="656"/>
      <c r="GM151" s="656"/>
      <c r="GN151" s="656"/>
      <c r="GO151" s="656"/>
      <c r="GP151" s="656"/>
      <c r="GQ151" s="656"/>
      <c r="GR151" s="656"/>
      <c r="GS151" s="656"/>
      <c r="GT151" s="656"/>
      <c r="GU151" s="656"/>
      <c r="GV151" s="656"/>
      <c r="GW151" s="656"/>
      <c r="GX151" s="656"/>
      <c r="GY151" s="656"/>
      <c r="GZ151" s="656"/>
      <c r="HA151" s="656"/>
      <c r="HB151" s="656"/>
      <c r="HC151" s="656"/>
      <c r="HD151" s="656"/>
      <c r="HE151" s="656"/>
      <c r="HF151" s="656"/>
      <c r="HG151" s="656"/>
      <c r="HH151" s="656"/>
      <c r="HI151" s="656"/>
      <c r="HJ151" s="656"/>
      <c r="HK151" s="656"/>
      <c r="HL151" s="656"/>
      <c r="HM151" s="656"/>
      <c r="HN151" s="656"/>
      <c r="HO151" s="656"/>
      <c r="HP151" s="656"/>
      <c r="HQ151" s="656"/>
      <c r="HR151" s="656"/>
      <c r="HS151" s="656"/>
      <c r="HT151" s="656"/>
      <c r="HU151" s="656"/>
      <c r="HV151" s="656"/>
      <c r="HW151" s="656"/>
    </row>
    <row r="152" spans="1:231" s="657" customFormat="1" x14ac:dyDescent="0.25">
      <c r="A152" s="646"/>
      <c r="B152" s="2019"/>
      <c r="C152" s="2020"/>
      <c r="D152" s="2011" t="s">
        <v>1108</v>
      </c>
      <c r="E152" s="1992"/>
      <c r="F152" s="712">
        <v>0.03</v>
      </c>
      <c r="G152" s="713">
        <v>462910</v>
      </c>
      <c r="H152" s="1991" t="s">
        <v>1108</v>
      </c>
      <c r="I152" s="1992"/>
      <c r="J152" s="712">
        <v>0.03</v>
      </c>
      <c r="K152" s="713">
        <v>1001422</v>
      </c>
      <c r="L152" s="710">
        <v>0.03</v>
      </c>
      <c r="M152" s="696">
        <v>0</v>
      </c>
      <c r="N152" s="710">
        <v>0.03</v>
      </c>
      <c r="O152" s="697">
        <v>0</v>
      </c>
      <c r="P152" s="656"/>
      <c r="Q152" s="656"/>
      <c r="R152" s="656"/>
      <c r="S152" s="656"/>
      <c r="T152" s="656"/>
      <c r="U152" s="656"/>
      <c r="V152" s="656"/>
      <c r="W152" s="656"/>
      <c r="X152" s="656"/>
      <c r="Y152" s="656"/>
      <c r="Z152" s="656"/>
      <c r="AA152" s="656"/>
      <c r="AB152" s="656"/>
      <c r="AC152" s="656"/>
      <c r="AD152" s="656"/>
      <c r="AE152" s="656"/>
      <c r="AF152" s="656"/>
      <c r="AG152" s="656"/>
      <c r="AH152" s="656"/>
      <c r="AI152" s="656"/>
      <c r="AJ152" s="656"/>
      <c r="AK152" s="656"/>
      <c r="AL152" s="656"/>
      <c r="AM152" s="656"/>
      <c r="AN152" s="656"/>
      <c r="AO152" s="656"/>
      <c r="AP152" s="656"/>
      <c r="AQ152" s="656"/>
      <c r="AR152" s="656"/>
      <c r="AS152" s="656"/>
      <c r="AT152" s="656"/>
      <c r="AU152" s="656"/>
      <c r="AV152" s="656"/>
      <c r="AW152" s="656"/>
      <c r="AX152" s="656"/>
      <c r="AY152" s="656"/>
      <c r="AZ152" s="656"/>
      <c r="BA152" s="656"/>
      <c r="BB152" s="656"/>
      <c r="BC152" s="656"/>
      <c r="BD152" s="656"/>
      <c r="BE152" s="656"/>
      <c r="BF152" s="656"/>
      <c r="BG152" s="656"/>
      <c r="BH152" s="656"/>
      <c r="BI152" s="656"/>
      <c r="BJ152" s="656"/>
      <c r="BK152" s="656"/>
      <c r="BL152" s="656"/>
      <c r="BM152" s="656"/>
      <c r="BN152" s="656"/>
      <c r="BO152" s="656"/>
      <c r="BP152" s="656"/>
      <c r="BQ152" s="656"/>
      <c r="BR152" s="656"/>
      <c r="BS152" s="656"/>
      <c r="BT152" s="656"/>
      <c r="BU152" s="656"/>
      <c r="BV152" s="656"/>
      <c r="BW152" s="656"/>
      <c r="BX152" s="656"/>
      <c r="BY152" s="656"/>
      <c r="BZ152" s="656"/>
      <c r="CA152" s="656"/>
      <c r="CB152" s="656"/>
      <c r="CC152" s="656"/>
      <c r="CD152" s="656"/>
      <c r="CE152" s="656"/>
      <c r="CF152" s="656"/>
      <c r="CG152" s="656"/>
      <c r="CH152" s="656"/>
      <c r="CI152" s="656"/>
      <c r="CJ152" s="656"/>
      <c r="CK152" s="656"/>
      <c r="CL152" s="656"/>
      <c r="CM152" s="656"/>
      <c r="CN152" s="656"/>
      <c r="CO152" s="656"/>
      <c r="CP152" s="656"/>
      <c r="CQ152" s="656"/>
      <c r="CR152" s="656"/>
      <c r="CS152" s="656"/>
      <c r="CT152" s="656"/>
      <c r="CU152" s="656"/>
      <c r="CV152" s="656"/>
      <c r="CW152" s="656"/>
      <c r="CX152" s="656"/>
      <c r="CY152" s="656"/>
      <c r="CZ152" s="656"/>
      <c r="DA152" s="656"/>
      <c r="DB152" s="656"/>
      <c r="DC152" s="656"/>
      <c r="DD152" s="656"/>
      <c r="DE152" s="656"/>
      <c r="DF152" s="656"/>
      <c r="DG152" s="656"/>
      <c r="DH152" s="656"/>
      <c r="DI152" s="656"/>
      <c r="DJ152" s="656"/>
      <c r="DK152" s="656"/>
      <c r="DL152" s="656"/>
      <c r="DM152" s="656"/>
      <c r="DN152" s="656"/>
      <c r="DO152" s="656"/>
      <c r="DP152" s="656"/>
      <c r="DQ152" s="656"/>
      <c r="DR152" s="656"/>
      <c r="DS152" s="656"/>
      <c r="DT152" s="656"/>
      <c r="DU152" s="656"/>
      <c r="DV152" s="656"/>
      <c r="DW152" s="656"/>
      <c r="DX152" s="656"/>
      <c r="DY152" s="656"/>
      <c r="DZ152" s="656"/>
      <c r="EA152" s="656"/>
      <c r="EB152" s="656"/>
      <c r="EC152" s="656"/>
      <c r="ED152" s="656"/>
      <c r="EE152" s="656"/>
      <c r="EF152" s="656"/>
      <c r="EG152" s="656"/>
      <c r="EH152" s="656"/>
      <c r="EI152" s="656"/>
      <c r="EJ152" s="656"/>
      <c r="EK152" s="656"/>
      <c r="EL152" s="656"/>
      <c r="EM152" s="656"/>
      <c r="EN152" s="656"/>
      <c r="EO152" s="656"/>
      <c r="EP152" s="656"/>
      <c r="EQ152" s="656"/>
      <c r="ER152" s="656"/>
      <c r="ES152" s="656"/>
      <c r="ET152" s="656"/>
      <c r="EU152" s="656"/>
      <c r="EV152" s="656"/>
      <c r="EW152" s="656"/>
      <c r="EX152" s="656"/>
      <c r="EY152" s="656"/>
      <c r="EZ152" s="656"/>
      <c r="FA152" s="656"/>
      <c r="FB152" s="656"/>
      <c r="FC152" s="656"/>
      <c r="FD152" s="656"/>
      <c r="FE152" s="656"/>
      <c r="FF152" s="656"/>
      <c r="FG152" s="656"/>
      <c r="FH152" s="656"/>
      <c r="FI152" s="656"/>
      <c r="FJ152" s="656"/>
      <c r="FK152" s="656"/>
      <c r="FL152" s="656"/>
      <c r="FM152" s="656"/>
      <c r="FN152" s="656"/>
      <c r="FO152" s="656"/>
      <c r="FP152" s="656"/>
      <c r="FQ152" s="656"/>
      <c r="FR152" s="656"/>
      <c r="FS152" s="656"/>
      <c r="FT152" s="656"/>
      <c r="FU152" s="656"/>
      <c r="FV152" s="656"/>
      <c r="FW152" s="656"/>
      <c r="FX152" s="656"/>
      <c r="FY152" s="656"/>
      <c r="FZ152" s="656"/>
      <c r="GA152" s="656"/>
      <c r="GB152" s="656"/>
      <c r="GC152" s="656"/>
      <c r="GD152" s="656"/>
      <c r="GE152" s="656"/>
      <c r="GF152" s="656"/>
      <c r="GG152" s="656"/>
      <c r="GH152" s="656"/>
      <c r="GI152" s="656"/>
      <c r="GJ152" s="656"/>
      <c r="GK152" s="656"/>
      <c r="GL152" s="656"/>
      <c r="GM152" s="656"/>
      <c r="GN152" s="656"/>
      <c r="GO152" s="656"/>
      <c r="GP152" s="656"/>
      <c r="GQ152" s="656"/>
      <c r="GR152" s="656"/>
      <c r="GS152" s="656"/>
      <c r="GT152" s="656"/>
      <c r="GU152" s="656"/>
      <c r="GV152" s="656"/>
      <c r="GW152" s="656"/>
      <c r="GX152" s="656"/>
      <c r="GY152" s="656"/>
      <c r="GZ152" s="656"/>
      <c r="HA152" s="656"/>
      <c r="HB152" s="656"/>
      <c r="HC152" s="656"/>
      <c r="HD152" s="656"/>
      <c r="HE152" s="656"/>
      <c r="HF152" s="656"/>
      <c r="HG152" s="656"/>
      <c r="HH152" s="656"/>
      <c r="HI152" s="656"/>
      <c r="HJ152" s="656"/>
      <c r="HK152" s="656"/>
      <c r="HL152" s="656"/>
      <c r="HM152" s="656"/>
      <c r="HN152" s="656"/>
      <c r="HO152" s="656"/>
      <c r="HP152" s="656"/>
      <c r="HQ152" s="656"/>
      <c r="HR152" s="656"/>
      <c r="HS152" s="656"/>
      <c r="HT152" s="656"/>
      <c r="HU152" s="656"/>
      <c r="HV152" s="656"/>
      <c r="HW152" s="656"/>
    </row>
    <row r="153" spans="1:231" s="657" customFormat="1" ht="15.75" thickBot="1" x14ac:dyDescent="0.3">
      <c r="A153" s="646"/>
      <c r="B153" s="2019"/>
      <c r="C153" s="2020"/>
      <c r="D153" s="2027" t="s">
        <v>1109</v>
      </c>
      <c r="E153" s="2028"/>
      <c r="F153" s="760">
        <v>0.19</v>
      </c>
      <c r="G153" s="761">
        <v>87953</v>
      </c>
      <c r="H153" s="2029" t="s">
        <v>1109</v>
      </c>
      <c r="I153" s="2028"/>
      <c r="J153" s="760">
        <v>0.19</v>
      </c>
      <c r="K153" s="761">
        <v>190270</v>
      </c>
      <c r="L153" s="762">
        <v>0.19</v>
      </c>
      <c r="M153" s="763">
        <v>0</v>
      </c>
      <c r="N153" s="762">
        <v>0.19</v>
      </c>
      <c r="O153" s="764">
        <v>0</v>
      </c>
      <c r="P153" s="656"/>
      <c r="Q153" s="656"/>
      <c r="R153" s="656"/>
      <c r="S153" s="656"/>
      <c r="T153" s="656"/>
      <c r="U153" s="656"/>
      <c r="V153" s="656"/>
      <c r="W153" s="656"/>
      <c r="X153" s="656"/>
      <c r="Y153" s="656"/>
      <c r="Z153" s="656"/>
      <c r="AA153" s="656"/>
      <c r="AB153" s="656"/>
      <c r="AC153" s="656"/>
      <c r="AD153" s="656"/>
      <c r="AE153" s="656"/>
      <c r="AF153" s="656"/>
      <c r="AG153" s="656"/>
      <c r="AH153" s="656"/>
      <c r="AI153" s="656"/>
      <c r="AJ153" s="656"/>
      <c r="AK153" s="656"/>
      <c r="AL153" s="656"/>
      <c r="AM153" s="656"/>
      <c r="AN153" s="656"/>
      <c r="AO153" s="656"/>
      <c r="AP153" s="656"/>
      <c r="AQ153" s="656"/>
      <c r="AR153" s="656"/>
      <c r="AS153" s="656"/>
      <c r="AT153" s="656"/>
      <c r="AU153" s="656"/>
      <c r="AV153" s="656"/>
      <c r="AW153" s="656"/>
      <c r="AX153" s="656"/>
      <c r="AY153" s="656"/>
      <c r="AZ153" s="656"/>
      <c r="BA153" s="656"/>
      <c r="BB153" s="656"/>
      <c r="BC153" s="656"/>
      <c r="BD153" s="656"/>
      <c r="BE153" s="656"/>
      <c r="BF153" s="656"/>
      <c r="BG153" s="656"/>
      <c r="BH153" s="656"/>
      <c r="BI153" s="656"/>
      <c r="BJ153" s="656"/>
      <c r="BK153" s="656"/>
      <c r="BL153" s="656"/>
      <c r="BM153" s="656"/>
      <c r="BN153" s="656"/>
      <c r="BO153" s="656"/>
      <c r="BP153" s="656"/>
      <c r="BQ153" s="656"/>
      <c r="BR153" s="656"/>
      <c r="BS153" s="656"/>
      <c r="BT153" s="656"/>
      <c r="BU153" s="656"/>
      <c r="BV153" s="656"/>
      <c r="BW153" s="656"/>
      <c r="BX153" s="656"/>
      <c r="BY153" s="656"/>
      <c r="BZ153" s="656"/>
      <c r="CA153" s="656"/>
      <c r="CB153" s="656"/>
      <c r="CC153" s="656"/>
      <c r="CD153" s="656"/>
      <c r="CE153" s="656"/>
      <c r="CF153" s="656"/>
      <c r="CG153" s="656"/>
      <c r="CH153" s="656"/>
      <c r="CI153" s="656"/>
      <c r="CJ153" s="656"/>
      <c r="CK153" s="656"/>
      <c r="CL153" s="656"/>
      <c r="CM153" s="656"/>
      <c r="CN153" s="656"/>
      <c r="CO153" s="656"/>
      <c r="CP153" s="656"/>
      <c r="CQ153" s="656"/>
      <c r="CR153" s="656"/>
      <c r="CS153" s="656"/>
      <c r="CT153" s="656"/>
      <c r="CU153" s="656"/>
      <c r="CV153" s="656"/>
      <c r="CW153" s="656"/>
      <c r="CX153" s="656"/>
      <c r="CY153" s="656"/>
      <c r="CZ153" s="656"/>
      <c r="DA153" s="656"/>
      <c r="DB153" s="656"/>
      <c r="DC153" s="656"/>
      <c r="DD153" s="656"/>
      <c r="DE153" s="656"/>
      <c r="DF153" s="656"/>
      <c r="DG153" s="656"/>
      <c r="DH153" s="656"/>
      <c r="DI153" s="656"/>
      <c r="DJ153" s="656"/>
      <c r="DK153" s="656"/>
      <c r="DL153" s="656"/>
      <c r="DM153" s="656"/>
      <c r="DN153" s="656"/>
      <c r="DO153" s="656"/>
      <c r="DP153" s="656"/>
      <c r="DQ153" s="656"/>
      <c r="DR153" s="656"/>
      <c r="DS153" s="656"/>
      <c r="DT153" s="656"/>
      <c r="DU153" s="656"/>
      <c r="DV153" s="656"/>
      <c r="DW153" s="656"/>
      <c r="DX153" s="656"/>
      <c r="DY153" s="656"/>
      <c r="DZ153" s="656"/>
      <c r="EA153" s="656"/>
      <c r="EB153" s="656"/>
      <c r="EC153" s="656"/>
      <c r="ED153" s="656"/>
      <c r="EE153" s="656"/>
      <c r="EF153" s="656"/>
      <c r="EG153" s="656"/>
      <c r="EH153" s="656"/>
      <c r="EI153" s="656"/>
      <c r="EJ153" s="656"/>
      <c r="EK153" s="656"/>
      <c r="EL153" s="656"/>
      <c r="EM153" s="656"/>
      <c r="EN153" s="656"/>
      <c r="EO153" s="656"/>
      <c r="EP153" s="656"/>
      <c r="EQ153" s="656"/>
      <c r="ER153" s="656"/>
      <c r="ES153" s="656"/>
      <c r="ET153" s="656"/>
      <c r="EU153" s="656"/>
      <c r="EV153" s="656"/>
      <c r="EW153" s="656"/>
      <c r="EX153" s="656"/>
      <c r="EY153" s="656"/>
      <c r="EZ153" s="656"/>
      <c r="FA153" s="656"/>
      <c r="FB153" s="656"/>
      <c r="FC153" s="656"/>
      <c r="FD153" s="656"/>
      <c r="FE153" s="656"/>
      <c r="FF153" s="656"/>
      <c r="FG153" s="656"/>
      <c r="FH153" s="656"/>
      <c r="FI153" s="656"/>
      <c r="FJ153" s="656"/>
      <c r="FK153" s="656"/>
      <c r="FL153" s="656"/>
      <c r="FM153" s="656"/>
      <c r="FN153" s="656"/>
      <c r="FO153" s="656"/>
      <c r="FP153" s="656"/>
      <c r="FQ153" s="656"/>
      <c r="FR153" s="656"/>
      <c r="FS153" s="656"/>
      <c r="FT153" s="656"/>
      <c r="FU153" s="656"/>
      <c r="FV153" s="656"/>
      <c r="FW153" s="656"/>
      <c r="FX153" s="656"/>
      <c r="FY153" s="656"/>
      <c r="FZ153" s="656"/>
      <c r="GA153" s="656"/>
      <c r="GB153" s="656"/>
      <c r="GC153" s="656"/>
      <c r="GD153" s="656"/>
      <c r="GE153" s="656"/>
      <c r="GF153" s="656"/>
      <c r="GG153" s="656"/>
      <c r="GH153" s="656"/>
      <c r="GI153" s="656"/>
      <c r="GJ153" s="656"/>
      <c r="GK153" s="656"/>
      <c r="GL153" s="656"/>
      <c r="GM153" s="656"/>
      <c r="GN153" s="656"/>
      <c r="GO153" s="656"/>
      <c r="GP153" s="656"/>
      <c r="GQ153" s="656"/>
      <c r="GR153" s="656"/>
      <c r="GS153" s="656"/>
      <c r="GT153" s="656"/>
      <c r="GU153" s="656"/>
      <c r="GV153" s="656"/>
      <c r="GW153" s="656"/>
      <c r="GX153" s="656"/>
      <c r="GY153" s="656"/>
      <c r="GZ153" s="656"/>
      <c r="HA153" s="656"/>
      <c r="HB153" s="656"/>
      <c r="HC153" s="656"/>
      <c r="HD153" s="656"/>
      <c r="HE153" s="656"/>
      <c r="HF153" s="656"/>
      <c r="HG153" s="656"/>
      <c r="HH153" s="656"/>
      <c r="HI153" s="656"/>
      <c r="HJ153" s="656"/>
      <c r="HK153" s="656"/>
      <c r="HL153" s="656"/>
      <c r="HM153" s="656"/>
      <c r="HN153" s="656"/>
      <c r="HO153" s="656"/>
      <c r="HP153" s="656"/>
      <c r="HQ153" s="656"/>
      <c r="HR153" s="656"/>
      <c r="HS153" s="656"/>
      <c r="HT153" s="656"/>
      <c r="HU153" s="656"/>
      <c r="HV153" s="656"/>
      <c r="HW153" s="656"/>
    </row>
    <row r="154" spans="1:231" s="657" customFormat="1" ht="15.75" thickBot="1" x14ac:dyDescent="0.3">
      <c r="A154" s="646"/>
      <c r="B154" s="2021"/>
      <c r="C154" s="2022"/>
      <c r="D154" s="745"/>
      <c r="E154" s="2030" t="s">
        <v>1110</v>
      </c>
      <c r="F154" s="2031"/>
      <c r="G154" s="765">
        <v>19375854</v>
      </c>
      <c r="H154" s="747"/>
      <c r="I154" s="2030" t="s">
        <v>1110</v>
      </c>
      <c r="J154" s="2031"/>
      <c r="K154" s="765">
        <v>41916194</v>
      </c>
      <c r="L154" s="748" t="s">
        <v>1111</v>
      </c>
      <c r="M154" s="746">
        <v>0</v>
      </c>
      <c r="N154" s="748" t="s">
        <v>1111</v>
      </c>
      <c r="O154" s="749">
        <v>0</v>
      </c>
      <c r="P154" s="656"/>
      <c r="Q154" s="656"/>
      <c r="R154" s="656"/>
      <c r="S154" s="656"/>
      <c r="T154" s="656"/>
      <c r="U154" s="656"/>
      <c r="V154" s="656"/>
      <c r="W154" s="656"/>
      <c r="X154" s="656"/>
      <c r="Y154" s="656"/>
      <c r="Z154" s="656"/>
      <c r="AA154" s="656"/>
      <c r="AB154" s="656"/>
      <c r="AC154" s="656"/>
      <c r="AD154" s="656"/>
      <c r="AE154" s="656"/>
      <c r="AF154" s="656"/>
      <c r="AG154" s="656"/>
      <c r="AH154" s="656"/>
      <c r="AI154" s="656"/>
      <c r="AJ154" s="656"/>
      <c r="AK154" s="656"/>
      <c r="AL154" s="656"/>
      <c r="AM154" s="656"/>
      <c r="AN154" s="656"/>
      <c r="AO154" s="656"/>
      <c r="AP154" s="656"/>
      <c r="AQ154" s="656"/>
      <c r="AR154" s="656"/>
      <c r="AS154" s="656"/>
      <c r="AT154" s="656"/>
      <c r="AU154" s="656"/>
      <c r="AV154" s="656"/>
      <c r="AW154" s="656"/>
      <c r="AX154" s="656"/>
      <c r="AY154" s="656"/>
      <c r="AZ154" s="656"/>
      <c r="BA154" s="656"/>
      <c r="BB154" s="656"/>
      <c r="BC154" s="656"/>
      <c r="BD154" s="656"/>
      <c r="BE154" s="656"/>
      <c r="BF154" s="656"/>
      <c r="BG154" s="656"/>
      <c r="BH154" s="656"/>
      <c r="BI154" s="656"/>
      <c r="BJ154" s="656"/>
      <c r="BK154" s="656"/>
      <c r="BL154" s="656"/>
      <c r="BM154" s="656"/>
      <c r="BN154" s="656"/>
      <c r="BO154" s="656"/>
      <c r="BP154" s="656"/>
      <c r="BQ154" s="656"/>
      <c r="BR154" s="656"/>
      <c r="BS154" s="656"/>
      <c r="BT154" s="656"/>
      <c r="BU154" s="656"/>
      <c r="BV154" s="656"/>
      <c r="BW154" s="656"/>
      <c r="BX154" s="656"/>
      <c r="BY154" s="656"/>
      <c r="BZ154" s="656"/>
      <c r="CA154" s="656"/>
      <c r="CB154" s="656"/>
      <c r="CC154" s="656"/>
      <c r="CD154" s="656"/>
      <c r="CE154" s="656"/>
      <c r="CF154" s="656"/>
      <c r="CG154" s="656"/>
      <c r="CH154" s="656"/>
      <c r="CI154" s="656"/>
      <c r="CJ154" s="656"/>
      <c r="CK154" s="656"/>
      <c r="CL154" s="656"/>
      <c r="CM154" s="656"/>
      <c r="CN154" s="656"/>
      <c r="CO154" s="656"/>
      <c r="CP154" s="656"/>
      <c r="CQ154" s="656"/>
      <c r="CR154" s="656"/>
      <c r="CS154" s="656"/>
      <c r="CT154" s="656"/>
      <c r="CU154" s="656"/>
      <c r="CV154" s="656"/>
      <c r="CW154" s="656"/>
      <c r="CX154" s="656"/>
      <c r="CY154" s="656"/>
      <c r="CZ154" s="656"/>
      <c r="DA154" s="656"/>
      <c r="DB154" s="656"/>
      <c r="DC154" s="656"/>
      <c r="DD154" s="656"/>
      <c r="DE154" s="656"/>
      <c r="DF154" s="656"/>
      <c r="DG154" s="656"/>
      <c r="DH154" s="656"/>
      <c r="DI154" s="656"/>
      <c r="DJ154" s="656"/>
      <c r="DK154" s="656"/>
      <c r="DL154" s="656"/>
      <c r="DM154" s="656"/>
      <c r="DN154" s="656"/>
      <c r="DO154" s="656"/>
      <c r="DP154" s="656"/>
      <c r="DQ154" s="656"/>
      <c r="DR154" s="656"/>
      <c r="DS154" s="656"/>
      <c r="DT154" s="656"/>
      <c r="DU154" s="656"/>
      <c r="DV154" s="656"/>
      <c r="DW154" s="656"/>
      <c r="DX154" s="656"/>
      <c r="DY154" s="656"/>
      <c r="DZ154" s="656"/>
      <c r="EA154" s="656"/>
      <c r="EB154" s="656"/>
      <c r="EC154" s="656"/>
      <c r="ED154" s="656"/>
      <c r="EE154" s="656"/>
      <c r="EF154" s="656"/>
      <c r="EG154" s="656"/>
      <c r="EH154" s="656"/>
      <c r="EI154" s="656"/>
      <c r="EJ154" s="656"/>
      <c r="EK154" s="656"/>
      <c r="EL154" s="656"/>
      <c r="EM154" s="656"/>
      <c r="EN154" s="656"/>
      <c r="EO154" s="656"/>
      <c r="EP154" s="656"/>
      <c r="EQ154" s="656"/>
      <c r="ER154" s="656"/>
      <c r="ES154" s="656"/>
      <c r="ET154" s="656"/>
      <c r="EU154" s="656"/>
      <c r="EV154" s="656"/>
      <c r="EW154" s="656"/>
      <c r="EX154" s="656"/>
      <c r="EY154" s="656"/>
      <c r="EZ154" s="656"/>
      <c r="FA154" s="656"/>
      <c r="FB154" s="656"/>
      <c r="FC154" s="656"/>
      <c r="FD154" s="656"/>
      <c r="FE154" s="656"/>
      <c r="FF154" s="656"/>
      <c r="FG154" s="656"/>
      <c r="FH154" s="656"/>
      <c r="FI154" s="656"/>
      <c r="FJ154" s="656"/>
      <c r="FK154" s="656"/>
      <c r="FL154" s="656"/>
      <c r="FM154" s="656"/>
      <c r="FN154" s="656"/>
      <c r="FO154" s="656"/>
      <c r="FP154" s="656"/>
      <c r="FQ154" s="656"/>
      <c r="FR154" s="656"/>
      <c r="FS154" s="656"/>
      <c r="FT154" s="656"/>
      <c r="FU154" s="656"/>
      <c r="FV154" s="656"/>
      <c r="FW154" s="656"/>
      <c r="FX154" s="656"/>
      <c r="FY154" s="656"/>
      <c r="FZ154" s="656"/>
      <c r="GA154" s="656"/>
      <c r="GB154" s="656"/>
      <c r="GC154" s="656"/>
      <c r="GD154" s="656"/>
      <c r="GE154" s="656"/>
      <c r="GF154" s="656"/>
      <c r="GG154" s="656"/>
      <c r="GH154" s="656"/>
      <c r="GI154" s="656"/>
      <c r="GJ154" s="656"/>
      <c r="GK154" s="656"/>
      <c r="GL154" s="656"/>
      <c r="GM154" s="656"/>
      <c r="GN154" s="656"/>
      <c r="GO154" s="656"/>
      <c r="GP154" s="656"/>
      <c r="GQ154" s="656"/>
      <c r="GR154" s="656"/>
      <c r="GS154" s="656"/>
      <c r="GT154" s="656"/>
      <c r="GU154" s="656"/>
      <c r="GV154" s="656"/>
      <c r="GW154" s="656"/>
      <c r="GX154" s="656"/>
      <c r="GY154" s="656"/>
      <c r="GZ154" s="656"/>
      <c r="HA154" s="656"/>
      <c r="HB154" s="656"/>
      <c r="HC154" s="656"/>
      <c r="HD154" s="656"/>
      <c r="HE154" s="656"/>
      <c r="HF154" s="656"/>
      <c r="HG154" s="656"/>
      <c r="HH154" s="656"/>
      <c r="HI154" s="656"/>
      <c r="HJ154" s="656"/>
      <c r="HK154" s="656"/>
      <c r="HL154" s="656"/>
      <c r="HM154" s="656"/>
      <c r="HN154" s="656"/>
      <c r="HO154" s="656"/>
      <c r="HP154" s="656"/>
      <c r="HQ154" s="656"/>
      <c r="HR154" s="656"/>
      <c r="HS154" s="656"/>
      <c r="HT154" s="656"/>
      <c r="HU154" s="656"/>
      <c r="HV154" s="656"/>
      <c r="HW154" s="656"/>
    </row>
    <row r="155" spans="1:231" s="657" customFormat="1" x14ac:dyDescent="0.25">
      <c r="A155" s="646"/>
      <c r="B155" s="718" t="s">
        <v>317</v>
      </c>
      <c r="C155" s="719" t="s">
        <v>1156</v>
      </c>
      <c r="D155" s="2008"/>
      <c r="E155" s="2009"/>
      <c r="F155" s="2009"/>
      <c r="G155" s="2009"/>
      <c r="H155" s="2009"/>
      <c r="I155" s="2009"/>
      <c r="J155" s="2009"/>
      <c r="K155" s="2009"/>
      <c r="L155" s="2009"/>
      <c r="M155" s="2009"/>
      <c r="N155" s="2009"/>
      <c r="O155" s="2010"/>
      <c r="P155" s="656"/>
      <c r="Q155" s="656"/>
      <c r="R155" s="656"/>
      <c r="S155" s="656"/>
      <c r="T155" s="656"/>
      <c r="U155" s="656"/>
      <c r="V155" s="656"/>
      <c r="W155" s="656"/>
      <c r="X155" s="656"/>
      <c r="Y155" s="656"/>
      <c r="Z155" s="656"/>
      <c r="AA155" s="656"/>
      <c r="AB155" s="656"/>
      <c r="AC155" s="656"/>
      <c r="AD155" s="656"/>
      <c r="AE155" s="656"/>
      <c r="AF155" s="656"/>
      <c r="AG155" s="656"/>
      <c r="AH155" s="656"/>
      <c r="AI155" s="656"/>
      <c r="AJ155" s="656"/>
      <c r="AK155" s="656"/>
      <c r="AL155" s="656"/>
      <c r="AM155" s="656"/>
      <c r="AN155" s="656"/>
      <c r="AO155" s="656"/>
      <c r="AP155" s="656"/>
      <c r="AQ155" s="656"/>
      <c r="AR155" s="656"/>
      <c r="AS155" s="656"/>
      <c r="AT155" s="656"/>
      <c r="AU155" s="656"/>
      <c r="AV155" s="656"/>
      <c r="AW155" s="656"/>
      <c r="AX155" s="656"/>
      <c r="AY155" s="656"/>
      <c r="AZ155" s="656"/>
      <c r="BA155" s="656"/>
      <c r="BB155" s="656"/>
      <c r="BC155" s="656"/>
      <c r="BD155" s="656"/>
      <c r="BE155" s="656"/>
      <c r="BF155" s="656"/>
      <c r="BG155" s="656"/>
      <c r="BH155" s="656"/>
      <c r="BI155" s="656"/>
      <c r="BJ155" s="656"/>
      <c r="BK155" s="656"/>
      <c r="BL155" s="656"/>
      <c r="BM155" s="656"/>
      <c r="BN155" s="656"/>
      <c r="BO155" s="656"/>
      <c r="BP155" s="656"/>
      <c r="BQ155" s="656"/>
      <c r="BR155" s="656"/>
      <c r="BS155" s="656"/>
      <c r="BT155" s="656"/>
      <c r="BU155" s="656"/>
      <c r="BV155" s="656"/>
      <c r="BW155" s="656"/>
      <c r="BX155" s="656"/>
      <c r="BY155" s="656"/>
      <c r="BZ155" s="656"/>
      <c r="CA155" s="656"/>
      <c r="CB155" s="656"/>
      <c r="CC155" s="656"/>
      <c r="CD155" s="656"/>
      <c r="CE155" s="656"/>
      <c r="CF155" s="656"/>
      <c r="CG155" s="656"/>
      <c r="CH155" s="656"/>
      <c r="CI155" s="656"/>
      <c r="CJ155" s="656"/>
      <c r="CK155" s="656"/>
      <c r="CL155" s="656"/>
      <c r="CM155" s="656"/>
      <c r="CN155" s="656"/>
      <c r="CO155" s="656"/>
      <c r="CP155" s="656"/>
      <c r="CQ155" s="656"/>
      <c r="CR155" s="656"/>
      <c r="CS155" s="656"/>
      <c r="CT155" s="656"/>
      <c r="CU155" s="656"/>
      <c r="CV155" s="656"/>
      <c r="CW155" s="656"/>
      <c r="CX155" s="656"/>
      <c r="CY155" s="656"/>
      <c r="CZ155" s="656"/>
      <c r="DA155" s="656"/>
      <c r="DB155" s="656"/>
      <c r="DC155" s="656"/>
      <c r="DD155" s="656"/>
      <c r="DE155" s="656"/>
      <c r="DF155" s="656"/>
      <c r="DG155" s="656"/>
      <c r="DH155" s="656"/>
      <c r="DI155" s="656"/>
      <c r="DJ155" s="656"/>
      <c r="DK155" s="656"/>
      <c r="DL155" s="656"/>
      <c r="DM155" s="656"/>
      <c r="DN155" s="656"/>
      <c r="DO155" s="656"/>
      <c r="DP155" s="656"/>
      <c r="DQ155" s="656"/>
      <c r="DR155" s="656"/>
      <c r="DS155" s="656"/>
      <c r="DT155" s="656"/>
      <c r="DU155" s="656"/>
      <c r="DV155" s="656"/>
      <c r="DW155" s="656"/>
      <c r="DX155" s="656"/>
      <c r="DY155" s="656"/>
      <c r="DZ155" s="656"/>
      <c r="EA155" s="656"/>
      <c r="EB155" s="656"/>
      <c r="EC155" s="656"/>
      <c r="ED155" s="656"/>
      <c r="EE155" s="656"/>
      <c r="EF155" s="656"/>
      <c r="EG155" s="656"/>
      <c r="EH155" s="656"/>
      <c r="EI155" s="656"/>
      <c r="EJ155" s="656"/>
      <c r="EK155" s="656"/>
      <c r="EL155" s="656"/>
      <c r="EM155" s="656"/>
      <c r="EN155" s="656"/>
      <c r="EO155" s="656"/>
      <c r="EP155" s="656"/>
      <c r="EQ155" s="656"/>
      <c r="ER155" s="656"/>
      <c r="ES155" s="656"/>
      <c r="ET155" s="656"/>
      <c r="EU155" s="656"/>
      <c r="EV155" s="656"/>
      <c r="EW155" s="656"/>
      <c r="EX155" s="656"/>
      <c r="EY155" s="656"/>
      <c r="EZ155" s="656"/>
      <c r="FA155" s="656"/>
      <c r="FB155" s="656"/>
      <c r="FC155" s="656"/>
      <c r="FD155" s="656"/>
      <c r="FE155" s="656"/>
      <c r="FF155" s="656"/>
      <c r="FG155" s="656"/>
      <c r="FH155" s="656"/>
      <c r="FI155" s="656"/>
      <c r="FJ155" s="656"/>
      <c r="FK155" s="656"/>
      <c r="FL155" s="656"/>
      <c r="FM155" s="656"/>
      <c r="FN155" s="656"/>
      <c r="FO155" s="656"/>
      <c r="FP155" s="656"/>
      <c r="FQ155" s="656"/>
      <c r="FR155" s="656"/>
      <c r="FS155" s="656"/>
      <c r="FT155" s="656"/>
      <c r="FU155" s="656"/>
      <c r="FV155" s="656"/>
      <c r="FW155" s="656"/>
      <c r="FX155" s="656"/>
      <c r="FY155" s="656"/>
      <c r="FZ155" s="656"/>
      <c r="GA155" s="656"/>
      <c r="GB155" s="656"/>
      <c r="GC155" s="656"/>
      <c r="GD155" s="656"/>
      <c r="GE155" s="656"/>
      <c r="GF155" s="656"/>
      <c r="GG155" s="656"/>
      <c r="GH155" s="656"/>
      <c r="GI155" s="656"/>
      <c r="GJ155" s="656"/>
      <c r="GK155" s="656"/>
      <c r="GL155" s="656"/>
      <c r="GM155" s="656"/>
      <c r="GN155" s="656"/>
      <c r="GO155" s="656"/>
      <c r="GP155" s="656"/>
      <c r="GQ155" s="656"/>
      <c r="GR155" s="656"/>
      <c r="GS155" s="656"/>
      <c r="GT155" s="656"/>
      <c r="GU155" s="656"/>
      <c r="GV155" s="656"/>
      <c r="GW155" s="656"/>
      <c r="GX155" s="656"/>
      <c r="GY155" s="656"/>
      <c r="GZ155" s="656"/>
      <c r="HA155" s="656"/>
      <c r="HB155" s="656"/>
      <c r="HC155" s="656"/>
      <c r="HD155" s="656"/>
      <c r="HE155" s="656"/>
      <c r="HF155" s="656"/>
      <c r="HG155" s="656"/>
      <c r="HH155" s="656"/>
      <c r="HI155" s="656"/>
      <c r="HJ155" s="656"/>
      <c r="HK155" s="656"/>
      <c r="HL155" s="656"/>
      <c r="HM155" s="656"/>
      <c r="HN155" s="656"/>
      <c r="HO155" s="656"/>
      <c r="HP155" s="656"/>
      <c r="HQ155" s="656"/>
      <c r="HR155" s="656"/>
      <c r="HS155" s="656"/>
      <c r="HT155" s="656"/>
      <c r="HU155" s="656"/>
      <c r="HV155" s="656"/>
      <c r="HW155" s="656"/>
    </row>
    <row r="156" spans="1:231" s="657" customFormat="1" x14ac:dyDescent="0.25">
      <c r="A156" s="646">
        <v>96</v>
      </c>
      <c r="B156" s="680" t="s">
        <v>1157</v>
      </c>
      <c r="C156" s="681" t="s">
        <v>1158</v>
      </c>
      <c r="D156" s="682" t="s">
        <v>19</v>
      </c>
      <c r="E156" s="766">
        <v>112</v>
      </c>
      <c r="F156" s="684">
        <v>53998</v>
      </c>
      <c r="G156" s="684">
        <v>6047776</v>
      </c>
      <c r="H156" s="767">
        <v>18</v>
      </c>
      <c r="I156" s="768">
        <v>0</v>
      </c>
      <c r="J156" s="683">
        <v>130</v>
      </c>
      <c r="K156" s="684">
        <v>7019740</v>
      </c>
      <c r="L156" s="683">
        <v>130</v>
      </c>
      <c r="M156" s="684">
        <v>7019740</v>
      </c>
      <c r="N156" s="683">
        <v>130</v>
      </c>
      <c r="O156" s="687">
        <v>7019740</v>
      </c>
      <c r="P156" s="656"/>
      <c r="Q156" s="656"/>
      <c r="R156" s="656"/>
      <c r="S156" s="656"/>
      <c r="T156" s="656"/>
      <c r="U156" s="656"/>
      <c r="V156" s="656"/>
      <c r="W156" s="656"/>
      <c r="X156" s="656"/>
      <c r="Y156" s="656"/>
      <c r="Z156" s="656"/>
      <c r="AA156" s="656"/>
      <c r="AB156" s="656"/>
      <c r="AC156" s="656"/>
      <c r="AD156" s="656"/>
      <c r="AE156" s="656"/>
      <c r="AF156" s="656"/>
      <c r="AG156" s="656"/>
      <c r="AH156" s="656"/>
      <c r="AI156" s="656"/>
      <c r="AJ156" s="656"/>
      <c r="AK156" s="656"/>
      <c r="AL156" s="656"/>
      <c r="AM156" s="656"/>
      <c r="AN156" s="656"/>
      <c r="AO156" s="656"/>
      <c r="AP156" s="656"/>
      <c r="AQ156" s="656"/>
      <c r="AR156" s="656"/>
      <c r="AS156" s="656"/>
      <c r="AT156" s="656"/>
      <c r="AU156" s="656"/>
      <c r="AV156" s="656"/>
      <c r="AW156" s="656"/>
      <c r="AX156" s="656"/>
      <c r="AY156" s="656"/>
      <c r="AZ156" s="656"/>
      <c r="BA156" s="656"/>
      <c r="BB156" s="656"/>
      <c r="BC156" s="656"/>
      <c r="BD156" s="656"/>
      <c r="BE156" s="656"/>
      <c r="BF156" s="656"/>
      <c r="BG156" s="656"/>
      <c r="BH156" s="656"/>
      <c r="BI156" s="656"/>
      <c r="BJ156" s="656"/>
      <c r="BK156" s="656"/>
      <c r="BL156" s="656"/>
      <c r="BM156" s="656"/>
      <c r="BN156" s="656"/>
      <c r="BO156" s="656"/>
      <c r="BP156" s="656"/>
      <c r="BQ156" s="656"/>
      <c r="BR156" s="656"/>
      <c r="BS156" s="656"/>
      <c r="BT156" s="656"/>
      <c r="BU156" s="656"/>
      <c r="BV156" s="656"/>
      <c r="BW156" s="656"/>
      <c r="BX156" s="656"/>
      <c r="BY156" s="656"/>
      <c r="BZ156" s="656"/>
      <c r="CA156" s="656"/>
      <c r="CB156" s="656"/>
      <c r="CC156" s="656"/>
      <c r="CD156" s="656"/>
      <c r="CE156" s="656"/>
      <c r="CF156" s="656"/>
      <c r="CG156" s="656"/>
      <c r="CH156" s="656"/>
      <c r="CI156" s="656"/>
      <c r="CJ156" s="656"/>
      <c r="CK156" s="656"/>
      <c r="CL156" s="656"/>
      <c r="CM156" s="656"/>
      <c r="CN156" s="656"/>
      <c r="CO156" s="656"/>
      <c r="CP156" s="656"/>
      <c r="CQ156" s="656"/>
      <c r="CR156" s="656"/>
      <c r="CS156" s="656"/>
      <c r="CT156" s="656"/>
      <c r="CU156" s="656"/>
      <c r="CV156" s="656"/>
      <c r="CW156" s="656"/>
      <c r="CX156" s="656"/>
      <c r="CY156" s="656"/>
      <c r="CZ156" s="656"/>
      <c r="DA156" s="656"/>
      <c r="DB156" s="656"/>
      <c r="DC156" s="656"/>
      <c r="DD156" s="656"/>
      <c r="DE156" s="656"/>
      <c r="DF156" s="656"/>
      <c r="DG156" s="656"/>
      <c r="DH156" s="656"/>
      <c r="DI156" s="656"/>
      <c r="DJ156" s="656"/>
      <c r="DK156" s="656"/>
      <c r="DL156" s="656"/>
      <c r="DM156" s="656"/>
      <c r="DN156" s="656"/>
      <c r="DO156" s="656"/>
      <c r="DP156" s="656"/>
      <c r="DQ156" s="656"/>
      <c r="DR156" s="656"/>
      <c r="DS156" s="656"/>
      <c r="DT156" s="656"/>
      <c r="DU156" s="656"/>
      <c r="DV156" s="656"/>
      <c r="DW156" s="656"/>
      <c r="DX156" s="656"/>
      <c r="DY156" s="656"/>
      <c r="DZ156" s="656"/>
      <c r="EA156" s="656"/>
      <c r="EB156" s="656"/>
      <c r="EC156" s="656"/>
      <c r="ED156" s="656"/>
      <c r="EE156" s="656"/>
      <c r="EF156" s="656"/>
      <c r="EG156" s="656"/>
      <c r="EH156" s="656"/>
      <c r="EI156" s="656"/>
      <c r="EJ156" s="656"/>
      <c r="EK156" s="656"/>
      <c r="EL156" s="656"/>
      <c r="EM156" s="656"/>
      <c r="EN156" s="656"/>
      <c r="EO156" s="656"/>
      <c r="EP156" s="656"/>
      <c r="EQ156" s="656"/>
      <c r="ER156" s="656"/>
      <c r="ES156" s="656"/>
      <c r="ET156" s="656"/>
      <c r="EU156" s="656"/>
      <c r="EV156" s="656"/>
      <c r="EW156" s="656"/>
      <c r="EX156" s="656"/>
      <c r="EY156" s="656"/>
      <c r="EZ156" s="656"/>
      <c r="FA156" s="656"/>
      <c r="FB156" s="656"/>
      <c r="FC156" s="656"/>
      <c r="FD156" s="656"/>
      <c r="FE156" s="656"/>
      <c r="FF156" s="656"/>
      <c r="FG156" s="656"/>
      <c r="FH156" s="656"/>
      <c r="FI156" s="656"/>
      <c r="FJ156" s="656"/>
      <c r="FK156" s="656"/>
      <c r="FL156" s="656"/>
      <c r="FM156" s="656"/>
      <c r="FN156" s="656"/>
      <c r="FO156" s="656"/>
      <c r="FP156" s="656"/>
      <c r="FQ156" s="656"/>
      <c r="FR156" s="656"/>
      <c r="FS156" s="656"/>
      <c r="FT156" s="656"/>
      <c r="FU156" s="656"/>
      <c r="FV156" s="656"/>
      <c r="FW156" s="656"/>
      <c r="FX156" s="656"/>
      <c r="FY156" s="656"/>
      <c r="FZ156" s="656"/>
      <c r="GA156" s="656"/>
      <c r="GB156" s="656"/>
      <c r="GC156" s="656"/>
      <c r="GD156" s="656"/>
      <c r="GE156" s="656"/>
      <c r="GF156" s="656"/>
      <c r="GG156" s="656"/>
      <c r="GH156" s="656"/>
      <c r="GI156" s="656"/>
      <c r="GJ156" s="656"/>
      <c r="GK156" s="656"/>
      <c r="GL156" s="656"/>
      <c r="GM156" s="656"/>
      <c r="GN156" s="656"/>
      <c r="GO156" s="656"/>
      <c r="GP156" s="656"/>
      <c r="GQ156" s="656"/>
      <c r="GR156" s="656"/>
      <c r="GS156" s="656"/>
      <c r="GT156" s="656"/>
      <c r="GU156" s="656"/>
      <c r="GV156" s="656"/>
      <c r="GW156" s="656"/>
      <c r="GX156" s="656"/>
      <c r="GY156" s="656"/>
      <c r="GZ156" s="656"/>
      <c r="HA156" s="656"/>
      <c r="HB156" s="656"/>
      <c r="HC156" s="656"/>
      <c r="HD156" s="656"/>
      <c r="HE156" s="656"/>
      <c r="HF156" s="656"/>
      <c r="HG156" s="656"/>
      <c r="HH156" s="656"/>
      <c r="HI156" s="656"/>
      <c r="HJ156" s="656"/>
      <c r="HK156" s="656"/>
      <c r="HL156" s="656"/>
      <c r="HM156" s="656"/>
      <c r="HN156" s="656"/>
      <c r="HO156" s="656"/>
      <c r="HP156" s="656"/>
      <c r="HQ156" s="656"/>
      <c r="HR156" s="656"/>
      <c r="HS156" s="656"/>
      <c r="HT156" s="656"/>
      <c r="HU156" s="656"/>
      <c r="HV156" s="656"/>
      <c r="HW156" s="656"/>
    </row>
    <row r="157" spans="1:231" s="657" customFormat="1" ht="28.5" x14ac:dyDescent="0.25">
      <c r="A157" s="646">
        <v>97</v>
      </c>
      <c r="B157" s="680" t="s">
        <v>1159</v>
      </c>
      <c r="C157" s="681" t="s">
        <v>1160</v>
      </c>
      <c r="D157" s="682" t="s">
        <v>14</v>
      </c>
      <c r="E157" s="766">
        <v>336</v>
      </c>
      <c r="F157" s="684">
        <v>47236.979999999996</v>
      </c>
      <c r="G157" s="684">
        <v>15871625</v>
      </c>
      <c r="H157" s="767">
        <v>78</v>
      </c>
      <c r="I157" s="768">
        <v>0</v>
      </c>
      <c r="J157" s="683">
        <v>414</v>
      </c>
      <c r="K157" s="684">
        <v>19556110</v>
      </c>
      <c r="L157" s="683">
        <v>414</v>
      </c>
      <c r="M157" s="684">
        <v>19556110</v>
      </c>
      <c r="N157" s="683">
        <v>414</v>
      </c>
      <c r="O157" s="687">
        <v>19556110</v>
      </c>
      <c r="P157" s="656"/>
      <c r="Q157" s="656"/>
      <c r="R157" s="656"/>
      <c r="S157" s="656"/>
      <c r="T157" s="656"/>
      <c r="U157" s="656"/>
      <c r="V157" s="656"/>
      <c r="W157" s="656"/>
      <c r="X157" s="656"/>
      <c r="Y157" s="656"/>
      <c r="Z157" s="656"/>
      <c r="AA157" s="656"/>
      <c r="AB157" s="656"/>
      <c r="AC157" s="656"/>
      <c r="AD157" s="656"/>
      <c r="AE157" s="656"/>
      <c r="AF157" s="656"/>
      <c r="AG157" s="656"/>
      <c r="AH157" s="656"/>
      <c r="AI157" s="656"/>
      <c r="AJ157" s="656"/>
      <c r="AK157" s="656"/>
      <c r="AL157" s="656"/>
      <c r="AM157" s="656"/>
      <c r="AN157" s="656"/>
      <c r="AO157" s="656"/>
      <c r="AP157" s="656"/>
      <c r="AQ157" s="656"/>
      <c r="AR157" s="656"/>
      <c r="AS157" s="656"/>
      <c r="AT157" s="656"/>
      <c r="AU157" s="656"/>
      <c r="AV157" s="656"/>
      <c r="AW157" s="656"/>
      <c r="AX157" s="656"/>
      <c r="AY157" s="656"/>
      <c r="AZ157" s="656"/>
      <c r="BA157" s="656"/>
      <c r="BB157" s="656"/>
      <c r="BC157" s="656"/>
      <c r="BD157" s="656"/>
      <c r="BE157" s="656"/>
      <c r="BF157" s="656"/>
      <c r="BG157" s="656"/>
      <c r="BH157" s="656"/>
      <c r="BI157" s="656"/>
      <c r="BJ157" s="656"/>
      <c r="BK157" s="656"/>
      <c r="BL157" s="656"/>
      <c r="BM157" s="656"/>
      <c r="BN157" s="656"/>
      <c r="BO157" s="656"/>
      <c r="BP157" s="656"/>
      <c r="BQ157" s="656"/>
      <c r="BR157" s="656"/>
      <c r="BS157" s="656"/>
      <c r="BT157" s="656"/>
      <c r="BU157" s="656"/>
      <c r="BV157" s="656"/>
      <c r="BW157" s="656"/>
      <c r="BX157" s="656"/>
      <c r="BY157" s="656"/>
      <c r="BZ157" s="656"/>
      <c r="CA157" s="656"/>
      <c r="CB157" s="656"/>
      <c r="CC157" s="656"/>
      <c r="CD157" s="656"/>
      <c r="CE157" s="656"/>
      <c r="CF157" s="656"/>
      <c r="CG157" s="656"/>
      <c r="CH157" s="656"/>
      <c r="CI157" s="656"/>
      <c r="CJ157" s="656"/>
      <c r="CK157" s="656"/>
      <c r="CL157" s="656"/>
      <c r="CM157" s="656"/>
      <c r="CN157" s="656"/>
      <c r="CO157" s="656"/>
      <c r="CP157" s="656"/>
      <c r="CQ157" s="656"/>
      <c r="CR157" s="656"/>
      <c r="CS157" s="656"/>
      <c r="CT157" s="656"/>
      <c r="CU157" s="656"/>
      <c r="CV157" s="656"/>
      <c r="CW157" s="656"/>
      <c r="CX157" s="656"/>
      <c r="CY157" s="656"/>
      <c r="CZ157" s="656"/>
      <c r="DA157" s="656"/>
      <c r="DB157" s="656"/>
      <c r="DC157" s="656"/>
      <c r="DD157" s="656"/>
      <c r="DE157" s="656"/>
      <c r="DF157" s="656"/>
      <c r="DG157" s="656"/>
      <c r="DH157" s="656"/>
      <c r="DI157" s="656"/>
      <c r="DJ157" s="656"/>
      <c r="DK157" s="656"/>
      <c r="DL157" s="656"/>
      <c r="DM157" s="656"/>
      <c r="DN157" s="656"/>
      <c r="DO157" s="656"/>
      <c r="DP157" s="656"/>
      <c r="DQ157" s="656"/>
      <c r="DR157" s="656"/>
      <c r="DS157" s="656"/>
      <c r="DT157" s="656"/>
      <c r="DU157" s="656"/>
      <c r="DV157" s="656"/>
      <c r="DW157" s="656"/>
      <c r="DX157" s="656"/>
      <c r="DY157" s="656"/>
      <c r="DZ157" s="656"/>
      <c r="EA157" s="656"/>
      <c r="EB157" s="656"/>
      <c r="EC157" s="656"/>
      <c r="ED157" s="656"/>
      <c r="EE157" s="656"/>
      <c r="EF157" s="656"/>
      <c r="EG157" s="656"/>
      <c r="EH157" s="656"/>
      <c r="EI157" s="656"/>
      <c r="EJ157" s="656"/>
      <c r="EK157" s="656"/>
      <c r="EL157" s="656"/>
      <c r="EM157" s="656"/>
      <c r="EN157" s="656"/>
      <c r="EO157" s="656"/>
      <c r="EP157" s="656"/>
      <c r="EQ157" s="656"/>
      <c r="ER157" s="656"/>
      <c r="ES157" s="656"/>
      <c r="ET157" s="656"/>
      <c r="EU157" s="656"/>
      <c r="EV157" s="656"/>
      <c r="EW157" s="656"/>
      <c r="EX157" s="656"/>
      <c r="EY157" s="656"/>
      <c r="EZ157" s="656"/>
      <c r="FA157" s="656"/>
      <c r="FB157" s="656"/>
      <c r="FC157" s="656"/>
      <c r="FD157" s="656"/>
      <c r="FE157" s="656"/>
      <c r="FF157" s="656"/>
      <c r="FG157" s="656"/>
      <c r="FH157" s="656"/>
      <c r="FI157" s="656"/>
      <c r="FJ157" s="656"/>
      <c r="FK157" s="656"/>
      <c r="FL157" s="656"/>
      <c r="FM157" s="656"/>
      <c r="FN157" s="656"/>
      <c r="FO157" s="656"/>
      <c r="FP157" s="656"/>
      <c r="FQ157" s="656"/>
      <c r="FR157" s="656"/>
      <c r="FS157" s="656"/>
      <c r="FT157" s="656"/>
      <c r="FU157" s="656"/>
      <c r="FV157" s="656"/>
      <c r="FW157" s="656"/>
      <c r="FX157" s="656"/>
      <c r="FY157" s="656"/>
      <c r="FZ157" s="656"/>
      <c r="GA157" s="656"/>
      <c r="GB157" s="656"/>
      <c r="GC157" s="656"/>
      <c r="GD157" s="656"/>
      <c r="GE157" s="656"/>
      <c r="GF157" s="656"/>
      <c r="GG157" s="656"/>
      <c r="GH157" s="656"/>
      <c r="GI157" s="656"/>
      <c r="GJ157" s="656"/>
      <c r="GK157" s="656"/>
      <c r="GL157" s="656"/>
      <c r="GM157" s="656"/>
      <c r="GN157" s="656"/>
      <c r="GO157" s="656"/>
      <c r="GP157" s="656"/>
      <c r="GQ157" s="656"/>
      <c r="GR157" s="656"/>
      <c r="GS157" s="656"/>
      <c r="GT157" s="656"/>
      <c r="GU157" s="656"/>
      <c r="GV157" s="656"/>
      <c r="GW157" s="656"/>
      <c r="GX157" s="656"/>
      <c r="GY157" s="656"/>
      <c r="GZ157" s="656"/>
      <c r="HA157" s="656"/>
      <c r="HB157" s="656"/>
      <c r="HC157" s="656"/>
      <c r="HD157" s="656"/>
      <c r="HE157" s="656"/>
      <c r="HF157" s="656"/>
      <c r="HG157" s="656"/>
      <c r="HH157" s="656"/>
      <c r="HI157" s="656"/>
      <c r="HJ157" s="656"/>
      <c r="HK157" s="656"/>
      <c r="HL157" s="656"/>
      <c r="HM157" s="656"/>
      <c r="HN157" s="656"/>
      <c r="HO157" s="656"/>
      <c r="HP157" s="656"/>
      <c r="HQ157" s="656"/>
      <c r="HR157" s="656"/>
      <c r="HS157" s="656"/>
      <c r="HT157" s="656"/>
      <c r="HU157" s="656"/>
      <c r="HV157" s="656"/>
      <c r="HW157" s="656"/>
    </row>
    <row r="158" spans="1:231" s="657" customFormat="1" ht="44.1" customHeight="1" x14ac:dyDescent="0.25">
      <c r="A158" s="646">
        <v>98</v>
      </c>
      <c r="B158" s="680" t="s">
        <v>1161</v>
      </c>
      <c r="C158" s="681" t="s">
        <v>1162</v>
      </c>
      <c r="D158" s="682" t="s">
        <v>14</v>
      </c>
      <c r="E158" s="766">
        <v>16</v>
      </c>
      <c r="F158" s="684">
        <v>139650</v>
      </c>
      <c r="G158" s="684">
        <v>2234400</v>
      </c>
      <c r="H158" s="767">
        <v>0</v>
      </c>
      <c r="I158" s="768">
        <v>-16</v>
      </c>
      <c r="J158" s="683">
        <v>0</v>
      </c>
      <c r="K158" s="684">
        <v>0</v>
      </c>
      <c r="L158" s="683">
        <v>0</v>
      </c>
      <c r="M158" s="684">
        <v>0</v>
      </c>
      <c r="N158" s="683">
        <v>0</v>
      </c>
      <c r="O158" s="687">
        <v>0</v>
      </c>
      <c r="P158" s="656"/>
      <c r="Q158" s="656"/>
      <c r="R158" s="656"/>
      <c r="S158" s="656"/>
      <c r="T158" s="656"/>
      <c r="U158" s="656"/>
      <c r="V158" s="656"/>
      <c r="W158" s="656"/>
      <c r="X158" s="656"/>
      <c r="Y158" s="656"/>
      <c r="Z158" s="656"/>
      <c r="AA158" s="656"/>
      <c r="AB158" s="656"/>
      <c r="AC158" s="656"/>
      <c r="AD158" s="656"/>
      <c r="AE158" s="656"/>
      <c r="AF158" s="656"/>
      <c r="AG158" s="656"/>
      <c r="AH158" s="656"/>
      <c r="AI158" s="656"/>
      <c r="AJ158" s="656"/>
      <c r="AK158" s="656"/>
      <c r="AL158" s="656"/>
      <c r="AM158" s="656"/>
      <c r="AN158" s="656"/>
      <c r="AO158" s="656"/>
      <c r="AP158" s="656"/>
      <c r="AQ158" s="656"/>
      <c r="AR158" s="656"/>
      <c r="AS158" s="656"/>
      <c r="AT158" s="656"/>
      <c r="AU158" s="656"/>
      <c r="AV158" s="656"/>
      <c r="AW158" s="656"/>
      <c r="AX158" s="656"/>
      <c r="AY158" s="656"/>
      <c r="AZ158" s="656"/>
      <c r="BA158" s="656"/>
      <c r="BB158" s="656"/>
      <c r="BC158" s="656"/>
      <c r="BD158" s="656"/>
      <c r="BE158" s="656"/>
      <c r="BF158" s="656"/>
      <c r="BG158" s="656"/>
      <c r="BH158" s="656"/>
      <c r="BI158" s="656"/>
      <c r="BJ158" s="656"/>
      <c r="BK158" s="656"/>
      <c r="BL158" s="656"/>
      <c r="BM158" s="656"/>
      <c r="BN158" s="656"/>
      <c r="BO158" s="656"/>
      <c r="BP158" s="656"/>
      <c r="BQ158" s="656"/>
      <c r="BR158" s="656"/>
      <c r="BS158" s="656"/>
      <c r="BT158" s="656"/>
      <c r="BU158" s="656"/>
      <c r="BV158" s="656"/>
      <c r="BW158" s="656"/>
      <c r="BX158" s="656"/>
      <c r="BY158" s="656"/>
      <c r="BZ158" s="656"/>
      <c r="CA158" s="656"/>
      <c r="CB158" s="656"/>
      <c r="CC158" s="656"/>
      <c r="CD158" s="656"/>
      <c r="CE158" s="656"/>
      <c r="CF158" s="656"/>
      <c r="CG158" s="656"/>
      <c r="CH158" s="656"/>
      <c r="CI158" s="656"/>
      <c r="CJ158" s="656"/>
      <c r="CK158" s="656"/>
      <c r="CL158" s="656"/>
      <c r="CM158" s="656"/>
      <c r="CN158" s="656"/>
      <c r="CO158" s="656"/>
      <c r="CP158" s="656"/>
      <c r="CQ158" s="656"/>
      <c r="CR158" s="656"/>
      <c r="CS158" s="656"/>
      <c r="CT158" s="656"/>
      <c r="CU158" s="656"/>
      <c r="CV158" s="656"/>
      <c r="CW158" s="656"/>
      <c r="CX158" s="656"/>
      <c r="CY158" s="656"/>
      <c r="CZ158" s="656"/>
      <c r="DA158" s="656"/>
      <c r="DB158" s="656"/>
      <c r="DC158" s="656"/>
      <c r="DD158" s="656"/>
      <c r="DE158" s="656"/>
      <c r="DF158" s="656"/>
      <c r="DG158" s="656"/>
      <c r="DH158" s="656"/>
      <c r="DI158" s="656"/>
      <c r="DJ158" s="656"/>
      <c r="DK158" s="656"/>
      <c r="DL158" s="656"/>
      <c r="DM158" s="656"/>
      <c r="DN158" s="656"/>
      <c r="DO158" s="656"/>
      <c r="DP158" s="656"/>
      <c r="DQ158" s="656"/>
      <c r="DR158" s="656"/>
      <c r="DS158" s="656"/>
      <c r="DT158" s="656"/>
      <c r="DU158" s="656"/>
      <c r="DV158" s="656"/>
      <c r="DW158" s="656"/>
      <c r="DX158" s="656"/>
      <c r="DY158" s="656"/>
      <c r="DZ158" s="656"/>
      <c r="EA158" s="656"/>
      <c r="EB158" s="656"/>
      <c r="EC158" s="656"/>
      <c r="ED158" s="656"/>
      <c r="EE158" s="656"/>
      <c r="EF158" s="656"/>
      <c r="EG158" s="656"/>
      <c r="EH158" s="656"/>
      <c r="EI158" s="656"/>
      <c r="EJ158" s="656"/>
      <c r="EK158" s="656"/>
      <c r="EL158" s="656"/>
      <c r="EM158" s="656"/>
      <c r="EN158" s="656"/>
      <c r="EO158" s="656"/>
      <c r="EP158" s="656"/>
      <c r="EQ158" s="656"/>
      <c r="ER158" s="656"/>
      <c r="ES158" s="656"/>
      <c r="ET158" s="656"/>
      <c r="EU158" s="656"/>
      <c r="EV158" s="656"/>
      <c r="EW158" s="656"/>
      <c r="EX158" s="656"/>
      <c r="EY158" s="656"/>
      <c r="EZ158" s="656"/>
      <c r="FA158" s="656"/>
      <c r="FB158" s="656"/>
      <c r="FC158" s="656"/>
      <c r="FD158" s="656"/>
      <c r="FE158" s="656"/>
      <c r="FF158" s="656"/>
      <c r="FG158" s="656"/>
      <c r="FH158" s="656"/>
      <c r="FI158" s="656"/>
      <c r="FJ158" s="656"/>
      <c r="FK158" s="656"/>
      <c r="FL158" s="656"/>
      <c r="FM158" s="656"/>
      <c r="FN158" s="656"/>
      <c r="FO158" s="656"/>
      <c r="FP158" s="656"/>
      <c r="FQ158" s="656"/>
      <c r="FR158" s="656"/>
      <c r="FS158" s="656"/>
      <c r="FT158" s="656"/>
      <c r="FU158" s="656"/>
      <c r="FV158" s="656"/>
      <c r="FW158" s="656"/>
      <c r="FX158" s="656"/>
      <c r="FY158" s="656"/>
      <c r="FZ158" s="656"/>
      <c r="GA158" s="656"/>
      <c r="GB158" s="656"/>
      <c r="GC158" s="656"/>
      <c r="GD158" s="656"/>
      <c r="GE158" s="656"/>
      <c r="GF158" s="656"/>
      <c r="GG158" s="656"/>
      <c r="GH158" s="656"/>
      <c r="GI158" s="656"/>
      <c r="GJ158" s="656"/>
      <c r="GK158" s="656"/>
      <c r="GL158" s="656"/>
      <c r="GM158" s="656"/>
      <c r="GN158" s="656"/>
      <c r="GO158" s="656"/>
      <c r="GP158" s="656"/>
      <c r="GQ158" s="656"/>
      <c r="GR158" s="656"/>
      <c r="GS158" s="656"/>
      <c r="GT158" s="656"/>
      <c r="GU158" s="656"/>
      <c r="GV158" s="656"/>
      <c r="GW158" s="656"/>
      <c r="GX158" s="656"/>
      <c r="GY158" s="656"/>
      <c r="GZ158" s="656"/>
      <c r="HA158" s="656"/>
      <c r="HB158" s="656"/>
      <c r="HC158" s="656"/>
      <c r="HD158" s="656"/>
      <c r="HE158" s="656"/>
      <c r="HF158" s="656"/>
      <c r="HG158" s="656"/>
      <c r="HH158" s="656"/>
      <c r="HI158" s="656"/>
      <c r="HJ158" s="656"/>
      <c r="HK158" s="656"/>
      <c r="HL158" s="656"/>
      <c r="HM158" s="656"/>
      <c r="HN158" s="656"/>
      <c r="HO158" s="656"/>
      <c r="HP158" s="656"/>
      <c r="HQ158" s="656"/>
      <c r="HR158" s="656"/>
      <c r="HS158" s="656"/>
      <c r="HT158" s="656"/>
      <c r="HU158" s="656"/>
      <c r="HV158" s="656"/>
      <c r="HW158" s="656"/>
    </row>
    <row r="159" spans="1:231" s="657" customFormat="1" ht="28.5" x14ac:dyDescent="0.25">
      <c r="A159" s="646">
        <v>99</v>
      </c>
      <c r="B159" s="680" t="s">
        <v>1163</v>
      </c>
      <c r="C159" s="681" t="s">
        <v>609</v>
      </c>
      <c r="D159" s="682" t="s">
        <v>19</v>
      </c>
      <c r="E159" s="766">
        <v>3.6</v>
      </c>
      <c r="F159" s="684">
        <v>79037.98</v>
      </c>
      <c r="G159" s="684">
        <v>284537</v>
      </c>
      <c r="H159" s="767">
        <v>0</v>
      </c>
      <c r="I159" s="768">
        <v>-3.6</v>
      </c>
      <c r="J159" s="683">
        <v>0</v>
      </c>
      <c r="K159" s="684">
        <v>0</v>
      </c>
      <c r="L159" s="683">
        <v>0</v>
      </c>
      <c r="M159" s="684">
        <v>0</v>
      </c>
      <c r="N159" s="683">
        <v>0</v>
      </c>
      <c r="O159" s="687">
        <v>0</v>
      </c>
      <c r="P159" s="656"/>
      <c r="Q159" s="656"/>
      <c r="R159" s="656"/>
      <c r="S159" s="656"/>
      <c r="T159" s="656"/>
      <c r="U159" s="656"/>
      <c r="V159" s="656"/>
      <c r="W159" s="656"/>
      <c r="X159" s="656"/>
      <c r="Y159" s="656"/>
      <c r="Z159" s="656"/>
      <c r="AA159" s="656"/>
      <c r="AB159" s="656"/>
      <c r="AC159" s="656"/>
      <c r="AD159" s="656"/>
      <c r="AE159" s="656"/>
      <c r="AF159" s="656"/>
      <c r="AG159" s="656"/>
      <c r="AH159" s="656"/>
      <c r="AI159" s="656"/>
      <c r="AJ159" s="656"/>
      <c r="AK159" s="656"/>
      <c r="AL159" s="656"/>
      <c r="AM159" s="656"/>
      <c r="AN159" s="656"/>
      <c r="AO159" s="656"/>
      <c r="AP159" s="656"/>
      <c r="AQ159" s="656"/>
      <c r="AR159" s="656"/>
      <c r="AS159" s="656"/>
      <c r="AT159" s="656"/>
      <c r="AU159" s="656"/>
      <c r="AV159" s="656"/>
      <c r="AW159" s="656"/>
      <c r="AX159" s="656"/>
      <c r="AY159" s="656"/>
      <c r="AZ159" s="656"/>
      <c r="BA159" s="656"/>
      <c r="BB159" s="656"/>
      <c r="BC159" s="656"/>
      <c r="BD159" s="656"/>
      <c r="BE159" s="656"/>
      <c r="BF159" s="656"/>
      <c r="BG159" s="656"/>
      <c r="BH159" s="656"/>
      <c r="BI159" s="656"/>
      <c r="BJ159" s="656"/>
      <c r="BK159" s="656"/>
      <c r="BL159" s="656"/>
      <c r="BM159" s="656"/>
      <c r="BN159" s="656"/>
      <c r="BO159" s="656"/>
      <c r="BP159" s="656"/>
      <c r="BQ159" s="656"/>
      <c r="BR159" s="656"/>
      <c r="BS159" s="656"/>
      <c r="BT159" s="656"/>
      <c r="BU159" s="656"/>
      <c r="BV159" s="656"/>
      <c r="BW159" s="656"/>
      <c r="BX159" s="656"/>
      <c r="BY159" s="656"/>
      <c r="BZ159" s="656"/>
      <c r="CA159" s="656"/>
      <c r="CB159" s="656"/>
      <c r="CC159" s="656"/>
      <c r="CD159" s="656"/>
      <c r="CE159" s="656"/>
      <c r="CF159" s="656"/>
      <c r="CG159" s="656"/>
      <c r="CH159" s="656"/>
      <c r="CI159" s="656"/>
      <c r="CJ159" s="656"/>
      <c r="CK159" s="656"/>
      <c r="CL159" s="656"/>
      <c r="CM159" s="656"/>
      <c r="CN159" s="656"/>
      <c r="CO159" s="656"/>
      <c r="CP159" s="656"/>
      <c r="CQ159" s="656"/>
      <c r="CR159" s="656"/>
      <c r="CS159" s="656"/>
      <c r="CT159" s="656"/>
      <c r="CU159" s="656"/>
      <c r="CV159" s="656"/>
      <c r="CW159" s="656"/>
      <c r="CX159" s="656"/>
      <c r="CY159" s="656"/>
      <c r="CZ159" s="656"/>
      <c r="DA159" s="656"/>
      <c r="DB159" s="656"/>
      <c r="DC159" s="656"/>
      <c r="DD159" s="656"/>
      <c r="DE159" s="656"/>
      <c r="DF159" s="656"/>
      <c r="DG159" s="656"/>
      <c r="DH159" s="656"/>
      <c r="DI159" s="656"/>
      <c r="DJ159" s="656"/>
      <c r="DK159" s="656"/>
      <c r="DL159" s="656"/>
      <c r="DM159" s="656"/>
      <c r="DN159" s="656"/>
      <c r="DO159" s="656"/>
      <c r="DP159" s="656"/>
      <c r="DQ159" s="656"/>
      <c r="DR159" s="656"/>
      <c r="DS159" s="656"/>
      <c r="DT159" s="656"/>
      <c r="DU159" s="656"/>
      <c r="DV159" s="656"/>
      <c r="DW159" s="656"/>
      <c r="DX159" s="656"/>
      <c r="DY159" s="656"/>
      <c r="DZ159" s="656"/>
      <c r="EA159" s="656"/>
      <c r="EB159" s="656"/>
      <c r="EC159" s="656"/>
      <c r="ED159" s="656"/>
      <c r="EE159" s="656"/>
      <c r="EF159" s="656"/>
      <c r="EG159" s="656"/>
      <c r="EH159" s="656"/>
      <c r="EI159" s="656"/>
      <c r="EJ159" s="656"/>
      <c r="EK159" s="656"/>
      <c r="EL159" s="656"/>
      <c r="EM159" s="656"/>
      <c r="EN159" s="656"/>
      <c r="EO159" s="656"/>
      <c r="EP159" s="656"/>
      <c r="EQ159" s="656"/>
      <c r="ER159" s="656"/>
      <c r="ES159" s="656"/>
      <c r="ET159" s="656"/>
      <c r="EU159" s="656"/>
      <c r="EV159" s="656"/>
      <c r="EW159" s="656"/>
      <c r="EX159" s="656"/>
      <c r="EY159" s="656"/>
      <c r="EZ159" s="656"/>
      <c r="FA159" s="656"/>
      <c r="FB159" s="656"/>
      <c r="FC159" s="656"/>
      <c r="FD159" s="656"/>
      <c r="FE159" s="656"/>
      <c r="FF159" s="656"/>
      <c r="FG159" s="656"/>
      <c r="FH159" s="656"/>
      <c r="FI159" s="656"/>
      <c r="FJ159" s="656"/>
      <c r="FK159" s="656"/>
      <c r="FL159" s="656"/>
      <c r="FM159" s="656"/>
      <c r="FN159" s="656"/>
      <c r="FO159" s="656"/>
      <c r="FP159" s="656"/>
      <c r="FQ159" s="656"/>
      <c r="FR159" s="656"/>
      <c r="FS159" s="656"/>
      <c r="FT159" s="656"/>
      <c r="FU159" s="656"/>
      <c r="FV159" s="656"/>
      <c r="FW159" s="656"/>
      <c r="FX159" s="656"/>
      <c r="FY159" s="656"/>
      <c r="FZ159" s="656"/>
      <c r="GA159" s="656"/>
      <c r="GB159" s="656"/>
      <c r="GC159" s="656"/>
      <c r="GD159" s="656"/>
      <c r="GE159" s="656"/>
      <c r="GF159" s="656"/>
      <c r="GG159" s="656"/>
      <c r="GH159" s="656"/>
      <c r="GI159" s="656"/>
      <c r="GJ159" s="656"/>
      <c r="GK159" s="656"/>
      <c r="GL159" s="656"/>
      <c r="GM159" s="656"/>
      <c r="GN159" s="656"/>
      <c r="GO159" s="656"/>
      <c r="GP159" s="656"/>
      <c r="GQ159" s="656"/>
      <c r="GR159" s="656"/>
      <c r="GS159" s="656"/>
      <c r="GT159" s="656"/>
      <c r="GU159" s="656"/>
      <c r="GV159" s="656"/>
      <c r="GW159" s="656"/>
      <c r="GX159" s="656"/>
      <c r="GY159" s="656"/>
      <c r="GZ159" s="656"/>
      <c r="HA159" s="656"/>
      <c r="HB159" s="656"/>
      <c r="HC159" s="656"/>
      <c r="HD159" s="656"/>
      <c r="HE159" s="656"/>
      <c r="HF159" s="656"/>
      <c r="HG159" s="656"/>
      <c r="HH159" s="656"/>
      <c r="HI159" s="656"/>
      <c r="HJ159" s="656"/>
      <c r="HK159" s="656"/>
      <c r="HL159" s="656"/>
      <c r="HM159" s="656"/>
      <c r="HN159" s="656"/>
      <c r="HO159" s="656"/>
      <c r="HP159" s="656"/>
      <c r="HQ159" s="656"/>
      <c r="HR159" s="656"/>
      <c r="HS159" s="656"/>
      <c r="HT159" s="656"/>
      <c r="HU159" s="656"/>
      <c r="HV159" s="656"/>
      <c r="HW159" s="656"/>
    </row>
    <row r="160" spans="1:231" s="657" customFormat="1" x14ac:dyDescent="0.25">
      <c r="A160" s="646">
        <v>100</v>
      </c>
      <c r="B160" s="693" t="s">
        <v>1164</v>
      </c>
      <c r="C160" s="721" t="s">
        <v>195</v>
      </c>
      <c r="D160" s="769" t="s">
        <v>19</v>
      </c>
      <c r="E160" s="770">
        <v>200</v>
      </c>
      <c r="F160" s="696">
        <v>3843.56</v>
      </c>
      <c r="G160" s="696">
        <v>768712</v>
      </c>
      <c r="H160" s="771">
        <v>0</v>
      </c>
      <c r="I160" s="772">
        <v>-50</v>
      </c>
      <c r="J160" s="689">
        <v>150</v>
      </c>
      <c r="K160" s="696">
        <v>576534</v>
      </c>
      <c r="L160" s="689">
        <v>150</v>
      </c>
      <c r="M160" s="696">
        <v>576534</v>
      </c>
      <c r="N160" s="689">
        <v>150</v>
      </c>
      <c r="O160" s="697">
        <v>576534</v>
      </c>
      <c r="P160" s="656"/>
      <c r="Q160" s="656"/>
      <c r="R160" s="656"/>
      <c r="S160" s="656"/>
      <c r="T160" s="656"/>
      <c r="U160" s="656"/>
      <c r="V160" s="656"/>
      <c r="W160" s="656"/>
      <c r="X160" s="656"/>
      <c r="Y160" s="656"/>
      <c r="Z160" s="656"/>
      <c r="AA160" s="656"/>
      <c r="AB160" s="656"/>
      <c r="AC160" s="656"/>
      <c r="AD160" s="656"/>
      <c r="AE160" s="656"/>
      <c r="AF160" s="656"/>
      <c r="AG160" s="656"/>
      <c r="AH160" s="656"/>
      <c r="AI160" s="656"/>
      <c r="AJ160" s="656"/>
      <c r="AK160" s="656"/>
      <c r="AL160" s="656"/>
      <c r="AM160" s="656"/>
      <c r="AN160" s="656"/>
      <c r="AO160" s="656"/>
      <c r="AP160" s="656"/>
      <c r="AQ160" s="656"/>
      <c r="AR160" s="656"/>
      <c r="AS160" s="656"/>
      <c r="AT160" s="656"/>
      <c r="AU160" s="656"/>
      <c r="AV160" s="656"/>
      <c r="AW160" s="656"/>
      <c r="AX160" s="656"/>
      <c r="AY160" s="656"/>
      <c r="AZ160" s="656"/>
      <c r="BA160" s="656"/>
      <c r="BB160" s="656"/>
      <c r="BC160" s="656"/>
      <c r="BD160" s="656"/>
      <c r="BE160" s="656"/>
      <c r="BF160" s="656"/>
      <c r="BG160" s="656"/>
      <c r="BH160" s="656"/>
      <c r="BI160" s="656"/>
      <c r="BJ160" s="656"/>
      <c r="BK160" s="656"/>
      <c r="BL160" s="656"/>
      <c r="BM160" s="656"/>
      <c r="BN160" s="656"/>
      <c r="BO160" s="656"/>
      <c r="BP160" s="656"/>
      <c r="BQ160" s="656"/>
      <c r="BR160" s="656"/>
      <c r="BS160" s="656"/>
      <c r="BT160" s="656"/>
      <c r="BU160" s="656"/>
      <c r="BV160" s="656"/>
      <c r="BW160" s="656"/>
      <c r="BX160" s="656"/>
      <c r="BY160" s="656"/>
      <c r="BZ160" s="656"/>
      <c r="CA160" s="656"/>
      <c r="CB160" s="656"/>
      <c r="CC160" s="656"/>
      <c r="CD160" s="656"/>
      <c r="CE160" s="656"/>
      <c r="CF160" s="656"/>
      <c r="CG160" s="656"/>
      <c r="CH160" s="656"/>
      <c r="CI160" s="656"/>
      <c r="CJ160" s="656"/>
      <c r="CK160" s="656"/>
      <c r="CL160" s="656"/>
      <c r="CM160" s="656"/>
      <c r="CN160" s="656"/>
      <c r="CO160" s="656"/>
      <c r="CP160" s="656"/>
      <c r="CQ160" s="656"/>
      <c r="CR160" s="656"/>
      <c r="CS160" s="656"/>
      <c r="CT160" s="656"/>
      <c r="CU160" s="656"/>
      <c r="CV160" s="656"/>
      <c r="CW160" s="656"/>
      <c r="CX160" s="656"/>
      <c r="CY160" s="656"/>
      <c r="CZ160" s="656"/>
      <c r="DA160" s="656"/>
      <c r="DB160" s="656"/>
      <c r="DC160" s="656"/>
      <c r="DD160" s="656"/>
      <c r="DE160" s="656"/>
      <c r="DF160" s="656"/>
      <c r="DG160" s="656"/>
      <c r="DH160" s="656"/>
      <c r="DI160" s="656"/>
      <c r="DJ160" s="656"/>
      <c r="DK160" s="656"/>
      <c r="DL160" s="656"/>
      <c r="DM160" s="656"/>
      <c r="DN160" s="656"/>
      <c r="DO160" s="656"/>
      <c r="DP160" s="656"/>
      <c r="DQ160" s="656"/>
      <c r="DR160" s="656"/>
      <c r="DS160" s="656"/>
      <c r="DT160" s="656"/>
      <c r="DU160" s="656"/>
      <c r="DV160" s="656"/>
      <c r="DW160" s="656"/>
      <c r="DX160" s="656"/>
      <c r="DY160" s="656"/>
      <c r="DZ160" s="656"/>
      <c r="EA160" s="656"/>
      <c r="EB160" s="656"/>
      <c r="EC160" s="656"/>
      <c r="ED160" s="656"/>
      <c r="EE160" s="656"/>
      <c r="EF160" s="656"/>
      <c r="EG160" s="656"/>
      <c r="EH160" s="656"/>
      <c r="EI160" s="656"/>
      <c r="EJ160" s="656"/>
      <c r="EK160" s="656"/>
      <c r="EL160" s="656"/>
      <c r="EM160" s="656"/>
      <c r="EN160" s="656"/>
      <c r="EO160" s="656"/>
      <c r="EP160" s="656"/>
      <c r="EQ160" s="656"/>
      <c r="ER160" s="656"/>
      <c r="ES160" s="656"/>
      <c r="ET160" s="656"/>
      <c r="EU160" s="656"/>
      <c r="EV160" s="656"/>
      <c r="EW160" s="656"/>
      <c r="EX160" s="656"/>
      <c r="EY160" s="656"/>
      <c r="EZ160" s="656"/>
      <c r="FA160" s="656"/>
      <c r="FB160" s="656"/>
      <c r="FC160" s="656"/>
      <c r="FD160" s="656"/>
      <c r="FE160" s="656"/>
      <c r="FF160" s="656"/>
      <c r="FG160" s="656"/>
      <c r="FH160" s="656"/>
      <c r="FI160" s="656"/>
      <c r="FJ160" s="656"/>
      <c r="FK160" s="656"/>
      <c r="FL160" s="656"/>
      <c r="FM160" s="656"/>
      <c r="FN160" s="656"/>
      <c r="FO160" s="656"/>
      <c r="FP160" s="656"/>
      <c r="FQ160" s="656"/>
      <c r="FR160" s="656"/>
      <c r="FS160" s="656"/>
      <c r="FT160" s="656"/>
      <c r="FU160" s="656"/>
      <c r="FV160" s="656"/>
      <c r="FW160" s="656"/>
      <c r="FX160" s="656"/>
      <c r="FY160" s="656"/>
      <c r="FZ160" s="656"/>
      <c r="GA160" s="656"/>
      <c r="GB160" s="656"/>
      <c r="GC160" s="656"/>
      <c r="GD160" s="656"/>
      <c r="GE160" s="656"/>
      <c r="GF160" s="656"/>
      <c r="GG160" s="656"/>
      <c r="GH160" s="656"/>
      <c r="GI160" s="656"/>
      <c r="GJ160" s="656"/>
      <c r="GK160" s="656"/>
      <c r="GL160" s="656"/>
      <c r="GM160" s="656"/>
      <c r="GN160" s="656"/>
      <c r="GO160" s="656"/>
      <c r="GP160" s="656"/>
      <c r="GQ160" s="656"/>
      <c r="GR160" s="656"/>
      <c r="GS160" s="656"/>
      <c r="GT160" s="656"/>
      <c r="GU160" s="656"/>
      <c r="GV160" s="656"/>
      <c r="GW160" s="656"/>
      <c r="GX160" s="656"/>
      <c r="GY160" s="656"/>
      <c r="GZ160" s="656"/>
      <c r="HA160" s="656"/>
      <c r="HB160" s="656"/>
      <c r="HC160" s="656"/>
      <c r="HD160" s="656"/>
      <c r="HE160" s="656"/>
      <c r="HF160" s="656"/>
      <c r="HG160" s="656"/>
      <c r="HH160" s="656"/>
      <c r="HI160" s="656"/>
      <c r="HJ160" s="656"/>
      <c r="HK160" s="656"/>
      <c r="HL160" s="656"/>
      <c r="HM160" s="656"/>
      <c r="HN160" s="656"/>
      <c r="HO160" s="656"/>
      <c r="HP160" s="656"/>
      <c r="HQ160" s="656"/>
      <c r="HR160" s="656"/>
      <c r="HS160" s="656"/>
      <c r="HT160" s="656"/>
      <c r="HU160" s="656"/>
      <c r="HV160" s="656"/>
      <c r="HW160" s="656"/>
    </row>
    <row r="161" spans="1:231" s="707" customFormat="1" ht="15.75" thickBot="1" x14ac:dyDescent="0.3">
      <c r="A161" s="698"/>
      <c r="B161" s="699"/>
      <c r="C161" s="737"/>
      <c r="D161" s="773"/>
      <c r="E161" s="774"/>
      <c r="F161" s="702"/>
      <c r="G161" s="702"/>
      <c r="H161" s="775"/>
      <c r="I161" s="775"/>
      <c r="J161" s="704"/>
      <c r="K161" s="702"/>
      <c r="L161" s="704"/>
      <c r="M161" s="702"/>
      <c r="N161" s="704"/>
      <c r="O161" s="705"/>
      <c r="P161" s="706"/>
      <c r="Q161" s="706"/>
      <c r="R161" s="706"/>
      <c r="S161" s="706"/>
      <c r="T161" s="706"/>
      <c r="U161" s="706"/>
      <c r="V161" s="706"/>
      <c r="W161" s="706"/>
      <c r="X161" s="706"/>
      <c r="Y161" s="706"/>
      <c r="Z161" s="706"/>
      <c r="AA161" s="706"/>
      <c r="AB161" s="706"/>
      <c r="AC161" s="706"/>
      <c r="AD161" s="706"/>
      <c r="AE161" s="706"/>
      <c r="AF161" s="706"/>
      <c r="AG161" s="706"/>
      <c r="AH161" s="706"/>
      <c r="AI161" s="706"/>
      <c r="AJ161" s="706"/>
      <c r="AK161" s="706"/>
      <c r="AL161" s="706"/>
      <c r="AM161" s="706"/>
      <c r="AN161" s="706"/>
      <c r="AO161" s="706"/>
      <c r="AP161" s="706"/>
      <c r="AQ161" s="706"/>
      <c r="AR161" s="706"/>
      <c r="AS161" s="706"/>
      <c r="AT161" s="706"/>
      <c r="AU161" s="706"/>
      <c r="AV161" s="706"/>
      <c r="AW161" s="706"/>
      <c r="AX161" s="706"/>
      <c r="AY161" s="706"/>
      <c r="AZ161" s="706"/>
      <c r="BA161" s="706"/>
      <c r="BB161" s="706"/>
      <c r="BC161" s="706"/>
      <c r="BD161" s="706"/>
      <c r="BE161" s="706"/>
      <c r="BF161" s="706"/>
      <c r="BG161" s="706"/>
      <c r="BH161" s="706"/>
      <c r="BI161" s="706"/>
      <c r="BJ161" s="706"/>
      <c r="BK161" s="706"/>
      <c r="BL161" s="706"/>
      <c r="BM161" s="706"/>
      <c r="BN161" s="706"/>
      <c r="BO161" s="706"/>
      <c r="BP161" s="706"/>
      <c r="BQ161" s="706"/>
      <c r="BR161" s="706"/>
      <c r="BS161" s="706"/>
      <c r="BT161" s="706"/>
      <c r="BU161" s="706"/>
      <c r="BV161" s="706"/>
      <c r="BW161" s="706"/>
      <c r="BX161" s="706"/>
      <c r="BY161" s="706"/>
      <c r="BZ161" s="706"/>
      <c r="CA161" s="706"/>
      <c r="CB161" s="706"/>
      <c r="CC161" s="706"/>
      <c r="CD161" s="706"/>
      <c r="CE161" s="706"/>
      <c r="CF161" s="706"/>
      <c r="CG161" s="706"/>
      <c r="CH161" s="706"/>
      <c r="CI161" s="706"/>
      <c r="CJ161" s="706"/>
      <c r="CK161" s="706"/>
      <c r="CL161" s="706"/>
      <c r="CM161" s="706"/>
      <c r="CN161" s="706"/>
      <c r="CO161" s="706"/>
      <c r="CP161" s="706"/>
      <c r="CQ161" s="706"/>
      <c r="CR161" s="706"/>
      <c r="CS161" s="706"/>
      <c r="CT161" s="706"/>
      <c r="CU161" s="706"/>
      <c r="CV161" s="706"/>
      <c r="CW161" s="706"/>
      <c r="CX161" s="706"/>
      <c r="CY161" s="706"/>
      <c r="CZ161" s="706"/>
      <c r="DA161" s="706"/>
      <c r="DB161" s="706"/>
      <c r="DC161" s="706"/>
      <c r="DD161" s="706"/>
      <c r="DE161" s="706"/>
      <c r="DF161" s="706"/>
      <c r="DG161" s="706"/>
      <c r="DH161" s="706"/>
      <c r="DI161" s="706"/>
      <c r="DJ161" s="706"/>
      <c r="DK161" s="706"/>
      <c r="DL161" s="706"/>
      <c r="DM161" s="706"/>
      <c r="DN161" s="706"/>
      <c r="DO161" s="706"/>
      <c r="DP161" s="706"/>
      <c r="DQ161" s="706"/>
      <c r="DR161" s="706"/>
      <c r="DS161" s="706"/>
      <c r="DT161" s="706"/>
      <c r="DU161" s="706"/>
      <c r="DV161" s="706"/>
      <c r="DW161" s="706"/>
      <c r="DX161" s="706"/>
      <c r="DY161" s="706"/>
      <c r="DZ161" s="706"/>
      <c r="EA161" s="706"/>
      <c r="EB161" s="706"/>
      <c r="EC161" s="706"/>
      <c r="ED161" s="706"/>
      <c r="EE161" s="706"/>
      <c r="EF161" s="706"/>
      <c r="EG161" s="706"/>
      <c r="EH161" s="706"/>
      <c r="EI161" s="706"/>
      <c r="EJ161" s="706"/>
      <c r="EK161" s="706"/>
      <c r="EL161" s="706"/>
      <c r="EM161" s="706"/>
      <c r="EN161" s="706"/>
      <c r="EO161" s="706"/>
      <c r="EP161" s="706"/>
      <c r="EQ161" s="706"/>
      <c r="ER161" s="706"/>
      <c r="ES161" s="706"/>
      <c r="ET161" s="706"/>
      <c r="EU161" s="706"/>
      <c r="EV161" s="706"/>
      <c r="EW161" s="706"/>
      <c r="EX161" s="706"/>
      <c r="EY161" s="706"/>
      <c r="EZ161" s="706"/>
      <c r="FA161" s="706"/>
      <c r="FB161" s="706"/>
      <c r="FC161" s="706"/>
      <c r="FD161" s="706"/>
      <c r="FE161" s="706"/>
      <c r="FF161" s="706"/>
      <c r="FG161" s="706"/>
      <c r="FH161" s="706"/>
      <c r="FI161" s="706"/>
      <c r="FJ161" s="706"/>
      <c r="FK161" s="706"/>
      <c r="FL161" s="706"/>
      <c r="FM161" s="706"/>
      <c r="FN161" s="706"/>
      <c r="FO161" s="706"/>
      <c r="FP161" s="706"/>
      <c r="FQ161" s="706"/>
      <c r="FR161" s="706"/>
      <c r="FS161" s="706"/>
      <c r="FT161" s="706"/>
      <c r="FU161" s="706"/>
      <c r="FV161" s="706"/>
      <c r="FW161" s="706"/>
      <c r="FX161" s="706"/>
      <c r="FY161" s="706"/>
      <c r="FZ161" s="706"/>
      <c r="GA161" s="706"/>
      <c r="GB161" s="706"/>
      <c r="GC161" s="706"/>
      <c r="GD161" s="706"/>
      <c r="GE161" s="706"/>
      <c r="GF161" s="706"/>
      <c r="GG161" s="706"/>
      <c r="GH161" s="706"/>
      <c r="GI161" s="706"/>
      <c r="GJ161" s="706"/>
      <c r="GK161" s="706"/>
      <c r="GL161" s="706"/>
      <c r="GM161" s="706"/>
      <c r="GN161" s="706"/>
      <c r="GO161" s="706"/>
      <c r="GP161" s="706"/>
      <c r="GQ161" s="706"/>
      <c r="GR161" s="706"/>
      <c r="GS161" s="706"/>
      <c r="GT161" s="706"/>
      <c r="GU161" s="706"/>
      <c r="GV161" s="706"/>
      <c r="GW161" s="706"/>
      <c r="GX161" s="706"/>
      <c r="GY161" s="706"/>
      <c r="GZ161" s="706"/>
      <c r="HA161" s="706"/>
      <c r="HB161" s="706"/>
      <c r="HC161" s="706"/>
      <c r="HD161" s="706"/>
      <c r="HE161" s="706"/>
      <c r="HF161" s="706"/>
      <c r="HG161" s="706"/>
      <c r="HH161" s="706"/>
      <c r="HI161" s="706"/>
      <c r="HJ161" s="706"/>
      <c r="HK161" s="706"/>
      <c r="HL161" s="706"/>
      <c r="HM161" s="706"/>
      <c r="HN161" s="706"/>
      <c r="HO161" s="706"/>
      <c r="HP161" s="706"/>
      <c r="HQ161" s="706"/>
      <c r="HR161" s="706"/>
      <c r="HS161" s="706"/>
      <c r="HT161" s="706"/>
      <c r="HU161" s="706"/>
      <c r="HV161" s="706"/>
      <c r="HW161" s="706"/>
    </row>
    <row r="162" spans="1:231" s="657" customFormat="1" x14ac:dyDescent="0.25">
      <c r="A162" s="776"/>
      <c r="B162" s="2012"/>
      <c r="C162" s="2013"/>
      <c r="D162" s="2002" t="s">
        <v>1106</v>
      </c>
      <c r="E162" s="2003"/>
      <c r="F162" s="2003"/>
      <c r="G162" s="739">
        <v>25207050</v>
      </c>
      <c r="H162" s="2003" t="s">
        <v>1106</v>
      </c>
      <c r="I162" s="2003"/>
      <c r="J162" s="2003"/>
      <c r="K162" s="739">
        <v>27152384</v>
      </c>
      <c r="L162" s="777"/>
      <c r="M162" s="777">
        <v>27152384</v>
      </c>
      <c r="N162" s="778"/>
      <c r="O162" s="779">
        <v>27152384</v>
      </c>
      <c r="P162" s="656"/>
      <c r="Q162" s="656"/>
      <c r="R162" s="656"/>
      <c r="S162" s="656"/>
      <c r="T162" s="656"/>
      <c r="U162" s="656"/>
      <c r="V162" s="656"/>
      <c r="W162" s="656"/>
      <c r="X162" s="656"/>
      <c r="Y162" s="656"/>
      <c r="Z162" s="656"/>
      <c r="AA162" s="656"/>
      <c r="AB162" s="656"/>
      <c r="AC162" s="656"/>
      <c r="AD162" s="656"/>
      <c r="AE162" s="656"/>
      <c r="AF162" s="656"/>
      <c r="AG162" s="656"/>
      <c r="AH162" s="656"/>
      <c r="AI162" s="656"/>
      <c r="AJ162" s="656"/>
      <c r="AK162" s="656"/>
      <c r="AL162" s="656"/>
      <c r="AM162" s="656"/>
      <c r="AN162" s="656"/>
      <c r="AO162" s="656"/>
      <c r="AP162" s="656"/>
      <c r="AQ162" s="656"/>
      <c r="AR162" s="656"/>
      <c r="AS162" s="656"/>
      <c r="AT162" s="656"/>
      <c r="AU162" s="656"/>
      <c r="AV162" s="656"/>
      <c r="AW162" s="656"/>
      <c r="AX162" s="656"/>
      <c r="AY162" s="656"/>
      <c r="AZ162" s="656"/>
      <c r="BA162" s="656"/>
      <c r="BB162" s="656"/>
      <c r="BC162" s="656"/>
      <c r="BD162" s="656"/>
      <c r="BE162" s="656"/>
      <c r="BF162" s="656"/>
      <c r="BG162" s="656"/>
      <c r="BH162" s="656"/>
      <c r="BI162" s="656"/>
      <c r="BJ162" s="656"/>
      <c r="BK162" s="656"/>
      <c r="BL162" s="656"/>
      <c r="BM162" s="656"/>
      <c r="BN162" s="656"/>
      <c r="BO162" s="656"/>
      <c r="BP162" s="656"/>
      <c r="BQ162" s="656"/>
      <c r="BR162" s="656"/>
      <c r="BS162" s="656"/>
      <c r="BT162" s="656"/>
      <c r="BU162" s="656"/>
      <c r="BV162" s="656"/>
      <c r="BW162" s="656"/>
      <c r="BX162" s="656"/>
      <c r="BY162" s="656"/>
      <c r="BZ162" s="656"/>
      <c r="CA162" s="656"/>
      <c r="CB162" s="656"/>
      <c r="CC162" s="656"/>
      <c r="CD162" s="656"/>
      <c r="CE162" s="656"/>
      <c r="CF162" s="656"/>
      <c r="CG162" s="656"/>
      <c r="CH162" s="656"/>
      <c r="CI162" s="656"/>
      <c r="CJ162" s="656"/>
      <c r="CK162" s="656"/>
      <c r="CL162" s="656"/>
      <c r="CM162" s="656"/>
      <c r="CN162" s="656"/>
      <c r="CO162" s="656"/>
      <c r="CP162" s="656"/>
      <c r="CQ162" s="656"/>
      <c r="CR162" s="656"/>
      <c r="CS162" s="656"/>
      <c r="CT162" s="656"/>
      <c r="CU162" s="656"/>
      <c r="CV162" s="656"/>
      <c r="CW162" s="656"/>
      <c r="CX162" s="656"/>
      <c r="CY162" s="656"/>
      <c r="CZ162" s="656"/>
      <c r="DA162" s="656"/>
      <c r="DB162" s="656"/>
      <c r="DC162" s="656"/>
      <c r="DD162" s="656"/>
      <c r="DE162" s="656"/>
      <c r="DF162" s="656"/>
      <c r="DG162" s="656"/>
      <c r="DH162" s="656"/>
      <c r="DI162" s="656"/>
      <c r="DJ162" s="656"/>
      <c r="DK162" s="656"/>
      <c r="DL162" s="656"/>
      <c r="DM162" s="656"/>
      <c r="DN162" s="656"/>
      <c r="DO162" s="656"/>
      <c r="DP162" s="656"/>
      <c r="DQ162" s="656"/>
      <c r="DR162" s="656"/>
      <c r="DS162" s="656"/>
      <c r="DT162" s="656"/>
      <c r="DU162" s="656"/>
      <c r="DV162" s="656"/>
      <c r="DW162" s="656"/>
      <c r="DX162" s="656"/>
      <c r="DY162" s="656"/>
      <c r="DZ162" s="656"/>
      <c r="EA162" s="656"/>
      <c r="EB162" s="656"/>
      <c r="EC162" s="656"/>
      <c r="ED162" s="656"/>
      <c r="EE162" s="656"/>
      <c r="EF162" s="656"/>
      <c r="EG162" s="656"/>
      <c r="EH162" s="656"/>
      <c r="EI162" s="656"/>
      <c r="EJ162" s="656"/>
      <c r="EK162" s="656"/>
      <c r="EL162" s="656"/>
      <c r="EM162" s="656"/>
      <c r="EN162" s="656"/>
      <c r="EO162" s="656"/>
      <c r="EP162" s="656"/>
      <c r="EQ162" s="656"/>
      <c r="ER162" s="656"/>
      <c r="ES162" s="656"/>
      <c r="ET162" s="656"/>
      <c r="EU162" s="656"/>
      <c r="EV162" s="656"/>
      <c r="EW162" s="656"/>
      <c r="EX162" s="656"/>
      <c r="EY162" s="656"/>
      <c r="EZ162" s="656"/>
      <c r="FA162" s="656"/>
      <c r="FB162" s="656"/>
      <c r="FC162" s="656"/>
      <c r="FD162" s="656"/>
      <c r="FE162" s="656"/>
      <c r="FF162" s="656"/>
      <c r="FG162" s="656"/>
      <c r="FH162" s="656"/>
      <c r="FI162" s="656"/>
      <c r="FJ162" s="656"/>
      <c r="FK162" s="656"/>
      <c r="FL162" s="656"/>
      <c r="FM162" s="656"/>
      <c r="FN162" s="656"/>
      <c r="FO162" s="656"/>
      <c r="FP162" s="656"/>
      <c r="FQ162" s="656"/>
      <c r="FR162" s="656"/>
      <c r="FS162" s="656"/>
      <c r="FT162" s="656"/>
      <c r="FU162" s="656"/>
      <c r="FV162" s="656"/>
      <c r="FW162" s="656"/>
      <c r="FX162" s="656"/>
      <c r="FY162" s="656"/>
      <c r="FZ162" s="656"/>
      <c r="GA162" s="656"/>
      <c r="GB162" s="656"/>
      <c r="GC162" s="656"/>
      <c r="GD162" s="656"/>
      <c r="GE162" s="656"/>
      <c r="GF162" s="656"/>
      <c r="GG162" s="656"/>
      <c r="GH162" s="656"/>
      <c r="GI162" s="656"/>
      <c r="GJ162" s="656"/>
      <c r="GK162" s="656"/>
      <c r="GL162" s="656"/>
      <c r="GM162" s="656"/>
      <c r="GN162" s="656"/>
      <c r="GO162" s="656"/>
      <c r="GP162" s="656"/>
      <c r="GQ162" s="656"/>
      <c r="GR162" s="656"/>
      <c r="GS162" s="656"/>
      <c r="GT162" s="656"/>
      <c r="GU162" s="656"/>
      <c r="GV162" s="656"/>
      <c r="GW162" s="656"/>
      <c r="GX162" s="656"/>
      <c r="GY162" s="656"/>
      <c r="GZ162" s="656"/>
      <c r="HA162" s="656"/>
      <c r="HB162" s="656"/>
      <c r="HC162" s="656"/>
      <c r="HD162" s="656"/>
      <c r="HE162" s="656"/>
      <c r="HF162" s="656"/>
      <c r="HG162" s="656"/>
      <c r="HH162" s="656"/>
      <c r="HI162" s="656"/>
      <c r="HJ162" s="656"/>
      <c r="HK162" s="656"/>
      <c r="HL162" s="656"/>
      <c r="HM162" s="656"/>
      <c r="HN162" s="656"/>
      <c r="HO162" s="656"/>
      <c r="HP162" s="656"/>
      <c r="HQ162" s="656"/>
      <c r="HR162" s="656"/>
      <c r="HS162" s="656"/>
      <c r="HT162" s="656"/>
      <c r="HU162" s="656"/>
      <c r="HV162" s="656"/>
      <c r="HW162" s="656"/>
    </row>
    <row r="163" spans="1:231" s="657" customFormat="1" x14ac:dyDescent="0.25">
      <c r="A163" s="776"/>
      <c r="B163" s="2014"/>
      <c r="C163" s="2015"/>
      <c r="D163" s="2004" t="s">
        <v>197</v>
      </c>
      <c r="E163" s="1984"/>
      <c r="F163" s="710">
        <v>0.219</v>
      </c>
      <c r="G163" s="696">
        <v>5520344</v>
      </c>
      <c r="H163" s="1984" t="s">
        <v>197</v>
      </c>
      <c r="I163" s="1984"/>
      <c r="J163" s="710">
        <v>0.219</v>
      </c>
      <c r="K163" s="696">
        <v>5946372</v>
      </c>
      <c r="L163" s="780"/>
      <c r="M163" s="780">
        <v>5946372</v>
      </c>
      <c r="N163" s="781"/>
      <c r="O163" s="782">
        <v>5946372</v>
      </c>
      <c r="P163" s="656"/>
      <c r="Q163" s="656"/>
      <c r="R163" s="656"/>
      <c r="S163" s="656"/>
      <c r="T163" s="656"/>
      <c r="U163" s="656"/>
      <c r="V163" s="656"/>
      <c r="W163" s="656"/>
      <c r="X163" s="656"/>
      <c r="Y163" s="656"/>
      <c r="Z163" s="656"/>
      <c r="AA163" s="656"/>
      <c r="AB163" s="656"/>
      <c r="AC163" s="656"/>
      <c r="AD163" s="656"/>
      <c r="AE163" s="656"/>
      <c r="AF163" s="656"/>
      <c r="AG163" s="656"/>
      <c r="AH163" s="656"/>
      <c r="AI163" s="656"/>
      <c r="AJ163" s="656"/>
      <c r="AK163" s="656"/>
      <c r="AL163" s="656"/>
      <c r="AM163" s="656"/>
      <c r="AN163" s="656"/>
      <c r="AO163" s="656"/>
      <c r="AP163" s="656"/>
      <c r="AQ163" s="656"/>
      <c r="AR163" s="656"/>
      <c r="AS163" s="656"/>
      <c r="AT163" s="656"/>
      <c r="AU163" s="656"/>
      <c r="AV163" s="656"/>
      <c r="AW163" s="656"/>
      <c r="AX163" s="656"/>
      <c r="AY163" s="656"/>
      <c r="AZ163" s="656"/>
      <c r="BA163" s="656"/>
      <c r="BB163" s="656"/>
      <c r="BC163" s="656"/>
      <c r="BD163" s="656"/>
      <c r="BE163" s="656"/>
      <c r="BF163" s="656"/>
      <c r="BG163" s="656"/>
      <c r="BH163" s="656"/>
      <c r="BI163" s="656"/>
      <c r="BJ163" s="656"/>
      <c r="BK163" s="656"/>
      <c r="BL163" s="656"/>
      <c r="BM163" s="656"/>
      <c r="BN163" s="656"/>
      <c r="BO163" s="656"/>
      <c r="BP163" s="656"/>
      <c r="BQ163" s="656"/>
      <c r="BR163" s="656"/>
      <c r="BS163" s="656"/>
      <c r="BT163" s="656"/>
      <c r="BU163" s="656"/>
      <c r="BV163" s="656"/>
      <c r="BW163" s="656"/>
      <c r="BX163" s="656"/>
      <c r="BY163" s="656"/>
      <c r="BZ163" s="656"/>
      <c r="CA163" s="656"/>
      <c r="CB163" s="656"/>
      <c r="CC163" s="656"/>
      <c r="CD163" s="656"/>
      <c r="CE163" s="656"/>
      <c r="CF163" s="656"/>
      <c r="CG163" s="656"/>
      <c r="CH163" s="656"/>
      <c r="CI163" s="656"/>
      <c r="CJ163" s="656"/>
      <c r="CK163" s="656"/>
      <c r="CL163" s="656"/>
      <c r="CM163" s="656"/>
      <c r="CN163" s="656"/>
      <c r="CO163" s="656"/>
      <c r="CP163" s="656"/>
      <c r="CQ163" s="656"/>
      <c r="CR163" s="656"/>
      <c r="CS163" s="656"/>
      <c r="CT163" s="656"/>
      <c r="CU163" s="656"/>
      <c r="CV163" s="656"/>
      <c r="CW163" s="656"/>
      <c r="CX163" s="656"/>
      <c r="CY163" s="656"/>
      <c r="CZ163" s="656"/>
      <c r="DA163" s="656"/>
      <c r="DB163" s="656"/>
      <c r="DC163" s="656"/>
      <c r="DD163" s="656"/>
      <c r="DE163" s="656"/>
      <c r="DF163" s="656"/>
      <c r="DG163" s="656"/>
      <c r="DH163" s="656"/>
      <c r="DI163" s="656"/>
      <c r="DJ163" s="656"/>
      <c r="DK163" s="656"/>
      <c r="DL163" s="656"/>
      <c r="DM163" s="656"/>
      <c r="DN163" s="656"/>
      <c r="DO163" s="656"/>
      <c r="DP163" s="656"/>
      <c r="DQ163" s="656"/>
      <c r="DR163" s="656"/>
      <c r="DS163" s="656"/>
      <c r="DT163" s="656"/>
      <c r="DU163" s="656"/>
      <c r="DV163" s="656"/>
      <c r="DW163" s="656"/>
      <c r="DX163" s="656"/>
      <c r="DY163" s="656"/>
      <c r="DZ163" s="656"/>
      <c r="EA163" s="656"/>
      <c r="EB163" s="656"/>
      <c r="EC163" s="656"/>
      <c r="ED163" s="656"/>
      <c r="EE163" s="656"/>
      <c r="EF163" s="656"/>
      <c r="EG163" s="656"/>
      <c r="EH163" s="656"/>
      <c r="EI163" s="656"/>
      <c r="EJ163" s="656"/>
      <c r="EK163" s="656"/>
      <c r="EL163" s="656"/>
      <c r="EM163" s="656"/>
      <c r="EN163" s="656"/>
      <c r="EO163" s="656"/>
      <c r="EP163" s="656"/>
      <c r="EQ163" s="656"/>
      <c r="ER163" s="656"/>
      <c r="ES163" s="656"/>
      <c r="ET163" s="656"/>
      <c r="EU163" s="656"/>
      <c r="EV163" s="656"/>
      <c r="EW163" s="656"/>
      <c r="EX163" s="656"/>
      <c r="EY163" s="656"/>
      <c r="EZ163" s="656"/>
      <c r="FA163" s="656"/>
      <c r="FB163" s="656"/>
      <c r="FC163" s="656"/>
      <c r="FD163" s="656"/>
      <c r="FE163" s="656"/>
      <c r="FF163" s="656"/>
      <c r="FG163" s="656"/>
      <c r="FH163" s="656"/>
      <c r="FI163" s="656"/>
      <c r="FJ163" s="656"/>
      <c r="FK163" s="656"/>
      <c r="FL163" s="656"/>
      <c r="FM163" s="656"/>
      <c r="FN163" s="656"/>
      <c r="FO163" s="656"/>
      <c r="FP163" s="656"/>
      <c r="FQ163" s="656"/>
      <c r="FR163" s="656"/>
      <c r="FS163" s="656"/>
      <c r="FT163" s="656"/>
      <c r="FU163" s="656"/>
      <c r="FV163" s="656"/>
      <c r="FW163" s="656"/>
      <c r="FX163" s="656"/>
      <c r="FY163" s="656"/>
      <c r="FZ163" s="656"/>
      <c r="GA163" s="656"/>
      <c r="GB163" s="656"/>
      <c r="GC163" s="656"/>
      <c r="GD163" s="656"/>
      <c r="GE163" s="656"/>
      <c r="GF163" s="656"/>
      <c r="GG163" s="656"/>
      <c r="GH163" s="656"/>
      <c r="GI163" s="656"/>
      <c r="GJ163" s="656"/>
      <c r="GK163" s="656"/>
      <c r="GL163" s="656"/>
      <c r="GM163" s="656"/>
      <c r="GN163" s="656"/>
      <c r="GO163" s="656"/>
      <c r="GP163" s="656"/>
      <c r="GQ163" s="656"/>
      <c r="GR163" s="656"/>
      <c r="GS163" s="656"/>
      <c r="GT163" s="656"/>
      <c r="GU163" s="656"/>
      <c r="GV163" s="656"/>
      <c r="GW163" s="656"/>
      <c r="GX163" s="656"/>
      <c r="GY163" s="656"/>
      <c r="GZ163" s="656"/>
      <c r="HA163" s="656"/>
      <c r="HB163" s="656"/>
      <c r="HC163" s="656"/>
      <c r="HD163" s="656"/>
      <c r="HE163" s="656"/>
      <c r="HF163" s="656"/>
      <c r="HG163" s="656"/>
      <c r="HH163" s="656"/>
      <c r="HI163" s="656"/>
      <c r="HJ163" s="656"/>
      <c r="HK163" s="656"/>
      <c r="HL163" s="656"/>
      <c r="HM163" s="656"/>
      <c r="HN163" s="656"/>
      <c r="HO163" s="656"/>
      <c r="HP163" s="656"/>
      <c r="HQ163" s="656"/>
      <c r="HR163" s="656"/>
      <c r="HS163" s="656"/>
      <c r="HT163" s="656"/>
      <c r="HU163" s="656"/>
      <c r="HV163" s="656"/>
      <c r="HW163" s="656"/>
    </row>
    <row r="164" spans="1:231" s="657" customFormat="1" x14ac:dyDescent="0.25">
      <c r="A164" s="776"/>
      <c r="B164" s="2014"/>
      <c r="C164" s="2015"/>
      <c r="D164" s="2004" t="s">
        <v>1107</v>
      </c>
      <c r="E164" s="1984"/>
      <c r="F164" s="710">
        <v>1E-3</v>
      </c>
      <c r="G164" s="696">
        <v>25207</v>
      </c>
      <c r="H164" s="1984" t="s">
        <v>1107</v>
      </c>
      <c r="I164" s="1984"/>
      <c r="J164" s="710">
        <v>1E-3</v>
      </c>
      <c r="K164" s="696">
        <v>27152</v>
      </c>
      <c r="L164" s="780"/>
      <c r="M164" s="780">
        <v>27152</v>
      </c>
      <c r="N164" s="781"/>
      <c r="O164" s="782">
        <v>27152</v>
      </c>
      <c r="P164" s="656"/>
      <c r="Q164" s="656"/>
      <c r="R164" s="656"/>
      <c r="S164" s="656"/>
      <c r="T164" s="656"/>
      <c r="U164" s="656"/>
      <c r="V164" s="656"/>
      <c r="W164" s="656"/>
      <c r="X164" s="656"/>
      <c r="Y164" s="656"/>
      <c r="Z164" s="656"/>
      <c r="AA164" s="656"/>
      <c r="AB164" s="656"/>
      <c r="AC164" s="656"/>
      <c r="AD164" s="656"/>
      <c r="AE164" s="656"/>
      <c r="AF164" s="656"/>
      <c r="AG164" s="656"/>
      <c r="AH164" s="656"/>
      <c r="AI164" s="656"/>
      <c r="AJ164" s="656"/>
      <c r="AK164" s="656"/>
      <c r="AL164" s="656"/>
      <c r="AM164" s="656"/>
      <c r="AN164" s="656"/>
      <c r="AO164" s="656"/>
      <c r="AP164" s="656"/>
      <c r="AQ164" s="656"/>
      <c r="AR164" s="656"/>
      <c r="AS164" s="656"/>
      <c r="AT164" s="656"/>
      <c r="AU164" s="656"/>
      <c r="AV164" s="656"/>
      <c r="AW164" s="656"/>
      <c r="AX164" s="656"/>
      <c r="AY164" s="656"/>
      <c r="AZ164" s="656"/>
      <c r="BA164" s="656"/>
      <c r="BB164" s="656"/>
      <c r="BC164" s="656"/>
      <c r="BD164" s="656"/>
      <c r="BE164" s="656"/>
      <c r="BF164" s="656"/>
      <c r="BG164" s="656"/>
      <c r="BH164" s="656"/>
      <c r="BI164" s="656"/>
      <c r="BJ164" s="656"/>
      <c r="BK164" s="656"/>
      <c r="BL164" s="656"/>
      <c r="BM164" s="656"/>
      <c r="BN164" s="656"/>
      <c r="BO164" s="656"/>
      <c r="BP164" s="656"/>
      <c r="BQ164" s="656"/>
      <c r="BR164" s="656"/>
      <c r="BS164" s="656"/>
      <c r="BT164" s="656"/>
      <c r="BU164" s="656"/>
      <c r="BV164" s="656"/>
      <c r="BW164" s="656"/>
      <c r="BX164" s="656"/>
      <c r="BY164" s="656"/>
      <c r="BZ164" s="656"/>
      <c r="CA164" s="656"/>
      <c r="CB164" s="656"/>
      <c r="CC164" s="656"/>
      <c r="CD164" s="656"/>
      <c r="CE164" s="656"/>
      <c r="CF164" s="656"/>
      <c r="CG164" s="656"/>
      <c r="CH164" s="656"/>
      <c r="CI164" s="656"/>
      <c r="CJ164" s="656"/>
      <c r="CK164" s="656"/>
      <c r="CL164" s="656"/>
      <c r="CM164" s="656"/>
      <c r="CN164" s="656"/>
      <c r="CO164" s="656"/>
      <c r="CP164" s="656"/>
      <c r="CQ164" s="656"/>
      <c r="CR164" s="656"/>
      <c r="CS164" s="656"/>
      <c r="CT164" s="656"/>
      <c r="CU164" s="656"/>
      <c r="CV164" s="656"/>
      <c r="CW164" s="656"/>
      <c r="CX164" s="656"/>
      <c r="CY164" s="656"/>
      <c r="CZ164" s="656"/>
      <c r="DA164" s="656"/>
      <c r="DB164" s="656"/>
      <c r="DC164" s="656"/>
      <c r="DD164" s="656"/>
      <c r="DE164" s="656"/>
      <c r="DF164" s="656"/>
      <c r="DG164" s="656"/>
      <c r="DH164" s="656"/>
      <c r="DI164" s="656"/>
      <c r="DJ164" s="656"/>
      <c r="DK164" s="656"/>
      <c r="DL164" s="656"/>
      <c r="DM164" s="656"/>
      <c r="DN164" s="656"/>
      <c r="DO164" s="656"/>
      <c r="DP164" s="656"/>
      <c r="DQ164" s="656"/>
      <c r="DR164" s="656"/>
      <c r="DS164" s="656"/>
      <c r="DT164" s="656"/>
      <c r="DU164" s="656"/>
      <c r="DV164" s="656"/>
      <c r="DW164" s="656"/>
      <c r="DX164" s="656"/>
      <c r="DY164" s="656"/>
      <c r="DZ164" s="656"/>
      <c r="EA164" s="656"/>
      <c r="EB164" s="656"/>
      <c r="EC164" s="656"/>
      <c r="ED164" s="656"/>
      <c r="EE164" s="656"/>
      <c r="EF164" s="656"/>
      <c r="EG164" s="656"/>
      <c r="EH164" s="656"/>
      <c r="EI164" s="656"/>
      <c r="EJ164" s="656"/>
      <c r="EK164" s="656"/>
      <c r="EL164" s="656"/>
      <c r="EM164" s="656"/>
      <c r="EN164" s="656"/>
      <c r="EO164" s="656"/>
      <c r="EP164" s="656"/>
      <c r="EQ164" s="656"/>
      <c r="ER164" s="656"/>
      <c r="ES164" s="656"/>
      <c r="ET164" s="656"/>
      <c r="EU164" s="656"/>
      <c r="EV164" s="656"/>
      <c r="EW164" s="656"/>
      <c r="EX164" s="656"/>
      <c r="EY164" s="656"/>
      <c r="EZ164" s="656"/>
      <c r="FA164" s="656"/>
      <c r="FB164" s="656"/>
      <c r="FC164" s="656"/>
      <c r="FD164" s="656"/>
      <c r="FE164" s="656"/>
      <c r="FF164" s="656"/>
      <c r="FG164" s="656"/>
      <c r="FH164" s="656"/>
      <c r="FI164" s="656"/>
      <c r="FJ164" s="656"/>
      <c r="FK164" s="656"/>
      <c r="FL164" s="656"/>
      <c r="FM164" s="656"/>
      <c r="FN164" s="656"/>
      <c r="FO164" s="656"/>
      <c r="FP164" s="656"/>
      <c r="FQ164" s="656"/>
      <c r="FR164" s="656"/>
      <c r="FS164" s="656"/>
      <c r="FT164" s="656"/>
      <c r="FU164" s="656"/>
      <c r="FV164" s="656"/>
      <c r="FW164" s="656"/>
      <c r="FX164" s="656"/>
      <c r="FY164" s="656"/>
      <c r="FZ164" s="656"/>
      <c r="GA164" s="656"/>
      <c r="GB164" s="656"/>
      <c r="GC164" s="656"/>
      <c r="GD164" s="656"/>
      <c r="GE164" s="656"/>
      <c r="GF164" s="656"/>
      <c r="GG164" s="656"/>
      <c r="GH164" s="656"/>
      <c r="GI164" s="656"/>
      <c r="GJ164" s="656"/>
      <c r="GK164" s="656"/>
      <c r="GL164" s="656"/>
      <c r="GM164" s="656"/>
      <c r="GN164" s="656"/>
      <c r="GO164" s="656"/>
      <c r="GP164" s="656"/>
      <c r="GQ164" s="656"/>
      <c r="GR164" s="656"/>
      <c r="GS164" s="656"/>
      <c r="GT164" s="656"/>
      <c r="GU164" s="656"/>
      <c r="GV164" s="656"/>
      <c r="GW164" s="656"/>
      <c r="GX164" s="656"/>
      <c r="GY164" s="656"/>
      <c r="GZ164" s="656"/>
      <c r="HA164" s="656"/>
      <c r="HB164" s="656"/>
      <c r="HC164" s="656"/>
      <c r="HD164" s="656"/>
      <c r="HE164" s="656"/>
      <c r="HF164" s="656"/>
      <c r="HG164" s="656"/>
      <c r="HH164" s="656"/>
      <c r="HI164" s="656"/>
      <c r="HJ164" s="656"/>
      <c r="HK164" s="656"/>
      <c r="HL164" s="656"/>
      <c r="HM164" s="656"/>
      <c r="HN164" s="656"/>
      <c r="HO164" s="656"/>
      <c r="HP164" s="656"/>
      <c r="HQ164" s="656"/>
      <c r="HR164" s="656"/>
      <c r="HS164" s="656"/>
      <c r="HT164" s="656"/>
      <c r="HU164" s="656"/>
      <c r="HV164" s="656"/>
      <c r="HW164" s="656"/>
    </row>
    <row r="165" spans="1:231" s="657" customFormat="1" x14ac:dyDescent="0.25">
      <c r="A165" s="776"/>
      <c r="B165" s="2014"/>
      <c r="C165" s="2015"/>
      <c r="D165" s="2004" t="s">
        <v>1108</v>
      </c>
      <c r="E165" s="1984"/>
      <c r="F165" s="710">
        <v>0.03</v>
      </c>
      <c r="G165" s="696">
        <v>756212</v>
      </c>
      <c r="H165" s="1984" t="s">
        <v>1108</v>
      </c>
      <c r="I165" s="1984"/>
      <c r="J165" s="710">
        <v>0.03</v>
      </c>
      <c r="K165" s="696">
        <v>814572</v>
      </c>
      <c r="L165" s="780"/>
      <c r="M165" s="780">
        <v>814572</v>
      </c>
      <c r="N165" s="781"/>
      <c r="O165" s="782">
        <v>814572</v>
      </c>
      <c r="P165" s="656"/>
      <c r="Q165" s="656"/>
      <c r="R165" s="656"/>
      <c r="S165" s="656"/>
      <c r="T165" s="656"/>
      <c r="U165" s="656"/>
      <c r="V165" s="656"/>
      <c r="W165" s="656"/>
      <c r="X165" s="656"/>
      <c r="Y165" s="656"/>
      <c r="Z165" s="656"/>
      <c r="AA165" s="656"/>
      <c r="AB165" s="656"/>
      <c r="AC165" s="656"/>
      <c r="AD165" s="656"/>
      <c r="AE165" s="656"/>
      <c r="AF165" s="656"/>
      <c r="AG165" s="656"/>
      <c r="AH165" s="656"/>
      <c r="AI165" s="656"/>
      <c r="AJ165" s="656"/>
      <c r="AK165" s="656"/>
      <c r="AL165" s="656"/>
      <c r="AM165" s="656"/>
      <c r="AN165" s="656"/>
      <c r="AO165" s="656"/>
      <c r="AP165" s="656"/>
      <c r="AQ165" s="656"/>
      <c r="AR165" s="656"/>
      <c r="AS165" s="656"/>
      <c r="AT165" s="656"/>
      <c r="AU165" s="656"/>
      <c r="AV165" s="656"/>
      <c r="AW165" s="656"/>
      <c r="AX165" s="656"/>
      <c r="AY165" s="656"/>
      <c r="AZ165" s="656"/>
      <c r="BA165" s="656"/>
      <c r="BB165" s="656"/>
      <c r="BC165" s="656"/>
      <c r="BD165" s="656"/>
      <c r="BE165" s="656"/>
      <c r="BF165" s="656"/>
      <c r="BG165" s="656"/>
      <c r="BH165" s="656"/>
      <c r="BI165" s="656"/>
      <c r="BJ165" s="656"/>
      <c r="BK165" s="656"/>
      <c r="BL165" s="656"/>
      <c r="BM165" s="656"/>
      <c r="BN165" s="656"/>
      <c r="BO165" s="656"/>
      <c r="BP165" s="656"/>
      <c r="BQ165" s="656"/>
      <c r="BR165" s="656"/>
      <c r="BS165" s="656"/>
      <c r="BT165" s="656"/>
      <c r="BU165" s="656"/>
      <c r="BV165" s="656"/>
      <c r="BW165" s="656"/>
      <c r="BX165" s="656"/>
      <c r="BY165" s="656"/>
      <c r="BZ165" s="656"/>
      <c r="CA165" s="656"/>
      <c r="CB165" s="656"/>
      <c r="CC165" s="656"/>
      <c r="CD165" s="656"/>
      <c r="CE165" s="656"/>
      <c r="CF165" s="656"/>
      <c r="CG165" s="656"/>
      <c r="CH165" s="656"/>
      <c r="CI165" s="656"/>
      <c r="CJ165" s="656"/>
      <c r="CK165" s="656"/>
      <c r="CL165" s="656"/>
      <c r="CM165" s="656"/>
      <c r="CN165" s="656"/>
      <c r="CO165" s="656"/>
      <c r="CP165" s="656"/>
      <c r="CQ165" s="656"/>
      <c r="CR165" s="656"/>
      <c r="CS165" s="656"/>
      <c r="CT165" s="656"/>
      <c r="CU165" s="656"/>
      <c r="CV165" s="656"/>
      <c r="CW165" s="656"/>
      <c r="CX165" s="656"/>
      <c r="CY165" s="656"/>
      <c r="CZ165" s="656"/>
      <c r="DA165" s="656"/>
      <c r="DB165" s="656"/>
      <c r="DC165" s="656"/>
      <c r="DD165" s="656"/>
      <c r="DE165" s="656"/>
      <c r="DF165" s="656"/>
      <c r="DG165" s="656"/>
      <c r="DH165" s="656"/>
      <c r="DI165" s="656"/>
      <c r="DJ165" s="656"/>
      <c r="DK165" s="656"/>
      <c r="DL165" s="656"/>
      <c r="DM165" s="656"/>
      <c r="DN165" s="656"/>
      <c r="DO165" s="656"/>
      <c r="DP165" s="656"/>
      <c r="DQ165" s="656"/>
      <c r="DR165" s="656"/>
      <c r="DS165" s="656"/>
      <c r="DT165" s="656"/>
      <c r="DU165" s="656"/>
      <c r="DV165" s="656"/>
      <c r="DW165" s="656"/>
      <c r="DX165" s="656"/>
      <c r="DY165" s="656"/>
      <c r="DZ165" s="656"/>
      <c r="EA165" s="656"/>
      <c r="EB165" s="656"/>
      <c r="EC165" s="656"/>
      <c r="ED165" s="656"/>
      <c r="EE165" s="656"/>
      <c r="EF165" s="656"/>
      <c r="EG165" s="656"/>
      <c r="EH165" s="656"/>
      <c r="EI165" s="656"/>
      <c r="EJ165" s="656"/>
      <c r="EK165" s="656"/>
      <c r="EL165" s="656"/>
      <c r="EM165" s="656"/>
      <c r="EN165" s="656"/>
      <c r="EO165" s="656"/>
      <c r="EP165" s="656"/>
      <c r="EQ165" s="656"/>
      <c r="ER165" s="656"/>
      <c r="ES165" s="656"/>
      <c r="ET165" s="656"/>
      <c r="EU165" s="656"/>
      <c r="EV165" s="656"/>
      <c r="EW165" s="656"/>
      <c r="EX165" s="656"/>
      <c r="EY165" s="656"/>
      <c r="EZ165" s="656"/>
      <c r="FA165" s="656"/>
      <c r="FB165" s="656"/>
      <c r="FC165" s="656"/>
      <c r="FD165" s="656"/>
      <c r="FE165" s="656"/>
      <c r="FF165" s="656"/>
      <c r="FG165" s="656"/>
      <c r="FH165" s="656"/>
      <c r="FI165" s="656"/>
      <c r="FJ165" s="656"/>
      <c r="FK165" s="656"/>
      <c r="FL165" s="656"/>
      <c r="FM165" s="656"/>
      <c r="FN165" s="656"/>
      <c r="FO165" s="656"/>
      <c r="FP165" s="656"/>
      <c r="FQ165" s="656"/>
      <c r="FR165" s="656"/>
      <c r="FS165" s="656"/>
      <c r="FT165" s="656"/>
      <c r="FU165" s="656"/>
      <c r="FV165" s="656"/>
      <c r="FW165" s="656"/>
      <c r="FX165" s="656"/>
      <c r="FY165" s="656"/>
      <c r="FZ165" s="656"/>
      <c r="GA165" s="656"/>
      <c r="GB165" s="656"/>
      <c r="GC165" s="656"/>
      <c r="GD165" s="656"/>
      <c r="GE165" s="656"/>
      <c r="GF165" s="656"/>
      <c r="GG165" s="656"/>
      <c r="GH165" s="656"/>
      <c r="GI165" s="656"/>
      <c r="GJ165" s="656"/>
      <c r="GK165" s="656"/>
      <c r="GL165" s="656"/>
      <c r="GM165" s="656"/>
      <c r="GN165" s="656"/>
      <c r="GO165" s="656"/>
      <c r="GP165" s="656"/>
      <c r="GQ165" s="656"/>
      <c r="GR165" s="656"/>
      <c r="GS165" s="656"/>
      <c r="GT165" s="656"/>
      <c r="GU165" s="656"/>
      <c r="GV165" s="656"/>
      <c r="GW165" s="656"/>
      <c r="GX165" s="656"/>
      <c r="GY165" s="656"/>
      <c r="GZ165" s="656"/>
      <c r="HA165" s="656"/>
      <c r="HB165" s="656"/>
      <c r="HC165" s="656"/>
      <c r="HD165" s="656"/>
      <c r="HE165" s="656"/>
      <c r="HF165" s="656"/>
      <c r="HG165" s="656"/>
      <c r="HH165" s="656"/>
      <c r="HI165" s="656"/>
      <c r="HJ165" s="656"/>
      <c r="HK165" s="656"/>
      <c r="HL165" s="656"/>
      <c r="HM165" s="656"/>
      <c r="HN165" s="656"/>
      <c r="HO165" s="656"/>
      <c r="HP165" s="656"/>
      <c r="HQ165" s="656"/>
      <c r="HR165" s="656"/>
      <c r="HS165" s="656"/>
      <c r="HT165" s="656"/>
      <c r="HU165" s="656"/>
      <c r="HV165" s="656"/>
      <c r="HW165" s="656"/>
    </row>
    <row r="166" spans="1:231" s="657" customFormat="1" x14ac:dyDescent="0.25">
      <c r="A166" s="776"/>
      <c r="B166" s="2014"/>
      <c r="C166" s="2015"/>
      <c r="D166" s="2004" t="s">
        <v>1109</v>
      </c>
      <c r="E166" s="1984"/>
      <c r="F166" s="710">
        <v>0.19</v>
      </c>
      <c r="G166" s="696">
        <v>143680</v>
      </c>
      <c r="H166" s="1984" t="s">
        <v>1109</v>
      </c>
      <c r="I166" s="1984"/>
      <c r="J166" s="710">
        <v>0.19</v>
      </c>
      <c r="K166" s="696">
        <v>154768</v>
      </c>
      <c r="L166" s="780"/>
      <c r="M166" s="780">
        <v>154768</v>
      </c>
      <c r="N166" s="781"/>
      <c r="O166" s="782">
        <v>154768</v>
      </c>
      <c r="P166" s="656"/>
      <c r="Q166" s="656"/>
      <c r="R166" s="656"/>
      <c r="S166" s="656"/>
      <c r="T166" s="656"/>
      <c r="U166" s="656"/>
      <c r="V166" s="656"/>
      <c r="W166" s="656"/>
      <c r="X166" s="656"/>
      <c r="Y166" s="656"/>
      <c r="Z166" s="656"/>
      <c r="AA166" s="656"/>
      <c r="AB166" s="656"/>
      <c r="AC166" s="656"/>
      <c r="AD166" s="656"/>
      <c r="AE166" s="656"/>
      <c r="AF166" s="656"/>
      <c r="AG166" s="656"/>
      <c r="AH166" s="656"/>
      <c r="AI166" s="656"/>
      <c r="AJ166" s="656"/>
      <c r="AK166" s="656"/>
      <c r="AL166" s="656"/>
      <c r="AM166" s="656"/>
      <c r="AN166" s="656"/>
      <c r="AO166" s="656"/>
      <c r="AP166" s="656"/>
      <c r="AQ166" s="656"/>
      <c r="AR166" s="656"/>
      <c r="AS166" s="656"/>
      <c r="AT166" s="656"/>
      <c r="AU166" s="656"/>
      <c r="AV166" s="656"/>
      <c r="AW166" s="656"/>
      <c r="AX166" s="656"/>
      <c r="AY166" s="656"/>
      <c r="AZ166" s="656"/>
      <c r="BA166" s="656"/>
      <c r="BB166" s="656"/>
      <c r="BC166" s="656"/>
      <c r="BD166" s="656"/>
      <c r="BE166" s="656"/>
      <c r="BF166" s="656"/>
      <c r="BG166" s="656"/>
      <c r="BH166" s="656"/>
      <c r="BI166" s="656"/>
      <c r="BJ166" s="656"/>
      <c r="BK166" s="656"/>
      <c r="BL166" s="656"/>
      <c r="BM166" s="656"/>
      <c r="BN166" s="656"/>
      <c r="BO166" s="656"/>
      <c r="BP166" s="656"/>
      <c r="BQ166" s="656"/>
      <c r="BR166" s="656"/>
      <c r="BS166" s="656"/>
      <c r="BT166" s="656"/>
      <c r="BU166" s="656"/>
      <c r="BV166" s="656"/>
      <c r="BW166" s="656"/>
      <c r="BX166" s="656"/>
      <c r="BY166" s="656"/>
      <c r="BZ166" s="656"/>
      <c r="CA166" s="656"/>
      <c r="CB166" s="656"/>
      <c r="CC166" s="656"/>
      <c r="CD166" s="656"/>
      <c r="CE166" s="656"/>
      <c r="CF166" s="656"/>
      <c r="CG166" s="656"/>
      <c r="CH166" s="656"/>
      <c r="CI166" s="656"/>
      <c r="CJ166" s="656"/>
      <c r="CK166" s="656"/>
      <c r="CL166" s="656"/>
      <c r="CM166" s="656"/>
      <c r="CN166" s="656"/>
      <c r="CO166" s="656"/>
      <c r="CP166" s="656"/>
      <c r="CQ166" s="656"/>
      <c r="CR166" s="656"/>
      <c r="CS166" s="656"/>
      <c r="CT166" s="656"/>
      <c r="CU166" s="656"/>
      <c r="CV166" s="656"/>
      <c r="CW166" s="656"/>
      <c r="CX166" s="656"/>
      <c r="CY166" s="656"/>
      <c r="CZ166" s="656"/>
      <c r="DA166" s="656"/>
      <c r="DB166" s="656"/>
      <c r="DC166" s="656"/>
      <c r="DD166" s="656"/>
      <c r="DE166" s="656"/>
      <c r="DF166" s="656"/>
      <c r="DG166" s="656"/>
      <c r="DH166" s="656"/>
      <c r="DI166" s="656"/>
      <c r="DJ166" s="656"/>
      <c r="DK166" s="656"/>
      <c r="DL166" s="656"/>
      <c r="DM166" s="656"/>
      <c r="DN166" s="656"/>
      <c r="DO166" s="656"/>
      <c r="DP166" s="656"/>
      <c r="DQ166" s="656"/>
      <c r="DR166" s="656"/>
      <c r="DS166" s="656"/>
      <c r="DT166" s="656"/>
      <c r="DU166" s="656"/>
      <c r="DV166" s="656"/>
      <c r="DW166" s="656"/>
      <c r="DX166" s="656"/>
      <c r="DY166" s="656"/>
      <c r="DZ166" s="656"/>
      <c r="EA166" s="656"/>
      <c r="EB166" s="656"/>
      <c r="EC166" s="656"/>
      <c r="ED166" s="656"/>
      <c r="EE166" s="656"/>
      <c r="EF166" s="656"/>
      <c r="EG166" s="656"/>
      <c r="EH166" s="656"/>
      <c r="EI166" s="656"/>
      <c r="EJ166" s="656"/>
      <c r="EK166" s="656"/>
      <c r="EL166" s="656"/>
      <c r="EM166" s="656"/>
      <c r="EN166" s="656"/>
      <c r="EO166" s="656"/>
      <c r="EP166" s="656"/>
      <c r="EQ166" s="656"/>
      <c r="ER166" s="656"/>
      <c r="ES166" s="656"/>
      <c r="ET166" s="656"/>
      <c r="EU166" s="656"/>
      <c r="EV166" s="656"/>
      <c r="EW166" s="656"/>
      <c r="EX166" s="656"/>
      <c r="EY166" s="656"/>
      <c r="EZ166" s="656"/>
      <c r="FA166" s="656"/>
      <c r="FB166" s="656"/>
      <c r="FC166" s="656"/>
      <c r="FD166" s="656"/>
      <c r="FE166" s="656"/>
      <c r="FF166" s="656"/>
      <c r="FG166" s="656"/>
      <c r="FH166" s="656"/>
      <c r="FI166" s="656"/>
      <c r="FJ166" s="656"/>
      <c r="FK166" s="656"/>
      <c r="FL166" s="656"/>
      <c r="FM166" s="656"/>
      <c r="FN166" s="656"/>
      <c r="FO166" s="656"/>
      <c r="FP166" s="656"/>
      <c r="FQ166" s="656"/>
      <c r="FR166" s="656"/>
      <c r="FS166" s="656"/>
      <c r="FT166" s="656"/>
      <c r="FU166" s="656"/>
      <c r="FV166" s="656"/>
      <c r="FW166" s="656"/>
      <c r="FX166" s="656"/>
      <c r="FY166" s="656"/>
      <c r="FZ166" s="656"/>
      <c r="GA166" s="656"/>
      <c r="GB166" s="656"/>
      <c r="GC166" s="656"/>
      <c r="GD166" s="656"/>
      <c r="GE166" s="656"/>
      <c r="GF166" s="656"/>
      <c r="GG166" s="656"/>
      <c r="GH166" s="656"/>
      <c r="GI166" s="656"/>
      <c r="GJ166" s="656"/>
      <c r="GK166" s="656"/>
      <c r="GL166" s="656"/>
      <c r="GM166" s="656"/>
      <c r="GN166" s="656"/>
      <c r="GO166" s="656"/>
      <c r="GP166" s="656"/>
      <c r="GQ166" s="656"/>
      <c r="GR166" s="656"/>
      <c r="GS166" s="656"/>
      <c r="GT166" s="656"/>
      <c r="GU166" s="656"/>
      <c r="GV166" s="656"/>
      <c r="GW166" s="656"/>
      <c r="GX166" s="656"/>
      <c r="GY166" s="656"/>
      <c r="GZ166" s="656"/>
      <c r="HA166" s="656"/>
      <c r="HB166" s="656"/>
      <c r="HC166" s="656"/>
      <c r="HD166" s="656"/>
      <c r="HE166" s="656"/>
      <c r="HF166" s="656"/>
      <c r="HG166" s="656"/>
      <c r="HH166" s="656"/>
      <c r="HI166" s="656"/>
      <c r="HJ166" s="656"/>
      <c r="HK166" s="656"/>
      <c r="HL166" s="656"/>
      <c r="HM166" s="656"/>
      <c r="HN166" s="656"/>
      <c r="HO166" s="656"/>
      <c r="HP166" s="656"/>
      <c r="HQ166" s="656"/>
      <c r="HR166" s="656"/>
      <c r="HS166" s="656"/>
      <c r="HT166" s="656"/>
      <c r="HU166" s="656"/>
      <c r="HV166" s="656"/>
      <c r="HW166" s="656"/>
    </row>
    <row r="167" spans="1:231" s="657" customFormat="1" ht="15.75" thickBot="1" x14ac:dyDescent="0.3">
      <c r="A167" s="776"/>
      <c r="B167" s="2014"/>
      <c r="C167" s="2015"/>
      <c r="D167" s="783"/>
      <c r="E167" s="2016" t="s">
        <v>1110</v>
      </c>
      <c r="F167" s="2016"/>
      <c r="G167" s="784">
        <v>31652493</v>
      </c>
      <c r="H167" s="785"/>
      <c r="I167" s="2016" t="s">
        <v>1110</v>
      </c>
      <c r="J167" s="2016"/>
      <c r="K167" s="784">
        <v>34095248</v>
      </c>
      <c r="L167" s="786"/>
      <c r="M167" s="784">
        <v>34095248</v>
      </c>
      <c r="N167" s="787"/>
      <c r="O167" s="788">
        <v>34095248</v>
      </c>
      <c r="P167" s="656"/>
      <c r="Q167" s="656"/>
      <c r="R167" s="656"/>
      <c r="S167" s="656"/>
      <c r="T167" s="656"/>
      <c r="U167" s="656"/>
      <c r="V167" s="656"/>
      <c r="W167" s="656"/>
      <c r="X167" s="656"/>
      <c r="Y167" s="656"/>
      <c r="Z167" s="656"/>
      <c r="AA167" s="656"/>
      <c r="AB167" s="656"/>
      <c r="AC167" s="656"/>
      <c r="AD167" s="656"/>
      <c r="AE167" s="656"/>
      <c r="AF167" s="656"/>
      <c r="AG167" s="656"/>
      <c r="AH167" s="656"/>
      <c r="AI167" s="656"/>
      <c r="AJ167" s="656"/>
      <c r="AK167" s="656"/>
      <c r="AL167" s="656"/>
      <c r="AM167" s="656"/>
      <c r="AN167" s="656"/>
      <c r="AO167" s="656"/>
      <c r="AP167" s="656"/>
      <c r="AQ167" s="656"/>
      <c r="AR167" s="656"/>
      <c r="AS167" s="656"/>
      <c r="AT167" s="656"/>
      <c r="AU167" s="656"/>
      <c r="AV167" s="656"/>
      <c r="AW167" s="656"/>
      <c r="AX167" s="656"/>
      <c r="AY167" s="656"/>
      <c r="AZ167" s="656"/>
      <c r="BA167" s="656"/>
      <c r="BB167" s="656"/>
      <c r="BC167" s="656"/>
      <c r="BD167" s="656"/>
      <c r="BE167" s="656"/>
      <c r="BF167" s="656"/>
      <c r="BG167" s="656"/>
      <c r="BH167" s="656"/>
      <c r="BI167" s="656"/>
      <c r="BJ167" s="656"/>
      <c r="BK167" s="656"/>
      <c r="BL167" s="656"/>
      <c r="BM167" s="656"/>
      <c r="BN167" s="656"/>
      <c r="BO167" s="656"/>
      <c r="BP167" s="656"/>
      <c r="BQ167" s="656"/>
      <c r="BR167" s="656"/>
      <c r="BS167" s="656"/>
      <c r="BT167" s="656"/>
      <c r="BU167" s="656"/>
      <c r="BV167" s="656"/>
      <c r="BW167" s="656"/>
      <c r="BX167" s="656"/>
      <c r="BY167" s="656"/>
      <c r="BZ167" s="656"/>
      <c r="CA167" s="656"/>
      <c r="CB167" s="656"/>
      <c r="CC167" s="656"/>
      <c r="CD167" s="656"/>
      <c r="CE167" s="656"/>
      <c r="CF167" s="656"/>
      <c r="CG167" s="656"/>
      <c r="CH167" s="656"/>
      <c r="CI167" s="656"/>
      <c r="CJ167" s="656"/>
      <c r="CK167" s="656"/>
      <c r="CL167" s="656"/>
      <c r="CM167" s="656"/>
      <c r="CN167" s="656"/>
      <c r="CO167" s="656"/>
      <c r="CP167" s="656"/>
      <c r="CQ167" s="656"/>
      <c r="CR167" s="656"/>
      <c r="CS167" s="656"/>
      <c r="CT167" s="656"/>
      <c r="CU167" s="656"/>
      <c r="CV167" s="656"/>
      <c r="CW167" s="656"/>
      <c r="CX167" s="656"/>
      <c r="CY167" s="656"/>
      <c r="CZ167" s="656"/>
      <c r="DA167" s="656"/>
      <c r="DB167" s="656"/>
      <c r="DC167" s="656"/>
      <c r="DD167" s="656"/>
      <c r="DE167" s="656"/>
      <c r="DF167" s="656"/>
      <c r="DG167" s="656"/>
      <c r="DH167" s="656"/>
      <c r="DI167" s="656"/>
      <c r="DJ167" s="656"/>
      <c r="DK167" s="656"/>
      <c r="DL167" s="656"/>
      <c r="DM167" s="656"/>
      <c r="DN167" s="656"/>
      <c r="DO167" s="656"/>
      <c r="DP167" s="656"/>
      <c r="DQ167" s="656"/>
      <c r="DR167" s="656"/>
      <c r="DS167" s="656"/>
      <c r="DT167" s="656"/>
      <c r="DU167" s="656"/>
      <c r="DV167" s="656"/>
      <c r="DW167" s="656"/>
      <c r="DX167" s="656"/>
      <c r="DY167" s="656"/>
      <c r="DZ167" s="656"/>
      <c r="EA167" s="656"/>
      <c r="EB167" s="656"/>
      <c r="EC167" s="656"/>
      <c r="ED167" s="656"/>
      <c r="EE167" s="656"/>
      <c r="EF167" s="656"/>
      <c r="EG167" s="656"/>
      <c r="EH167" s="656"/>
      <c r="EI167" s="656"/>
      <c r="EJ167" s="656"/>
      <c r="EK167" s="656"/>
      <c r="EL167" s="656"/>
      <c r="EM167" s="656"/>
      <c r="EN167" s="656"/>
      <c r="EO167" s="656"/>
      <c r="EP167" s="656"/>
      <c r="EQ167" s="656"/>
      <c r="ER167" s="656"/>
      <c r="ES167" s="656"/>
      <c r="ET167" s="656"/>
      <c r="EU167" s="656"/>
      <c r="EV167" s="656"/>
      <c r="EW167" s="656"/>
      <c r="EX167" s="656"/>
      <c r="EY167" s="656"/>
      <c r="EZ167" s="656"/>
      <c r="FA167" s="656"/>
      <c r="FB167" s="656"/>
      <c r="FC167" s="656"/>
      <c r="FD167" s="656"/>
      <c r="FE167" s="656"/>
      <c r="FF167" s="656"/>
      <c r="FG167" s="656"/>
      <c r="FH167" s="656"/>
      <c r="FI167" s="656"/>
      <c r="FJ167" s="656"/>
      <c r="FK167" s="656"/>
      <c r="FL167" s="656"/>
      <c r="FM167" s="656"/>
      <c r="FN167" s="656"/>
      <c r="FO167" s="656"/>
      <c r="FP167" s="656"/>
      <c r="FQ167" s="656"/>
      <c r="FR167" s="656"/>
      <c r="FS167" s="656"/>
      <c r="FT167" s="656"/>
      <c r="FU167" s="656"/>
      <c r="FV167" s="656"/>
      <c r="FW167" s="656"/>
      <c r="FX167" s="656"/>
      <c r="FY167" s="656"/>
      <c r="FZ167" s="656"/>
      <c r="GA167" s="656"/>
      <c r="GB167" s="656"/>
      <c r="GC167" s="656"/>
      <c r="GD167" s="656"/>
      <c r="GE167" s="656"/>
      <c r="GF167" s="656"/>
      <c r="GG167" s="656"/>
      <c r="GH167" s="656"/>
      <c r="GI167" s="656"/>
      <c r="GJ167" s="656"/>
      <c r="GK167" s="656"/>
      <c r="GL167" s="656"/>
      <c r="GM167" s="656"/>
      <c r="GN167" s="656"/>
      <c r="GO167" s="656"/>
      <c r="GP167" s="656"/>
      <c r="GQ167" s="656"/>
      <c r="GR167" s="656"/>
      <c r="GS167" s="656"/>
      <c r="GT167" s="656"/>
      <c r="GU167" s="656"/>
      <c r="GV167" s="656"/>
      <c r="GW167" s="656"/>
      <c r="GX167" s="656"/>
      <c r="GY167" s="656"/>
      <c r="GZ167" s="656"/>
      <c r="HA167" s="656"/>
      <c r="HB167" s="656"/>
      <c r="HC167" s="656"/>
      <c r="HD167" s="656"/>
      <c r="HE167" s="656"/>
      <c r="HF167" s="656"/>
      <c r="HG167" s="656"/>
      <c r="HH167" s="656"/>
      <c r="HI167" s="656"/>
      <c r="HJ167" s="656"/>
      <c r="HK167" s="656"/>
      <c r="HL167" s="656"/>
      <c r="HM167" s="656"/>
      <c r="HN167" s="656"/>
      <c r="HO167" s="656"/>
      <c r="HP167" s="656"/>
      <c r="HQ167" s="656"/>
      <c r="HR167" s="656"/>
      <c r="HS167" s="656"/>
      <c r="HT167" s="656"/>
      <c r="HU167" s="656"/>
      <c r="HV167" s="656"/>
      <c r="HW167" s="656"/>
    </row>
    <row r="168" spans="1:231" s="796" customFormat="1" ht="20.25" customHeight="1" thickBot="1" x14ac:dyDescent="0.3">
      <c r="A168" s="698"/>
      <c r="B168" s="789"/>
      <c r="C168" s="790"/>
      <c r="D168" s="2032" t="s">
        <v>1165</v>
      </c>
      <c r="E168" s="2032"/>
      <c r="F168" s="2033"/>
      <c r="G168" s="791">
        <v>373227795</v>
      </c>
      <c r="H168" s="2034"/>
      <c r="I168" s="2035"/>
      <c r="J168" s="2036"/>
      <c r="K168" s="791">
        <v>373227795</v>
      </c>
      <c r="L168" s="791"/>
      <c r="M168" s="792">
        <v>147588454</v>
      </c>
      <c r="N168" s="793"/>
      <c r="O168" s="794">
        <v>147588454</v>
      </c>
      <c r="P168" s="656"/>
      <c r="Q168" s="656"/>
      <c r="R168" s="656"/>
      <c r="S168" s="656"/>
      <c r="T168" s="656"/>
      <c r="U168" s="656"/>
      <c r="V168" s="656"/>
      <c r="W168" s="656"/>
      <c r="X168" s="656"/>
      <c r="Y168" s="656"/>
      <c r="Z168" s="656"/>
      <c r="AA168" s="656"/>
      <c r="AB168" s="656"/>
      <c r="AC168" s="656"/>
      <c r="AD168" s="656"/>
      <c r="AE168" s="656"/>
      <c r="AF168" s="656"/>
      <c r="AG168" s="656"/>
      <c r="AH168" s="656"/>
      <c r="AI168" s="656"/>
      <c r="AJ168" s="656"/>
      <c r="AK168" s="656"/>
      <c r="AL168" s="656"/>
      <c r="AM168" s="656"/>
      <c r="AN168" s="795"/>
      <c r="AO168" s="795"/>
      <c r="AP168" s="795"/>
      <c r="AQ168" s="795"/>
      <c r="AR168" s="795"/>
      <c r="AS168" s="795"/>
      <c r="AT168" s="795"/>
      <c r="AU168" s="795"/>
      <c r="AV168" s="795"/>
      <c r="AW168" s="795"/>
      <c r="AX168" s="795"/>
      <c r="AY168" s="795"/>
      <c r="AZ168" s="795"/>
      <c r="BA168" s="795"/>
      <c r="BB168" s="795"/>
      <c r="BC168" s="795"/>
      <c r="BD168" s="795"/>
      <c r="BE168" s="795"/>
      <c r="BF168" s="795"/>
      <c r="BG168" s="795"/>
      <c r="BH168" s="795"/>
      <c r="BI168" s="795"/>
      <c r="BJ168" s="795"/>
      <c r="BK168" s="795"/>
      <c r="BL168" s="795"/>
      <c r="BM168" s="795"/>
      <c r="BN168" s="795"/>
      <c r="BO168" s="795"/>
      <c r="BP168" s="795"/>
      <c r="BQ168" s="795"/>
      <c r="BR168" s="795"/>
      <c r="BS168" s="795"/>
      <c r="BT168" s="795"/>
      <c r="BU168" s="795"/>
      <c r="BV168" s="795"/>
      <c r="BW168" s="795"/>
      <c r="BX168" s="795"/>
      <c r="BY168" s="795"/>
      <c r="BZ168" s="795"/>
      <c r="CA168" s="795"/>
      <c r="CB168" s="795"/>
      <c r="CC168" s="795"/>
      <c r="CD168" s="795"/>
      <c r="CE168" s="795"/>
      <c r="CF168" s="795"/>
      <c r="CG168" s="795"/>
      <c r="CH168" s="795"/>
      <c r="CI168" s="795"/>
      <c r="CJ168" s="795"/>
      <c r="CK168" s="795"/>
      <c r="CL168" s="795"/>
      <c r="CM168" s="795"/>
      <c r="CN168" s="795"/>
      <c r="CO168" s="795"/>
      <c r="CP168" s="795"/>
      <c r="CQ168" s="795"/>
      <c r="CR168" s="795"/>
      <c r="CS168" s="795"/>
      <c r="CT168" s="795"/>
      <c r="CU168" s="795"/>
      <c r="CV168" s="795"/>
      <c r="CW168" s="795"/>
      <c r="CX168" s="795"/>
      <c r="CY168" s="795"/>
      <c r="CZ168" s="795"/>
      <c r="DA168" s="795"/>
      <c r="DB168" s="795"/>
      <c r="DC168" s="795"/>
      <c r="DD168" s="795"/>
      <c r="DE168" s="795"/>
      <c r="DF168" s="795"/>
      <c r="DG168" s="795"/>
      <c r="DH168" s="795"/>
      <c r="DI168" s="795"/>
      <c r="DJ168" s="795"/>
      <c r="DK168" s="795"/>
      <c r="DL168" s="795"/>
      <c r="DM168" s="795"/>
      <c r="DN168" s="795"/>
      <c r="DO168" s="795"/>
      <c r="DP168" s="795"/>
      <c r="DQ168" s="795"/>
      <c r="DR168" s="795"/>
      <c r="DS168" s="795"/>
      <c r="DT168" s="795"/>
      <c r="DU168" s="795"/>
      <c r="DV168" s="795"/>
      <c r="DW168" s="795"/>
      <c r="DX168" s="795"/>
      <c r="DY168" s="795"/>
      <c r="DZ168" s="795"/>
      <c r="EA168" s="795"/>
      <c r="EB168" s="795"/>
      <c r="EC168" s="795"/>
      <c r="ED168" s="795"/>
      <c r="EE168" s="795"/>
      <c r="EF168" s="795"/>
      <c r="EG168" s="795"/>
      <c r="EH168" s="795"/>
      <c r="EI168" s="795"/>
      <c r="EJ168" s="795"/>
      <c r="EK168" s="795"/>
      <c r="EL168" s="795"/>
      <c r="EM168" s="795"/>
      <c r="EN168" s="795"/>
      <c r="EO168" s="795"/>
      <c r="EP168" s="795"/>
      <c r="EQ168" s="795"/>
      <c r="ER168" s="795"/>
      <c r="ES168" s="795"/>
      <c r="ET168" s="795"/>
      <c r="EU168" s="795"/>
      <c r="EV168" s="795"/>
      <c r="EW168" s="795"/>
      <c r="EX168" s="795"/>
      <c r="EY168" s="795"/>
      <c r="EZ168" s="795"/>
      <c r="FA168" s="795"/>
      <c r="FB168" s="795"/>
      <c r="FC168" s="795"/>
      <c r="FD168" s="795"/>
      <c r="FE168" s="795"/>
      <c r="FF168" s="795"/>
      <c r="FG168" s="795"/>
      <c r="FH168" s="795"/>
      <c r="FI168" s="795"/>
      <c r="FJ168" s="795"/>
      <c r="FK168" s="795"/>
      <c r="FL168" s="795"/>
      <c r="FM168" s="795"/>
      <c r="FN168" s="795"/>
      <c r="FO168" s="795"/>
      <c r="FP168" s="795"/>
      <c r="FQ168" s="795"/>
      <c r="FR168" s="795"/>
      <c r="FS168" s="795"/>
      <c r="FT168" s="795"/>
      <c r="FU168" s="795"/>
      <c r="FV168" s="795"/>
      <c r="FW168" s="795"/>
      <c r="FX168" s="795"/>
      <c r="FY168" s="795"/>
      <c r="FZ168" s="795"/>
      <c r="GA168" s="795"/>
      <c r="GB168" s="795"/>
      <c r="GC168" s="795"/>
      <c r="GD168" s="795"/>
      <c r="GE168" s="795"/>
      <c r="GF168" s="795"/>
      <c r="GG168" s="795"/>
      <c r="GH168" s="795"/>
      <c r="GI168" s="795"/>
      <c r="GJ168" s="795"/>
      <c r="GK168" s="795"/>
      <c r="GL168" s="795"/>
      <c r="GM168" s="795"/>
      <c r="GN168" s="795"/>
      <c r="GO168" s="795"/>
      <c r="GP168" s="795"/>
      <c r="GQ168" s="795"/>
      <c r="GR168" s="795"/>
      <c r="GS168" s="795"/>
      <c r="GT168" s="795"/>
      <c r="GU168" s="795"/>
      <c r="GV168" s="795"/>
      <c r="GW168" s="795"/>
      <c r="GX168" s="795"/>
      <c r="GY168" s="795"/>
      <c r="GZ168" s="795"/>
      <c r="HA168" s="795"/>
      <c r="HB168" s="795"/>
      <c r="HC168" s="795"/>
      <c r="HD168" s="795"/>
      <c r="HE168" s="795"/>
      <c r="HF168" s="795"/>
      <c r="HG168" s="795"/>
      <c r="HH168" s="795"/>
      <c r="HI168" s="795"/>
      <c r="HJ168" s="795"/>
      <c r="HK168" s="795"/>
      <c r="HL168" s="795"/>
      <c r="HM168" s="795"/>
      <c r="HN168" s="795"/>
      <c r="HO168" s="795"/>
      <c r="HP168" s="795"/>
      <c r="HQ168" s="795"/>
      <c r="HR168" s="795"/>
      <c r="HS168" s="795"/>
      <c r="HT168" s="795"/>
      <c r="HU168" s="795"/>
      <c r="HV168" s="795"/>
      <c r="HW168" s="795"/>
    </row>
    <row r="169" spans="1:231" ht="30" x14ac:dyDescent="0.25">
      <c r="B169" s="797"/>
      <c r="C169" s="798"/>
      <c r="D169" s="798"/>
      <c r="E169" s="798"/>
      <c r="F169" s="799"/>
      <c r="G169" s="800"/>
      <c r="H169" s="798"/>
      <c r="I169" s="798"/>
      <c r="J169" s="798"/>
      <c r="K169" s="800"/>
      <c r="L169" s="800"/>
      <c r="M169" s="800"/>
      <c r="N169" s="801" t="s">
        <v>1166</v>
      </c>
      <c r="O169" s="802">
        <v>147470919</v>
      </c>
      <c r="P169" s="803"/>
      <c r="Q169" s="645"/>
      <c r="R169" s="645"/>
      <c r="S169" s="645"/>
      <c r="T169" s="645"/>
      <c r="U169" s="645"/>
      <c r="V169" s="645"/>
      <c r="W169" s="645"/>
      <c r="X169" s="645"/>
      <c r="Y169" s="645"/>
      <c r="Z169" s="645"/>
      <c r="AA169" s="645"/>
      <c r="AB169" s="645"/>
      <c r="AC169" s="645"/>
      <c r="AD169" s="645"/>
      <c r="AE169" s="645"/>
      <c r="AF169" s="645"/>
      <c r="AG169" s="645"/>
      <c r="AH169" s="645"/>
      <c r="AI169" s="645"/>
      <c r="AJ169" s="645"/>
      <c r="AK169" s="645"/>
      <c r="AL169" s="645"/>
      <c r="AM169" s="645"/>
      <c r="AN169" s="645"/>
      <c r="AO169" s="645"/>
      <c r="AP169" s="645"/>
      <c r="AQ169" s="645"/>
      <c r="AR169" s="645"/>
      <c r="AS169" s="645"/>
      <c r="AT169" s="645"/>
      <c r="AU169" s="645"/>
      <c r="AV169" s="645"/>
      <c r="AW169" s="645"/>
      <c r="AX169" s="645"/>
      <c r="AY169" s="645"/>
      <c r="AZ169" s="645"/>
      <c r="BA169" s="645"/>
      <c r="BB169" s="645"/>
      <c r="BC169" s="645"/>
      <c r="BD169" s="645"/>
      <c r="BE169" s="645"/>
      <c r="BF169" s="645"/>
      <c r="BG169" s="645"/>
      <c r="BH169" s="645"/>
      <c r="BI169" s="645"/>
      <c r="BJ169" s="645"/>
      <c r="BK169" s="645"/>
      <c r="BL169" s="645"/>
      <c r="BM169" s="645"/>
      <c r="BN169" s="645"/>
      <c r="BO169" s="645"/>
      <c r="BP169" s="645"/>
      <c r="BQ169" s="645"/>
      <c r="BR169" s="645"/>
      <c r="BS169" s="645"/>
      <c r="BT169" s="645"/>
      <c r="BU169" s="645"/>
      <c r="BV169" s="645"/>
      <c r="BW169" s="645"/>
      <c r="BX169" s="645"/>
      <c r="BY169" s="645"/>
      <c r="BZ169" s="645"/>
      <c r="CA169" s="645"/>
      <c r="CB169" s="645"/>
      <c r="CC169" s="645"/>
      <c r="CD169" s="645"/>
      <c r="CE169" s="645"/>
      <c r="CF169" s="645"/>
      <c r="CG169" s="645"/>
      <c r="CH169" s="645"/>
      <c r="CI169" s="645"/>
      <c r="CJ169" s="645"/>
      <c r="CK169" s="645"/>
      <c r="CL169" s="645"/>
      <c r="CM169" s="645"/>
      <c r="CN169" s="645"/>
      <c r="CO169" s="645"/>
      <c r="CP169" s="645"/>
      <c r="CQ169" s="645"/>
      <c r="CR169" s="645"/>
      <c r="CS169" s="645"/>
      <c r="CT169" s="645"/>
      <c r="CU169" s="645"/>
      <c r="CV169" s="645"/>
      <c r="CW169" s="645"/>
      <c r="CX169" s="645"/>
      <c r="CY169" s="645"/>
      <c r="CZ169" s="645"/>
      <c r="DA169" s="645"/>
      <c r="DB169" s="645"/>
      <c r="DC169" s="645"/>
      <c r="DD169" s="645"/>
      <c r="DE169" s="645"/>
      <c r="DF169" s="645"/>
      <c r="DG169" s="645"/>
      <c r="DH169" s="645"/>
      <c r="DI169" s="645"/>
      <c r="DJ169" s="645"/>
      <c r="DK169" s="645"/>
      <c r="DL169" s="645"/>
      <c r="DM169" s="645"/>
      <c r="DN169" s="645"/>
      <c r="DO169" s="645"/>
      <c r="DP169" s="645"/>
      <c r="DQ169" s="645"/>
      <c r="DR169" s="645"/>
      <c r="DS169" s="645"/>
      <c r="DT169" s="645"/>
      <c r="DU169" s="645"/>
      <c r="DV169" s="645"/>
      <c r="DW169" s="645"/>
      <c r="DX169" s="645"/>
      <c r="DY169" s="645"/>
      <c r="DZ169" s="645"/>
      <c r="EA169" s="645"/>
      <c r="EB169" s="645"/>
      <c r="EC169" s="645"/>
      <c r="ED169" s="645"/>
      <c r="EE169" s="645"/>
      <c r="EF169" s="645"/>
      <c r="EG169" s="645"/>
      <c r="EH169" s="645"/>
      <c r="EI169" s="645"/>
      <c r="EJ169" s="645"/>
      <c r="EK169" s="645"/>
      <c r="EL169" s="645"/>
      <c r="EM169" s="645"/>
      <c r="EN169" s="645"/>
      <c r="EO169" s="645"/>
      <c r="EP169" s="645"/>
      <c r="EQ169" s="645"/>
      <c r="ER169" s="645"/>
      <c r="ES169" s="645"/>
      <c r="ET169" s="645"/>
      <c r="EU169" s="645"/>
      <c r="EV169" s="645"/>
      <c r="EW169" s="645"/>
      <c r="EX169" s="645"/>
      <c r="EY169" s="645"/>
      <c r="EZ169" s="645"/>
      <c r="FA169" s="645"/>
      <c r="FB169" s="645"/>
      <c r="FC169" s="645"/>
      <c r="FD169" s="645"/>
      <c r="FE169" s="645"/>
      <c r="FF169" s="645"/>
      <c r="FG169" s="645"/>
      <c r="FH169" s="645"/>
      <c r="FI169" s="645"/>
      <c r="FJ169" s="645"/>
      <c r="FK169" s="645"/>
      <c r="FL169" s="645"/>
      <c r="FM169" s="645"/>
      <c r="FN169" s="645"/>
      <c r="FO169" s="645"/>
      <c r="FP169" s="645"/>
      <c r="FQ169" s="645"/>
      <c r="FR169" s="645"/>
      <c r="FS169" s="645"/>
      <c r="FT169" s="645"/>
      <c r="FU169" s="645"/>
      <c r="FV169" s="645"/>
      <c r="FW169" s="645"/>
      <c r="FX169" s="645"/>
      <c r="FY169" s="645"/>
      <c r="FZ169" s="645"/>
      <c r="GA169" s="645"/>
      <c r="GB169" s="645"/>
      <c r="GC169" s="645"/>
      <c r="GD169" s="645"/>
      <c r="GE169" s="645"/>
      <c r="GF169" s="645"/>
      <c r="GG169" s="645"/>
      <c r="GH169" s="645"/>
      <c r="GI169" s="645"/>
      <c r="GJ169" s="645"/>
      <c r="GK169" s="645"/>
      <c r="GL169" s="645"/>
      <c r="GM169" s="645"/>
      <c r="GN169" s="645"/>
      <c r="GO169" s="645"/>
      <c r="GP169" s="645"/>
      <c r="GQ169" s="645"/>
      <c r="GR169" s="645"/>
      <c r="GS169" s="645"/>
      <c r="GT169" s="645"/>
      <c r="GU169" s="645"/>
      <c r="GV169" s="645"/>
      <c r="GW169" s="645"/>
      <c r="GX169" s="645"/>
      <c r="GY169" s="645"/>
      <c r="GZ169" s="645"/>
      <c r="HA169" s="645"/>
      <c r="HB169" s="645"/>
      <c r="HC169" s="645"/>
      <c r="HD169" s="645"/>
      <c r="HE169" s="645"/>
      <c r="HF169" s="645"/>
      <c r="HG169" s="645"/>
      <c r="HH169" s="645"/>
      <c r="HI169" s="645"/>
      <c r="HJ169" s="645"/>
      <c r="HK169" s="645"/>
      <c r="HL169" s="645"/>
      <c r="HM169" s="645"/>
      <c r="HN169" s="645"/>
      <c r="HO169" s="645"/>
      <c r="HP169" s="645"/>
      <c r="HQ169" s="645"/>
      <c r="HR169" s="645"/>
      <c r="HS169" s="645"/>
      <c r="HT169" s="645"/>
      <c r="HU169" s="645"/>
    </row>
    <row r="170" spans="1:231" ht="18" customHeight="1" x14ac:dyDescent="0.25">
      <c r="B170" s="589"/>
      <c r="C170" s="804"/>
      <c r="D170" s="804"/>
      <c r="E170" s="804"/>
      <c r="F170" s="804"/>
      <c r="G170" s="804"/>
      <c r="H170" s="804"/>
      <c r="I170" s="804"/>
      <c r="J170" s="804"/>
      <c r="K170" s="803"/>
      <c r="L170" s="804"/>
      <c r="M170" s="804"/>
      <c r="N170" s="2037" t="s">
        <v>1167</v>
      </c>
      <c r="O170" s="2038"/>
      <c r="P170" s="805"/>
      <c r="Q170" s="645"/>
      <c r="R170" s="645"/>
      <c r="S170" s="645"/>
      <c r="T170" s="645"/>
      <c r="U170" s="645"/>
      <c r="V170" s="645"/>
      <c r="W170" s="645"/>
      <c r="X170" s="645"/>
      <c r="Y170" s="645"/>
      <c r="Z170" s="645"/>
      <c r="AA170" s="645"/>
      <c r="AB170" s="645"/>
      <c r="AC170" s="645"/>
      <c r="AD170" s="645"/>
      <c r="AE170" s="645"/>
      <c r="AF170" s="645"/>
      <c r="AG170" s="645"/>
      <c r="AH170" s="645"/>
      <c r="AI170" s="645"/>
      <c r="AJ170" s="645"/>
      <c r="AK170" s="645"/>
      <c r="AL170" s="645"/>
      <c r="AM170" s="645"/>
      <c r="AN170" s="645"/>
      <c r="AO170" s="645"/>
      <c r="AP170" s="645"/>
      <c r="AQ170" s="645"/>
      <c r="AR170" s="645"/>
      <c r="AS170" s="645"/>
      <c r="AT170" s="645"/>
      <c r="AU170" s="645"/>
      <c r="AV170" s="645"/>
      <c r="AW170" s="645"/>
      <c r="AX170" s="645"/>
      <c r="AY170" s="645"/>
      <c r="AZ170" s="645"/>
      <c r="BA170" s="645"/>
      <c r="BB170" s="645"/>
      <c r="BC170" s="645"/>
      <c r="BD170" s="645"/>
      <c r="BE170" s="645"/>
      <c r="BF170" s="645"/>
      <c r="BG170" s="645"/>
      <c r="BH170" s="645"/>
      <c r="BI170" s="645"/>
      <c r="BJ170" s="645"/>
      <c r="BK170" s="645"/>
      <c r="BL170" s="645"/>
      <c r="BM170" s="645"/>
      <c r="BN170" s="645"/>
      <c r="BO170" s="645"/>
      <c r="BP170" s="645"/>
      <c r="BQ170" s="645"/>
      <c r="BR170" s="645"/>
      <c r="BS170" s="645"/>
      <c r="BT170" s="645"/>
      <c r="BU170" s="645"/>
      <c r="BV170" s="645"/>
      <c r="BW170" s="645"/>
      <c r="BX170" s="645"/>
      <c r="BY170" s="645"/>
      <c r="BZ170" s="645"/>
      <c r="CA170" s="645"/>
      <c r="CB170" s="645"/>
      <c r="CC170" s="645"/>
      <c r="CD170" s="645"/>
      <c r="CE170" s="645"/>
      <c r="CF170" s="645"/>
      <c r="CG170" s="645"/>
      <c r="CH170" s="645"/>
      <c r="CI170" s="645"/>
      <c r="CJ170" s="645"/>
      <c r="CK170" s="645"/>
      <c r="CL170" s="645"/>
      <c r="CM170" s="645"/>
      <c r="CN170" s="645"/>
      <c r="CO170" s="645"/>
      <c r="CP170" s="645"/>
      <c r="CQ170" s="645"/>
      <c r="CR170" s="645"/>
      <c r="CS170" s="645"/>
      <c r="CT170" s="645"/>
      <c r="CU170" s="645"/>
      <c r="CV170" s="645"/>
      <c r="CW170" s="645"/>
      <c r="CX170" s="645"/>
      <c r="CY170" s="645"/>
      <c r="CZ170" s="645"/>
      <c r="DA170" s="645"/>
      <c r="DB170" s="645"/>
      <c r="DC170" s="645"/>
      <c r="DD170" s="645"/>
      <c r="DE170" s="645"/>
      <c r="DF170" s="645"/>
      <c r="DG170" s="645"/>
      <c r="DH170" s="645"/>
      <c r="DI170" s="645"/>
      <c r="DJ170" s="645"/>
      <c r="DK170" s="645"/>
      <c r="DL170" s="645"/>
      <c r="DM170" s="645"/>
      <c r="DN170" s="645"/>
      <c r="DO170" s="645"/>
      <c r="DP170" s="645"/>
      <c r="DQ170" s="645"/>
      <c r="DR170" s="645"/>
      <c r="DS170" s="645"/>
      <c r="DT170" s="645"/>
      <c r="DU170" s="645"/>
      <c r="DV170" s="645"/>
      <c r="DW170" s="645"/>
      <c r="DX170" s="645"/>
      <c r="DY170" s="645"/>
      <c r="DZ170" s="645"/>
      <c r="EA170" s="645"/>
      <c r="EB170" s="645"/>
      <c r="EC170" s="645"/>
      <c r="ED170" s="645"/>
      <c r="EE170" s="645"/>
      <c r="EF170" s="645"/>
      <c r="EG170" s="645"/>
      <c r="EH170" s="645"/>
      <c r="EI170" s="645"/>
      <c r="EJ170" s="645"/>
      <c r="EK170" s="645"/>
      <c r="EL170" s="645"/>
      <c r="EM170" s="645"/>
      <c r="EN170" s="645"/>
      <c r="EO170" s="645"/>
      <c r="EP170" s="645"/>
      <c r="EQ170" s="645"/>
      <c r="ER170" s="645"/>
      <c r="ES170" s="645"/>
      <c r="ET170" s="645"/>
      <c r="EU170" s="645"/>
      <c r="EV170" s="645"/>
      <c r="EW170" s="645"/>
      <c r="EX170" s="645"/>
      <c r="EY170" s="645"/>
      <c r="EZ170" s="645"/>
      <c r="FA170" s="645"/>
      <c r="FB170" s="645"/>
      <c r="FC170" s="645"/>
      <c r="FD170" s="645"/>
      <c r="FE170" s="645"/>
      <c r="FF170" s="645"/>
      <c r="FG170" s="645"/>
      <c r="FH170" s="645"/>
      <c r="FI170" s="645"/>
      <c r="FJ170" s="645"/>
      <c r="FK170" s="645"/>
      <c r="FL170" s="645"/>
      <c r="FM170" s="645"/>
      <c r="FN170" s="645"/>
      <c r="FO170" s="645"/>
      <c r="FP170" s="645"/>
      <c r="FQ170" s="645"/>
      <c r="FR170" s="645"/>
      <c r="FS170" s="645"/>
      <c r="FT170" s="645"/>
      <c r="FU170" s="645"/>
      <c r="FV170" s="645"/>
      <c r="FW170" s="645"/>
      <c r="FX170" s="645"/>
      <c r="FY170" s="645"/>
      <c r="FZ170" s="645"/>
      <c r="GA170" s="645"/>
      <c r="GB170" s="645"/>
      <c r="GC170" s="645"/>
      <c r="GD170" s="645"/>
      <c r="GE170" s="645"/>
      <c r="GF170" s="645"/>
      <c r="GG170" s="645"/>
      <c r="GH170" s="645"/>
      <c r="GI170" s="645"/>
      <c r="GJ170" s="645"/>
      <c r="GK170" s="645"/>
      <c r="GL170" s="645"/>
      <c r="GM170" s="645"/>
      <c r="GN170" s="645"/>
      <c r="GO170" s="645"/>
      <c r="GP170" s="645"/>
      <c r="GQ170" s="645"/>
      <c r="GR170" s="645"/>
      <c r="GS170" s="645"/>
      <c r="GT170" s="645"/>
      <c r="GU170" s="645"/>
      <c r="GV170" s="645"/>
      <c r="GW170" s="645"/>
      <c r="GX170" s="645"/>
      <c r="GY170" s="645"/>
      <c r="GZ170" s="645"/>
      <c r="HA170" s="645"/>
      <c r="HB170" s="645"/>
      <c r="HC170" s="645"/>
      <c r="HD170" s="645"/>
      <c r="HE170" s="645"/>
      <c r="HF170" s="645"/>
      <c r="HG170" s="645"/>
      <c r="HH170" s="645"/>
      <c r="HI170" s="645"/>
      <c r="HJ170" s="645"/>
      <c r="HK170" s="645"/>
      <c r="HL170" s="645"/>
      <c r="HM170" s="645"/>
      <c r="HN170" s="645"/>
      <c r="HO170" s="645"/>
      <c r="HP170" s="645"/>
      <c r="HQ170" s="645"/>
      <c r="HR170" s="645"/>
      <c r="HS170" s="645"/>
      <c r="HT170" s="645"/>
      <c r="HU170" s="645"/>
    </row>
    <row r="171" spans="1:231" x14ac:dyDescent="0.25">
      <c r="B171" s="589"/>
      <c r="C171" s="2039"/>
      <c r="D171" s="2039"/>
      <c r="E171" s="2039"/>
      <c r="F171" s="2039"/>
      <c r="G171" s="2039"/>
      <c r="H171" s="2039"/>
      <c r="I171" s="2039"/>
      <c r="J171" s="2039"/>
      <c r="K171" s="2039"/>
      <c r="L171" s="2039"/>
      <c r="M171" s="2039"/>
      <c r="N171" s="2039"/>
      <c r="O171" s="2040"/>
      <c r="P171" s="645"/>
      <c r="Q171" s="645"/>
      <c r="R171" s="645"/>
      <c r="S171" s="645"/>
      <c r="T171" s="645"/>
      <c r="U171" s="645"/>
      <c r="V171" s="645"/>
      <c r="W171" s="645"/>
      <c r="X171" s="645"/>
      <c r="Y171" s="645"/>
      <c r="Z171" s="645"/>
      <c r="AA171" s="645"/>
      <c r="AB171" s="645"/>
      <c r="AC171" s="645"/>
      <c r="AD171" s="645"/>
      <c r="AE171" s="645"/>
      <c r="AF171" s="645"/>
      <c r="AG171" s="645"/>
      <c r="AH171" s="645"/>
      <c r="AI171" s="645"/>
      <c r="AJ171" s="645"/>
      <c r="AK171" s="645"/>
      <c r="AL171" s="645"/>
      <c r="AM171" s="645"/>
      <c r="AN171" s="645"/>
      <c r="AO171" s="645"/>
      <c r="AP171" s="645"/>
      <c r="AQ171" s="645"/>
      <c r="AR171" s="645"/>
      <c r="AS171" s="645"/>
      <c r="AT171" s="645"/>
      <c r="AU171" s="645"/>
      <c r="AV171" s="645"/>
      <c r="AW171" s="645"/>
      <c r="AX171" s="645"/>
      <c r="AY171" s="645"/>
      <c r="AZ171" s="645"/>
      <c r="BA171" s="645"/>
      <c r="BB171" s="645"/>
      <c r="BC171" s="645"/>
      <c r="BD171" s="645"/>
      <c r="BE171" s="645"/>
      <c r="BF171" s="645"/>
      <c r="BG171" s="645"/>
      <c r="BH171" s="645"/>
      <c r="BI171" s="645"/>
      <c r="BJ171" s="645"/>
      <c r="BK171" s="645"/>
      <c r="BL171" s="645"/>
      <c r="BM171" s="645"/>
      <c r="BN171" s="645"/>
      <c r="BO171" s="645"/>
      <c r="BP171" s="645"/>
      <c r="BQ171" s="645"/>
      <c r="BR171" s="645"/>
      <c r="BS171" s="645"/>
      <c r="BT171" s="645"/>
      <c r="BU171" s="645"/>
      <c r="BV171" s="645"/>
      <c r="BW171" s="645"/>
      <c r="BX171" s="645"/>
      <c r="BY171" s="645"/>
      <c r="BZ171" s="645"/>
      <c r="CA171" s="645"/>
      <c r="CB171" s="645"/>
      <c r="CC171" s="645"/>
      <c r="CD171" s="645"/>
      <c r="CE171" s="645"/>
      <c r="CF171" s="645"/>
      <c r="CG171" s="645"/>
      <c r="CH171" s="645"/>
      <c r="CI171" s="645"/>
      <c r="CJ171" s="645"/>
      <c r="CK171" s="645"/>
      <c r="CL171" s="645"/>
      <c r="CM171" s="645"/>
      <c r="CN171" s="645"/>
      <c r="CO171" s="645"/>
      <c r="CP171" s="645"/>
      <c r="CQ171" s="645"/>
      <c r="CR171" s="645"/>
      <c r="CS171" s="645"/>
      <c r="CT171" s="645"/>
      <c r="CU171" s="645"/>
      <c r="CV171" s="645"/>
      <c r="CW171" s="645"/>
      <c r="CX171" s="645"/>
      <c r="CY171" s="645"/>
      <c r="CZ171" s="645"/>
      <c r="DA171" s="645"/>
      <c r="DB171" s="645"/>
      <c r="DC171" s="645"/>
      <c r="DD171" s="645"/>
      <c r="DE171" s="645"/>
      <c r="DF171" s="645"/>
      <c r="DG171" s="645"/>
      <c r="DH171" s="645"/>
      <c r="DI171" s="645"/>
      <c r="DJ171" s="645"/>
      <c r="DK171" s="645"/>
      <c r="DL171" s="645"/>
      <c r="DM171" s="645"/>
      <c r="DN171" s="645"/>
      <c r="DO171" s="645"/>
      <c r="DP171" s="645"/>
      <c r="DQ171" s="645"/>
      <c r="DR171" s="645"/>
      <c r="DS171" s="645"/>
      <c r="DT171" s="645"/>
      <c r="DU171" s="645"/>
      <c r="DV171" s="645"/>
      <c r="DW171" s="645"/>
      <c r="DX171" s="645"/>
      <c r="DY171" s="645"/>
      <c r="DZ171" s="645"/>
      <c r="EA171" s="645"/>
      <c r="EB171" s="645"/>
      <c r="EC171" s="645"/>
      <c r="ED171" s="645"/>
      <c r="EE171" s="645"/>
      <c r="EF171" s="645"/>
      <c r="EG171" s="645"/>
      <c r="EH171" s="645"/>
      <c r="EI171" s="645"/>
      <c r="EJ171" s="645"/>
      <c r="EK171" s="645"/>
      <c r="EL171" s="645"/>
      <c r="EM171" s="645"/>
      <c r="EN171" s="645"/>
      <c r="EO171" s="645"/>
      <c r="EP171" s="645"/>
      <c r="EQ171" s="645"/>
      <c r="ER171" s="645"/>
      <c r="ES171" s="645"/>
      <c r="ET171" s="645"/>
      <c r="EU171" s="645"/>
      <c r="EV171" s="645"/>
      <c r="EW171" s="645"/>
      <c r="EX171" s="645"/>
      <c r="EY171" s="645"/>
      <c r="EZ171" s="645"/>
      <c r="FA171" s="645"/>
      <c r="FB171" s="645"/>
      <c r="FC171" s="645"/>
      <c r="FD171" s="645"/>
      <c r="FE171" s="645"/>
      <c r="FF171" s="645"/>
      <c r="FG171" s="645"/>
      <c r="FH171" s="645"/>
      <c r="FI171" s="645"/>
      <c r="FJ171" s="645"/>
      <c r="FK171" s="645"/>
      <c r="FL171" s="645"/>
      <c r="FM171" s="645"/>
      <c r="FN171" s="645"/>
      <c r="FO171" s="645"/>
      <c r="FP171" s="645"/>
      <c r="FQ171" s="645"/>
      <c r="FR171" s="645"/>
      <c r="FS171" s="645"/>
      <c r="FT171" s="645"/>
      <c r="FU171" s="645"/>
      <c r="FV171" s="645"/>
      <c r="FW171" s="645"/>
      <c r="FX171" s="645"/>
      <c r="FY171" s="645"/>
      <c r="FZ171" s="645"/>
      <c r="GA171" s="645"/>
      <c r="GB171" s="645"/>
      <c r="GC171" s="645"/>
      <c r="GD171" s="645"/>
      <c r="GE171" s="645"/>
      <c r="GF171" s="645"/>
      <c r="GG171" s="645"/>
      <c r="GH171" s="645"/>
      <c r="GI171" s="645"/>
      <c r="GJ171" s="645"/>
      <c r="GK171" s="645"/>
      <c r="GL171" s="645"/>
      <c r="GM171" s="645"/>
      <c r="GN171" s="645"/>
      <c r="GO171" s="645"/>
      <c r="GP171" s="645"/>
      <c r="GQ171" s="645"/>
      <c r="GR171" s="645"/>
      <c r="GS171" s="645"/>
      <c r="GT171" s="645"/>
      <c r="GU171" s="645"/>
      <c r="GV171" s="645"/>
      <c r="GW171" s="645"/>
      <c r="GX171" s="645"/>
      <c r="GY171" s="645"/>
      <c r="GZ171" s="645"/>
      <c r="HA171" s="645"/>
      <c r="HB171" s="645"/>
      <c r="HC171" s="645"/>
      <c r="HD171" s="645"/>
      <c r="HE171" s="645"/>
      <c r="HF171" s="645"/>
      <c r="HG171" s="645"/>
      <c r="HH171" s="645"/>
      <c r="HI171" s="645"/>
      <c r="HJ171" s="645"/>
      <c r="HK171" s="645"/>
      <c r="HL171" s="645"/>
      <c r="HM171" s="645"/>
      <c r="HN171" s="645"/>
      <c r="HO171" s="645"/>
      <c r="HP171" s="645"/>
      <c r="HQ171" s="645"/>
      <c r="HR171" s="645"/>
      <c r="HS171" s="645"/>
      <c r="HT171" s="645"/>
      <c r="HU171" s="645"/>
    </row>
    <row r="172" spans="1:231" ht="59.25" customHeight="1" x14ac:dyDescent="0.25">
      <c r="B172" s="589"/>
      <c r="C172" s="806"/>
      <c r="D172" s="807"/>
      <c r="E172" s="807"/>
      <c r="F172" s="2041"/>
      <c r="G172" s="2041"/>
      <c r="H172" s="2041"/>
      <c r="I172" s="807"/>
      <c r="J172" s="2042"/>
      <c r="K172" s="2042"/>
      <c r="L172" s="2042"/>
      <c r="M172" s="808"/>
      <c r="N172" s="2043"/>
      <c r="O172" s="2044"/>
      <c r="P172" s="645"/>
      <c r="Q172" s="645"/>
      <c r="R172" s="645"/>
      <c r="S172" s="645"/>
      <c r="T172" s="645"/>
      <c r="U172" s="645"/>
      <c r="V172" s="645"/>
      <c r="W172" s="645"/>
      <c r="X172" s="645"/>
      <c r="Y172" s="645"/>
      <c r="Z172" s="645"/>
      <c r="AA172" s="645"/>
      <c r="AB172" s="645"/>
      <c r="AC172" s="645"/>
      <c r="AD172" s="645"/>
      <c r="AE172" s="645"/>
      <c r="AF172" s="645"/>
      <c r="AG172" s="645"/>
      <c r="AH172" s="645"/>
      <c r="AI172" s="645"/>
      <c r="AJ172" s="645"/>
      <c r="AK172" s="645"/>
      <c r="AL172" s="645"/>
      <c r="AM172" s="645"/>
      <c r="AN172" s="645"/>
      <c r="AO172" s="645"/>
      <c r="AP172" s="645"/>
      <c r="AQ172" s="645"/>
      <c r="AR172" s="645"/>
      <c r="AS172" s="645"/>
      <c r="AT172" s="645"/>
      <c r="AU172" s="645"/>
      <c r="AV172" s="645"/>
      <c r="AW172" s="645"/>
      <c r="AX172" s="645"/>
      <c r="AY172" s="645"/>
      <c r="AZ172" s="645"/>
      <c r="BA172" s="645"/>
      <c r="BB172" s="645"/>
      <c r="BC172" s="645"/>
      <c r="BD172" s="645"/>
      <c r="BE172" s="645"/>
      <c r="BF172" s="645"/>
      <c r="BG172" s="645"/>
      <c r="BH172" s="645"/>
      <c r="BI172" s="645"/>
      <c r="BJ172" s="645"/>
      <c r="BK172" s="645"/>
      <c r="BL172" s="645"/>
      <c r="BM172" s="645"/>
      <c r="BN172" s="645"/>
      <c r="BO172" s="645"/>
      <c r="BP172" s="645"/>
      <c r="BQ172" s="645"/>
      <c r="BR172" s="645"/>
      <c r="BS172" s="645"/>
      <c r="BT172" s="645"/>
      <c r="BU172" s="645"/>
      <c r="BV172" s="645"/>
      <c r="BW172" s="645"/>
      <c r="BX172" s="645"/>
      <c r="BY172" s="645"/>
      <c r="BZ172" s="645"/>
      <c r="CA172" s="645"/>
      <c r="CB172" s="645"/>
      <c r="CC172" s="645"/>
      <c r="CD172" s="645"/>
      <c r="CE172" s="645"/>
      <c r="CF172" s="645"/>
      <c r="CG172" s="645"/>
      <c r="CH172" s="645"/>
      <c r="CI172" s="645"/>
      <c r="CJ172" s="645"/>
      <c r="CK172" s="645"/>
      <c r="CL172" s="645"/>
      <c r="CM172" s="645"/>
      <c r="CN172" s="645"/>
      <c r="CO172" s="645"/>
      <c r="CP172" s="645"/>
      <c r="CQ172" s="645"/>
      <c r="CR172" s="645"/>
      <c r="CS172" s="645"/>
      <c r="CT172" s="645"/>
      <c r="CU172" s="645"/>
      <c r="CV172" s="645"/>
      <c r="CW172" s="645"/>
      <c r="CX172" s="645"/>
      <c r="CY172" s="645"/>
      <c r="CZ172" s="645"/>
      <c r="DA172" s="645"/>
      <c r="DB172" s="645"/>
      <c r="DC172" s="645"/>
      <c r="DD172" s="645"/>
      <c r="DE172" s="645"/>
      <c r="DF172" s="645"/>
      <c r="DG172" s="645"/>
      <c r="DH172" s="645"/>
      <c r="DI172" s="645"/>
      <c r="DJ172" s="645"/>
      <c r="DK172" s="645"/>
      <c r="DL172" s="645"/>
      <c r="DM172" s="645"/>
      <c r="DN172" s="645"/>
      <c r="DO172" s="645"/>
      <c r="DP172" s="645"/>
      <c r="DQ172" s="645"/>
      <c r="DR172" s="645"/>
      <c r="DS172" s="645"/>
      <c r="DT172" s="645"/>
      <c r="DU172" s="645"/>
      <c r="DV172" s="645"/>
      <c r="DW172" s="645"/>
      <c r="DX172" s="645"/>
      <c r="DY172" s="645"/>
      <c r="DZ172" s="645"/>
      <c r="EA172" s="645"/>
      <c r="EB172" s="645"/>
      <c r="EC172" s="645"/>
      <c r="ED172" s="645"/>
      <c r="EE172" s="645"/>
      <c r="EF172" s="645"/>
      <c r="EG172" s="645"/>
      <c r="EH172" s="645"/>
      <c r="EI172" s="645"/>
      <c r="EJ172" s="645"/>
      <c r="EK172" s="645"/>
      <c r="EL172" s="645"/>
      <c r="EM172" s="645"/>
      <c r="EN172" s="645"/>
      <c r="EO172" s="645"/>
      <c r="EP172" s="645"/>
      <c r="EQ172" s="645"/>
      <c r="ER172" s="645"/>
      <c r="ES172" s="645"/>
      <c r="ET172" s="645"/>
      <c r="EU172" s="645"/>
      <c r="EV172" s="645"/>
      <c r="EW172" s="645"/>
      <c r="EX172" s="645"/>
      <c r="EY172" s="645"/>
      <c r="EZ172" s="645"/>
      <c r="FA172" s="645"/>
      <c r="FB172" s="645"/>
      <c r="FC172" s="645"/>
      <c r="FD172" s="645"/>
      <c r="FE172" s="645"/>
      <c r="FF172" s="645"/>
      <c r="FG172" s="645"/>
      <c r="FH172" s="645"/>
      <c r="FI172" s="645"/>
      <c r="FJ172" s="645"/>
      <c r="FK172" s="645"/>
      <c r="FL172" s="645"/>
      <c r="FM172" s="645"/>
      <c r="FN172" s="645"/>
      <c r="FO172" s="645"/>
      <c r="FP172" s="645"/>
      <c r="FQ172" s="645"/>
      <c r="FR172" s="645"/>
      <c r="FS172" s="645"/>
      <c r="FT172" s="645"/>
      <c r="FU172" s="645"/>
      <c r="FV172" s="645"/>
      <c r="FW172" s="645"/>
      <c r="FX172" s="645"/>
      <c r="FY172" s="645"/>
      <c r="FZ172" s="645"/>
      <c r="GA172" s="645"/>
      <c r="GB172" s="645"/>
      <c r="GC172" s="645"/>
      <c r="GD172" s="645"/>
      <c r="GE172" s="645"/>
      <c r="GF172" s="645"/>
      <c r="GG172" s="645"/>
      <c r="GH172" s="645"/>
      <c r="GI172" s="645"/>
      <c r="GJ172" s="645"/>
      <c r="GK172" s="645"/>
      <c r="GL172" s="645"/>
      <c r="GM172" s="645"/>
      <c r="GN172" s="645"/>
      <c r="GO172" s="645"/>
      <c r="GP172" s="645"/>
      <c r="GQ172" s="645"/>
      <c r="GR172" s="645"/>
      <c r="GS172" s="645"/>
      <c r="GT172" s="645"/>
      <c r="GU172" s="645"/>
      <c r="GV172" s="645"/>
      <c r="GW172" s="645"/>
      <c r="GX172" s="645"/>
      <c r="GY172" s="645"/>
      <c r="GZ172" s="645"/>
      <c r="HA172" s="645"/>
      <c r="HB172" s="645"/>
      <c r="HC172" s="645"/>
      <c r="HD172" s="645"/>
      <c r="HE172" s="645"/>
      <c r="HF172" s="645"/>
      <c r="HG172" s="645"/>
      <c r="HH172" s="645"/>
      <c r="HI172" s="645"/>
      <c r="HJ172" s="645"/>
      <c r="HK172" s="645"/>
      <c r="HL172" s="645"/>
      <c r="HM172" s="645"/>
      <c r="HN172" s="645"/>
      <c r="HO172" s="645"/>
      <c r="HP172" s="645"/>
      <c r="HQ172" s="645"/>
      <c r="HR172" s="645"/>
      <c r="HS172" s="645"/>
      <c r="HT172" s="645"/>
      <c r="HU172" s="645"/>
    </row>
    <row r="173" spans="1:231" x14ac:dyDescent="0.25">
      <c r="B173" s="589"/>
      <c r="C173" s="809" t="s">
        <v>1168</v>
      </c>
      <c r="D173" s="807"/>
      <c r="E173" s="807"/>
      <c r="F173" s="2045" t="s">
        <v>1169</v>
      </c>
      <c r="G173" s="2045"/>
      <c r="H173" s="2045"/>
      <c r="I173" s="810"/>
      <c r="J173" s="2045" t="s">
        <v>1170</v>
      </c>
      <c r="K173" s="2045"/>
      <c r="L173" s="2045"/>
      <c r="M173" s="811"/>
      <c r="N173" s="2046"/>
      <c r="O173" s="2047"/>
      <c r="P173" s="645"/>
      <c r="Q173" s="645"/>
      <c r="R173" s="645"/>
      <c r="S173" s="645"/>
      <c r="T173" s="645"/>
      <c r="U173" s="645"/>
      <c r="V173" s="645"/>
      <c r="W173" s="645"/>
      <c r="X173" s="645"/>
      <c r="Y173" s="645"/>
      <c r="Z173" s="645"/>
      <c r="AA173" s="645"/>
      <c r="AB173" s="645"/>
      <c r="AC173" s="645"/>
      <c r="AD173" s="645"/>
      <c r="AE173" s="645"/>
      <c r="AF173" s="645"/>
      <c r="AG173" s="645"/>
      <c r="AH173" s="645"/>
      <c r="AI173" s="645"/>
      <c r="AJ173" s="645"/>
      <c r="AK173" s="645"/>
      <c r="AL173" s="645"/>
      <c r="AM173" s="645"/>
      <c r="AN173" s="645"/>
      <c r="AO173" s="645"/>
      <c r="AP173" s="645"/>
      <c r="AQ173" s="645"/>
      <c r="AR173" s="645"/>
      <c r="AS173" s="645"/>
      <c r="AT173" s="645"/>
      <c r="AU173" s="645"/>
      <c r="AV173" s="645"/>
      <c r="AW173" s="645"/>
      <c r="AX173" s="645"/>
      <c r="AY173" s="645"/>
      <c r="AZ173" s="645"/>
      <c r="BA173" s="645"/>
      <c r="BB173" s="645"/>
      <c r="BC173" s="645"/>
      <c r="BD173" s="645"/>
      <c r="BE173" s="645"/>
      <c r="BF173" s="645"/>
      <c r="BG173" s="645"/>
      <c r="BH173" s="645"/>
      <c r="BI173" s="645"/>
      <c r="BJ173" s="645"/>
      <c r="BK173" s="645"/>
      <c r="BL173" s="645"/>
      <c r="BM173" s="645"/>
      <c r="BN173" s="645"/>
      <c r="BO173" s="645"/>
      <c r="BP173" s="645"/>
      <c r="BQ173" s="645"/>
      <c r="BR173" s="645"/>
      <c r="BS173" s="645"/>
      <c r="BT173" s="645"/>
      <c r="BU173" s="645"/>
      <c r="BV173" s="645"/>
      <c r="BW173" s="645"/>
      <c r="BX173" s="645"/>
      <c r="BY173" s="645"/>
      <c r="BZ173" s="645"/>
      <c r="CA173" s="645"/>
      <c r="CB173" s="645"/>
      <c r="CC173" s="645"/>
      <c r="CD173" s="645"/>
      <c r="CE173" s="645"/>
      <c r="CF173" s="645"/>
      <c r="CG173" s="645"/>
      <c r="CH173" s="645"/>
      <c r="CI173" s="645"/>
      <c r="CJ173" s="645"/>
      <c r="CK173" s="645"/>
      <c r="CL173" s="645"/>
      <c r="CM173" s="645"/>
      <c r="CN173" s="645"/>
      <c r="CO173" s="645"/>
      <c r="CP173" s="645"/>
      <c r="CQ173" s="645"/>
      <c r="CR173" s="645"/>
      <c r="CS173" s="645"/>
      <c r="CT173" s="645"/>
      <c r="CU173" s="645"/>
      <c r="CV173" s="645"/>
      <c r="CW173" s="645"/>
      <c r="CX173" s="645"/>
      <c r="CY173" s="645"/>
      <c r="CZ173" s="645"/>
      <c r="DA173" s="645"/>
      <c r="DB173" s="645"/>
      <c r="DC173" s="645"/>
      <c r="DD173" s="645"/>
      <c r="DE173" s="645"/>
      <c r="DF173" s="645"/>
      <c r="DG173" s="645"/>
      <c r="DH173" s="645"/>
      <c r="DI173" s="645"/>
      <c r="DJ173" s="645"/>
      <c r="DK173" s="645"/>
      <c r="DL173" s="645"/>
      <c r="DM173" s="645"/>
      <c r="DN173" s="645"/>
      <c r="DO173" s="645"/>
      <c r="DP173" s="645"/>
      <c r="DQ173" s="645"/>
      <c r="DR173" s="645"/>
      <c r="DS173" s="645"/>
      <c r="DT173" s="645"/>
      <c r="DU173" s="645"/>
      <c r="DV173" s="645"/>
      <c r="DW173" s="645"/>
      <c r="DX173" s="645"/>
      <c r="DY173" s="645"/>
      <c r="DZ173" s="645"/>
      <c r="EA173" s="645"/>
      <c r="EB173" s="645"/>
      <c r="EC173" s="645"/>
      <c r="ED173" s="645"/>
      <c r="EE173" s="645"/>
      <c r="EF173" s="645"/>
      <c r="EG173" s="645"/>
      <c r="EH173" s="645"/>
      <c r="EI173" s="645"/>
      <c r="EJ173" s="645"/>
      <c r="EK173" s="645"/>
      <c r="EL173" s="645"/>
      <c r="EM173" s="645"/>
      <c r="EN173" s="645"/>
      <c r="EO173" s="645"/>
      <c r="EP173" s="645"/>
      <c r="EQ173" s="645"/>
      <c r="ER173" s="645"/>
      <c r="ES173" s="645"/>
      <c r="ET173" s="645"/>
      <c r="EU173" s="645"/>
      <c r="EV173" s="645"/>
      <c r="EW173" s="645"/>
      <c r="EX173" s="645"/>
      <c r="EY173" s="645"/>
      <c r="EZ173" s="645"/>
      <c r="FA173" s="645"/>
      <c r="FB173" s="645"/>
      <c r="FC173" s="645"/>
      <c r="FD173" s="645"/>
      <c r="FE173" s="645"/>
      <c r="FF173" s="645"/>
      <c r="FG173" s="645"/>
      <c r="FH173" s="645"/>
      <c r="FI173" s="645"/>
      <c r="FJ173" s="645"/>
      <c r="FK173" s="645"/>
      <c r="FL173" s="645"/>
      <c r="FM173" s="645"/>
      <c r="FN173" s="645"/>
      <c r="FO173" s="645"/>
      <c r="FP173" s="645"/>
      <c r="FQ173" s="645"/>
      <c r="FR173" s="645"/>
      <c r="FS173" s="645"/>
      <c r="FT173" s="645"/>
      <c r="FU173" s="645"/>
      <c r="FV173" s="645"/>
      <c r="FW173" s="645"/>
      <c r="FX173" s="645"/>
      <c r="FY173" s="645"/>
      <c r="FZ173" s="645"/>
      <c r="GA173" s="645"/>
      <c r="GB173" s="645"/>
      <c r="GC173" s="645"/>
      <c r="GD173" s="645"/>
      <c r="GE173" s="645"/>
      <c r="GF173" s="645"/>
      <c r="GG173" s="645"/>
      <c r="GH173" s="645"/>
      <c r="GI173" s="645"/>
      <c r="GJ173" s="645"/>
      <c r="GK173" s="645"/>
      <c r="GL173" s="645"/>
      <c r="GM173" s="645"/>
      <c r="GN173" s="645"/>
      <c r="GO173" s="645"/>
      <c r="GP173" s="645"/>
      <c r="GQ173" s="645"/>
      <c r="GR173" s="645"/>
      <c r="GS173" s="645"/>
      <c r="GT173" s="645"/>
      <c r="GU173" s="645"/>
      <c r="GV173" s="645"/>
      <c r="GW173" s="645"/>
      <c r="GX173" s="645"/>
      <c r="GY173" s="645"/>
      <c r="GZ173" s="645"/>
      <c r="HA173" s="645"/>
      <c r="HB173" s="645"/>
      <c r="HC173" s="645"/>
      <c r="HD173" s="645"/>
      <c r="HE173" s="645"/>
      <c r="HF173" s="645"/>
      <c r="HG173" s="645"/>
      <c r="HH173" s="645"/>
      <c r="HI173" s="645"/>
      <c r="HJ173" s="645"/>
      <c r="HK173" s="645"/>
      <c r="HL173" s="645"/>
      <c r="HM173" s="645"/>
      <c r="HN173" s="645"/>
      <c r="HO173" s="645"/>
      <c r="HP173" s="645"/>
      <c r="HQ173" s="645"/>
      <c r="HR173" s="645"/>
      <c r="HS173" s="645"/>
      <c r="HT173" s="645"/>
      <c r="HU173" s="645"/>
    </row>
    <row r="174" spans="1:231" x14ac:dyDescent="0.25">
      <c r="B174" s="589"/>
      <c r="C174" s="812" t="s">
        <v>1171</v>
      </c>
      <c r="D174" s="807"/>
      <c r="E174" s="807"/>
      <c r="F174" s="2048" t="s">
        <v>1172</v>
      </c>
      <c r="G174" s="2048"/>
      <c r="H174" s="2048"/>
      <c r="I174" s="807"/>
      <c r="J174" s="2043" t="s">
        <v>1173</v>
      </c>
      <c r="K174" s="2043"/>
      <c r="L174" s="2043"/>
      <c r="M174" s="813"/>
      <c r="N174" s="2049"/>
      <c r="O174" s="2050"/>
      <c r="P174" s="645"/>
      <c r="Q174" s="645"/>
      <c r="R174" s="645"/>
      <c r="S174" s="645"/>
      <c r="T174" s="645"/>
      <c r="U174" s="645"/>
      <c r="V174" s="645"/>
      <c r="W174" s="645"/>
      <c r="X174" s="645"/>
      <c r="Y174" s="645"/>
      <c r="Z174" s="645"/>
      <c r="AA174" s="645"/>
      <c r="AB174" s="645"/>
      <c r="AC174" s="645"/>
      <c r="AD174" s="645"/>
      <c r="AE174" s="645"/>
      <c r="AF174" s="645"/>
      <c r="AG174" s="645"/>
      <c r="AH174" s="645"/>
      <c r="AI174" s="645"/>
      <c r="AJ174" s="645"/>
      <c r="AK174" s="645"/>
      <c r="AL174" s="645"/>
      <c r="AM174" s="645"/>
      <c r="AN174" s="645"/>
      <c r="AO174" s="645"/>
      <c r="AP174" s="645"/>
      <c r="AQ174" s="645"/>
      <c r="AR174" s="645"/>
      <c r="AS174" s="645"/>
      <c r="AT174" s="645"/>
      <c r="AU174" s="645"/>
      <c r="AV174" s="645"/>
      <c r="AW174" s="645"/>
      <c r="AX174" s="645"/>
      <c r="AY174" s="645"/>
      <c r="AZ174" s="645"/>
      <c r="BA174" s="645"/>
      <c r="BB174" s="645"/>
      <c r="BC174" s="645"/>
      <c r="BD174" s="645"/>
      <c r="BE174" s="645"/>
      <c r="BF174" s="645"/>
      <c r="BG174" s="645"/>
      <c r="BH174" s="645"/>
      <c r="BI174" s="645"/>
      <c r="BJ174" s="645"/>
      <c r="BK174" s="645"/>
      <c r="BL174" s="645"/>
      <c r="BM174" s="645"/>
      <c r="BN174" s="645"/>
      <c r="BO174" s="645"/>
      <c r="BP174" s="645"/>
      <c r="BQ174" s="645"/>
      <c r="BR174" s="645"/>
      <c r="BS174" s="645"/>
      <c r="BT174" s="645"/>
      <c r="BU174" s="645"/>
      <c r="BV174" s="645"/>
      <c r="BW174" s="645"/>
      <c r="BX174" s="645"/>
      <c r="BY174" s="645"/>
      <c r="BZ174" s="645"/>
      <c r="CA174" s="645"/>
      <c r="CB174" s="645"/>
      <c r="CC174" s="645"/>
      <c r="CD174" s="645"/>
      <c r="CE174" s="645"/>
      <c r="CF174" s="645"/>
      <c r="CG174" s="645"/>
      <c r="CH174" s="645"/>
      <c r="CI174" s="645"/>
      <c r="CJ174" s="645"/>
      <c r="CK174" s="645"/>
      <c r="CL174" s="645"/>
      <c r="CM174" s="645"/>
      <c r="CN174" s="645"/>
      <c r="CO174" s="645"/>
      <c r="CP174" s="645"/>
      <c r="CQ174" s="645"/>
      <c r="CR174" s="645"/>
      <c r="CS174" s="645"/>
      <c r="CT174" s="645"/>
      <c r="CU174" s="645"/>
      <c r="CV174" s="645"/>
      <c r="CW174" s="645"/>
      <c r="CX174" s="645"/>
      <c r="CY174" s="645"/>
      <c r="CZ174" s="645"/>
      <c r="DA174" s="645"/>
      <c r="DB174" s="645"/>
      <c r="DC174" s="645"/>
      <c r="DD174" s="645"/>
      <c r="DE174" s="645"/>
      <c r="DF174" s="645"/>
      <c r="DG174" s="645"/>
      <c r="DH174" s="645"/>
      <c r="DI174" s="645"/>
      <c r="DJ174" s="645"/>
      <c r="DK174" s="645"/>
      <c r="DL174" s="645"/>
      <c r="DM174" s="645"/>
      <c r="DN174" s="645"/>
      <c r="DO174" s="645"/>
      <c r="DP174" s="645"/>
      <c r="DQ174" s="645"/>
      <c r="DR174" s="645"/>
      <c r="DS174" s="645"/>
      <c r="DT174" s="645"/>
      <c r="DU174" s="645"/>
      <c r="DV174" s="645"/>
      <c r="DW174" s="645"/>
      <c r="DX174" s="645"/>
      <c r="DY174" s="645"/>
      <c r="DZ174" s="645"/>
      <c r="EA174" s="645"/>
      <c r="EB174" s="645"/>
      <c r="EC174" s="645"/>
      <c r="ED174" s="645"/>
      <c r="EE174" s="645"/>
      <c r="EF174" s="645"/>
      <c r="EG174" s="645"/>
      <c r="EH174" s="645"/>
      <c r="EI174" s="645"/>
      <c r="EJ174" s="645"/>
      <c r="EK174" s="645"/>
      <c r="EL174" s="645"/>
      <c r="EM174" s="645"/>
      <c r="EN174" s="645"/>
      <c r="EO174" s="645"/>
      <c r="EP174" s="645"/>
      <c r="EQ174" s="645"/>
      <c r="ER174" s="645"/>
      <c r="ES174" s="645"/>
      <c r="ET174" s="645"/>
      <c r="EU174" s="645"/>
      <c r="EV174" s="645"/>
      <c r="EW174" s="645"/>
      <c r="EX174" s="645"/>
      <c r="EY174" s="645"/>
      <c r="EZ174" s="645"/>
      <c r="FA174" s="645"/>
      <c r="FB174" s="645"/>
      <c r="FC174" s="645"/>
      <c r="FD174" s="645"/>
      <c r="FE174" s="645"/>
      <c r="FF174" s="645"/>
      <c r="FG174" s="645"/>
      <c r="FH174" s="645"/>
      <c r="FI174" s="645"/>
      <c r="FJ174" s="645"/>
      <c r="FK174" s="645"/>
      <c r="FL174" s="645"/>
      <c r="FM174" s="645"/>
      <c r="FN174" s="645"/>
      <c r="FO174" s="645"/>
      <c r="FP174" s="645"/>
      <c r="FQ174" s="645"/>
      <c r="FR174" s="645"/>
      <c r="FS174" s="645"/>
      <c r="FT174" s="645"/>
      <c r="FU174" s="645"/>
      <c r="FV174" s="645"/>
      <c r="FW174" s="645"/>
      <c r="FX174" s="645"/>
      <c r="FY174" s="645"/>
      <c r="FZ174" s="645"/>
      <c r="GA174" s="645"/>
      <c r="GB174" s="645"/>
      <c r="GC174" s="645"/>
      <c r="GD174" s="645"/>
      <c r="GE174" s="645"/>
      <c r="GF174" s="645"/>
      <c r="GG174" s="645"/>
      <c r="GH174" s="645"/>
      <c r="GI174" s="645"/>
      <c r="GJ174" s="645"/>
      <c r="GK174" s="645"/>
      <c r="GL174" s="645"/>
      <c r="GM174" s="645"/>
      <c r="GN174" s="645"/>
      <c r="GO174" s="645"/>
      <c r="GP174" s="645"/>
      <c r="GQ174" s="645"/>
      <c r="GR174" s="645"/>
      <c r="GS174" s="645"/>
      <c r="GT174" s="645"/>
      <c r="GU174" s="645"/>
      <c r="GV174" s="645"/>
      <c r="GW174" s="645"/>
      <c r="GX174" s="645"/>
      <c r="GY174" s="645"/>
      <c r="GZ174" s="645"/>
      <c r="HA174" s="645"/>
      <c r="HB174" s="645"/>
      <c r="HC174" s="645"/>
      <c r="HD174" s="645"/>
      <c r="HE174" s="645"/>
      <c r="HF174" s="645"/>
      <c r="HG174" s="645"/>
      <c r="HH174" s="645"/>
      <c r="HI174" s="645"/>
      <c r="HJ174" s="645"/>
      <c r="HK174" s="645"/>
      <c r="HL174" s="645"/>
      <c r="HM174" s="645"/>
      <c r="HN174" s="645"/>
      <c r="HO174" s="645"/>
      <c r="HP174" s="645"/>
      <c r="HQ174" s="645"/>
      <c r="HR174" s="645"/>
      <c r="HS174" s="645"/>
      <c r="HT174" s="645"/>
      <c r="HU174" s="645"/>
    </row>
    <row r="175" spans="1:231" ht="15" customHeight="1" x14ac:dyDescent="0.25">
      <c r="B175" s="814"/>
      <c r="C175" s="649" t="s">
        <v>1174</v>
      </c>
      <c r="D175" s="815"/>
      <c r="E175" s="815"/>
      <c r="F175" s="2052" t="s">
        <v>1175</v>
      </c>
      <c r="G175" s="2052"/>
      <c r="H175" s="2052"/>
      <c r="I175" s="816"/>
      <c r="J175" s="2053" t="s">
        <v>1176</v>
      </c>
      <c r="K175" s="2053"/>
      <c r="L175" s="2053"/>
      <c r="M175" s="817"/>
      <c r="N175" s="2051"/>
      <c r="O175" s="2054"/>
    </row>
    <row r="176" spans="1:231" x14ac:dyDescent="0.25">
      <c r="B176" s="431"/>
      <c r="C176" s="567"/>
      <c r="D176" s="567"/>
      <c r="E176" s="567"/>
      <c r="F176" s="818"/>
      <c r="G176" s="818"/>
      <c r="H176" s="567"/>
      <c r="I176" s="567"/>
      <c r="J176" s="2055" t="s">
        <v>1177</v>
      </c>
      <c r="K176" s="2055"/>
      <c r="L176" s="2055"/>
      <c r="M176" s="818"/>
      <c r="N176" s="2051"/>
      <c r="O176" s="2054"/>
      <c r="P176" s="567"/>
    </row>
    <row r="177" spans="2:16" x14ac:dyDescent="0.25">
      <c r="B177" s="431"/>
      <c r="C177" s="567"/>
      <c r="D177" s="567"/>
      <c r="E177" s="567"/>
      <c r="F177" s="818"/>
      <c r="G177" s="818"/>
      <c r="H177" s="567"/>
      <c r="I177" s="567"/>
      <c r="J177" s="567"/>
      <c r="K177" s="818"/>
      <c r="L177" s="818"/>
      <c r="M177" s="818"/>
      <c r="N177" s="567"/>
      <c r="O177" s="819"/>
      <c r="P177" s="567"/>
    </row>
    <row r="178" spans="2:16" x14ac:dyDescent="0.25">
      <c r="B178" s="431"/>
      <c r="C178" s="567"/>
      <c r="D178" s="567"/>
      <c r="E178" s="567"/>
      <c r="F178" s="818"/>
      <c r="G178" s="818"/>
      <c r="H178" s="567"/>
      <c r="I178" s="567"/>
      <c r="J178" s="567"/>
      <c r="K178" s="818"/>
      <c r="L178" s="818"/>
      <c r="M178" s="818"/>
      <c r="N178" s="567"/>
      <c r="O178" s="819"/>
      <c r="P178" s="567"/>
    </row>
    <row r="179" spans="2:16" x14ac:dyDescent="0.25">
      <c r="B179" s="431"/>
      <c r="C179" s="567"/>
      <c r="D179" s="567"/>
      <c r="E179" s="567"/>
      <c r="F179" s="818"/>
      <c r="G179" s="818"/>
      <c r="H179" s="567"/>
      <c r="I179" s="567"/>
      <c r="J179" s="567"/>
      <c r="K179" s="818"/>
      <c r="L179" s="818"/>
      <c r="M179" s="818"/>
      <c r="N179" s="567"/>
      <c r="O179" s="819"/>
      <c r="P179" s="567"/>
    </row>
    <row r="180" spans="2:16" x14ac:dyDescent="0.25">
      <c r="B180" s="431"/>
      <c r="C180" s="567"/>
      <c r="D180" s="567"/>
      <c r="E180" s="567"/>
      <c r="F180" s="818"/>
      <c r="G180" s="818"/>
      <c r="H180" s="567"/>
      <c r="I180" s="567"/>
      <c r="J180" s="567"/>
      <c r="K180" s="818"/>
      <c r="L180" s="818"/>
      <c r="M180" s="818"/>
      <c r="N180" s="567"/>
      <c r="O180" s="819"/>
      <c r="P180" s="567"/>
    </row>
    <row r="181" spans="2:16" x14ac:dyDescent="0.25">
      <c r="B181" s="431"/>
      <c r="C181" s="567"/>
      <c r="D181" s="567"/>
      <c r="E181" s="567"/>
      <c r="F181" s="818"/>
      <c r="G181" s="820"/>
      <c r="H181" s="567"/>
      <c r="I181" s="567"/>
      <c r="J181" s="567"/>
      <c r="K181" s="818"/>
      <c r="L181" s="818"/>
      <c r="M181" s="818"/>
      <c r="N181" s="567"/>
      <c r="O181" s="819"/>
      <c r="P181" s="567"/>
    </row>
    <row r="182" spans="2:16" ht="15" customHeight="1" x14ac:dyDescent="0.25">
      <c r="B182" s="431"/>
      <c r="C182" s="821" t="s">
        <v>1178</v>
      </c>
      <c r="D182" s="822"/>
      <c r="E182" s="822"/>
      <c r="F182" s="2056" t="s">
        <v>1179</v>
      </c>
      <c r="G182" s="2056"/>
      <c r="H182" s="2056"/>
      <c r="I182" s="822"/>
      <c r="J182" s="567"/>
      <c r="K182" s="818"/>
      <c r="L182" s="818"/>
      <c r="M182" s="818"/>
      <c r="N182" s="567"/>
      <c r="O182" s="819"/>
      <c r="P182" s="567"/>
    </row>
    <row r="183" spans="2:16" x14ac:dyDescent="0.25">
      <c r="B183" s="431"/>
      <c r="C183" s="823" t="s">
        <v>1180</v>
      </c>
      <c r="D183" s="824"/>
      <c r="E183" s="824"/>
      <c r="F183" s="2049" t="s">
        <v>1180</v>
      </c>
      <c r="G183" s="2049"/>
      <c r="H183" s="2049"/>
      <c r="I183" s="2049"/>
      <c r="J183" s="567"/>
      <c r="K183" s="818"/>
      <c r="L183" s="818"/>
      <c r="M183" s="818"/>
      <c r="N183" s="567"/>
      <c r="O183" s="819"/>
      <c r="P183" s="567"/>
    </row>
    <row r="184" spans="2:16" x14ac:dyDescent="0.25">
      <c r="B184" s="431"/>
      <c r="C184" s="825" t="s">
        <v>1181</v>
      </c>
      <c r="D184" s="826"/>
      <c r="E184" s="826"/>
      <c r="F184" s="2051" t="s">
        <v>1181</v>
      </c>
      <c r="G184" s="2051"/>
      <c r="H184" s="2051"/>
      <c r="I184" s="2051"/>
      <c r="J184" s="567"/>
      <c r="K184" s="818"/>
      <c r="L184" s="818"/>
      <c r="M184" s="818"/>
      <c r="N184" s="567"/>
      <c r="O184" s="819"/>
      <c r="P184" s="567"/>
    </row>
    <row r="185" spans="2:16" x14ac:dyDescent="0.25">
      <c r="B185" s="431"/>
      <c r="C185" s="567"/>
      <c r="D185" s="567"/>
      <c r="E185" s="567"/>
      <c r="F185" s="818"/>
      <c r="G185" s="818"/>
      <c r="H185" s="567"/>
      <c r="I185" s="567"/>
      <c r="J185" s="567"/>
      <c r="K185" s="818"/>
      <c r="L185" s="818"/>
      <c r="M185" s="818"/>
      <c r="N185" s="567"/>
      <c r="O185" s="819"/>
      <c r="P185" s="567"/>
    </row>
    <row r="186" spans="2:16" ht="15.75" thickBot="1" x14ac:dyDescent="0.3">
      <c r="B186" s="442"/>
      <c r="C186" s="601"/>
      <c r="D186" s="601"/>
      <c r="E186" s="601"/>
      <c r="F186" s="827"/>
      <c r="G186" s="827"/>
      <c r="H186" s="601"/>
      <c r="I186" s="601"/>
      <c r="J186" s="601"/>
      <c r="K186" s="827"/>
      <c r="L186" s="827"/>
      <c r="M186" s="827"/>
      <c r="N186" s="601"/>
      <c r="O186" s="828"/>
    </row>
    <row r="199" spans="7:9" x14ac:dyDescent="0.25">
      <c r="H199"/>
    </row>
    <row r="200" spans="7:9" x14ac:dyDescent="0.25">
      <c r="G200" s="829" t="s">
        <v>1172</v>
      </c>
      <c r="H200" s="829" t="s">
        <v>1182</v>
      </c>
      <c r="I200"/>
    </row>
    <row r="201" spans="7:9" x14ac:dyDescent="0.25">
      <c r="G201" s="829" t="s">
        <v>1175</v>
      </c>
      <c r="H201" s="829" t="s">
        <v>1183</v>
      </c>
      <c r="I201"/>
    </row>
    <row r="202" spans="7:9" x14ac:dyDescent="0.25">
      <c r="G202" s="829" t="s">
        <v>1184</v>
      </c>
      <c r="H202"/>
      <c r="I202"/>
    </row>
  </sheetData>
  <mergeCells count="91">
    <mergeCell ref="F184:I184"/>
    <mergeCell ref="F175:H175"/>
    <mergeCell ref="J175:L175"/>
    <mergeCell ref="N175:O176"/>
    <mergeCell ref="J176:L176"/>
    <mergeCell ref="F182:H182"/>
    <mergeCell ref="F183:I183"/>
    <mergeCell ref="F173:H173"/>
    <mergeCell ref="J173:L173"/>
    <mergeCell ref="N173:O173"/>
    <mergeCell ref="F174:H174"/>
    <mergeCell ref="J174:L174"/>
    <mergeCell ref="N174:O174"/>
    <mergeCell ref="D168:F168"/>
    <mergeCell ref="H168:J168"/>
    <mergeCell ref="N170:O170"/>
    <mergeCell ref="C171:O171"/>
    <mergeCell ref="F172:H172"/>
    <mergeCell ref="J172:L172"/>
    <mergeCell ref="N172:O172"/>
    <mergeCell ref="B149:C154"/>
    <mergeCell ref="D149:F149"/>
    <mergeCell ref="H149:J149"/>
    <mergeCell ref="D150:E150"/>
    <mergeCell ref="H150:I150"/>
    <mergeCell ref="D153:E153"/>
    <mergeCell ref="H153:I153"/>
    <mergeCell ref="E154:F154"/>
    <mergeCell ref="I154:J154"/>
    <mergeCell ref="B162:C167"/>
    <mergeCell ref="D162:F162"/>
    <mergeCell ref="H162:J162"/>
    <mergeCell ref="D163:E163"/>
    <mergeCell ref="H163:I163"/>
    <mergeCell ref="D164:E164"/>
    <mergeCell ref="H164:I164"/>
    <mergeCell ref="D165:E165"/>
    <mergeCell ref="H165:I165"/>
    <mergeCell ref="D166:E166"/>
    <mergeCell ref="H166:I166"/>
    <mergeCell ref="E167:F167"/>
    <mergeCell ref="I167:J167"/>
    <mergeCell ref="D155:O155"/>
    <mergeCell ref="D130:O130"/>
    <mergeCell ref="D151:E151"/>
    <mergeCell ref="H151:I151"/>
    <mergeCell ref="D152:E152"/>
    <mergeCell ref="H152:I152"/>
    <mergeCell ref="D104:O104"/>
    <mergeCell ref="B124:C129"/>
    <mergeCell ref="D124:F124"/>
    <mergeCell ref="H124:J124"/>
    <mergeCell ref="D125:E125"/>
    <mergeCell ref="H125:I125"/>
    <mergeCell ref="D126:E126"/>
    <mergeCell ref="H126:I126"/>
    <mergeCell ref="D127:E127"/>
    <mergeCell ref="H127:I127"/>
    <mergeCell ref="D128:E128"/>
    <mergeCell ref="H128:I128"/>
    <mergeCell ref="E129:F129"/>
    <mergeCell ref="I129:J129"/>
    <mergeCell ref="D101:E101"/>
    <mergeCell ref="H101:I101"/>
    <mergeCell ref="D102:E102"/>
    <mergeCell ref="H102:I102"/>
    <mergeCell ref="E103:F103"/>
    <mergeCell ref="I103:J103"/>
    <mergeCell ref="N12:O12"/>
    <mergeCell ref="D98:F98"/>
    <mergeCell ref="H98:J98"/>
    <mergeCell ref="D99:E99"/>
    <mergeCell ref="H99:I99"/>
    <mergeCell ref="L12:M12"/>
    <mergeCell ref="D100:E100"/>
    <mergeCell ref="H100:I100"/>
    <mergeCell ref="B9:C9"/>
    <mergeCell ref="B10:C10"/>
    <mergeCell ref="B11:C11"/>
    <mergeCell ref="B12:C12"/>
    <mergeCell ref="H12:K12"/>
    <mergeCell ref="C2:F2"/>
    <mergeCell ref="C3:F3"/>
    <mergeCell ref="C4:F4"/>
    <mergeCell ref="D5:H5"/>
    <mergeCell ref="I5:O5"/>
    <mergeCell ref="B6:H6"/>
    <mergeCell ref="J6:O7"/>
    <mergeCell ref="D7:H10"/>
    <mergeCell ref="B8:C8"/>
    <mergeCell ref="J8:K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0"/>
  <dimension ref="A1:Z1019"/>
  <sheetViews>
    <sheetView topLeftCell="A43" workbookViewId="0">
      <selection activeCell="B40" sqref="B40"/>
    </sheetView>
  </sheetViews>
  <sheetFormatPr baseColWidth="10" defaultColWidth="14.7109375" defaultRowHeight="12" x14ac:dyDescent="0.2"/>
  <cols>
    <col min="1" max="1" width="6.5703125" style="238" customWidth="1"/>
    <col min="2" max="2" width="42.85546875" style="238" customWidth="1"/>
    <col min="3" max="3" width="7.140625" style="238" customWidth="1"/>
    <col min="4" max="4" width="8.5703125" style="238" customWidth="1"/>
    <col min="5" max="5" width="14.7109375" style="238" customWidth="1"/>
    <col min="6" max="6" width="15.7109375" style="238" customWidth="1"/>
    <col min="7" max="7" width="8.85546875" style="238" customWidth="1"/>
    <col min="8" max="8" width="16" style="238" customWidth="1"/>
    <col min="9" max="9" width="10.42578125" style="238" customWidth="1"/>
    <col min="10" max="10" width="16.85546875" style="238" customWidth="1"/>
    <col min="11" max="11" width="20.140625" style="238" customWidth="1"/>
    <col min="12" max="12" width="16.7109375" style="238" customWidth="1"/>
    <col min="13" max="16384" width="14.7109375" style="238"/>
  </cols>
  <sheetData>
    <row r="1" spans="1:13" ht="14.25" x14ac:dyDescent="0.2">
      <c r="E1" s="830"/>
      <c r="F1" s="2057" t="s">
        <v>1185</v>
      </c>
      <c r="G1" s="2057"/>
      <c r="H1" s="2057"/>
      <c r="I1" s="2057"/>
      <c r="J1" s="2057"/>
      <c r="K1" s="2057"/>
      <c r="L1" s="2057"/>
      <c r="M1" s="831"/>
    </row>
    <row r="2" spans="1:13" x14ac:dyDescent="0.2">
      <c r="A2" s="832"/>
      <c r="B2" s="2058" t="s">
        <v>1186</v>
      </c>
      <c r="C2" s="2059"/>
      <c r="D2" s="2060" t="s">
        <v>1187</v>
      </c>
      <c r="E2" s="2061"/>
      <c r="F2" s="2061"/>
      <c r="G2" s="2062"/>
      <c r="H2" s="2060" t="s">
        <v>1188</v>
      </c>
      <c r="I2" s="2061"/>
      <c r="J2" s="2061"/>
      <c r="K2" s="2061"/>
      <c r="L2" s="2062"/>
      <c r="M2" s="831"/>
    </row>
    <row r="3" spans="1:13" x14ac:dyDescent="0.2">
      <c r="A3" s="833"/>
      <c r="B3" s="2058" t="s">
        <v>1189</v>
      </c>
      <c r="C3" s="2059"/>
      <c r="D3" s="2063" t="s">
        <v>1190</v>
      </c>
      <c r="E3" s="2061"/>
      <c r="F3" s="2061"/>
      <c r="G3" s="2062"/>
      <c r="H3" s="2070" t="s">
        <v>1191</v>
      </c>
      <c r="I3" s="2065"/>
      <c r="J3" s="2065"/>
      <c r="K3" s="2065"/>
      <c r="L3" s="2066"/>
      <c r="M3" s="831"/>
    </row>
    <row r="4" spans="1:13" x14ac:dyDescent="0.2">
      <c r="A4" s="833"/>
      <c r="B4" s="834"/>
      <c r="C4" s="834"/>
      <c r="D4" s="2064"/>
      <c r="E4" s="2065"/>
      <c r="F4" s="2065"/>
      <c r="G4" s="2066"/>
      <c r="H4" s="2064"/>
      <c r="I4" s="2065"/>
      <c r="J4" s="2065"/>
      <c r="K4" s="2065"/>
      <c r="L4" s="2066"/>
      <c r="M4" s="831"/>
    </row>
    <row r="5" spans="1:13" x14ac:dyDescent="0.2">
      <c r="A5" s="833"/>
      <c r="B5" s="835"/>
      <c r="C5" s="835"/>
      <c r="D5" s="2064"/>
      <c r="E5" s="2065"/>
      <c r="F5" s="2065"/>
      <c r="G5" s="2066"/>
      <c r="H5" s="2064"/>
      <c r="I5" s="2065"/>
      <c r="J5" s="2065"/>
      <c r="K5" s="2065"/>
      <c r="L5" s="2066"/>
      <c r="M5" s="831"/>
    </row>
    <row r="6" spans="1:13" x14ac:dyDescent="0.2">
      <c r="A6" s="833"/>
      <c r="B6" s="2071" t="s">
        <v>1192</v>
      </c>
      <c r="C6" s="2072"/>
      <c r="D6" s="2064"/>
      <c r="E6" s="2065"/>
      <c r="F6" s="2065"/>
      <c r="G6" s="2066"/>
      <c r="H6" s="2064"/>
      <c r="I6" s="2065"/>
      <c r="J6" s="2065"/>
      <c r="K6" s="2065"/>
      <c r="L6" s="2066"/>
      <c r="M6" s="831"/>
    </row>
    <row r="7" spans="1:13" x14ac:dyDescent="0.2">
      <c r="A7" s="833"/>
      <c r="B7" s="835"/>
      <c r="C7" s="835"/>
      <c r="D7" s="2067"/>
      <c r="E7" s="2068"/>
      <c r="F7" s="2068"/>
      <c r="G7" s="2069"/>
      <c r="H7" s="2067"/>
      <c r="I7" s="2068"/>
      <c r="J7" s="2068"/>
      <c r="K7" s="2068"/>
      <c r="L7" s="2069"/>
      <c r="M7" s="831"/>
    </row>
    <row r="8" spans="1:13" x14ac:dyDescent="0.2">
      <c r="A8" s="833"/>
      <c r="B8" s="836" t="s">
        <v>1193</v>
      </c>
      <c r="C8" s="837"/>
      <c r="D8" s="2073" t="s">
        <v>1194</v>
      </c>
      <c r="E8" s="2059"/>
      <c r="F8" s="2074">
        <v>546435190</v>
      </c>
      <c r="G8" s="2059"/>
      <c r="H8" s="2073" t="s">
        <v>1195</v>
      </c>
      <c r="I8" s="2059"/>
      <c r="J8" s="2075" t="s">
        <v>1196</v>
      </c>
      <c r="K8" s="2068"/>
      <c r="L8" s="2069"/>
      <c r="M8" s="831"/>
    </row>
    <row r="9" spans="1:13" x14ac:dyDescent="0.2">
      <c r="A9" s="833"/>
      <c r="B9" s="835"/>
      <c r="C9" s="835"/>
      <c r="D9" s="2076" t="s">
        <v>1197</v>
      </c>
      <c r="E9" s="2077"/>
      <c r="F9" s="2078" t="s">
        <v>1196</v>
      </c>
      <c r="G9" s="2079"/>
      <c r="H9" s="2080" t="s">
        <v>1198</v>
      </c>
      <c r="I9" s="2081"/>
      <c r="J9" s="2082">
        <v>252586345</v>
      </c>
      <c r="K9" s="2083"/>
      <c r="L9" s="2081"/>
      <c r="M9" s="831"/>
    </row>
    <row r="10" spans="1:13" x14ac:dyDescent="0.2">
      <c r="A10" s="838"/>
      <c r="B10" s="836" t="s">
        <v>1199</v>
      </c>
      <c r="C10" s="837"/>
      <c r="D10" s="2084" t="s">
        <v>1200</v>
      </c>
      <c r="E10" s="2077"/>
      <c r="F10" s="2074">
        <v>546435190</v>
      </c>
      <c r="G10" s="2059"/>
      <c r="H10" s="2085" t="s">
        <v>1201</v>
      </c>
      <c r="I10" s="2073"/>
      <c r="J10" s="839"/>
      <c r="K10" s="839"/>
      <c r="L10" s="840">
        <v>293848845</v>
      </c>
      <c r="M10" s="831"/>
    </row>
    <row r="11" spans="1:13" x14ac:dyDescent="0.2">
      <c r="E11" s="830"/>
      <c r="F11" s="841"/>
      <c r="G11" s="842"/>
      <c r="H11" s="842"/>
      <c r="I11" s="831"/>
      <c r="J11" s="831"/>
      <c r="K11" s="831"/>
      <c r="L11" s="831"/>
      <c r="M11" s="831"/>
    </row>
    <row r="12" spans="1:13" x14ac:dyDescent="0.2">
      <c r="A12" s="2086" t="s">
        <v>1202</v>
      </c>
      <c r="B12" s="2087"/>
      <c r="C12" s="843" t="s">
        <v>6</v>
      </c>
      <c r="D12" s="2088" t="s">
        <v>1203</v>
      </c>
      <c r="E12" s="2089"/>
      <c r="F12" s="2090"/>
      <c r="G12" s="2091" t="s">
        <v>1204</v>
      </c>
      <c r="H12" s="2092"/>
      <c r="I12" s="2093" t="s">
        <v>1205</v>
      </c>
      <c r="J12" s="2059"/>
      <c r="K12" s="2093" t="s">
        <v>1206</v>
      </c>
      <c r="L12" s="2059"/>
    </row>
    <row r="13" spans="1:13" ht="36" x14ac:dyDescent="0.2">
      <c r="A13" s="844" t="s">
        <v>4</v>
      </c>
      <c r="B13" s="845" t="s">
        <v>5</v>
      </c>
      <c r="C13" s="846"/>
      <c r="D13" s="843" t="s">
        <v>830</v>
      </c>
      <c r="E13" s="847" t="s">
        <v>1207</v>
      </c>
      <c r="F13" s="843" t="s">
        <v>9</v>
      </c>
      <c r="G13" s="848" t="s">
        <v>830</v>
      </c>
      <c r="H13" s="849" t="s">
        <v>1208</v>
      </c>
      <c r="I13" s="850" t="s">
        <v>830</v>
      </c>
      <c r="J13" s="851" t="s">
        <v>1208</v>
      </c>
      <c r="K13" s="850" t="s">
        <v>830</v>
      </c>
      <c r="L13" s="851" t="s">
        <v>1208</v>
      </c>
    </row>
    <row r="14" spans="1:13" ht="36" x14ac:dyDescent="0.2">
      <c r="A14" s="852">
        <v>1</v>
      </c>
      <c r="B14" s="853" t="s">
        <v>103</v>
      </c>
      <c r="C14" s="854" t="s">
        <v>19</v>
      </c>
      <c r="D14" s="855">
        <v>62</v>
      </c>
      <c r="E14" s="1281">
        <v>103790</v>
      </c>
      <c r="F14" s="290">
        <v>6434980</v>
      </c>
      <c r="G14" s="856">
        <v>62</v>
      </c>
      <c r="H14" s="857">
        <v>6434980</v>
      </c>
      <c r="I14" s="858">
        <v>77.992000000000004</v>
      </c>
      <c r="J14" s="857">
        <v>8094790</v>
      </c>
      <c r="K14" s="859">
        <v>77.992000000000004</v>
      </c>
      <c r="L14" s="860">
        <v>8094790</v>
      </c>
    </row>
    <row r="15" spans="1:13" ht="24" x14ac:dyDescent="0.2">
      <c r="A15" s="852">
        <v>2</v>
      </c>
      <c r="B15" s="853" t="s">
        <v>105</v>
      </c>
      <c r="C15" s="854" t="s">
        <v>14</v>
      </c>
      <c r="D15" s="855">
        <v>53</v>
      </c>
      <c r="E15" s="1281">
        <v>37657</v>
      </c>
      <c r="F15" s="290">
        <v>1995821</v>
      </c>
      <c r="G15" s="856">
        <v>53</v>
      </c>
      <c r="H15" s="857">
        <v>1995821</v>
      </c>
      <c r="I15" s="858">
        <v>36.22</v>
      </c>
      <c r="J15" s="857">
        <v>1363937</v>
      </c>
      <c r="K15" s="859">
        <v>36.22</v>
      </c>
      <c r="L15" s="860">
        <v>1363937</v>
      </c>
    </row>
    <row r="16" spans="1:13" x14ac:dyDescent="0.2">
      <c r="A16" s="852">
        <v>3</v>
      </c>
      <c r="B16" s="853" t="s">
        <v>866</v>
      </c>
      <c r="C16" s="854" t="s">
        <v>14</v>
      </c>
      <c r="D16" s="855">
        <v>53</v>
      </c>
      <c r="E16" s="1281">
        <v>42410</v>
      </c>
      <c r="F16" s="290">
        <v>2247730</v>
      </c>
      <c r="G16" s="856">
        <v>53</v>
      </c>
      <c r="H16" s="857">
        <v>2247730</v>
      </c>
      <c r="I16" s="858">
        <v>42.92</v>
      </c>
      <c r="J16" s="857">
        <v>1820237</v>
      </c>
      <c r="K16" s="859">
        <v>42.92</v>
      </c>
      <c r="L16" s="860">
        <v>1820237</v>
      </c>
    </row>
    <row r="17" spans="1:12" x14ac:dyDescent="0.2">
      <c r="A17" s="852">
        <v>4</v>
      </c>
      <c r="B17" s="853" t="s">
        <v>867</v>
      </c>
      <c r="C17" s="854" t="s">
        <v>19</v>
      </c>
      <c r="D17" s="855">
        <v>10</v>
      </c>
      <c r="E17" s="1281">
        <v>16976</v>
      </c>
      <c r="F17" s="290">
        <v>169760</v>
      </c>
      <c r="G17" s="856">
        <v>10</v>
      </c>
      <c r="H17" s="857">
        <v>169760</v>
      </c>
      <c r="I17" s="858">
        <v>13.932899999999998</v>
      </c>
      <c r="J17" s="857">
        <v>236525</v>
      </c>
      <c r="K17" s="859">
        <v>13.932899999999998</v>
      </c>
      <c r="L17" s="860">
        <v>236525</v>
      </c>
    </row>
    <row r="18" spans="1:12" ht="36" x14ac:dyDescent="0.2">
      <c r="A18" s="852">
        <v>5</v>
      </c>
      <c r="B18" s="853" t="s">
        <v>1209</v>
      </c>
      <c r="C18" s="854" t="s">
        <v>6</v>
      </c>
      <c r="D18" s="855">
        <v>60</v>
      </c>
      <c r="E18" s="290">
        <v>10880</v>
      </c>
      <c r="F18" s="290">
        <v>652800</v>
      </c>
      <c r="G18" s="856">
        <v>60</v>
      </c>
      <c r="H18" s="857">
        <v>652800</v>
      </c>
      <c r="I18" s="858">
        <v>59</v>
      </c>
      <c r="J18" s="857">
        <v>641920</v>
      </c>
      <c r="K18" s="859">
        <v>59</v>
      </c>
      <c r="L18" s="860">
        <v>641920</v>
      </c>
    </row>
    <row r="19" spans="1:12" ht="36" x14ac:dyDescent="0.2">
      <c r="A19" s="852">
        <v>6</v>
      </c>
      <c r="B19" s="853" t="s">
        <v>849</v>
      </c>
      <c r="C19" s="854" t="s">
        <v>19</v>
      </c>
      <c r="D19" s="855">
        <v>50</v>
      </c>
      <c r="E19" s="290">
        <v>67793</v>
      </c>
      <c r="F19" s="290">
        <v>3389650</v>
      </c>
      <c r="G19" s="856">
        <v>50</v>
      </c>
      <c r="H19" s="857">
        <v>3389650</v>
      </c>
      <c r="I19" s="858"/>
      <c r="J19" s="857">
        <v>0</v>
      </c>
      <c r="K19" s="859">
        <v>0</v>
      </c>
      <c r="L19" s="860">
        <v>0</v>
      </c>
    </row>
    <row r="20" spans="1:12" ht="24" x14ac:dyDescent="0.2">
      <c r="A20" s="852">
        <v>7</v>
      </c>
      <c r="B20" s="853" t="s">
        <v>1210</v>
      </c>
      <c r="C20" s="854" t="s">
        <v>6</v>
      </c>
      <c r="D20" s="855">
        <v>90</v>
      </c>
      <c r="E20" s="290">
        <v>33242</v>
      </c>
      <c r="F20" s="290">
        <v>2991780</v>
      </c>
      <c r="G20" s="856">
        <v>90</v>
      </c>
      <c r="H20" s="857">
        <v>2991780</v>
      </c>
      <c r="I20" s="858">
        <v>90</v>
      </c>
      <c r="J20" s="857">
        <v>2991780</v>
      </c>
      <c r="K20" s="859">
        <v>90</v>
      </c>
      <c r="L20" s="860">
        <v>2991780</v>
      </c>
    </row>
    <row r="21" spans="1:12" x14ac:dyDescent="0.2">
      <c r="A21" s="852">
        <v>8</v>
      </c>
      <c r="B21" s="853" t="s">
        <v>158</v>
      </c>
      <c r="C21" s="854" t="s">
        <v>14</v>
      </c>
      <c r="D21" s="855">
        <v>160</v>
      </c>
      <c r="E21" s="1281">
        <v>12246</v>
      </c>
      <c r="F21" s="290">
        <v>1959360</v>
      </c>
      <c r="G21" s="856">
        <v>160</v>
      </c>
      <c r="H21" s="857">
        <v>1959360</v>
      </c>
      <c r="I21" s="858"/>
      <c r="J21" s="857">
        <v>0</v>
      </c>
      <c r="K21" s="859">
        <v>0</v>
      </c>
      <c r="L21" s="860">
        <v>0</v>
      </c>
    </row>
    <row r="22" spans="1:12" ht="24" x14ac:dyDescent="0.2">
      <c r="A22" s="852">
        <v>9</v>
      </c>
      <c r="B22" s="853" t="s">
        <v>1211</v>
      </c>
      <c r="C22" s="854" t="s">
        <v>14</v>
      </c>
      <c r="D22" s="855">
        <v>15</v>
      </c>
      <c r="E22" s="290">
        <v>22418</v>
      </c>
      <c r="F22" s="290">
        <v>336270</v>
      </c>
      <c r="G22" s="856">
        <v>15</v>
      </c>
      <c r="H22" s="857">
        <v>336270</v>
      </c>
      <c r="I22" s="858"/>
      <c r="J22" s="857">
        <v>0</v>
      </c>
      <c r="K22" s="859">
        <v>0</v>
      </c>
      <c r="L22" s="860">
        <v>0</v>
      </c>
    </row>
    <row r="23" spans="1:12" ht="24" x14ac:dyDescent="0.2">
      <c r="A23" s="852">
        <v>10</v>
      </c>
      <c r="B23" s="853" t="s">
        <v>1212</v>
      </c>
      <c r="C23" s="854" t="s">
        <v>14</v>
      </c>
      <c r="D23" s="855">
        <v>10</v>
      </c>
      <c r="E23" s="1281">
        <v>24172</v>
      </c>
      <c r="F23" s="290">
        <v>241720</v>
      </c>
      <c r="G23" s="856">
        <v>10</v>
      </c>
      <c r="H23" s="857">
        <v>241720</v>
      </c>
      <c r="I23" s="858"/>
      <c r="J23" s="857">
        <v>0</v>
      </c>
      <c r="K23" s="859">
        <v>0</v>
      </c>
      <c r="L23" s="860">
        <v>0</v>
      </c>
    </row>
    <row r="24" spans="1:12" x14ac:dyDescent="0.2">
      <c r="A24" s="852">
        <v>11</v>
      </c>
      <c r="B24" s="853" t="s">
        <v>109</v>
      </c>
      <c r="C24" s="854" t="s">
        <v>14</v>
      </c>
      <c r="D24" s="855">
        <v>55</v>
      </c>
      <c r="E24" s="290">
        <v>33950</v>
      </c>
      <c r="F24" s="290">
        <v>1867250</v>
      </c>
      <c r="G24" s="856">
        <v>55</v>
      </c>
      <c r="H24" s="857">
        <v>1867250</v>
      </c>
      <c r="I24" s="858"/>
      <c r="J24" s="857">
        <v>0</v>
      </c>
      <c r="K24" s="859">
        <v>0</v>
      </c>
      <c r="L24" s="860">
        <v>0</v>
      </c>
    </row>
    <row r="25" spans="1:12" ht="24" x14ac:dyDescent="0.2">
      <c r="A25" s="852">
        <v>12</v>
      </c>
      <c r="B25" s="853" t="s">
        <v>1213</v>
      </c>
      <c r="C25" s="854" t="s">
        <v>14</v>
      </c>
      <c r="D25" s="855">
        <v>10</v>
      </c>
      <c r="E25" s="290">
        <v>35948</v>
      </c>
      <c r="F25" s="290">
        <v>359480</v>
      </c>
      <c r="G25" s="856">
        <v>10</v>
      </c>
      <c r="H25" s="857">
        <v>359480</v>
      </c>
      <c r="I25" s="858">
        <v>9.9899999999999984</v>
      </c>
      <c r="J25" s="857">
        <v>359121</v>
      </c>
      <c r="K25" s="859">
        <v>9.9899999999999984</v>
      </c>
      <c r="L25" s="860">
        <v>359121</v>
      </c>
    </row>
    <row r="26" spans="1:12" ht="24" x14ac:dyDescent="0.2">
      <c r="A26" s="852">
        <v>13</v>
      </c>
      <c r="B26" s="853" t="s">
        <v>1214</v>
      </c>
      <c r="C26" s="854" t="s">
        <v>19</v>
      </c>
      <c r="D26" s="855">
        <v>1400</v>
      </c>
      <c r="E26" s="290">
        <v>74642</v>
      </c>
      <c r="F26" s="290">
        <v>104498800</v>
      </c>
      <c r="G26" s="856">
        <v>1400</v>
      </c>
      <c r="H26" s="857">
        <v>104498800</v>
      </c>
      <c r="I26" s="858"/>
      <c r="J26" s="857">
        <v>0</v>
      </c>
      <c r="K26" s="859">
        <v>0</v>
      </c>
      <c r="L26" s="860">
        <v>0</v>
      </c>
    </row>
    <row r="27" spans="1:12" ht="24" x14ac:dyDescent="0.2">
      <c r="A27" s="852">
        <v>14</v>
      </c>
      <c r="B27" s="853" t="s">
        <v>1215</v>
      </c>
      <c r="C27" s="854" t="s">
        <v>19</v>
      </c>
      <c r="D27" s="855">
        <v>140</v>
      </c>
      <c r="E27" s="290">
        <v>34005</v>
      </c>
      <c r="F27" s="290">
        <v>4760700</v>
      </c>
      <c r="G27" s="856">
        <v>140</v>
      </c>
      <c r="H27" s="857">
        <v>4760700</v>
      </c>
      <c r="I27" s="858"/>
      <c r="J27" s="857">
        <v>0</v>
      </c>
      <c r="K27" s="859">
        <v>0</v>
      </c>
      <c r="L27" s="860">
        <v>0</v>
      </c>
    </row>
    <row r="28" spans="1:12" ht="24" x14ac:dyDescent="0.2">
      <c r="A28" s="852">
        <v>15</v>
      </c>
      <c r="B28" s="853" t="s">
        <v>1216</v>
      </c>
      <c r="C28" s="854" t="s">
        <v>14</v>
      </c>
      <c r="D28" s="855">
        <v>140</v>
      </c>
      <c r="E28" s="290">
        <v>49495</v>
      </c>
      <c r="F28" s="290">
        <v>6929300</v>
      </c>
      <c r="G28" s="856">
        <v>140</v>
      </c>
      <c r="H28" s="857">
        <v>6929300</v>
      </c>
      <c r="I28" s="858">
        <v>16</v>
      </c>
      <c r="J28" s="857">
        <v>791920</v>
      </c>
      <c r="K28" s="859">
        <v>16</v>
      </c>
      <c r="L28" s="860">
        <v>791920</v>
      </c>
    </row>
    <row r="29" spans="1:12" ht="24" x14ac:dyDescent="0.2">
      <c r="A29" s="852">
        <v>16</v>
      </c>
      <c r="B29" s="853" t="s">
        <v>171</v>
      </c>
      <c r="C29" s="854" t="s">
        <v>14</v>
      </c>
      <c r="D29" s="855">
        <v>140</v>
      </c>
      <c r="E29" s="1281">
        <v>36251</v>
      </c>
      <c r="F29" s="290">
        <v>5075140</v>
      </c>
      <c r="G29" s="856">
        <v>140</v>
      </c>
      <c r="H29" s="857">
        <v>5075140</v>
      </c>
      <c r="I29" s="858"/>
      <c r="J29" s="857">
        <v>0</v>
      </c>
      <c r="K29" s="859">
        <v>0</v>
      </c>
      <c r="L29" s="860">
        <v>0</v>
      </c>
    </row>
    <row r="30" spans="1:12" x14ac:dyDescent="0.2">
      <c r="A30" s="852">
        <v>17</v>
      </c>
      <c r="B30" s="853" t="s">
        <v>211</v>
      </c>
      <c r="C30" s="854" t="s">
        <v>19</v>
      </c>
      <c r="D30" s="855">
        <v>50</v>
      </c>
      <c r="E30" s="290">
        <v>7728</v>
      </c>
      <c r="F30" s="290">
        <v>386400</v>
      </c>
      <c r="G30" s="856">
        <v>50</v>
      </c>
      <c r="H30" s="857">
        <v>386400</v>
      </c>
      <c r="I30" s="858"/>
      <c r="J30" s="857">
        <v>0</v>
      </c>
      <c r="K30" s="859">
        <v>0</v>
      </c>
      <c r="L30" s="860">
        <v>0</v>
      </c>
    </row>
    <row r="31" spans="1:12" x14ac:dyDescent="0.2">
      <c r="A31" s="852">
        <v>18</v>
      </c>
      <c r="B31" s="853" t="s">
        <v>88</v>
      </c>
      <c r="C31" s="854" t="s">
        <v>19</v>
      </c>
      <c r="D31" s="855">
        <v>40</v>
      </c>
      <c r="E31" s="290">
        <v>22520</v>
      </c>
      <c r="F31" s="290">
        <v>900800</v>
      </c>
      <c r="G31" s="856">
        <v>40</v>
      </c>
      <c r="H31" s="857">
        <v>900800</v>
      </c>
      <c r="I31" s="858">
        <v>171.94050000000001</v>
      </c>
      <c r="J31" s="857">
        <v>3872100</v>
      </c>
      <c r="K31" s="859">
        <v>171.94050000000001</v>
      </c>
      <c r="L31" s="860">
        <v>3872100</v>
      </c>
    </row>
    <row r="32" spans="1:12" x14ac:dyDescent="0.2">
      <c r="A32" s="852">
        <v>19</v>
      </c>
      <c r="B32" s="853" t="s">
        <v>639</v>
      </c>
      <c r="C32" s="854" t="s">
        <v>19</v>
      </c>
      <c r="D32" s="855">
        <v>100</v>
      </c>
      <c r="E32" s="290">
        <v>17033</v>
      </c>
      <c r="F32" s="290">
        <v>1703300</v>
      </c>
      <c r="G32" s="856">
        <v>100</v>
      </c>
      <c r="H32" s="857">
        <v>1703300</v>
      </c>
      <c r="I32" s="858">
        <v>343.88100000000003</v>
      </c>
      <c r="J32" s="857">
        <v>5857325</v>
      </c>
      <c r="K32" s="859">
        <v>343.88100000000003</v>
      </c>
      <c r="L32" s="860">
        <v>5857325</v>
      </c>
    </row>
    <row r="33" spans="1:12" x14ac:dyDescent="0.2">
      <c r="A33" s="852">
        <v>20</v>
      </c>
      <c r="B33" s="853" t="s">
        <v>92</v>
      </c>
      <c r="C33" s="854" t="s">
        <v>19</v>
      </c>
      <c r="D33" s="855">
        <v>30</v>
      </c>
      <c r="E33" s="1281">
        <v>15561</v>
      </c>
      <c r="F33" s="290">
        <v>466830</v>
      </c>
      <c r="G33" s="856">
        <v>30</v>
      </c>
      <c r="H33" s="857">
        <v>466830</v>
      </c>
      <c r="I33" s="858"/>
      <c r="J33" s="857">
        <v>0</v>
      </c>
      <c r="K33" s="859">
        <v>0</v>
      </c>
      <c r="L33" s="860">
        <v>0</v>
      </c>
    </row>
    <row r="34" spans="1:12" x14ac:dyDescent="0.2">
      <c r="A34" s="852">
        <v>21</v>
      </c>
      <c r="B34" s="853" t="s">
        <v>1114</v>
      </c>
      <c r="C34" s="854" t="s">
        <v>19</v>
      </c>
      <c r="D34" s="855">
        <v>120</v>
      </c>
      <c r="E34" s="1281">
        <v>13415</v>
      </c>
      <c r="F34" s="290">
        <v>1609800</v>
      </c>
      <c r="G34" s="856">
        <v>120</v>
      </c>
      <c r="H34" s="857">
        <v>1609800</v>
      </c>
      <c r="I34" s="858"/>
      <c r="J34" s="857">
        <v>0</v>
      </c>
      <c r="K34" s="859">
        <v>0</v>
      </c>
      <c r="L34" s="860">
        <v>0</v>
      </c>
    </row>
    <row r="35" spans="1:12" ht="24" x14ac:dyDescent="0.2">
      <c r="A35" s="852">
        <v>22</v>
      </c>
      <c r="B35" s="853" t="s">
        <v>1217</v>
      </c>
      <c r="C35" s="854" t="s">
        <v>19</v>
      </c>
      <c r="D35" s="855">
        <v>120</v>
      </c>
      <c r="E35" s="1281">
        <v>26675</v>
      </c>
      <c r="F35" s="290">
        <v>3201000</v>
      </c>
      <c r="G35" s="856">
        <v>120</v>
      </c>
      <c r="H35" s="857">
        <v>3201000</v>
      </c>
      <c r="I35" s="858"/>
      <c r="J35" s="857">
        <v>0</v>
      </c>
      <c r="K35" s="859">
        <v>0</v>
      </c>
      <c r="L35" s="860">
        <v>0</v>
      </c>
    </row>
    <row r="36" spans="1:12" ht="24" x14ac:dyDescent="0.2">
      <c r="A36" s="852">
        <v>23</v>
      </c>
      <c r="B36" s="853" t="s">
        <v>1218</v>
      </c>
      <c r="C36" s="854" t="s">
        <v>19</v>
      </c>
      <c r="D36" s="855">
        <v>120</v>
      </c>
      <c r="E36" s="290">
        <v>77505</v>
      </c>
      <c r="F36" s="290">
        <v>9300600</v>
      </c>
      <c r="G36" s="856">
        <v>120</v>
      </c>
      <c r="H36" s="857">
        <v>9300600</v>
      </c>
      <c r="I36" s="858"/>
      <c r="J36" s="857">
        <v>0</v>
      </c>
      <c r="K36" s="859">
        <v>0</v>
      </c>
      <c r="L36" s="860">
        <v>0</v>
      </c>
    </row>
    <row r="37" spans="1:12" x14ac:dyDescent="0.2">
      <c r="A37" s="852">
        <v>24</v>
      </c>
      <c r="B37" s="853" t="s">
        <v>1219</v>
      </c>
      <c r="C37" s="854" t="s">
        <v>14</v>
      </c>
      <c r="D37" s="855">
        <v>140</v>
      </c>
      <c r="E37" s="290">
        <v>34176</v>
      </c>
      <c r="F37" s="290">
        <v>4784640</v>
      </c>
      <c r="G37" s="856">
        <v>140</v>
      </c>
      <c r="H37" s="857">
        <v>4784640</v>
      </c>
      <c r="I37" s="858"/>
      <c r="J37" s="857">
        <v>0</v>
      </c>
      <c r="K37" s="859">
        <v>0</v>
      </c>
      <c r="L37" s="860">
        <v>0</v>
      </c>
    </row>
    <row r="38" spans="1:12" ht="48" x14ac:dyDescent="0.2">
      <c r="A38" s="852">
        <v>25</v>
      </c>
      <c r="B38" s="853" t="s">
        <v>1220</v>
      </c>
      <c r="C38" s="854" t="s">
        <v>6</v>
      </c>
      <c r="D38" s="855">
        <v>5</v>
      </c>
      <c r="E38" s="290">
        <v>530275</v>
      </c>
      <c r="F38" s="290">
        <v>2651375</v>
      </c>
      <c r="G38" s="856">
        <v>5</v>
      </c>
      <c r="H38" s="857">
        <v>2651375</v>
      </c>
      <c r="I38" s="858"/>
      <c r="J38" s="857">
        <v>0</v>
      </c>
      <c r="K38" s="859">
        <v>0</v>
      </c>
      <c r="L38" s="860">
        <v>0</v>
      </c>
    </row>
    <row r="39" spans="1:12" ht="36" x14ac:dyDescent="0.2">
      <c r="A39" s="852">
        <v>26</v>
      </c>
      <c r="B39" s="853" t="s">
        <v>409</v>
      </c>
      <c r="C39" s="854" t="s">
        <v>14</v>
      </c>
      <c r="D39" s="855">
        <v>7</v>
      </c>
      <c r="E39" s="1281">
        <v>207303</v>
      </c>
      <c r="F39" s="290">
        <v>1451121</v>
      </c>
      <c r="G39" s="856">
        <v>7</v>
      </c>
      <c r="H39" s="857">
        <v>1451121</v>
      </c>
      <c r="I39" s="858"/>
      <c r="J39" s="857">
        <v>0</v>
      </c>
      <c r="K39" s="859">
        <v>0</v>
      </c>
      <c r="L39" s="860">
        <v>0</v>
      </c>
    </row>
    <row r="40" spans="1:12" x14ac:dyDescent="0.2">
      <c r="A40" s="852">
        <v>27</v>
      </c>
      <c r="B40" s="853" t="s">
        <v>1221</v>
      </c>
      <c r="C40" s="854" t="s">
        <v>19</v>
      </c>
      <c r="D40" s="855">
        <v>10</v>
      </c>
      <c r="E40" s="290">
        <v>123675</v>
      </c>
      <c r="F40" s="290">
        <v>1236750</v>
      </c>
      <c r="G40" s="856">
        <v>10</v>
      </c>
      <c r="H40" s="857">
        <v>1236750</v>
      </c>
      <c r="I40" s="858"/>
      <c r="J40" s="857">
        <v>0</v>
      </c>
      <c r="K40" s="859">
        <v>0</v>
      </c>
      <c r="L40" s="860">
        <v>0</v>
      </c>
    </row>
    <row r="41" spans="1:12" ht="24" x14ac:dyDescent="0.2">
      <c r="A41" s="852">
        <v>28</v>
      </c>
      <c r="B41" s="853" t="s">
        <v>852</v>
      </c>
      <c r="C41" s="854" t="s">
        <v>848</v>
      </c>
      <c r="D41" s="855">
        <v>4</v>
      </c>
      <c r="E41" s="1281">
        <v>162835</v>
      </c>
      <c r="F41" s="290">
        <v>651340</v>
      </c>
      <c r="G41" s="856">
        <v>4</v>
      </c>
      <c r="H41" s="857">
        <v>651340</v>
      </c>
      <c r="I41" s="858"/>
      <c r="J41" s="857">
        <v>0</v>
      </c>
      <c r="K41" s="859">
        <v>0</v>
      </c>
      <c r="L41" s="860">
        <v>0</v>
      </c>
    </row>
    <row r="42" spans="1:12" ht="36" x14ac:dyDescent="0.2">
      <c r="A42" s="852">
        <v>29</v>
      </c>
      <c r="B42" s="853" t="s">
        <v>1222</v>
      </c>
      <c r="C42" s="854" t="s">
        <v>6</v>
      </c>
      <c r="D42" s="855">
        <v>1</v>
      </c>
      <c r="E42" s="290">
        <v>423809</v>
      </c>
      <c r="F42" s="290">
        <v>423809</v>
      </c>
      <c r="G42" s="856">
        <v>1</v>
      </c>
      <c r="H42" s="857">
        <v>423809</v>
      </c>
      <c r="I42" s="858"/>
      <c r="J42" s="857">
        <v>0</v>
      </c>
      <c r="K42" s="859">
        <v>0</v>
      </c>
      <c r="L42" s="860">
        <v>0</v>
      </c>
    </row>
    <row r="43" spans="1:12" ht="36" x14ac:dyDescent="0.2">
      <c r="A43" s="852">
        <v>30</v>
      </c>
      <c r="B43" s="853" t="s">
        <v>1223</v>
      </c>
      <c r="C43" s="854" t="s">
        <v>14</v>
      </c>
      <c r="D43" s="855">
        <v>39</v>
      </c>
      <c r="E43" s="290">
        <v>145375</v>
      </c>
      <c r="F43" s="290">
        <v>5669625</v>
      </c>
      <c r="G43" s="856">
        <v>39</v>
      </c>
      <c r="H43" s="857">
        <v>5669625</v>
      </c>
      <c r="I43" s="858"/>
      <c r="J43" s="857">
        <v>0</v>
      </c>
      <c r="K43" s="859">
        <v>0</v>
      </c>
      <c r="L43" s="860">
        <v>0</v>
      </c>
    </row>
    <row r="44" spans="1:12" ht="36" x14ac:dyDescent="0.2">
      <c r="A44" s="852">
        <v>31</v>
      </c>
      <c r="B44" s="853" t="s">
        <v>1224</v>
      </c>
      <c r="C44" s="854" t="s">
        <v>14</v>
      </c>
      <c r="D44" s="855">
        <v>18</v>
      </c>
      <c r="E44" s="290">
        <v>54233</v>
      </c>
      <c r="F44" s="290">
        <v>976194</v>
      </c>
      <c r="G44" s="856">
        <v>18</v>
      </c>
      <c r="H44" s="857">
        <v>976194</v>
      </c>
      <c r="I44" s="858"/>
      <c r="J44" s="857">
        <v>0</v>
      </c>
      <c r="K44" s="859">
        <v>0</v>
      </c>
      <c r="L44" s="860">
        <v>0</v>
      </c>
    </row>
    <row r="45" spans="1:12" ht="60" x14ac:dyDescent="0.2">
      <c r="A45" s="852">
        <v>32</v>
      </c>
      <c r="B45" s="125" t="s">
        <v>117</v>
      </c>
      <c r="C45" s="854" t="s">
        <v>14</v>
      </c>
      <c r="D45" s="855">
        <v>97</v>
      </c>
      <c r="E45" s="290">
        <v>64357</v>
      </c>
      <c r="F45" s="290">
        <v>6242629</v>
      </c>
      <c r="G45" s="856">
        <v>97</v>
      </c>
      <c r="H45" s="857">
        <v>6242629</v>
      </c>
      <c r="I45" s="858">
        <v>69.179999999999993</v>
      </c>
      <c r="J45" s="857">
        <v>4452217</v>
      </c>
      <c r="K45" s="859">
        <v>69.179999999999993</v>
      </c>
      <c r="L45" s="860">
        <v>4452217</v>
      </c>
    </row>
    <row r="46" spans="1:12" ht="36" x14ac:dyDescent="0.2">
      <c r="A46" s="852">
        <v>33</v>
      </c>
      <c r="B46" s="125" t="s">
        <v>119</v>
      </c>
      <c r="C46" s="854" t="s">
        <v>6</v>
      </c>
      <c r="D46" s="855">
        <v>36</v>
      </c>
      <c r="E46" s="290">
        <v>29010</v>
      </c>
      <c r="F46" s="290">
        <v>1044360</v>
      </c>
      <c r="G46" s="856">
        <v>36</v>
      </c>
      <c r="H46" s="857">
        <v>1044360</v>
      </c>
      <c r="I46" s="858">
        <v>31</v>
      </c>
      <c r="J46" s="857">
        <v>899310</v>
      </c>
      <c r="K46" s="859">
        <v>31</v>
      </c>
      <c r="L46" s="860">
        <v>899310</v>
      </c>
    </row>
    <row r="47" spans="1:12" x14ac:dyDescent="0.2">
      <c r="A47" s="852">
        <v>34</v>
      </c>
      <c r="B47" s="125" t="s">
        <v>856</v>
      </c>
      <c r="C47" s="854" t="s">
        <v>14</v>
      </c>
      <c r="D47" s="855">
        <v>1600</v>
      </c>
      <c r="E47" s="290">
        <v>9412</v>
      </c>
      <c r="F47" s="290">
        <v>15059200</v>
      </c>
      <c r="G47" s="856">
        <v>1600</v>
      </c>
      <c r="H47" s="857">
        <v>15059200</v>
      </c>
      <c r="I47" s="858">
        <v>1598</v>
      </c>
      <c r="J47" s="857">
        <v>15040376</v>
      </c>
      <c r="K47" s="859">
        <v>1598</v>
      </c>
      <c r="L47" s="860">
        <v>15040376</v>
      </c>
    </row>
    <row r="48" spans="1:12" x14ac:dyDescent="0.2">
      <c r="A48" s="852">
        <v>35</v>
      </c>
      <c r="B48" s="125" t="s">
        <v>857</v>
      </c>
      <c r="C48" s="854" t="s">
        <v>6</v>
      </c>
      <c r="D48" s="855">
        <v>37</v>
      </c>
      <c r="E48" s="290">
        <v>64733</v>
      </c>
      <c r="F48" s="290">
        <v>2395121</v>
      </c>
      <c r="G48" s="856">
        <v>37</v>
      </c>
      <c r="H48" s="857">
        <v>2395121</v>
      </c>
      <c r="I48" s="858">
        <v>80</v>
      </c>
      <c r="J48" s="857">
        <v>5178640</v>
      </c>
      <c r="K48" s="859">
        <v>80</v>
      </c>
      <c r="L48" s="860">
        <v>5178640</v>
      </c>
    </row>
    <row r="49" spans="1:12" x14ac:dyDescent="0.2">
      <c r="A49" s="852">
        <v>36</v>
      </c>
      <c r="B49" s="125" t="s">
        <v>858</v>
      </c>
      <c r="C49" s="854" t="s">
        <v>6</v>
      </c>
      <c r="D49" s="855">
        <v>37</v>
      </c>
      <c r="E49" s="290">
        <v>18502</v>
      </c>
      <c r="F49" s="290">
        <v>684574</v>
      </c>
      <c r="G49" s="856">
        <v>37</v>
      </c>
      <c r="H49" s="857">
        <v>684574</v>
      </c>
      <c r="I49" s="858">
        <v>40</v>
      </c>
      <c r="J49" s="857">
        <v>740080</v>
      </c>
      <c r="K49" s="859">
        <v>40</v>
      </c>
      <c r="L49" s="860">
        <v>740080</v>
      </c>
    </row>
    <row r="50" spans="1:12" ht="48" x14ac:dyDescent="0.2">
      <c r="A50" s="852">
        <v>37</v>
      </c>
      <c r="B50" s="125" t="s">
        <v>1225</v>
      </c>
      <c r="C50" s="854" t="s">
        <v>6</v>
      </c>
      <c r="D50" s="855">
        <v>36</v>
      </c>
      <c r="E50" s="1281">
        <v>110023</v>
      </c>
      <c r="F50" s="290">
        <v>3960828</v>
      </c>
      <c r="G50" s="856">
        <v>36</v>
      </c>
      <c r="H50" s="857">
        <v>3960828</v>
      </c>
      <c r="I50" s="858">
        <v>28</v>
      </c>
      <c r="J50" s="857">
        <v>3080644</v>
      </c>
      <c r="K50" s="859">
        <v>28</v>
      </c>
      <c r="L50" s="860">
        <v>3080644</v>
      </c>
    </row>
    <row r="51" spans="1:12" ht="48" x14ac:dyDescent="0.2">
      <c r="A51" s="852">
        <v>38</v>
      </c>
      <c r="B51" s="125" t="s">
        <v>1226</v>
      </c>
      <c r="C51" s="854" t="s">
        <v>6</v>
      </c>
      <c r="D51" s="855">
        <v>36</v>
      </c>
      <c r="E51" s="290">
        <v>113421</v>
      </c>
      <c r="F51" s="290">
        <v>4083156</v>
      </c>
      <c r="G51" s="856">
        <v>36</v>
      </c>
      <c r="H51" s="857">
        <v>4083156</v>
      </c>
      <c r="I51" s="858">
        <v>32</v>
      </c>
      <c r="J51" s="857">
        <v>3629472</v>
      </c>
      <c r="K51" s="859">
        <v>32</v>
      </c>
      <c r="L51" s="860">
        <v>3629472</v>
      </c>
    </row>
    <row r="52" spans="1:12" ht="24" x14ac:dyDescent="0.2">
      <c r="A52" s="852">
        <v>39</v>
      </c>
      <c r="B52" s="125" t="s">
        <v>135</v>
      </c>
      <c r="C52" s="854" t="s">
        <v>14</v>
      </c>
      <c r="D52" s="855">
        <v>250</v>
      </c>
      <c r="E52" s="290">
        <v>15132</v>
      </c>
      <c r="F52" s="290">
        <v>3783000</v>
      </c>
      <c r="G52" s="856">
        <v>250</v>
      </c>
      <c r="H52" s="857">
        <v>3783000</v>
      </c>
      <c r="I52" s="858">
        <v>345</v>
      </c>
      <c r="J52" s="857">
        <v>5220540</v>
      </c>
      <c r="K52" s="859">
        <v>345</v>
      </c>
      <c r="L52" s="860">
        <v>5220540</v>
      </c>
    </row>
    <row r="53" spans="1:12" ht="36" x14ac:dyDescent="0.2">
      <c r="A53" s="852">
        <v>40</v>
      </c>
      <c r="B53" s="125" t="s">
        <v>133</v>
      </c>
      <c r="C53" s="854" t="s">
        <v>6</v>
      </c>
      <c r="D53" s="854">
        <v>20</v>
      </c>
      <c r="E53" s="1281">
        <v>104071</v>
      </c>
      <c r="F53" s="290">
        <v>2081420</v>
      </c>
      <c r="G53" s="856">
        <v>20</v>
      </c>
      <c r="H53" s="857">
        <v>2081420</v>
      </c>
      <c r="I53" s="858">
        <v>20</v>
      </c>
      <c r="J53" s="857">
        <v>2081420</v>
      </c>
      <c r="K53" s="859">
        <v>20</v>
      </c>
      <c r="L53" s="860">
        <v>2081420</v>
      </c>
    </row>
    <row r="54" spans="1:12" ht="36" x14ac:dyDescent="0.2">
      <c r="A54" s="852">
        <v>41</v>
      </c>
      <c r="B54" s="125" t="s">
        <v>1227</v>
      </c>
      <c r="C54" s="854" t="s">
        <v>14</v>
      </c>
      <c r="D54" s="855">
        <v>20</v>
      </c>
      <c r="E54" s="290">
        <v>14841</v>
      </c>
      <c r="F54" s="290">
        <v>296820</v>
      </c>
      <c r="G54" s="856">
        <v>20</v>
      </c>
      <c r="H54" s="857">
        <v>296820</v>
      </c>
      <c r="I54" s="858">
        <v>7.26</v>
      </c>
      <c r="J54" s="857">
        <v>107746</v>
      </c>
      <c r="K54" s="859">
        <v>7.26</v>
      </c>
      <c r="L54" s="860">
        <v>107746</v>
      </c>
    </row>
    <row r="55" spans="1:12" ht="24" x14ac:dyDescent="0.2">
      <c r="A55" s="852">
        <v>42</v>
      </c>
      <c r="B55" s="125" t="s">
        <v>279</v>
      </c>
      <c r="C55" s="854" t="s">
        <v>6</v>
      </c>
      <c r="D55" s="855">
        <v>4</v>
      </c>
      <c r="E55" s="290">
        <v>88543</v>
      </c>
      <c r="F55" s="290">
        <v>354172</v>
      </c>
      <c r="G55" s="856">
        <v>4</v>
      </c>
      <c r="H55" s="857">
        <v>354172</v>
      </c>
      <c r="I55" s="858">
        <v>4</v>
      </c>
      <c r="J55" s="857">
        <v>354172</v>
      </c>
      <c r="K55" s="859">
        <v>4</v>
      </c>
      <c r="L55" s="860">
        <v>354172</v>
      </c>
    </row>
    <row r="56" spans="1:12" ht="24" x14ac:dyDescent="0.2">
      <c r="A56" s="852">
        <v>43</v>
      </c>
      <c r="B56" s="125" t="s">
        <v>141</v>
      </c>
      <c r="C56" s="854" t="s">
        <v>6</v>
      </c>
      <c r="D56" s="855">
        <v>1</v>
      </c>
      <c r="E56" s="290">
        <v>2786713</v>
      </c>
      <c r="F56" s="290">
        <v>2786713</v>
      </c>
      <c r="G56" s="856">
        <v>1</v>
      </c>
      <c r="H56" s="857">
        <v>2786713</v>
      </c>
      <c r="I56" s="858">
        <v>1</v>
      </c>
      <c r="J56" s="857">
        <v>2786713</v>
      </c>
      <c r="K56" s="859">
        <v>1</v>
      </c>
      <c r="L56" s="860">
        <v>2786713</v>
      </c>
    </row>
    <row r="57" spans="1:12" ht="24" x14ac:dyDescent="0.2">
      <c r="A57" s="852">
        <v>44</v>
      </c>
      <c r="B57" s="125" t="s">
        <v>1228</v>
      </c>
      <c r="C57" s="854" t="s">
        <v>6</v>
      </c>
      <c r="D57" s="855">
        <v>1</v>
      </c>
      <c r="E57" s="290">
        <v>1576250</v>
      </c>
      <c r="F57" s="290">
        <v>1576250</v>
      </c>
      <c r="G57" s="856">
        <v>1</v>
      </c>
      <c r="H57" s="857">
        <v>1576250</v>
      </c>
      <c r="I57" s="858"/>
      <c r="J57" s="857">
        <v>0</v>
      </c>
      <c r="K57" s="859">
        <v>0</v>
      </c>
      <c r="L57" s="860">
        <v>0</v>
      </c>
    </row>
    <row r="58" spans="1:12" ht="24" x14ac:dyDescent="0.2">
      <c r="A58" s="852">
        <v>45</v>
      </c>
      <c r="B58" s="853" t="s">
        <v>889</v>
      </c>
      <c r="C58" s="854" t="s">
        <v>14</v>
      </c>
      <c r="D58" s="855">
        <v>15</v>
      </c>
      <c r="E58" s="290">
        <v>48252</v>
      </c>
      <c r="F58" s="290">
        <v>723780</v>
      </c>
      <c r="G58" s="856">
        <v>15</v>
      </c>
      <c r="H58" s="857">
        <v>723780</v>
      </c>
      <c r="I58" s="858"/>
      <c r="J58" s="857">
        <v>0</v>
      </c>
      <c r="K58" s="859">
        <v>0</v>
      </c>
      <c r="L58" s="860">
        <v>0</v>
      </c>
    </row>
    <row r="59" spans="1:12" ht="36" x14ac:dyDescent="0.2">
      <c r="A59" s="852">
        <v>46</v>
      </c>
      <c r="B59" s="853" t="s">
        <v>759</v>
      </c>
      <c r="C59" s="854" t="s">
        <v>6</v>
      </c>
      <c r="D59" s="855">
        <v>4</v>
      </c>
      <c r="E59" s="1281">
        <v>1599967</v>
      </c>
      <c r="F59" s="290">
        <v>6399868</v>
      </c>
      <c r="G59" s="856">
        <v>4</v>
      </c>
      <c r="H59" s="857">
        <v>6399868</v>
      </c>
      <c r="I59" s="858"/>
      <c r="J59" s="857">
        <v>0</v>
      </c>
      <c r="K59" s="859">
        <v>0</v>
      </c>
      <c r="L59" s="860">
        <v>0</v>
      </c>
    </row>
    <row r="60" spans="1:12" x14ac:dyDescent="0.2">
      <c r="A60" s="852">
        <v>47</v>
      </c>
      <c r="B60" s="853" t="s">
        <v>1229</v>
      </c>
      <c r="C60" s="854" t="s">
        <v>6</v>
      </c>
      <c r="D60" s="855">
        <v>2</v>
      </c>
      <c r="E60" s="290">
        <v>42139</v>
      </c>
      <c r="F60" s="290">
        <v>84278</v>
      </c>
      <c r="G60" s="856">
        <v>2</v>
      </c>
      <c r="H60" s="857">
        <v>84278</v>
      </c>
      <c r="I60" s="858"/>
      <c r="J60" s="857">
        <v>0</v>
      </c>
      <c r="K60" s="859">
        <v>0</v>
      </c>
      <c r="L60" s="860">
        <v>0</v>
      </c>
    </row>
    <row r="61" spans="1:12" ht="24" x14ac:dyDescent="0.2">
      <c r="A61" s="852">
        <v>48</v>
      </c>
      <c r="B61" s="853" t="s">
        <v>892</v>
      </c>
      <c r="C61" s="854" t="s">
        <v>848</v>
      </c>
      <c r="D61" s="854">
        <v>4</v>
      </c>
      <c r="E61" s="290">
        <v>40321</v>
      </c>
      <c r="F61" s="290">
        <v>161284</v>
      </c>
      <c r="G61" s="856">
        <v>4</v>
      </c>
      <c r="H61" s="857">
        <v>161284</v>
      </c>
      <c r="I61" s="858"/>
      <c r="J61" s="857">
        <v>0</v>
      </c>
      <c r="K61" s="859">
        <v>0</v>
      </c>
      <c r="L61" s="860">
        <v>0</v>
      </c>
    </row>
    <row r="62" spans="1:12" ht="24" x14ac:dyDescent="0.2">
      <c r="A62" s="852">
        <v>49</v>
      </c>
      <c r="B62" s="853" t="s">
        <v>166</v>
      </c>
      <c r="C62" s="854" t="s">
        <v>150</v>
      </c>
      <c r="D62" s="855">
        <v>10</v>
      </c>
      <c r="E62" s="1281">
        <v>70878</v>
      </c>
      <c r="F62" s="290">
        <v>708780</v>
      </c>
      <c r="G62" s="856">
        <v>10</v>
      </c>
      <c r="H62" s="857">
        <v>708780</v>
      </c>
      <c r="I62" s="858"/>
      <c r="J62" s="857">
        <v>0</v>
      </c>
      <c r="K62" s="859">
        <v>0</v>
      </c>
      <c r="L62" s="860">
        <v>0</v>
      </c>
    </row>
    <row r="63" spans="1:12" x14ac:dyDescent="0.2">
      <c r="A63" s="852">
        <v>50</v>
      </c>
      <c r="B63" s="853" t="s">
        <v>195</v>
      </c>
      <c r="C63" s="854" t="s">
        <v>19</v>
      </c>
      <c r="D63" s="855">
        <v>1650</v>
      </c>
      <c r="E63" s="1281">
        <v>4850</v>
      </c>
      <c r="F63" s="290">
        <v>8002500</v>
      </c>
      <c r="G63" s="856">
        <v>1650</v>
      </c>
      <c r="H63" s="857">
        <v>8002500</v>
      </c>
      <c r="I63" s="858">
        <v>262.22449999999998</v>
      </c>
      <c r="J63" s="857">
        <v>1271789</v>
      </c>
      <c r="K63" s="859">
        <v>262.22449999999998</v>
      </c>
      <c r="L63" s="860">
        <v>1271789</v>
      </c>
    </row>
    <row r="64" spans="1:12" ht="24" x14ac:dyDescent="0.2">
      <c r="A64" s="852">
        <v>1</v>
      </c>
      <c r="B64" s="853" t="s">
        <v>888</v>
      </c>
      <c r="C64" s="854" t="s">
        <v>19</v>
      </c>
      <c r="D64" s="855"/>
      <c r="E64" s="290">
        <v>15318</v>
      </c>
      <c r="F64" s="290">
        <v>0</v>
      </c>
      <c r="G64" s="848"/>
      <c r="H64" s="857">
        <v>0</v>
      </c>
      <c r="I64" s="858">
        <v>2.5009999999999999</v>
      </c>
      <c r="J64" s="857">
        <v>38310</v>
      </c>
      <c r="K64" s="859">
        <v>2.5009999999999999</v>
      </c>
      <c r="L64" s="860">
        <v>38310</v>
      </c>
    </row>
    <row r="65" spans="1:25" x14ac:dyDescent="0.2">
      <c r="A65" s="852">
        <v>16</v>
      </c>
      <c r="B65" s="853" t="s">
        <v>886</v>
      </c>
      <c r="C65" s="854" t="s">
        <v>6</v>
      </c>
      <c r="D65" s="854"/>
      <c r="E65" s="290">
        <v>26103</v>
      </c>
      <c r="F65" s="290">
        <v>0</v>
      </c>
      <c r="G65" s="848"/>
      <c r="H65" s="857">
        <v>0</v>
      </c>
      <c r="I65" s="858">
        <v>1</v>
      </c>
      <c r="J65" s="857">
        <v>26103</v>
      </c>
      <c r="K65" s="859">
        <v>1</v>
      </c>
      <c r="L65" s="860">
        <v>26103</v>
      </c>
    </row>
    <row r="66" spans="1:25" x14ac:dyDescent="0.2">
      <c r="A66" s="852">
        <v>33</v>
      </c>
      <c r="B66" s="853" t="s">
        <v>1230</v>
      </c>
      <c r="C66" s="854" t="s">
        <v>6</v>
      </c>
      <c r="D66" s="854"/>
      <c r="E66" s="290">
        <v>44378</v>
      </c>
      <c r="F66" s="290">
        <v>0</v>
      </c>
      <c r="G66" s="848"/>
      <c r="H66" s="857">
        <v>0</v>
      </c>
      <c r="I66" s="858">
        <v>8</v>
      </c>
      <c r="J66" s="857">
        <v>355024</v>
      </c>
      <c r="K66" s="859">
        <v>8</v>
      </c>
      <c r="L66" s="860">
        <v>355024</v>
      </c>
    </row>
    <row r="67" spans="1:25" x14ac:dyDescent="0.2">
      <c r="A67" s="854"/>
      <c r="B67" s="861"/>
      <c r="C67" s="830"/>
      <c r="D67" s="862"/>
      <c r="E67" s="856"/>
      <c r="F67" s="863"/>
      <c r="G67" s="848"/>
      <c r="H67" s="864"/>
      <c r="I67" s="850"/>
      <c r="J67" s="865"/>
      <c r="K67" s="850"/>
      <c r="L67" s="866"/>
    </row>
    <row r="68" spans="1:25" x14ac:dyDescent="0.2">
      <c r="A68" s="854"/>
      <c r="B68" s="861" t="s">
        <v>1231</v>
      </c>
      <c r="C68" s="856"/>
      <c r="D68" s="862"/>
      <c r="E68" s="856"/>
      <c r="F68" s="867">
        <v>239752858</v>
      </c>
      <c r="G68" s="848"/>
      <c r="H68" s="849">
        <v>239752858</v>
      </c>
      <c r="I68" s="850"/>
      <c r="J68" s="851">
        <v>71292211</v>
      </c>
      <c r="K68" s="850"/>
      <c r="L68" s="868">
        <v>71292211</v>
      </c>
      <c r="M68" s="869"/>
    </row>
    <row r="69" spans="1:25" x14ac:dyDescent="0.2">
      <c r="A69" s="854"/>
      <c r="B69" s="861" t="s">
        <v>197</v>
      </c>
      <c r="C69" s="870"/>
      <c r="D69" s="871">
        <v>0.18</v>
      </c>
      <c r="E69" s="856"/>
      <c r="F69" s="867">
        <v>43155514</v>
      </c>
      <c r="G69" s="848"/>
      <c r="H69" s="849">
        <v>43155514</v>
      </c>
      <c r="I69" s="872">
        <v>0.18</v>
      </c>
      <c r="J69" s="873">
        <v>12832598</v>
      </c>
      <c r="K69" s="850"/>
      <c r="L69" s="874">
        <v>12832598</v>
      </c>
    </row>
    <row r="70" spans="1:25" x14ac:dyDescent="0.2">
      <c r="A70" s="854"/>
      <c r="B70" s="861" t="s">
        <v>198</v>
      </c>
      <c r="C70" s="870"/>
      <c r="D70" s="871">
        <v>0.02</v>
      </c>
      <c r="E70" s="856"/>
      <c r="F70" s="867">
        <v>4795057</v>
      </c>
      <c r="G70" s="848"/>
      <c r="H70" s="849">
        <v>4795057</v>
      </c>
      <c r="I70" s="872"/>
      <c r="J70" s="875">
        <v>1425600</v>
      </c>
      <c r="K70" s="850"/>
      <c r="L70" s="874">
        <v>1425844</v>
      </c>
      <c r="M70" s="244"/>
      <c r="N70" s="869"/>
    </row>
    <row r="71" spans="1:25" x14ac:dyDescent="0.2">
      <c r="A71" s="854"/>
      <c r="B71" s="861" t="s">
        <v>199</v>
      </c>
      <c r="C71" s="870"/>
      <c r="D71" s="871">
        <v>0.05</v>
      </c>
      <c r="E71" s="856"/>
      <c r="F71" s="867">
        <v>11987643</v>
      </c>
      <c r="G71" s="848"/>
      <c r="H71" s="849">
        <v>11987643</v>
      </c>
      <c r="I71" s="871">
        <v>0.05</v>
      </c>
      <c r="J71" s="873">
        <v>3564611</v>
      </c>
      <c r="K71" s="850"/>
      <c r="L71" s="874">
        <v>3564611</v>
      </c>
    </row>
    <row r="72" spans="1:25" x14ac:dyDescent="0.2">
      <c r="A72" s="854"/>
      <c r="B72" s="861" t="s">
        <v>200</v>
      </c>
      <c r="C72" s="870"/>
      <c r="D72" s="871">
        <v>0.19</v>
      </c>
      <c r="E72" s="856"/>
      <c r="F72" s="867">
        <v>2277652</v>
      </c>
      <c r="G72" s="848"/>
      <c r="H72" s="849">
        <v>2277652</v>
      </c>
      <c r="I72" s="871">
        <v>0.19</v>
      </c>
      <c r="J72" s="873">
        <v>677276</v>
      </c>
      <c r="K72" s="850"/>
      <c r="L72" s="874">
        <v>677276</v>
      </c>
      <c r="N72" s="869"/>
    </row>
    <row r="73" spans="1:25" x14ac:dyDescent="0.2">
      <c r="A73" s="854"/>
      <c r="B73" s="861" t="s">
        <v>1232</v>
      </c>
      <c r="C73" s="856"/>
      <c r="D73" s="876"/>
      <c r="E73" s="856"/>
      <c r="F73" s="867">
        <v>301968724</v>
      </c>
      <c r="G73" s="848"/>
      <c r="H73" s="849">
        <v>301968724</v>
      </c>
      <c r="I73" s="850"/>
      <c r="J73" s="867">
        <v>89792296</v>
      </c>
      <c r="K73" s="850"/>
      <c r="L73" s="877">
        <v>89792540</v>
      </c>
    </row>
    <row r="74" spans="1:25" x14ac:dyDescent="0.2">
      <c r="A74" s="878"/>
      <c r="B74" s="879"/>
      <c r="C74" s="880"/>
      <c r="D74" s="881"/>
      <c r="E74" s="880"/>
      <c r="F74" s="882"/>
      <c r="G74" s="883"/>
      <c r="H74" s="884"/>
      <c r="I74" s="2094" t="s">
        <v>1233</v>
      </c>
      <c r="J74" s="2094"/>
      <c r="K74" s="2094"/>
      <c r="L74" s="2094"/>
    </row>
    <row r="75" spans="1:25" x14ac:dyDescent="0.2">
      <c r="A75" s="885"/>
      <c r="B75" s="885"/>
      <c r="C75" s="885"/>
      <c r="D75" s="885"/>
      <c r="E75" s="886"/>
      <c r="F75" s="885"/>
      <c r="G75" s="887"/>
      <c r="H75" s="888"/>
      <c r="N75" s="889"/>
      <c r="O75" s="889"/>
      <c r="P75" s="889"/>
      <c r="Q75" s="889"/>
      <c r="R75" s="889"/>
      <c r="S75" s="889"/>
      <c r="T75" s="889"/>
      <c r="U75" s="889"/>
      <c r="V75" s="889"/>
      <c r="W75" s="889"/>
      <c r="X75" s="889"/>
      <c r="Y75" s="889"/>
    </row>
    <row r="76" spans="1:25" ht="36" x14ac:dyDescent="0.2">
      <c r="A76" s="2086" t="s">
        <v>1234</v>
      </c>
      <c r="B76" s="2059"/>
      <c r="C76" s="843" t="s">
        <v>6</v>
      </c>
      <c r="D76" s="843" t="s">
        <v>830</v>
      </c>
      <c r="E76" s="847" t="s">
        <v>1207</v>
      </c>
      <c r="F76" s="843" t="s">
        <v>9</v>
      </c>
      <c r="G76" s="2095" t="s">
        <v>1204</v>
      </c>
      <c r="H76" s="2096"/>
      <c r="I76" s="2097" t="s">
        <v>1205</v>
      </c>
      <c r="J76" s="2062"/>
      <c r="K76" s="2097" t="s">
        <v>1206</v>
      </c>
      <c r="L76" s="2062"/>
    </row>
    <row r="77" spans="1:25" x14ac:dyDescent="0.2">
      <c r="A77" s="890" t="s">
        <v>4</v>
      </c>
      <c r="B77" s="845" t="s">
        <v>5</v>
      </c>
      <c r="C77" s="846"/>
      <c r="D77" s="846"/>
      <c r="E77" s="891"/>
      <c r="F77" s="846"/>
      <c r="G77" s="848" t="s">
        <v>830</v>
      </c>
      <c r="H77" s="849" t="s">
        <v>1208</v>
      </c>
      <c r="I77" s="850" t="s">
        <v>830</v>
      </c>
      <c r="J77" s="851" t="s">
        <v>1208</v>
      </c>
      <c r="K77" s="850" t="s">
        <v>830</v>
      </c>
      <c r="L77" s="851" t="s">
        <v>1208</v>
      </c>
    </row>
    <row r="78" spans="1:25" ht="24" x14ac:dyDescent="0.2">
      <c r="A78" s="852">
        <v>1</v>
      </c>
      <c r="B78" s="853" t="s">
        <v>888</v>
      </c>
      <c r="C78" s="854" t="s">
        <v>19</v>
      </c>
      <c r="D78" s="854">
        <v>90</v>
      </c>
      <c r="E78" s="290">
        <v>15318</v>
      </c>
      <c r="F78" s="290">
        <v>1378620</v>
      </c>
      <c r="G78" s="856">
        <v>90</v>
      </c>
      <c r="H78" s="857">
        <v>1378620</v>
      </c>
      <c r="I78" s="892">
        <v>85.805900000000008</v>
      </c>
      <c r="J78" s="857">
        <v>1314375</v>
      </c>
      <c r="K78" s="893">
        <v>85.805900000000008</v>
      </c>
      <c r="L78" s="857">
        <v>1314375</v>
      </c>
    </row>
    <row r="79" spans="1:25" ht="36" x14ac:dyDescent="0.2">
      <c r="A79" s="852">
        <v>2</v>
      </c>
      <c r="B79" s="853" t="s">
        <v>103</v>
      </c>
      <c r="C79" s="854" t="s">
        <v>19</v>
      </c>
      <c r="D79" s="854">
        <v>206</v>
      </c>
      <c r="E79" s="290">
        <v>103790</v>
      </c>
      <c r="F79" s="290">
        <v>21380740</v>
      </c>
      <c r="G79" s="856">
        <v>206</v>
      </c>
      <c r="H79" s="857">
        <v>21380740</v>
      </c>
      <c r="I79" s="892">
        <v>211.35649999999998</v>
      </c>
      <c r="J79" s="857">
        <v>21936691</v>
      </c>
      <c r="K79" s="893">
        <v>211.35649999999998</v>
      </c>
      <c r="L79" s="857">
        <v>21936691</v>
      </c>
    </row>
    <row r="80" spans="1:25" ht="24" x14ac:dyDescent="0.2">
      <c r="A80" s="852">
        <v>3</v>
      </c>
      <c r="B80" s="853" t="s">
        <v>105</v>
      </c>
      <c r="C80" s="854" t="s">
        <v>14</v>
      </c>
      <c r="D80" s="854">
        <v>50</v>
      </c>
      <c r="E80" s="290">
        <v>37657</v>
      </c>
      <c r="F80" s="290">
        <v>1882850</v>
      </c>
      <c r="G80" s="856">
        <v>50</v>
      </c>
      <c r="H80" s="857">
        <v>1882850</v>
      </c>
      <c r="I80" s="892">
        <v>40.799999999999997</v>
      </c>
      <c r="J80" s="857">
        <v>1536406</v>
      </c>
      <c r="K80" s="893">
        <v>40.799999999999997</v>
      </c>
      <c r="L80" s="857">
        <v>1536406</v>
      </c>
    </row>
    <row r="81" spans="1:12" x14ac:dyDescent="0.2">
      <c r="A81" s="852">
        <v>4</v>
      </c>
      <c r="B81" s="853" t="s">
        <v>866</v>
      </c>
      <c r="C81" s="854" t="s">
        <v>14</v>
      </c>
      <c r="D81" s="854">
        <v>50</v>
      </c>
      <c r="E81" s="290">
        <v>42410</v>
      </c>
      <c r="F81" s="290">
        <v>2120500</v>
      </c>
      <c r="G81" s="856">
        <v>50</v>
      </c>
      <c r="H81" s="857">
        <v>2120500</v>
      </c>
      <c r="I81" s="892">
        <v>124.70000000000002</v>
      </c>
      <c r="J81" s="857">
        <v>5288527</v>
      </c>
      <c r="K81" s="893">
        <v>124.70000000000002</v>
      </c>
      <c r="L81" s="857">
        <v>5288527</v>
      </c>
    </row>
    <row r="82" spans="1:12" x14ac:dyDescent="0.2">
      <c r="A82" s="852">
        <v>5</v>
      </c>
      <c r="B82" s="853" t="s">
        <v>867</v>
      </c>
      <c r="C82" s="854" t="s">
        <v>19</v>
      </c>
      <c r="D82" s="854">
        <v>4</v>
      </c>
      <c r="E82" s="290">
        <v>16976</v>
      </c>
      <c r="F82" s="290">
        <v>67904</v>
      </c>
      <c r="G82" s="856">
        <v>4</v>
      </c>
      <c r="H82" s="857">
        <v>67904</v>
      </c>
      <c r="I82" s="894">
        <v>4.08</v>
      </c>
      <c r="J82" s="857">
        <v>69262</v>
      </c>
      <c r="K82" s="893">
        <v>4.08</v>
      </c>
      <c r="L82" s="857">
        <v>69262</v>
      </c>
    </row>
    <row r="83" spans="1:12" ht="36" x14ac:dyDescent="0.2">
      <c r="A83" s="852">
        <v>6</v>
      </c>
      <c r="B83" s="853" t="s">
        <v>1209</v>
      </c>
      <c r="C83" s="854" t="s">
        <v>6</v>
      </c>
      <c r="D83" s="854">
        <v>110</v>
      </c>
      <c r="E83" s="290">
        <v>10880</v>
      </c>
      <c r="F83" s="290">
        <v>1196800</v>
      </c>
      <c r="G83" s="856">
        <v>110</v>
      </c>
      <c r="H83" s="857">
        <v>1196800</v>
      </c>
      <c r="I83" s="895"/>
      <c r="J83" s="857">
        <v>0</v>
      </c>
      <c r="K83" s="893">
        <v>0</v>
      </c>
      <c r="L83" s="857">
        <v>0</v>
      </c>
    </row>
    <row r="84" spans="1:12" ht="36" x14ac:dyDescent="0.2">
      <c r="A84" s="852">
        <v>7</v>
      </c>
      <c r="B84" s="853" t="s">
        <v>849</v>
      </c>
      <c r="C84" s="854" t="s">
        <v>19</v>
      </c>
      <c r="D84" s="854">
        <v>50</v>
      </c>
      <c r="E84" s="290">
        <v>67793</v>
      </c>
      <c r="F84" s="290">
        <v>3389650</v>
      </c>
      <c r="G84" s="856">
        <v>50</v>
      </c>
      <c r="H84" s="857">
        <v>3389650</v>
      </c>
      <c r="I84" s="895"/>
      <c r="J84" s="857">
        <v>0</v>
      </c>
      <c r="K84" s="893">
        <v>0</v>
      </c>
      <c r="L84" s="857">
        <v>0</v>
      </c>
    </row>
    <row r="85" spans="1:12" ht="24" x14ac:dyDescent="0.2">
      <c r="A85" s="852">
        <v>8</v>
      </c>
      <c r="B85" s="853" t="s">
        <v>1235</v>
      </c>
      <c r="C85" s="854" t="s">
        <v>6</v>
      </c>
      <c r="D85" s="854">
        <v>90</v>
      </c>
      <c r="E85" s="290">
        <v>33242</v>
      </c>
      <c r="F85" s="290">
        <v>2991780</v>
      </c>
      <c r="G85" s="856">
        <v>90</v>
      </c>
      <c r="H85" s="857">
        <v>2991780</v>
      </c>
      <c r="I85" s="895"/>
      <c r="J85" s="857">
        <v>0</v>
      </c>
      <c r="K85" s="893">
        <v>0</v>
      </c>
      <c r="L85" s="857">
        <v>0</v>
      </c>
    </row>
    <row r="86" spans="1:12" ht="24" x14ac:dyDescent="0.2">
      <c r="A86" s="852">
        <v>9</v>
      </c>
      <c r="B86" s="853" t="s">
        <v>1236</v>
      </c>
      <c r="C86" s="854" t="s">
        <v>14</v>
      </c>
      <c r="D86" s="854">
        <v>45</v>
      </c>
      <c r="E86" s="290">
        <v>10534</v>
      </c>
      <c r="F86" s="290">
        <v>474030</v>
      </c>
      <c r="G86" s="856">
        <v>45</v>
      </c>
      <c r="H86" s="857">
        <v>474030</v>
      </c>
      <c r="I86" s="894">
        <v>60.239999999999995</v>
      </c>
      <c r="J86" s="857">
        <v>634568</v>
      </c>
      <c r="K86" s="893">
        <v>60.239999999999995</v>
      </c>
      <c r="L86" s="857">
        <v>634568</v>
      </c>
    </row>
    <row r="87" spans="1:12" ht="24" x14ac:dyDescent="0.2">
      <c r="A87" s="852">
        <v>10</v>
      </c>
      <c r="B87" s="853" t="s">
        <v>1237</v>
      </c>
      <c r="C87" s="854" t="s">
        <v>14</v>
      </c>
      <c r="D87" s="854">
        <v>16</v>
      </c>
      <c r="E87" s="290">
        <v>13282</v>
      </c>
      <c r="F87" s="290">
        <v>212512</v>
      </c>
      <c r="G87" s="856">
        <v>16</v>
      </c>
      <c r="H87" s="857">
        <v>212512</v>
      </c>
      <c r="I87" s="895"/>
      <c r="J87" s="857">
        <v>0</v>
      </c>
      <c r="K87" s="893">
        <v>0</v>
      </c>
      <c r="L87" s="857">
        <v>0</v>
      </c>
    </row>
    <row r="88" spans="1:12" x14ac:dyDescent="0.2">
      <c r="A88" s="852">
        <v>11</v>
      </c>
      <c r="B88" s="853" t="s">
        <v>109</v>
      </c>
      <c r="C88" s="854" t="s">
        <v>14</v>
      </c>
      <c r="D88" s="854">
        <v>99</v>
      </c>
      <c r="E88" s="1281">
        <v>33950</v>
      </c>
      <c r="F88" s="290">
        <v>3361050</v>
      </c>
      <c r="G88" s="856">
        <v>99</v>
      </c>
      <c r="H88" s="857">
        <v>3361050</v>
      </c>
      <c r="I88" s="895"/>
      <c r="J88" s="857">
        <v>0</v>
      </c>
      <c r="K88" s="893">
        <v>0</v>
      </c>
      <c r="L88" s="857">
        <v>0</v>
      </c>
    </row>
    <row r="89" spans="1:12" x14ac:dyDescent="0.2">
      <c r="A89" s="852">
        <v>12</v>
      </c>
      <c r="B89" s="853" t="s">
        <v>211</v>
      </c>
      <c r="C89" s="854" t="s">
        <v>19</v>
      </c>
      <c r="D89" s="854">
        <v>150</v>
      </c>
      <c r="E89" s="1281">
        <v>7728</v>
      </c>
      <c r="F89" s="290">
        <v>1159200</v>
      </c>
      <c r="G89" s="856">
        <v>150</v>
      </c>
      <c r="H89" s="857">
        <v>1159200</v>
      </c>
      <c r="I89" s="895"/>
      <c r="J89" s="857">
        <v>0</v>
      </c>
      <c r="K89" s="893">
        <v>0</v>
      </c>
      <c r="L89" s="857">
        <v>0</v>
      </c>
    </row>
    <row r="90" spans="1:12" x14ac:dyDescent="0.2">
      <c r="A90" s="852">
        <v>13</v>
      </c>
      <c r="B90" s="853" t="s">
        <v>88</v>
      </c>
      <c r="C90" s="854" t="s">
        <v>19</v>
      </c>
      <c r="D90" s="854">
        <v>140</v>
      </c>
      <c r="E90" s="290">
        <v>22520</v>
      </c>
      <c r="F90" s="290">
        <v>3152800</v>
      </c>
      <c r="G90" s="856">
        <v>140</v>
      </c>
      <c r="H90" s="857">
        <v>3152800</v>
      </c>
      <c r="I90" s="892">
        <v>241.68974999999998</v>
      </c>
      <c r="J90" s="857">
        <v>5442853</v>
      </c>
      <c r="K90" s="893">
        <v>241.68974999999998</v>
      </c>
      <c r="L90" s="857">
        <v>5442853</v>
      </c>
    </row>
    <row r="91" spans="1:12" x14ac:dyDescent="0.2">
      <c r="A91" s="852">
        <v>14</v>
      </c>
      <c r="B91" s="853" t="s">
        <v>639</v>
      </c>
      <c r="C91" s="854" t="s">
        <v>19</v>
      </c>
      <c r="D91" s="854">
        <v>50</v>
      </c>
      <c r="E91" s="290">
        <v>17033</v>
      </c>
      <c r="F91" s="290">
        <v>851650</v>
      </c>
      <c r="G91" s="856">
        <v>50</v>
      </c>
      <c r="H91" s="857">
        <v>851650</v>
      </c>
      <c r="I91" s="892">
        <v>483.37949999999995</v>
      </c>
      <c r="J91" s="857">
        <v>8233403</v>
      </c>
      <c r="K91" s="893">
        <v>483.37949999999995</v>
      </c>
      <c r="L91" s="857">
        <v>8233403</v>
      </c>
    </row>
    <row r="92" spans="1:12" x14ac:dyDescent="0.2">
      <c r="A92" s="852">
        <v>15</v>
      </c>
      <c r="B92" s="853" t="s">
        <v>92</v>
      </c>
      <c r="C92" s="854" t="s">
        <v>19</v>
      </c>
      <c r="D92" s="854">
        <v>40</v>
      </c>
      <c r="E92" s="290">
        <v>15561</v>
      </c>
      <c r="F92" s="290">
        <v>622440</v>
      </c>
      <c r="G92" s="856">
        <v>40</v>
      </c>
      <c r="H92" s="857">
        <v>622440</v>
      </c>
      <c r="I92" s="895"/>
      <c r="J92" s="857">
        <v>0</v>
      </c>
      <c r="K92" s="893">
        <v>0</v>
      </c>
      <c r="L92" s="857">
        <v>0</v>
      </c>
    </row>
    <row r="93" spans="1:12" x14ac:dyDescent="0.2">
      <c r="A93" s="852">
        <v>16</v>
      </c>
      <c r="B93" s="853" t="s">
        <v>886</v>
      </c>
      <c r="C93" s="854" t="s">
        <v>6</v>
      </c>
      <c r="D93" s="854">
        <v>5</v>
      </c>
      <c r="E93" s="290">
        <v>26103</v>
      </c>
      <c r="F93" s="290">
        <v>130515</v>
      </c>
      <c r="G93" s="856">
        <v>5</v>
      </c>
      <c r="H93" s="857">
        <v>130515</v>
      </c>
      <c r="I93" s="892">
        <v>6</v>
      </c>
      <c r="J93" s="857">
        <v>156618</v>
      </c>
      <c r="K93" s="893">
        <v>6</v>
      </c>
      <c r="L93" s="857">
        <v>156618</v>
      </c>
    </row>
    <row r="94" spans="1:12" x14ac:dyDescent="0.2">
      <c r="A94" s="852">
        <v>17</v>
      </c>
      <c r="B94" s="853" t="s">
        <v>900</v>
      </c>
      <c r="C94" s="854" t="s">
        <v>6</v>
      </c>
      <c r="D94" s="854">
        <v>5</v>
      </c>
      <c r="E94" s="290">
        <v>43650</v>
      </c>
      <c r="F94" s="290">
        <v>218250</v>
      </c>
      <c r="G94" s="856">
        <v>5</v>
      </c>
      <c r="H94" s="857">
        <v>218250</v>
      </c>
      <c r="I94" s="895"/>
      <c r="J94" s="857">
        <v>0</v>
      </c>
      <c r="K94" s="893">
        <v>0</v>
      </c>
      <c r="L94" s="857">
        <v>0</v>
      </c>
    </row>
    <row r="95" spans="1:12" ht="48" x14ac:dyDescent="0.2">
      <c r="A95" s="852">
        <v>18</v>
      </c>
      <c r="B95" s="853" t="s">
        <v>1220</v>
      </c>
      <c r="C95" s="854" t="s">
        <v>848</v>
      </c>
      <c r="D95" s="854">
        <v>3</v>
      </c>
      <c r="E95" s="1281">
        <v>530275</v>
      </c>
      <c r="F95" s="290">
        <v>1590825</v>
      </c>
      <c r="G95" s="856">
        <v>3</v>
      </c>
      <c r="H95" s="857">
        <v>1590825</v>
      </c>
      <c r="I95" s="895"/>
      <c r="J95" s="857">
        <v>0</v>
      </c>
      <c r="K95" s="893">
        <v>0</v>
      </c>
      <c r="L95" s="857">
        <v>0</v>
      </c>
    </row>
    <row r="96" spans="1:12" ht="60" x14ac:dyDescent="0.2">
      <c r="A96" s="852">
        <v>19</v>
      </c>
      <c r="B96" s="125" t="s">
        <v>117</v>
      </c>
      <c r="C96" s="854" t="s">
        <v>14</v>
      </c>
      <c r="D96" s="854">
        <v>120</v>
      </c>
      <c r="E96" s="1281">
        <v>64357</v>
      </c>
      <c r="F96" s="290">
        <v>7722840</v>
      </c>
      <c r="G96" s="856">
        <v>120</v>
      </c>
      <c r="H96" s="857">
        <v>7722840</v>
      </c>
      <c r="I96" s="894">
        <v>98.11999999999999</v>
      </c>
      <c r="J96" s="857">
        <v>6314709</v>
      </c>
      <c r="K96" s="893">
        <v>98.11999999999999</v>
      </c>
      <c r="L96" s="857">
        <v>6314709</v>
      </c>
    </row>
    <row r="97" spans="1:12" ht="36" x14ac:dyDescent="0.2">
      <c r="A97" s="852">
        <v>20</v>
      </c>
      <c r="B97" s="125" t="s">
        <v>119</v>
      </c>
      <c r="C97" s="854" t="s">
        <v>6</v>
      </c>
      <c r="D97" s="854">
        <v>32</v>
      </c>
      <c r="E97" s="1281">
        <v>29010</v>
      </c>
      <c r="F97" s="290">
        <v>928320</v>
      </c>
      <c r="G97" s="856">
        <v>32</v>
      </c>
      <c r="H97" s="857">
        <v>928320</v>
      </c>
      <c r="I97" s="895"/>
      <c r="J97" s="857">
        <v>0</v>
      </c>
      <c r="K97" s="893">
        <v>0</v>
      </c>
      <c r="L97" s="857">
        <v>0</v>
      </c>
    </row>
    <row r="98" spans="1:12" x14ac:dyDescent="0.2">
      <c r="A98" s="852">
        <v>21</v>
      </c>
      <c r="B98" s="125" t="s">
        <v>856</v>
      </c>
      <c r="C98" s="854" t="s">
        <v>14</v>
      </c>
      <c r="D98" s="854">
        <v>1334</v>
      </c>
      <c r="E98" s="1281">
        <v>9412</v>
      </c>
      <c r="F98" s="290">
        <v>12555608</v>
      </c>
      <c r="G98" s="856">
        <v>1334</v>
      </c>
      <c r="H98" s="857">
        <v>12555608</v>
      </c>
      <c r="I98" s="892">
        <v>1420</v>
      </c>
      <c r="J98" s="857">
        <v>13365040</v>
      </c>
      <c r="K98" s="893">
        <v>1420</v>
      </c>
      <c r="L98" s="857">
        <v>13365040</v>
      </c>
    </row>
    <row r="99" spans="1:12" x14ac:dyDescent="0.2">
      <c r="A99" s="852">
        <v>22</v>
      </c>
      <c r="B99" s="125" t="s">
        <v>857</v>
      </c>
      <c r="C99" s="854" t="s">
        <v>6</v>
      </c>
      <c r="D99" s="854">
        <v>32</v>
      </c>
      <c r="E99" s="1281">
        <v>64733</v>
      </c>
      <c r="F99" s="290">
        <v>2071456</v>
      </c>
      <c r="G99" s="856">
        <v>32</v>
      </c>
      <c r="H99" s="857">
        <v>2071456</v>
      </c>
      <c r="I99" s="895"/>
      <c r="J99" s="857">
        <v>0</v>
      </c>
      <c r="K99" s="893">
        <v>0</v>
      </c>
      <c r="L99" s="857">
        <v>0</v>
      </c>
    </row>
    <row r="100" spans="1:12" x14ac:dyDescent="0.2">
      <c r="A100" s="852">
        <v>23</v>
      </c>
      <c r="B100" s="125" t="s">
        <v>858</v>
      </c>
      <c r="C100" s="854" t="s">
        <v>6</v>
      </c>
      <c r="D100" s="854">
        <v>32</v>
      </c>
      <c r="E100" s="1281">
        <v>18502</v>
      </c>
      <c r="F100" s="290">
        <v>592064</v>
      </c>
      <c r="G100" s="856">
        <v>32</v>
      </c>
      <c r="H100" s="857">
        <v>592064</v>
      </c>
      <c r="I100" s="895"/>
      <c r="J100" s="857">
        <v>0</v>
      </c>
      <c r="K100" s="893">
        <v>0</v>
      </c>
      <c r="L100" s="857">
        <v>0</v>
      </c>
    </row>
    <row r="101" spans="1:12" ht="48" x14ac:dyDescent="0.2">
      <c r="A101" s="852">
        <v>24</v>
      </c>
      <c r="B101" s="125" t="s">
        <v>1225</v>
      </c>
      <c r="C101" s="854" t="s">
        <v>6</v>
      </c>
      <c r="D101" s="854">
        <v>32</v>
      </c>
      <c r="E101" s="1281">
        <v>110023</v>
      </c>
      <c r="F101" s="290">
        <v>3520736</v>
      </c>
      <c r="G101" s="856">
        <v>32</v>
      </c>
      <c r="H101" s="857">
        <v>3520736</v>
      </c>
      <c r="I101" s="895"/>
      <c r="J101" s="857">
        <v>0</v>
      </c>
      <c r="K101" s="893">
        <v>0</v>
      </c>
      <c r="L101" s="857">
        <v>0</v>
      </c>
    </row>
    <row r="102" spans="1:12" ht="48" x14ac:dyDescent="0.2">
      <c r="A102" s="852">
        <v>25</v>
      </c>
      <c r="B102" s="125" t="s">
        <v>1226</v>
      </c>
      <c r="C102" s="854" t="s">
        <v>6</v>
      </c>
      <c r="D102" s="854">
        <v>32</v>
      </c>
      <c r="E102" s="1281">
        <v>113421</v>
      </c>
      <c r="F102" s="290">
        <v>3629472</v>
      </c>
      <c r="G102" s="856">
        <v>32</v>
      </c>
      <c r="H102" s="857">
        <v>3629472</v>
      </c>
      <c r="I102" s="895"/>
      <c r="J102" s="857">
        <v>0</v>
      </c>
      <c r="K102" s="893">
        <v>0</v>
      </c>
      <c r="L102" s="857">
        <v>0</v>
      </c>
    </row>
    <row r="103" spans="1:12" ht="24" x14ac:dyDescent="0.2">
      <c r="A103" s="852">
        <v>26</v>
      </c>
      <c r="B103" s="125" t="s">
        <v>135</v>
      </c>
      <c r="C103" s="854" t="s">
        <v>14</v>
      </c>
      <c r="D103" s="854">
        <v>350</v>
      </c>
      <c r="E103" s="1281">
        <v>15132</v>
      </c>
      <c r="F103" s="290">
        <v>5296200</v>
      </c>
      <c r="G103" s="856">
        <v>350</v>
      </c>
      <c r="H103" s="857">
        <v>5296200</v>
      </c>
      <c r="I103" s="895"/>
      <c r="J103" s="857">
        <v>0</v>
      </c>
      <c r="K103" s="893">
        <v>0</v>
      </c>
      <c r="L103" s="857">
        <v>0</v>
      </c>
    </row>
    <row r="104" spans="1:12" ht="36" x14ac:dyDescent="0.2">
      <c r="A104" s="852">
        <v>27</v>
      </c>
      <c r="B104" s="125" t="s">
        <v>133</v>
      </c>
      <c r="C104" s="854" t="s">
        <v>6</v>
      </c>
      <c r="D104" s="854">
        <v>20</v>
      </c>
      <c r="E104" s="290">
        <v>104071</v>
      </c>
      <c r="F104" s="290">
        <v>2081420</v>
      </c>
      <c r="G104" s="856">
        <v>20</v>
      </c>
      <c r="H104" s="857">
        <v>2081420</v>
      </c>
      <c r="I104" s="895"/>
      <c r="J104" s="857">
        <v>0</v>
      </c>
      <c r="K104" s="893">
        <v>0</v>
      </c>
      <c r="L104" s="857">
        <v>0</v>
      </c>
    </row>
    <row r="105" spans="1:12" ht="36" x14ac:dyDescent="0.2">
      <c r="A105" s="852">
        <v>28</v>
      </c>
      <c r="B105" s="125" t="s">
        <v>1227</v>
      </c>
      <c r="C105" s="854" t="s">
        <v>14</v>
      </c>
      <c r="D105" s="854">
        <v>20</v>
      </c>
      <c r="E105" s="290">
        <v>14841</v>
      </c>
      <c r="F105" s="290">
        <v>296820</v>
      </c>
      <c r="G105" s="856">
        <v>20</v>
      </c>
      <c r="H105" s="857">
        <v>296820</v>
      </c>
      <c r="I105" s="895"/>
      <c r="J105" s="857">
        <v>0</v>
      </c>
      <c r="K105" s="893">
        <v>0</v>
      </c>
      <c r="L105" s="857">
        <v>0</v>
      </c>
    </row>
    <row r="106" spans="1:12" ht="24" x14ac:dyDescent="0.2">
      <c r="A106" s="852">
        <v>29</v>
      </c>
      <c r="B106" s="125" t="s">
        <v>279</v>
      </c>
      <c r="C106" s="854" t="s">
        <v>6</v>
      </c>
      <c r="D106" s="854">
        <v>7</v>
      </c>
      <c r="E106" s="1281">
        <v>88543</v>
      </c>
      <c r="F106" s="290">
        <v>619801</v>
      </c>
      <c r="G106" s="856">
        <v>7</v>
      </c>
      <c r="H106" s="857">
        <v>619801</v>
      </c>
      <c r="I106" s="895"/>
      <c r="J106" s="857">
        <v>0</v>
      </c>
      <c r="K106" s="893">
        <v>0</v>
      </c>
      <c r="L106" s="857">
        <v>0</v>
      </c>
    </row>
    <row r="107" spans="1:12" ht="24" x14ac:dyDescent="0.2">
      <c r="A107" s="852">
        <v>30</v>
      </c>
      <c r="B107" s="125" t="s">
        <v>141</v>
      </c>
      <c r="C107" s="854" t="s">
        <v>6</v>
      </c>
      <c r="D107" s="854">
        <v>1</v>
      </c>
      <c r="E107" s="290">
        <v>2786713</v>
      </c>
      <c r="F107" s="290">
        <v>2786713</v>
      </c>
      <c r="G107" s="856">
        <v>1</v>
      </c>
      <c r="H107" s="857">
        <v>2786713</v>
      </c>
      <c r="I107" s="895"/>
      <c r="J107" s="857">
        <v>0</v>
      </c>
      <c r="K107" s="893">
        <v>0</v>
      </c>
      <c r="L107" s="857">
        <v>0</v>
      </c>
    </row>
    <row r="108" spans="1:12" ht="24" x14ac:dyDescent="0.2">
      <c r="A108" s="852">
        <v>31</v>
      </c>
      <c r="B108" s="125" t="s">
        <v>1228</v>
      </c>
      <c r="C108" s="854" t="s">
        <v>6</v>
      </c>
      <c r="D108" s="854">
        <v>1</v>
      </c>
      <c r="E108" s="290">
        <v>1576250</v>
      </c>
      <c r="F108" s="290">
        <v>1576250</v>
      </c>
      <c r="G108" s="856">
        <v>1</v>
      </c>
      <c r="H108" s="857">
        <v>1576250</v>
      </c>
      <c r="I108" s="895"/>
      <c r="J108" s="857">
        <v>0</v>
      </c>
      <c r="K108" s="893">
        <v>0</v>
      </c>
      <c r="L108" s="857">
        <v>0</v>
      </c>
    </row>
    <row r="109" spans="1:12" ht="24" x14ac:dyDescent="0.2">
      <c r="A109" s="852">
        <v>32</v>
      </c>
      <c r="B109" s="853" t="s">
        <v>889</v>
      </c>
      <c r="C109" s="854" t="s">
        <v>14</v>
      </c>
      <c r="D109" s="854">
        <v>15</v>
      </c>
      <c r="E109" s="290">
        <v>48252</v>
      </c>
      <c r="F109" s="290">
        <v>723780</v>
      </c>
      <c r="G109" s="856">
        <v>15</v>
      </c>
      <c r="H109" s="857">
        <v>723780</v>
      </c>
      <c r="I109" s="895"/>
      <c r="J109" s="857">
        <v>0</v>
      </c>
      <c r="K109" s="893">
        <v>0</v>
      </c>
      <c r="L109" s="857">
        <v>0</v>
      </c>
    </row>
    <row r="110" spans="1:12" x14ac:dyDescent="0.2">
      <c r="A110" s="852">
        <v>33</v>
      </c>
      <c r="B110" s="853" t="s">
        <v>1230</v>
      </c>
      <c r="C110" s="854" t="s">
        <v>6</v>
      </c>
      <c r="D110" s="854">
        <v>2</v>
      </c>
      <c r="E110" s="290">
        <v>44378</v>
      </c>
      <c r="F110" s="290">
        <v>88756</v>
      </c>
      <c r="G110" s="856">
        <v>2</v>
      </c>
      <c r="H110" s="857">
        <v>88756</v>
      </c>
      <c r="I110" s="895"/>
      <c r="J110" s="857">
        <v>0</v>
      </c>
      <c r="K110" s="893">
        <v>0</v>
      </c>
      <c r="L110" s="857">
        <v>0</v>
      </c>
    </row>
    <row r="111" spans="1:12" x14ac:dyDescent="0.2">
      <c r="A111" s="852">
        <v>34</v>
      </c>
      <c r="B111" s="853" t="s">
        <v>1238</v>
      </c>
      <c r="C111" s="854" t="s">
        <v>19</v>
      </c>
      <c r="D111" s="854">
        <v>22</v>
      </c>
      <c r="E111" s="290">
        <v>44819</v>
      </c>
      <c r="F111" s="290">
        <v>986018</v>
      </c>
      <c r="G111" s="856">
        <v>22</v>
      </c>
      <c r="H111" s="857">
        <v>986018</v>
      </c>
      <c r="I111" s="892">
        <v>20.350000000000001</v>
      </c>
      <c r="J111" s="857">
        <v>912067</v>
      </c>
      <c r="K111" s="893">
        <v>20.350000000000001</v>
      </c>
      <c r="L111" s="857">
        <v>912067</v>
      </c>
    </row>
    <row r="112" spans="1:12" ht="24" x14ac:dyDescent="0.2">
      <c r="A112" s="852">
        <v>35</v>
      </c>
      <c r="B112" s="853" t="s">
        <v>892</v>
      </c>
      <c r="C112" s="854" t="s">
        <v>848</v>
      </c>
      <c r="D112" s="854">
        <v>2</v>
      </c>
      <c r="E112" s="290">
        <v>40321</v>
      </c>
      <c r="F112" s="290">
        <v>80642</v>
      </c>
      <c r="G112" s="856">
        <v>2</v>
      </c>
      <c r="H112" s="857">
        <v>80642</v>
      </c>
      <c r="I112" s="895"/>
      <c r="J112" s="857">
        <v>0</v>
      </c>
      <c r="K112" s="893">
        <v>0</v>
      </c>
      <c r="L112" s="857">
        <v>0</v>
      </c>
    </row>
    <row r="113" spans="1:25" x14ac:dyDescent="0.2">
      <c r="A113" s="852">
        <v>36</v>
      </c>
      <c r="B113" s="853" t="s">
        <v>195</v>
      </c>
      <c r="C113" s="854" t="s">
        <v>19</v>
      </c>
      <c r="D113" s="854">
        <v>400</v>
      </c>
      <c r="E113" s="290">
        <v>4850</v>
      </c>
      <c r="F113" s="290">
        <v>1940000</v>
      </c>
      <c r="G113" s="856">
        <v>400</v>
      </c>
      <c r="H113" s="857">
        <v>1940000</v>
      </c>
      <c r="I113" s="892">
        <v>276.40050000000002</v>
      </c>
      <c r="J113" s="857">
        <v>1340542</v>
      </c>
      <c r="K113" s="893">
        <v>276.40050000000002</v>
      </c>
      <c r="L113" s="857">
        <v>1340542</v>
      </c>
    </row>
    <row r="114" spans="1:25" x14ac:dyDescent="0.2">
      <c r="A114" s="854"/>
      <c r="B114" s="861"/>
      <c r="C114" s="856"/>
      <c r="D114" s="862"/>
      <c r="E114" s="856"/>
      <c r="F114" s="867"/>
      <c r="G114" s="333"/>
      <c r="H114" s="864"/>
      <c r="J114" s="896"/>
      <c r="L114" s="896"/>
    </row>
    <row r="115" spans="1:25" x14ac:dyDescent="0.2">
      <c r="A115" s="854"/>
      <c r="B115" s="861" t="s">
        <v>1231</v>
      </c>
      <c r="C115" s="856"/>
      <c r="D115" s="862"/>
      <c r="E115" s="856"/>
      <c r="F115" s="867">
        <v>93679012</v>
      </c>
      <c r="G115" s="333"/>
      <c r="H115" s="849">
        <v>93679012</v>
      </c>
      <c r="J115" s="867">
        <v>66545061</v>
      </c>
      <c r="L115" s="867">
        <v>66545061</v>
      </c>
    </row>
    <row r="116" spans="1:25" x14ac:dyDescent="0.2">
      <c r="A116" s="854"/>
      <c r="B116" s="861" t="s">
        <v>197</v>
      </c>
      <c r="C116" s="870"/>
      <c r="D116" s="871">
        <v>0.18</v>
      </c>
      <c r="E116" s="856"/>
      <c r="F116" s="867">
        <v>16862222</v>
      </c>
      <c r="G116" s="333"/>
      <c r="H116" s="849">
        <v>16862222</v>
      </c>
      <c r="I116" s="872">
        <v>0.18</v>
      </c>
      <c r="J116" s="867">
        <v>11978111</v>
      </c>
      <c r="L116" s="867">
        <v>11978111</v>
      </c>
    </row>
    <row r="117" spans="1:25" x14ac:dyDescent="0.2">
      <c r="A117" s="854"/>
      <c r="B117" s="861" t="s">
        <v>198</v>
      </c>
      <c r="C117" s="870"/>
      <c r="D117" s="871">
        <v>0.02</v>
      </c>
      <c r="E117" s="856"/>
      <c r="F117" s="867">
        <v>1873580</v>
      </c>
      <c r="G117" s="333"/>
      <c r="H117" s="849">
        <v>1873580</v>
      </c>
      <c r="I117" s="872"/>
      <c r="J117" s="867">
        <v>1330395</v>
      </c>
      <c r="L117" s="867">
        <v>1330901</v>
      </c>
    </row>
    <row r="118" spans="1:25" x14ac:dyDescent="0.2">
      <c r="A118" s="854"/>
      <c r="B118" s="861" t="s">
        <v>199</v>
      </c>
      <c r="C118" s="870"/>
      <c r="D118" s="871">
        <v>0.05</v>
      </c>
      <c r="E118" s="856"/>
      <c r="F118" s="867">
        <v>4683951</v>
      </c>
      <c r="G118" s="333"/>
      <c r="H118" s="849">
        <v>4683951</v>
      </c>
      <c r="I118" s="871">
        <v>0.05</v>
      </c>
      <c r="J118" s="867">
        <v>3327253</v>
      </c>
      <c r="L118" s="867">
        <v>3327253</v>
      </c>
    </row>
    <row r="119" spans="1:25" x14ac:dyDescent="0.2">
      <c r="A119" s="854"/>
      <c r="B119" s="861" t="s">
        <v>200</v>
      </c>
      <c r="C119" s="870"/>
      <c r="D119" s="871">
        <v>0.19</v>
      </c>
      <c r="E119" s="856"/>
      <c r="F119" s="867">
        <v>889951</v>
      </c>
      <c r="G119" s="333"/>
      <c r="H119" s="849">
        <v>889951</v>
      </c>
      <c r="I119" s="871">
        <v>0.19</v>
      </c>
      <c r="J119" s="867">
        <v>632178</v>
      </c>
      <c r="L119" s="867">
        <v>632178</v>
      </c>
    </row>
    <row r="120" spans="1:25" x14ac:dyDescent="0.2">
      <c r="A120" s="897"/>
      <c r="B120" s="861" t="s">
        <v>1239</v>
      </c>
      <c r="C120" s="856"/>
      <c r="D120" s="898"/>
      <c r="E120" s="856"/>
      <c r="F120" s="867">
        <v>117988716</v>
      </c>
      <c r="G120" s="333"/>
      <c r="H120" s="849">
        <v>117988716</v>
      </c>
      <c r="J120" s="899">
        <v>83812998</v>
      </c>
      <c r="L120" s="900">
        <v>83813504</v>
      </c>
      <c r="M120" s="240"/>
    </row>
    <row r="121" spans="1:25" x14ac:dyDescent="0.2">
      <c r="A121" s="878"/>
      <c r="B121" s="879"/>
      <c r="C121" s="880"/>
      <c r="D121" s="881"/>
      <c r="E121" s="880"/>
      <c r="F121" s="882"/>
      <c r="G121" s="333"/>
      <c r="H121" s="884"/>
      <c r="I121" s="2094" t="s">
        <v>1240</v>
      </c>
      <c r="J121" s="2094"/>
      <c r="K121" s="2094"/>
      <c r="L121" s="2094"/>
    </row>
    <row r="122" spans="1:25" x14ac:dyDescent="0.2">
      <c r="A122" s="901"/>
      <c r="B122" s="902"/>
      <c r="C122" s="903"/>
      <c r="D122" s="904"/>
      <c r="E122" s="903"/>
      <c r="F122" s="905"/>
      <c r="G122" s="906"/>
      <c r="H122" s="907"/>
      <c r="I122" s="2098"/>
      <c r="J122" s="2098"/>
      <c r="K122" s="2098"/>
      <c r="L122" s="2098"/>
      <c r="N122" s="908"/>
      <c r="O122" s="908"/>
      <c r="P122" s="908"/>
      <c r="Q122" s="908"/>
      <c r="R122" s="908"/>
      <c r="S122" s="908"/>
      <c r="T122" s="908"/>
      <c r="U122" s="908"/>
      <c r="V122" s="908"/>
      <c r="W122" s="908"/>
      <c r="X122" s="908"/>
      <c r="Y122" s="908"/>
    </row>
    <row r="123" spans="1:25" x14ac:dyDescent="0.2">
      <c r="A123" s="909"/>
      <c r="B123" s="910"/>
      <c r="C123" s="830"/>
      <c r="D123" s="911"/>
      <c r="E123" s="830"/>
      <c r="F123" s="863"/>
      <c r="G123" s="333"/>
      <c r="H123" s="912"/>
    </row>
    <row r="124" spans="1:25" x14ac:dyDescent="0.2">
      <c r="A124" s="2099" t="s">
        <v>1241</v>
      </c>
      <c r="B124" s="2077"/>
      <c r="C124" s="2100" t="s">
        <v>6</v>
      </c>
      <c r="D124" s="2100" t="s">
        <v>830</v>
      </c>
      <c r="E124" s="2102" t="s">
        <v>1207</v>
      </c>
      <c r="F124" s="2100" t="s">
        <v>9</v>
      </c>
      <c r="G124" s="2095" t="s">
        <v>1204</v>
      </c>
      <c r="H124" s="2096"/>
      <c r="I124" s="2097" t="s">
        <v>1205</v>
      </c>
      <c r="J124" s="2062"/>
      <c r="K124" s="2097" t="s">
        <v>1206</v>
      </c>
      <c r="L124" s="2062"/>
    </row>
    <row r="125" spans="1:25" x14ac:dyDescent="0.2">
      <c r="A125" s="844" t="s">
        <v>4</v>
      </c>
      <c r="B125" s="913" t="s">
        <v>5</v>
      </c>
      <c r="C125" s="2101"/>
      <c r="D125" s="2101"/>
      <c r="E125" s="2101"/>
      <c r="F125" s="2101"/>
      <c r="G125" s="848" t="s">
        <v>830</v>
      </c>
      <c r="H125" s="849" t="s">
        <v>1208</v>
      </c>
      <c r="I125" s="850" t="s">
        <v>830</v>
      </c>
      <c r="J125" s="851" t="s">
        <v>1208</v>
      </c>
      <c r="K125" s="850" t="s">
        <v>830</v>
      </c>
      <c r="L125" s="851" t="s">
        <v>1208</v>
      </c>
    </row>
    <row r="126" spans="1:25" ht="48" x14ac:dyDescent="0.2">
      <c r="A126" s="852">
        <v>1</v>
      </c>
      <c r="B126" s="853" t="s">
        <v>1242</v>
      </c>
      <c r="C126" s="909" t="s">
        <v>14</v>
      </c>
      <c r="D126" s="856">
        <v>100</v>
      </c>
      <c r="E126" s="290">
        <v>21950</v>
      </c>
      <c r="F126" s="290">
        <v>2195000</v>
      </c>
      <c r="G126" s="856">
        <v>100</v>
      </c>
      <c r="H126" s="857">
        <v>2195000</v>
      </c>
      <c r="I126" s="848"/>
      <c r="J126" s="873">
        <v>0</v>
      </c>
      <c r="K126" s="848">
        <v>0</v>
      </c>
      <c r="L126" s="873">
        <v>0</v>
      </c>
    </row>
    <row r="127" spans="1:25" ht="60" x14ac:dyDescent="0.2">
      <c r="A127" s="852">
        <v>2</v>
      </c>
      <c r="B127" s="853" t="s">
        <v>1243</v>
      </c>
      <c r="C127" s="60" t="s">
        <v>14</v>
      </c>
      <c r="D127" s="856">
        <v>674</v>
      </c>
      <c r="E127" s="290">
        <v>19786</v>
      </c>
      <c r="F127" s="290">
        <v>13335764</v>
      </c>
      <c r="G127" s="856">
        <v>674</v>
      </c>
      <c r="H127" s="857">
        <v>13335764</v>
      </c>
      <c r="I127" s="848"/>
      <c r="J127" s="873">
        <v>0</v>
      </c>
      <c r="K127" s="848">
        <v>0</v>
      </c>
      <c r="L127" s="873">
        <v>0</v>
      </c>
    </row>
    <row r="128" spans="1:25" ht="36" x14ac:dyDescent="0.2">
      <c r="A128" s="852">
        <v>3</v>
      </c>
      <c r="B128" s="853" t="s">
        <v>1118</v>
      </c>
      <c r="C128" s="60" t="s">
        <v>14</v>
      </c>
      <c r="D128" s="856">
        <v>40</v>
      </c>
      <c r="E128" s="290">
        <v>26433</v>
      </c>
      <c r="F128" s="290">
        <v>1057320</v>
      </c>
      <c r="G128" s="856">
        <v>40</v>
      </c>
      <c r="H128" s="857">
        <v>1057320</v>
      </c>
      <c r="I128" s="848"/>
      <c r="J128" s="873">
        <v>0</v>
      </c>
      <c r="K128" s="848">
        <v>0</v>
      </c>
      <c r="L128" s="873">
        <v>0</v>
      </c>
    </row>
    <row r="129" spans="1:12" ht="48" x14ac:dyDescent="0.2">
      <c r="A129" s="852">
        <v>4</v>
      </c>
      <c r="B129" s="853" t="s">
        <v>86</v>
      </c>
      <c r="C129" s="914" t="s">
        <v>19</v>
      </c>
      <c r="D129" s="856">
        <v>30</v>
      </c>
      <c r="E129" s="1281">
        <v>39910</v>
      </c>
      <c r="F129" s="290">
        <v>1197300</v>
      </c>
      <c r="G129" s="856">
        <v>30</v>
      </c>
      <c r="H129" s="857">
        <v>1197300</v>
      </c>
      <c r="I129" s="915">
        <v>11.8035</v>
      </c>
      <c r="J129" s="873">
        <v>471078</v>
      </c>
      <c r="K129" s="915">
        <v>11.8035</v>
      </c>
      <c r="L129" s="873">
        <v>471078</v>
      </c>
    </row>
    <row r="130" spans="1:12" ht="36" x14ac:dyDescent="0.2">
      <c r="A130" s="852">
        <v>5</v>
      </c>
      <c r="B130" s="853" t="s">
        <v>1244</v>
      </c>
      <c r="C130" s="914" t="s">
        <v>19</v>
      </c>
      <c r="D130" s="856">
        <v>30</v>
      </c>
      <c r="E130" s="290">
        <v>27501</v>
      </c>
      <c r="F130" s="290">
        <v>825030</v>
      </c>
      <c r="G130" s="856">
        <v>30</v>
      </c>
      <c r="H130" s="857">
        <v>825030</v>
      </c>
      <c r="I130" s="915">
        <v>8.1579999999999995</v>
      </c>
      <c r="J130" s="873">
        <v>224353</v>
      </c>
      <c r="K130" s="915">
        <v>8.1579999999999995</v>
      </c>
      <c r="L130" s="873">
        <v>224353</v>
      </c>
    </row>
    <row r="131" spans="1:12" x14ac:dyDescent="0.2">
      <c r="A131" s="852">
        <v>6</v>
      </c>
      <c r="B131" s="853" t="s">
        <v>878</v>
      </c>
      <c r="C131" s="854" t="s">
        <v>14</v>
      </c>
      <c r="D131" s="854">
        <v>34</v>
      </c>
      <c r="E131" s="290">
        <v>9711</v>
      </c>
      <c r="F131" s="290">
        <v>330174</v>
      </c>
      <c r="G131" s="856">
        <v>34</v>
      </c>
      <c r="H131" s="857">
        <v>330174</v>
      </c>
      <c r="I131" s="848"/>
      <c r="J131" s="873">
        <v>0</v>
      </c>
      <c r="K131" s="848">
        <v>0</v>
      </c>
      <c r="L131" s="873">
        <v>0</v>
      </c>
    </row>
    <row r="132" spans="1:12" ht="24" x14ac:dyDescent="0.2">
      <c r="A132" s="852">
        <v>7</v>
      </c>
      <c r="B132" s="853" t="s">
        <v>1245</v>
      </c>
      <c r="C132" s="854" t="s">
        <v>14</v>
      </c>
      <c r="D132" s="854">
        <v>25</v>
      </c>
      <c r="E132" s="1281">
        <v>24962</v>
      </c>
      <c r="F132" s="290">
        <v>624050</v>
      </c>
      <c r="G132" s="856">
        <v>25</v>
      </c>
      <c r="H132" s="857">
        <v>624050</v>
      </c>
      <c r="I132" s="848"/>
      <c r="J132" s="873">
        <v>0</v>
      </c>
      <c r="K132" s="848">
        <v>0</v>
      </c>
      <c r="L132" s="873">
        <v>0</v>
      </c>
    </row>
    <row r="133" spans="1:12" x14ac:dyDescent="0.2">
      <c r="A133" s="852">
        <v>8</v>
      </c>
      <c r="B133" s="853" t="s">
        <v>874</v>
      </c>
      <c r="C133" s="914" t="s">
        <v>19</v>
      </c>
      <c r="D133" s="856">
        <v>30</v>
      </c>
      <c r="E133" s="290">
        <v>9398</v>
      </c>
      <c r="F133" s="290">
        <v>281940</v>
      </c>
      <c r="G133" s="856">
        <v>30</v>
      </c>
      <c r="H133" s="857">
        <v>281940</v>
      </c>
      <c r="I133" s="848"/>
      <c r="J133" s="873">
        <v>0</v>
      </c>
      <c r="K133" s="848">
        <v>0</v>
      </c>
      <c r="L133" s="873">
        <v>0</v>
      </c>
    </row>
    <row r="134" spans="1:12" x14ac:dyDescent="0.2">
      <c r="A134" s="852">
        <v>9</v>
      </c>
      <c r="B134" s="853" t="s">
        <v>1246</v>
      </c>
      <c r="C134" s="914" t="s">
        <v>19</v>
      </c>
      <c r="D134" s="856">
        <v>40</v>
      </c>
      <c r="E134" s="290">
        <v>11155</v>
      </c>
      <c r="F134" s="290">
        <v>446200</v>
      </c>
      <c r="G134" s="856">
        <v>40</v>
      </c>
      <c r="H134" s="857">
        <v>446200</v>
      </c>
      <c r="I134" s="848"/>
      <c r="J134" s="873">
        <v>0</v>
      </c>
      <c r="K134" s="848">
        <v>0</v>
      </c>
      <c r="L134" s="873">
        <v>0</v>
      </c>
    </row>
    <row r="135" spans="1:12" x14ac:dyDescent="0.2">
      <c r="A135" s="852">
        <v>10</v>
      </c>
      <c r="B135" s="853" t="s">
        <v>1247</v>
      </c>
      <c r="C135" s="856" t="s">
        <v>19</v>
      </c>
      <c r="D135" s="856">
        <v>20</v>
      </c>
      <c r="E135" s="290">
        <v>21340</v>
      </c>
      <c r="F135" s="290">
        <v>426800</v>
      </c>
      <c r="G135" s="856">
        <v>20</v>
      </c>
      <c r="H135" s="857">
        <v>426800</v>
      </c>
      <c r="I135" s="848"/>
      <c r="J135" s="873">
        <v>0</v>
      </c>
      <c r="K135" s="848">
        <v>0</v>
      </c>
      <c r="L135" s="873">
        <v>0</v>
      </c>
    </row>
    <row r="136" spans="1:12" x14ac:dyDescent="0.2">
      <c r="A136" s="852">
        <v>11</v>
      </c>
      <c r="B136" s="853" t="s">
        <v>1248</v>
      </c>
      <c r="C136" s="914" t="s">
        <v>6</v>
      </c>
      <c r="D136" s="856">
        <v>7</v>
      </c>
      <c r="E136" s="290">
        <v>10476</v>
      </c>
      <c r="F136" s="290">
        <v>73332</v>
      </c>
      <c r="G136" s="856">
        <v>7</v>
      </c>
      <c r="H136" s="857">
        <v>73332</v>
      </c>
      <c r="I136" s="848"/>
      <c r="J136" s="873">
        <v>0</v>
      </c>
      <c r="K136" s="848">
        <v>0</v>
      </c>
      <c r="L136" s="873">
        <v>0</v>
      </c>
    </row>
    <row r="137" spans="1:12" ht="24" x14ac:dyDescent="0.2">
      <c r="A137" s="852">
        <v>12</v>
      </c>
      <c r="B137" s="853" t="s">
        <v>1249</v>
      </c>
      <c r="C137" s="914" t="s">
        <v>14</v>
      </c>
      <c r="D137" s="856">
        <v>18</v>
      </c>
      <c r="E137" s="290">
        <v>6548</v>
      </c>
      <c r="F137" s="290">
        <v>117864</v>
      </c>
      <c r="G137" s="856">
        <v>18</v>
      </c>
      <c r="H137" s="857">
        <v>117864</v>
      </c>
      <c r="I137" s="848"/>
      <c r="J137" s="873">
        <v>0</v>
      </c>
      <c r="K137" s="848">
        <v>0</v>
      </c>
      <c r="L137" s="873">
        <v>0</v>
      </c>
    </row>
    <row r="138" spans="1:12" x14ac:dyDescent="0.2">
      <c r="A138" s="852">
        <v>13</v>
      </c>
      <c r="B138" s="853" t="s">
        <v>1250</v>
      </c>
      <c r="C138" s="914" t="s">
        <v>6</v>
      </c>
      <c r="D138" s="856">
        <v>7</v>
      </c>
      <c r="E138" s="290">
        <v>29488</v>
      </c>
      <c r="F138" s="290">
        <v>206416</v>
      </c>
      <c r="G138" s="856">
        <v>7</v>
      </c>
      <c r="H138" s="857">
        <v>206416</v>
      </c>
      <c r="I138" s="848"/>
      <c r="J138" s="873">
        <v>0</v>
      </c>
      <c r="K138" s="848">
        <v>0</v>
      </c>
      <c r="L138" s="873">
        <v>0</v>
      </c>
    </row>
    <row r="139" spans="1:12" x14ac:dyDescent="0.2">
      <c r="A139" s="852">
        <v>14</v>
      </c>
      <c r="B139" s="853" t="s">
        <v>211</v>
      </c>
      <c r="C139" s="914" t="s">
        <v>19</v>
      </c>
      <c r="D139" s="856">
        <v>140</v>
      </c>
      <c r="E139" s="290">
        <v>7728</v>
      </c>
      <c r="F139" s="290">
        <v>1081920</v>
      </c>
      <c r="G139" s="856">
        <v>140</v>
      </c>
      <c r="H139" s="857">
        <v>1081920</v>
      </c>
      <c r="I139" s="915">
        <v>14.673500000000001</v>
      </c>
      <c r="J139" s="873">
        <v>113397</v>
      </c>
      <c r="K139" s="915">
        <v>14.673500000000001</v>
      </c>
      <c r="L139" s="873">
        <v>113397</v>
      </c>
    </row>
    <row r="140" spans="1:12" ht="24" x14ac:dyDescent="0.2">
      <c r="A140" s="852">
        <v>15</v>
      </c>
      <c r="B140" s="853" t="s">
        <v>84</v>
      </c>
      <c r="C140" s="854" t="s">
        <v>19</v>
      </c>
      <c r="D140" s="854">
        <v>80</v>
      </c>
      <c r="E140" s="1281">
        <v>6305</v>
      </c>
      <c r="F140" s="290">
        <v>504400</v>
      </c>
      <c r="G140" s="856">
        <v>80</v>
      </c>
      <c r="H140" s="857">
        <v>504400</v>
      </c>
      <c r="I140" s="848"/>
      <c r="J140" s="873">
        <v>0</v>
      </c>
      <c r="K140" s="848">
        <v>0</v>
      </c>
      <c r="L140" s="873">
        <v>0</v>
      </c>
    </row>
    <row r="141" spans="1:12" x14ac:dyDescent="0.2">
      <c r="A141" s="852">
        <v>16</v>
      </c>
      <c r="B141" s="853" t="s">
        <v>88</v>
      </c>
      <c r="C141" s="854" t="s">
        <v>19</v>
      </c>
      <c r="D141" s="854">
        <v>110</v>
      </c>
      <c r="E141" s="1281">
        <v>22520</v>
      </c>
      <c r="F141" s="290">
        <v>2477200</v>
      </c>
      <c r="G141" s="856">
        <v>110</v>
      </c>
      <c r="H141" s="857">
        <v>2477200</v>
      </c>
      <c r="I141" s="915">
        <v>19.655099999999997</v>
      </c>
      <c r="J141" s="873">
        <v>442633</v>
      </c>
      <c r="K141" s="915">
        <v>19.655099999999997</v>
      </c>
      <c r="L141" s="873">
        <v>442633</v>
      </c>
    </row>
    <row r="142" spans="1:12" x14ac:dyDescent="0.2">
      <c r="A142" s="852">
        <v>17</v>
      </c>
      <c r="B142" s="853" t="s">
        <v>639</v>
      </c>
      <c r="C142" s="854" t="s">
        <v>19</v>
      </c>
      <c r="D142" s="854">
        <v>220</v>
      </c>
      <c r="E142" s="290">
        <v>17033</v>
      </c>
      <c r="F142" s="290">
        <v>3747260</v>
      </c>
      <c r="G142" s="856">
        <v>220</v>
      </c>
      <c r="H142" s="857">
        <v>3747260</v>
      </c>
      <c r="I142" s="915">
        <v>42.860200000000006</v>
      </c>
      <c r="J142" s="873">
        <v>730038</v>
      </c>
      <c r="K142" s="915">
        <v>42.860200000000006</v>
      </c>
      <c r="L142" s="873">
        <v>730038</v>
      </c>
    </row>
    <row r="143" spans="1:12" ht="24" x14ac:dyDescent="0.2">
      <c r="A143" s="852">
        <v>18</v>
      </c>
      <c r="B143" s="853" t="s">
        <v>852</v>
      </c>
      <c r="C143" s="854" t="s">
        <v>6</v>
      </c>
      <c r="D143" s="854">
        <v>7</v>
      </c>
      <c r="E143" s="290">
        <v>162835</v>
      </c>
      <c r="F143" s="290">
        <v>1139845</v>
      </c>
      <c r="G143" s="856">
        <v>7</v>
      </c>
      <c r="H143" s="857">
        <v>1139845</v>
      </c>
      <c r="I143" s="848"/>
      <c r="J143" s="873">
        <v>0</v>
      </c>
      <c r="K143" s="848">
        <v>0</v>
      </c>
      <c r="L143" s="873">
        <v>0</v>
      </c>
    </row>
    <row r="144" spans="1:12" ht="24" x14ac:dyDescent="0.2">
      <c r="A144" s="852">
        <v>19</v>
      </c>
      <c r="B144" s="853" t="s">
        <v>1251</v>
      </c>
      <c r="C144" s="854" t="s">
        <v>19</v>
      </c>
      <c r="D144" s="854">
        <v>20</v>
      </c>
      <c r="E144" s="290">
        <v>32328</v>
      </c>
      <c r="F144" s="290">
        <v>646560</v>
      </c>
      <c r="G144" s="856">
        <v>20</v>
      </c>
      <c r="H144" s="857">
        <v>646560</v>
      </c>
      <c r="I144" s="848"/>
      <c r="J144" s="873">
        <v>0</v>
      </c>
      <c r="K144" s="848">
        <v>0</v>
      </c>
      <c r="L144" s="873">
        <v>0</v>
      </c>
    </row>
    <row r="145" spans="1:12" x14ac:dyDescent="0.2">
      <c r="A145" s="852">
        <v>20</v>
      </c>
      <c r="B145" s="853" t="s">
        <v>873</v>
      </c>
      <c r="C145" s="854" t="s">
        <v>19</v>
      </c>
      <c r="D145" s="854">
        <v>19</v>
      </c>
      <c r="E145" s="290">
        <v>15561</v>
      </c>
      <c r="F145" s="290">
        <v>295659</v>
      </c>
      <c r="G145" s="856">
        <v>19</v>
      </c>
      <c r="H145" s="857">
        <v>295659</v>
      </c>
      <c r="I145" s="915">
        <v>3.05</v>
      </c>
      <c r="J145" s="873">
        <v>47461</v>
      </c>
      <c r="K145" s="915">
        <v>3.05</v>
      </c>
      <c r="L145" s="873">
        <v>47461</v>
      </c>
    </row>
    <row r="146" spans="1:12" ht="36" x14ac:dyDescent="0.2">
      <c r="A146" s="852">
        <v>21</v>
      </c>
      <c r="B146" s="853" t="s">
        <v>1252</v>
      </c>
      <c r="C146" s="854" t="s">
        <v>19</v>
      </c>
      <c r="D146" s="854">
        <v>30</v>
      </c>
      <c r="E146" s="290">
        <v>66930</v>
      </c>
      <c r="F146" s="290">
        <v>2007900</v>
      </c>
      <c r="G146" s="856">
        <v>30</v>
      </c>
      <c r="H146" s="857">
        <v>2007900</v>
      </c>
      <c r="I146" s="915">
        <v>0.97520000000000007</v>
      </c>
      <c r="J146" s="873">
        <v>65270</v>
      </c>
      <c r="K146" s="915">
        <v>0.97520000000000007</v>
      </c>
      <c r="L146" s="873">
        <v>65270</v>
      </c>
    </row>
    <row r="147" spans="1:12" ht="48" x14ac:dyDescent="0.2">
      <c r="A147" s="852">
        <v>22</v>
      </c>
      <c r="B147" s="853" t="s">
        <v>484</v>
      </c>
      <c r="C147" s="854" t="s">
        <v>14</v>
      </c>
      <c r="D147" s="854">
        <v>2</v>
      </c>
      <c r="E147" s="290">
        <v>51702</v>
      </c>
      <c r="F147" s="290">
        <v>103404</v>
      </c>
      <c r="G147" s="856">
        <v>2</v>
      </c>
      <c r="H147" s="857">
        <v>103404</v>
      </c>
      <c r="I147" s="848"/>
      <c r="J147" s="873">
        <v>0</v>
      </c>
      <c r="K147" s="848">
        <v>0</v>
      </c>
      <c r="L147" s="873">
        <v>0</v>
      </c>
    </row>
    <row r="148" spans="1:12" ht="36" x14ac:dyDescent="0.2">
      <c r="A148" s="852">
        <v>23</v>
      </c>
      <c r="B148" s="853" t="s">
        <v>1253</v>
      </c>
      <c r="C148" s="854" t="s">
        <v>14</v>
      </c>
      <c r="D148" s="854">
        <v>721</v>
      </c>
      <c r="E148" s="290">
        <v>40498</v>
      </c>
      <c r="F148" s="290">
        <v>29199058</v>
      </c>
      <c r="G148" s="856">
        <v>0</v>
      </c>
      <c r="H148" s="857">
        <v>0</v>
      </c>
      <c r="I148" s="848"/>
      <c r="J148" s="873">
        <v>0</v>
      </c>
      <c r="K148" s="848">
        <v>0</v>
      </c>
      <c r="L148" s="873">
        <v>0</v>
      </c>
    </row>
    <row r="149" spans="1:12" x14ac:dyDescent="0.2">
      <c r="A149" s="852">
        <v>24</v>
      </c>
      <c r="B149" s="853" t="s">
        <v>959</v>
      </c>
      <c r="C149" s="854" t="s">
        <v>6</v>
      </c>
      <c r="D149" s="854">
        <v>1</v>
      </c>
      <c r="E149" s="290">
        <v>42139</v>
      </c>
      <c r="F149" s="290">
        <v>42139</v>
      </c>
      <c r="G149" s="856">
        <v>1</v>
      </c>
      <c r="H149" s="857">
        <v>42139</v>
      </c>
      <c r="I149" s="848"/>
      <c r="J149" s="873">
        <v>0</v>
      </c>
      <c r="K149" s="848">
        <v>0</v>
      </c>
      <c r="L149" s="873">
        <v>0</v>
      </c>
    </row>
    <row r="150" spans="1:12" ht="24" x14ac:dyDescent="0.2">
      <c r="A150" s="852">
        <v>25</v>
      </c>
      <c r="B150" s="853" t="s">
        <v>1254</v>
      </c>
      <c r="C150" s="854" t="s">
        <v>14</v>
      </c>
      <c r="D150" s="854">
        <v>40</v>
      </c>
      <c r="E150" s="290">
        <v>26142</v>
      </c>
      <c r="F150" s="290">
        <v>1045680</v>
      </c>
      <c r="G150" s="856">
        <v>40</v>
      </c>
      <c r="H150" s="857">
        <v>1045680</v>
      </c>
      <c r="I150" s="848"/>
      <c r="J150" s="873">
        <v>0</v>
      </c>
      <c r="K150" s="848">
        <v>0</v>
      </c>
      <c r="L150" s="873">
        <v>0</v>
      </c>
    </row>
    <row r="151" spans="1:12" ht="48" x14ac:dyDescent="0.2">
      <c r="A151" s="852">
        <v>26</v>
      </c>
      <c r="B151" s="853" t="s">
        <v>1255</v>
      </c>
      <c r="C151" s="854" t="s">
        <v>6</v>
      </c>
      <c r="D151" s="854">
        <v>3</v>
      </c>
      <c r="E151" s="290">
        <v>1818750</v>
      </c>
      <c r="F151" s="290">
        <v>5456250</v>
      </c>
      <c r="G151" s="856">
        <v>3</v>
      </c>
      <c r="H151" s="857">
        <v>5456250</v>
      </c>
      <c r="I151" s="915">
        <v>3</v>
      </c>
      <c r="J151" s="873">
        <v>5456250</v>
      </c>
      <c r="K151" s="915">
        <v>3</v>
      </c>
      <c r="L151" s="873">
        <v>5456250</v>
      </c>
    </row>
    <row r="152" spans="1:12" ht="36" x14ac:dyDescent="0.2">
      <c r="A152" s="852">
        <v>27</v>
      </c>
      <c r="B152" s="853" t="s">
        <v>1256</v>
      </c>
      <c r="C152" s="854" t="s">
        <v>14</v>
      </c>
      <c r="D152" s="854">
        <v>80</v>
      </c>
      <c r="E152" s="290">
        <v>23765</v>
      </c>
      <c r="F152" s="290">
        <v>1901200</v>
      </c>
      <c r="G152" s="856">
        <v>80</v>
      </c>
      <c r="H152" s="857">
        <v>1901200</v>
      </c>
      <c r="I152" s="915">
        <v>220.36000000000004</v>
      </c>
      <c r="J152" s="873">
        <v>5236855</v>
      </c>
      <c r="K152" s="915">
        <v>220.36000000000004</v>
      </c>
      <c r="L152" s="873">
        <v>5236855</v>
      </c>
    </row>
    <row r="153" spans="1:12" ht="48" x14ac:dyDescent="0.2">
      <c r="A153" s="852">
        <v>28</v>
      </c>
      <c r="B153" s="853" t="s">
        <v>1257</v>
      </c>
      <c r="C153" s="854" t="s">
        <v>6</v>
      </c>
      <c r="D153" s="854">
        <v>20</v>
      </c>
      <c r="E153" s="290">
        <v>123675</v>
      </c>
      <c r="F153" s="290">
        <v>2473500</v>
      </c>
      <c r="G153" s="856">
        <v>20</v>
      </c>
      <c r="H153" s="857">
        <v>2473500</v>
      </c>
      <c r="I153" s="848"/>
      <c r="J153" s="873">
        <v>0</v>
      </c>
      <c r="K153" s="848">
        <v>0</v>
      </c>
      <c r="L153" s="873">
        <v>0</v>
      </c>
    </row>
    <row r="154" spans="1:12" ht="36" x14ac:dyDescent="0.2">
      <c r="A154" s="852">
        <v>29</v>
      </c>
      <c r="B154" s="853" t="s">
        <v>1258</v>
      </c>
      <c r="C154" s="854" t="s">
        <v>14</v>
      </c>
      <c r="D154" s="854">
        <v>900</v>
      </c>
      <c r="E154" s="290">
        <v>20128</v>
      </c>
      <c r="F154" s="290">
        <v>18115200</v>
      </c>
      <c r="G154" s="856">
        <v>0</v>
      </c>
      <c r="H154" s="857">
        <v>0</v>
      </c>
      <c r="I154" s="848"/>
      <c r="J154" s="873">
        <v>0</v>
      </c>
      <c r="K154" s="848">
        <v>0</v>
      </c>
      <c r="L154" s="873">
        <v>0</v>
      </c>
    </row>
    <row r="155" spans="1:12" x14ac:dyDescent="0.2">
      <c r="A155" s="852">
        <v>30</v>
      </c>
      <c r="B155" s="853" t="s">
        <v>1259</v>
      </c>
      <c r="C155" s="854" t="s">
        <v>6</v>
      </c>
      <c r="D155" s="854">
        <v>2</v>
      </c>
      <c r="E155" s="290">
        <v>55775</v>
      </c>
      <c r="F155" s="290">
        <v>111550</v>
      </c>
      <c r="G155" s="856">
        <v>2</v>
      </c>
      <c r="H155" s="857">
        <v>111550</v>
      </c>
      <c r="I155" s="848"/>
      <c r="J155" s="873">
        <v>0</v>
      </c>
      <c r="K155" s="848">
        <v>0</v>
      </c>
      <c r="L155" s="873">
        <v>0</v>
      </c>
    </row>
    <row r="156" spans="1:12" ht="24" x14ac:dyDescent="0.2">
      <c r="A156" s="852">
        <v>31</v>
      </c>
      <c r="B156" s="853" t="s">
        <v>1260</v>
      </c>
      <c r="C156" s="854" t="s">
        <v>6</v>
      </c>
      <c r="D156" s="854">
        <v>2</v>
      </c>
      <c r="E156" s="290">
        <v>596550</v>
      </c>
      <c r="F156" s="290">
        <v>1193100</v>
      </c>
      <c r="G156" s="856">
        <v>2</v>
      </c>
      <c r="H156" s="857">
        <v>1193100</v>
      </c>
      <c r="I156" s="848"/>
      <c r="J156" s="873">
        <v>0</v>
      </c>
      <c r="K156" s="848">
        <v>0</v>
      </c>
      <c r="L156" s="873">
        <v>0</v>
      </c>
    </row>
    <row r="157" spans="1:12" x14ac:dyDescent="0.2">
      <c r="A157" s="852">
        <v>32</v>
      </c>
      <c r="B157" s="916" t="s">
        <v>195</v>
      </c>
      <c r="C157" s="854" t="s">
        <v>19</v>
      </c>
      <c r="D157" s="854">
        <v>1600</v>
      </c>
      <c r="E157" s="290">
        <v>4850</v>
      </c>
      <c r="F157" s="290">
        <v>7760000</v>
      </c>
      <c r="G157" s="856">
        <v>1600</v>
      </c>
      <c r="H157" s="857">
        <v>7760000</v>
      </c>
      <c r="I157" s="915">
        <v>800</v>
      </c>
      <c r="J157" s="873">
        <v>3880000</v>
      </c>
      <c r="K157" s="915">
        <v>800</v>
      </c>
      <c r="L157" s="873">
        <v>3880000</v>
      </c>
    </row>
    <row r="158" spans="1:12" ht="36" x14ac:dyDescent="0.2">
      <c r="A158" s="917">
        <v>33</v>
      </c>
      <c r="B158" s="853" t="s">
        <v>1261</v>
      </c>
      <c r="C158" s="856" t="s">
        <v>14</v>
      </c>
      <c r="D158" s="854"/>
      <c r="E158" s="1281">
        <v>51019</v>
      </c>
      <c r="F158" s="290">
        <v>0</v>
      </c>
      <c r="G158" s="856">
        <v>927</v>
      </c>
      <c r="H158" s="857">
        <v>47294613</v>
      </c>
      <c r="I158" s="915">
        <v>900</v>
      </c>
      <c r="J158" s="873">
        <v>45917100</v>
      </c>
      <c r="K158" s="915">
        <v>900</v>
      </c>
      <c r="L158" s="873">
        <v>45917100</v>
      </c>
    </row>
    <row r="159" spans="1:12" ht="24" x14ac:dyDescent="0.2">
      <c r="A159" s="852">
        <v>9</v>
      </c>
      <c r="B159" s="853" t="s">
        <v>1236</v>
      </c>
      <c r="C159" s="854" t="s">
        <v>14</v>
      </c>
      <c r="D159" s="854"/>
      <c r="E159" s="290">
        <v>10534</v>
      </c>
      <c r="F159" s="290">
        <v>0</v>
      </c>
      <c r="G159" s="848">
        <v>0</v>
      </c>
      <c r="H159" s="857">
        <v>0</v>
      </c>
      <c r="I159" s="915">
        <v>5.2</v>
      </c>
      <c r="J159" s="873">
        <v>54777</v>
      </c>
      <c r="K159" s="915">
        <v>5.2</v>
      </c>
      <c r="L159" s="873">
        <v>54777</v>
      </c>
    </row>
    <row r="160" spans="1:12" ht="24" x14ac:dyDescent="0.2">
      <c r="A160" s="852">
        <v>10</v>
      </c>
      <c r="B160" s="853" t="s">
        <v>1237</v>
      </c>
      <c r="C160" s="854" t="s">
        <v>14</v>
      </c>
      <c r="D160" s="854"/>
      <c r="E160" s="290">
        <v>13282</v>
      </c>
      <c r="F160" s="290">
        <v>0</v>
      </c>
      <c r="G160" s="848">
        <v>0</v>
      </c>
      <c r="H160" s="857">
        <v>0</v>
      </c>
      <c r="I160" s="915">
        <v>5.2</v>
      </c>
      <c r="J160" s="873">
        <v>69066</v>
      </c>
      <c r="K160" s="915">
        <v>5.2</v>
      </c>
      <c r="L160" s="873">
        <v>69066</v>
      </c>
    </row>
    <row r="161" spans="1:26" x14ac:dyDescent="0.2">
      <c r="A161" s="901"/>
      <c r="B161" s="902"/>
      <c r="C161" s="903"/>
      <c r="D161" s="918"/>
      <c r="E161" s="887"/>
      <c r="F161" s="919"/>
      <c r="G161" s="920"/>
      <c r="H161" s="919"/>
      <c r="I161" s="920"/>
      <c r="J161" s="889"/>
      <c r="K161" s="920"/>
      <c r="L161" s="889"/>
      <c r="N161" s="908"/>
      <c r="O161" s="908"/>
      <c r="P161" s="908"/>
      <c r="Q161" s="908"/>
      <c r="R161" s="908"/>
      <c r="S161" s="908"/>
      <c r="T161" s="908"/>
      <c r="U161" s="908"/>
      <c r="V161" s="908"/>
      <c r="W161" s="908"/>
      <c r="X161" s="908"/>
      <c r="Y161" s="908"/>
    </row>
    <row r="162" spans="1:26" x14ac:dyDescent="0.2">
      <c r="A162" s="854"/>
      <c r="B162" s="921" t="s">
        <v>1231</v>
      </c>
      <c r="C162" s="856"/>
      <c r="D162" s="862"/>
      <c r="E162" s="856"/>
      <c r="F162" s="867">
        <v>100419015</v>
      </c>
      <c r="G162" s="850"/>
      <c r="H162" s="867">
        <v>100399370</v>
      </c>
      <c r="I162" s="850"/>
      <c r="J162" s="867">
        <v>62708278</v>
      </c>
      <c r="K162" s="850"/>
      <c r="L162" s="867">
        <v>62708278</v>
      </c>
    </row>
    <row r="163" spans="1:26" x14ac:dyDescent="0.2">
      <c r="A163" s="854"/>
      <c r="B163" s="921" t="s">
        <v>197</v>
      </c>
      <c r="C163" s="870"/>
      <c r="D163" s="871">
        <v>0.18</v>
      </c>
      <c r="E163" s="856"/>
      <c r="F163" s="867">
        <v>18075423</v>
      </c>
      <c r="G163" s="896"/>
      <c r="H163" s="867">
        <v>18071887</v>
      </c>
      <c r="I163" s="871">
        <v>0.18</v>
      </c>
      <c r="J163" s="922">
        <v>11287490</v>
      </c>
      <c r="K163" s="896"/>
      <c r="L163" s="922">
        <v>11287490</v>
      </c>
    </row>
    <row r="164" spans="1:26" x14ac:dyDescent="0.2">
      <c r="A164" s="854"/>
      <c r="B164" s="921" t="s">
        <v>198</v>
      </c>
      <c r="C164" s="870"/>
      <c r="D164" s="871">
        <v>0.02</v>
      </c>
      <c r="E164" s="856"/>
      <c r="F164" s="867">
        <v>2008380</v>
      </c>
      <c r="G164" s="896"/>
      <c r="H164" s="867">
        <v>2007987</v>
      </c>
      <c r="I164" s="923"/>
      <c r="J164" s="922">
        <v>1254140</v>
      </c>
      <c r="K164" s="896"/>
      <c r="L164" s="922">
        <v>1254166</v>
      </c>
    </row>
    <row r="165" spans="1:26" x14ac:dyDescent="0.2">
      <c r="A165" s="854"/>
      <c r="B165" s="921" t="s">
        <v>199</v>
      </c>
      <c r="C165" s="870"/>
      <c r="D165" s="871">
        <v>0.05</v>
      </c>
      <c r="E165" s="856"/>
      <c r="F165" s="867">
        <v>5020951</v>
      </c>
      <c r="G165" s="896"/>
      <c r="H165" s="867">
        <v>5019969</v>
      </c>
      <c r="I165" s="871">
        <v>0.05</v>
      </c>
      <c r="J165" s="922">
        <v>3135414</v>
      </c>
      <c r="K165" s="896"/>
      <c r="L165" s="922">
        <v>3135414</v>
      </c>
    </row>
    <row r="166" spans="1:26" x14ac:dyDescent="0.2">
      <c r="A166" s="854"/>
      <c r="B166" s="921" t="s">
        <v>200</v>
      </c>
      <c r="C166" s="870"/>
      <c r="D166" s="871">
        <v>0.19</v>
      </c>
      <c r="E166" s="856"/>
      <c r="F166" s="867">
        <v>953981</v>
      </c>
      <c r="G166" s="896"/>
      <c r="H166" s="867">
        <v>953794</v>
      </c>
      <c r="I166" s="871">
        <v>0.19</v>
      </c>
      <c r="J166" s="922">
        <v>595729</v>
      </c>
      <c r="K166" s="896"/>
      <c r="L166" s="922">
        <v>595729</v>
      </c>
    </row>
    <row r="167" spans="1:26" x14ac:dyDescent="0.2">
      <c r="A167" s="854"/>
      <c r="B167" s="921" t="s">
        <v>1262</v>
      </c>
      <c r="C167" s="856"/>
      <c r="D167" s="876"/>
      <c r="E167" s="856"/>
      <c r="F167" s="867">
        <v>126477750</v>
      </c>
      <c r="G167" s="896"/>
      <c r="H167" s="867">
        <v>126453007</v>
      </c>
      <c r="I167" s="896"/>
      <c r="J167" s="924">
        <v>78981051</v>
      </c>
      <c r="K167" s="896"/>
      <c r="L167" s="924">
        <v>78981077</v>
      </c>
      <c r="M167" s="869"/>
    </row>
    <row r="168" spans="1:26" ht="16.5" customHeight="1" x14ac:dyDescent="0.2">
      <c r="A168" s="878"/>
      <c r="B168" s="925"/>
      <c r="C168" s="880"/>
      <c r="D168" s="881"/>
      <c r="E168" s="880"/>
      <c r="F168" s="882"/>
      <c r="G168" s="896"/>
      <c r="H168" s="882"/>
      <c r="I168" s="2094" t="s">
        <v>1263</v>
      </c>
      <c r="J168" s="2094"/>
      <c r="K168" s="2094"/>
      <c r="L168" s="2094"/>
    </row>
    <row r="169" spans="1:26" ht="21.75" customHeight="1" thickBot="1" x14ac:dyDescent="0.25">
      <c r="E169" s="830"/>
      <c r="F169" s="841"/>
      <c r="G169" s="896"/>
      <c r="H169" s="926"/>
      <c r="I169" s="2098"/>
      <c r="J169" s="2098"/>
      <c r="K169" s="2098"/>
      <c r="L169" s="2098"/>
    </row>
    <row r="170" spans="1:26" ht="18" customHeight="1" thickBot="1" x14ac:dyDescent="0.25">
      <c r="A170" s="2110" t="s">
        <v>1264</v>
      </c>
      <c r="B170" s="2111"/>
      <c r="C170" s="2111"/>
      <c r="D170" s="2111"/>
      <c r="E170" s="2112"/>
      <c r="F170" s="927">
        <v>546435190</v>
      </c>
      <c r="G170" s="896"/>
      <c r="H170" s="928">
        <v>546410447</v>
      </c>
      <c r="I170" s="929"/>
      <c r="J170" s="930">
        <v>252586345</v>
      </c>
      <c r="K170" s="931"/>
      <c r="L170" s="867">
        <v>252587121</v>
      </c>
    </row>
    <row r="171" spans="1:26" ht="15" customHeight="1" thickBot="1" x14ac:dyDescent="0.25">
      <c r="A171" s="932"/>
      <c r="B171" s="933"/>
      <c r="C171" s="933"/>
      <c r="D171" s="933"/>
      <c r="E171" s="933"/>
      <c r="F171" s="934"/>
      <c r="G171" s="896"/>
      <c r="H171" s="2110" t="s">
        <v>1166</v>
      </c>
      <c r="I171" s="2111"/>
      <c r="J171" s="927">
        <v>252586345</v>
      </c>
      <c r="K171" s="896"/>
      <c r="L171" s="935"/>
    </row>
    <row r="172" spans="1:26" x14ac:dyDescent="0.2">
      <c r="G172" s="896"/>
      <c r="H172" s="926"/>
      <c r="I172" s="896"/>
    </row>
    <row r="173" spans="1:26" x14ac:dyDescent="0.2">
      <c r="A173" s="936"/>
      <c r="B173" s="2113" t="s">
        <v>1265</v>
      </c>
      <c r="C173" s="2106"/>
      <c r="D173" s="2113"/>
      <c r="E173" s="2114"/>
      <c r="F173" s="2114"/>
      <c r="G173" s="2106"/>
      <c r="H173" s="2113"/>
      <c r="I173" s="2114"/>
      <c r="J173" s="2114"/>
      <c r="K173" s="2114"/>
      <c r="L173" s="2106"/>
      <c r="M173" s="2103"/>
      <c r="N173" s="2104"/>
      <c r="O173" s="2104"/>
      <c r="P173" s="2104"/>
      <c r="Q173" s="2104"/>
      <c r="R173" s="2104"/>
      <c r="S173" s="2104"/>
      <c r="T173" s="2104"/>
      <c r="U173" s="2104"/>
      <c r="V173" s="2104"/>
      <c r="W173" s="2104"/>
      <c r="X173" s="2104"/>
      <c r="Y173" s="2104"/>
      <c r="Z173" s="2104"/>
    </row>
    <row r="174" spans="1:26" ht="78.75" customHeight="1" x14ac:dyDescent="0.2">
      <c r="A174" s="936"/>
      <c r="B174" s="2105" t="s">
        <v>1266</v>
      </c>
      <c r="C174" s="2106"/>
      <c r="D174" s="2107" t="s">
        <v>1267</v>
      </c>
      <c r="E174" s="2108"/>
      <c r="F174" s="2108"/>
      <c r="G174" s="2109"/>
      <c r="H174" s="2105" t="s">
        <v>1268</v>
      </c>
      <c r="I174" s="2106"/>
      <c r="J174" s="2106"/>
      <c r="K174" s="2106"/>
      <c r="L174" s="2106"/>
      <c r="M174" s="937"/>
      <c r="N174" s="938"/>
      <c r="O174" s="938"/>
      <c r="P174" s="938"/>
      <c r="Q174" s="938"/>
      <c r="R174" s="938"/>
      <c r="S174" s="938"/>
      <c r="T174" s="938"/>
      <c r="U174" s="938"/>
      <c r="V174" s="938"/>
      <c r="W174" s="938"/>
      <c r="X174" s="938"/>
      <c r="Y174" s="938"/>
      <c r="Z174" s="938"/>
    </row>
    <row r="175" spans="1:26" ht="36.75" customHeight="1" x14ac:dyDescent="0.2">
      <c r="A175" s="939"/>
      <c r="B175" s="940"/>
      <c r="C175" s="941"/>
      <c r="D175" s="940"/>
      <c r="E175" s="940"/>
      <c r="F175" s="940"/>
      <c r="G175" s="940"/>
      <c r="H175" s="940"/>
      <c r="I175" s="941"/>
      <c r="J175" s="941"/>
      <c r="K175" s="941"/>
      <c r="L175" s="941"/>
      <c r="M175" s="937"/>
      <c r="N175" s="938"/>
      <c r="O175" s="938"/>
      <c r="P175" s="938"/>
      <c r="Q175" s="938"/>
      <c r="R175" s="938"/>
      <c r="S175" s="938"/>
      <c r="T175" s="938"/>
      <c r="U175" s="938"/>
      <c r="V175" s="938"/>
      <c r="W175" s="938"/>
      <c r="X175" s="938"/>
      <c r="Y175" s="938"/>
      <c r="Z175" s="938"/>
    </row>
    <row r="176" spans="1:26" x14ac:dyDescent="0.2">
      <c r="G176" s="896"/>
      <c r="H176" s="926"/>
      <c r="I176" s="896"/>
    </row>
    <row r="177" spans="5:13" x14ac:dyDescent="0.2">
      <c r="G177" s="896"/>
      <c r="H177" s="926"/>
      <c r="I177" s="896"/>
      <c r="J177" s="869">
        <v>4010135</v>
      </c>
    </row>
    <row r="178" spans="5:13" x14ac:dyDescent="0.2">
      <c r="G178" s="896"/>
      <c r="H178" s="926"/>
      <c r="I178" s="896"/>
      <c r="J178" s="869">
        <v>4010911</v>
      </c>
      <c r="K178" s="869"/>
      <c r="L178" s="240"/>
    </row>
    <row r="179" spans="5:13" x14ac:dyDescent="0.2">
      <c r="G179" s="942"/>
      <c r="H179" s="926"/>
      <c r="I179" s="896"/>
      <c r="J179" s="869">
        <v>776</v>
      </c>
    </row>
    <row r="180" spans="5:13" ht="14.25" x14ac:dyDescent="0.2">
      <c r="G180" s="896"/>
      <c r="H180" s="926"/>
      <c r="I180" s="896"/>
      <c r="J180" s="943"/>
    </row>
    <row r="181" spans="5:13" ht="14.25" x14ac:dyDescent="0.2">
      <c r="E181" s="623"/>
      <c r="F181" s="623"/>
      <c r="G181" s="623"/>
      <c r="H181" s="926"/>
      <c r="I181" s="896"/>
      <c r="M181" s="944"/>
    </row>
    <row r="182" spans="5:13" x14ac:dyDescent="0.2">
      <c r="G182" s="896"/>
      <c r="H182" s="926"/>
      <c r="I182" s="896"/>
      <c r="M182" s="944"/>
    </row>
    <row r="183" spans="5:13" x14ac:dyDescent="0.2">
      <c r="G183" s="896"/>
      <c r="H183" s="926"/>
      <c r="I183" s="896"/>
      <c r="M183" s="944"/>
    </row>
    <row r="184" spans="5:13" x14ac:dyDescent="0.2">
      <c r="G184" s="896"/>
      <c r="H184" s="926"/>
      <c r="I184" s="896"/>
      <c r="M184" s="944"/>
    </row>
    <row r="185" spans="5:13" x14ac:dyDescent="0.2">
      <c r="G185" s="896"/>
      <c r="H185" s="926"/>
      <c r="I185" s="896"/>
      <c r="M185" s="944"/>
    </row>
    <row r="186" spans="5:13" x14ac:dyDescent="0.2">
      <c r="G186" s="896"/>
      <c r="H186" s="926"/>
      <c r="I186" s="896"/>
      <c r="M186" s="944"/>
    </row>
    <row r="187" spans="5:13" x14ac:dyDescent="0.2">
      <c r="G187" s="896"/>
      <c r="H187" s="926"/>
      <c r="I187" s="896"/>
      <c r="M187" s="944"/>
    </row>
    <row r="188" spans="5:13" x14ac:dyDescent="0.2">
      <c r="G188" s="896"/>
      <c r="H188" s="926"/>
      <c r="I188" s="896"/>
      <c r="M188" s="944"/>
    </row>
    <row r="189" spans="5:13" x14ac:dyDescent="0.2">
      <c r="G189" s="896"/>
      <c r="H189" s="926"/>
      <c r="I189" s="896"/>
      <c r="M189" s="944"/>
    </row>
    <row r="190" spans="5:13" x14ac:dyDescent="0.2">
      <c r="G190" s="896"/>
      <c r="H190" s="926"/>
      <c r="I190" s="896"/>
      <c r="M190" s="944"/>
    </row>
    <row r="191" spans="5:13" x14ac:dyDescent="0.2">
      <c r="G191" s="896"/>
      <c r="H191" s="926"/>
      <c r="I191" s="896"/>
      <c r="M191" s="944"/>
    </row>
    <row r="192" spans="5:13" x14ac:dyDescent="0.2">
      <c r="G192" s="896"/>
      <c r="H192" s="926"/>
      <c r="I192" s="896"/>
      <c r="M192" s="944"/>
    </row>
    <row r="193" spans="7:13" x14ac:dyDescent="0.2">
      <c r="G193" s="896"/>
      <c r="H193" s="926"/>
      <c r="I193" s="896"/>
      <c r="M193" s="944"/>
    </row>
    <row r="194" spans="7:13" x14ac:dyDescent="0.2">
      <c r="G194" s="896"/>
      <c r="H194" s="926"/>
      <c r="I194" s="896"/>
      <c r="M194" s="944"/>
    </row>
    <row r="195" spans="7:13" x14ac:dyDescent="0.2">
      <c r="G195" s="896"/>
      <c r="H195" s="926"/>
      <c r="I195" s="896"/>
      <c r="M195" s="944"/>
    </row>
    <row r="196" spans="7:13" x14ac:dyDescent="0.2">
      <c r="G196" s="896"/>
      <c r="H196" s="926"/>
      <c r="I196" s="896"/>
      <c r="M196" s="944"/>
    </row>
    <row r="197" spans="7:13" x14ac:dyDescent="0.2">
      <c r="G197" s="896"/>
      <c r="H197" s="926"/>
      <c r="I197" s="896"/>
      <c r="M197" s="944"/>
    </row>
    <row r="198" spans="7:13" x14ac:dyDescent="0.2">
      <c r="G198" s="896"/>
      <c r="H198" s="926"/>
      <c r="I198" s="896"/>
      <c r="M198" s="944"/>
    </row>
    <row r="199" spans="7:13" x14ac:dyDescent="0.2">
      <c r="G199" s="896"/>
      <c r="H199" s="926"/>
      <c r="I199" s="896"/>
      <c r="M199" s="944"/>
    </row>
    <row r="200" spans="7:13" x14ac:dyDescent="0.2">
      <c r="G200" s="896"/>
      <c r="H200" s="926"/>
      <c r="I200" s="896"/>
      <c r="M200" s="944"/>
    </row>
    <row r="201" spans="7:13" x14ac:dyDescent="0.2">
      <c r="G201" s="896"/>
      <c r="H201" s="926"/>
      <c r="I201" s="896"/>
      <c r="M201" s="944"/>
    </row>
    <row r="202" spans="7:13" x14ac:dyDescent="0.2">
      <c r="G202" s="896"/>
      <c r="H202" s="926"/>
      <c r="I202" s="896"/>
      <c r="M202" s="944"/>
    </row>
    <row r="203" spans="7:13" x14ac:dyDescent="0.2">
      <c r="G203" s="896"/>
      <c r="H203" s="926"/>
      <c r="I203" s="896"/>
      <c r="M203" s="944"/>
    </row>
    <row r="204" spans="7:13" x14ac:dyDescent="0.2">
      <c r="G204" s="896"/>
      <c r="H204" s="926"/>
      <c r="I204" s="896"/>
      <c r="M204" s="944"/>
    </row>
    <row r="205" spans="7:13" x14ac:dyDescent="0.2">
      <c r="G205" s="896"/>
      <c r="H205" s="926"/>
      <c r="I205" s="896"/>
      <c r="M205" s="944"/>
    </row>
    <row r="206" spans="7:13" x14ac:dyDescent="0.2">
      <c r="G206" s="896"/>
      <c r="H206" s="926"/>
      <c r="I206" s="896"/>
      <c r="M206" s="944"/>
    </row>
    <row r="207" spans="7:13" x14ac:dyDescent="0.2">
      <c r="G207" s="896"/>
      <c r="H207" s="926"/>
      <c r="I207" s="896"/>
      <c r="M207" s="944"/>
    </row>
    <row r="208" spans="7:13" x14ac:dyDescent="0.2">
      <c r="G208" s="896"/>
      <c r="H208" s="926"/>
      <c r="I208" s="896"/>
      <c r="M208" s="944"/>
    </row>
    <row r="209" spans="7:13" x14ac:dyDescent="0.2">
      <c r="G209" s="896"/>
      <c r="H209" s="926"/>
      <c r="I209" s="896"/>
      <c r="M209" s="944"/>
    </row>
    <row r="210" spans="7:13" x14ac:dyDescent="0.2">
      <c r="G210" s="896"/>
      <c r="H210" s="926"/>
      <c r="I210" s="896"/>
      <c r="M210" s="944"/>
    </row>
    <row r="211" spans="7:13" x14ac:dyDescent="0.2">
      <c r="G211" s="896"/>
      <c r="H211" s="926"/>
      <c r="I211" s="896"/>
      <c r="M211" s="944"/>
    </row>
    <row r="212" spans="7:13" x14ac:dyDescent="0.2">
      <c r="G212" s="896"/>
      <c r="H212" s="926"/>
      <c r="I212" s="896"/>
      <c r="M212" s="944"/>
    </row>
    <row r="213" spans="7:13" x14ac:dyDescent="0.2">
      <c r="G213" s="896"/>
      <c r="H213" s="926"/>
      <c r="I213" s="896"/>
      <c r="M213" s="944"/>
    </row>
    <row r="214" spans="7:13" x14ac:dyDescent="0.2">
      <c r="G214" s="896"/>
      <c r="H214" s="926"/>
      <c r="I214" s="896"/>
      <c r="M214" s="944"/>
    </row>
    <row r="215" spans="7:13" x14ac:dyDescent="0.2">
      <c r="G215" s="896"/>
      <c r="H215" s="926"/>
      <c r="I215" s="896"/>
      <c r="M215" s="944"/>
    </row>
    <row r="216" spans="7:13" x14ac:dyDescent="0.2">
      <c r="G216" s="896"/>
      <c r="H216" s="926"/>
      <c r="I216" s="896"/>
      <c r="M216" s="944"/>
    </row>
    <row r="217" spans="7:13" x14ac:dyDescent="0.2">
      <c r="G217" s="896"/>
      <c r="H217" s="926"/>
      <c r="I217" s="896"/>
      <c r="M217" s="944"/>
    </row>
    <row r="218" spans="7:13" x14ac:dyDescent="0.2">
      <c r="G218" s="896"/>
      <c r="H218" s="926"/>
      <c r="I218" s="896"/>
      <c r="M218" s="944"/>
    </row>
    <row r="219" spans="7:13" x14ac:dyDescent="0.2">
      <c r="G219" s="896"/>
      <c r="H219" s="926"/>
      <c r="I219" s="896"/>
      <c r="M219" s="944"/>
    </row>
    <row r="220" spans="7:13" x14ac:dyDescent="0.2">
      <c r="G220" s="896"/>
      <c r="H220" s="926"/>
      <c r="I220" s="896"/>
      <c r="M220" s="944"/>
    </row>
    <row r="221" spans="7:13" x14ac:dyDescent="0.2">
      <c r="G221" s="896"/>
      <c r="H221" s="926"/>
      <c r="I221" s="896"/>
      <c r="M221" s="944"/>
    </row>
    <row r="222" spans="7:13" x14ac:dyDescent="0.2">
      <c r="G222" s="896"/>
      <c r="H222" s="926"/>
      <c r="I222" s="896"/>
      <c r="M222" s="944"/>
    </row>
    <row r="223" spans="7:13" x14ac:dyDescent="0.2">
      <c r="G223" s="896"/>
      <c r="H223" s="926"/>
      <c r="I223" s="896"/>
      <c r="M223" s="944"/>
    </row>
    <row r="224" spans="7:13" x14ac:dyDescent="0.2">
      <c r="G224" s="896"/>
      <c r="H224" s="926"/>
      <c r="I224" s="896"/>
      <c r="M224" s="944"/>
    </row>
    <row r="225" spans="7:13" x14ac:dyDescent="0.2">
      <c r="G225" s="896"/>
      <c r="H225" s="926"/>
      <c r="I225" s="896"/>
      <c r="M225" s="944"/>
    </row>
    <row r="226" spans="7:13" x14ac:dyDescent="0.2">
      <c r="G226" s="896"/>
      <c r="H226" s="926"/>
      <c r="I226" s="896"/>
      <c r="M226" s="944"/>
    </row>
    <row r="227" spans="7:13" x14ac:dyDescent="0.2">
      <c r="G227" s="896"/>
      <c r="H227" s="926"/>
      <c r="I227" s="896"/>
      <c r="M227" s="944"/>
    </row>
    <row r="228" spans="7:13" x14ac:dyDescent="0.2">
      <c r="G228" s="896"/>
      <c r="H228" s="926"/>
      <c r="I228" s="896"/>
      <c r="M228" s="944"/>
    </row>
    <row r="229" spans="7:13" x14ac:dyDescent="0.2">
      <c r="G229" s="896"/>
      <c r="H229" s="926"/>
      <c r="I229" s="896"/>
      <c r="M229" s="944"/>
    </row>
    <row r="230" spans="7:13" x14ac:dyDescent="0.2">
      <c r="G230" s="896"/>
      <c r="H230" s="926"/>
      <c r="I230" s="896"/>
      <c r="M230" s="944"/>
    </row>
    <row r="231" spans="7:13" x14ac:dyDescent="0.2">
      <c r="G231" s="896"/>
      <c r="H231" s="926"/>
      <c r="I231" s="896"/>
      <c r="M231" s="944"/>
    </row>
    <row r="232" spans="7:13" x14ac:dyDescent="0.2">
      <c r="G232" s="896"/>
      <c r="H232" s="926"/>
      <c r="I232" s="896"/>
      <c r="M232" s="944"/>
    </row>
    <row r="233" spans="7:13" x14ac:dyDescent="0.2">
      <c r="G233" s="896"/>
      <c r="H233" s="926"/>
      <c r="I233" s="896"/>
      <c r="M233" s="944"/>
    </row>
    <row r="234" spans="7:13" x14ac:dyDescent="0.2">
      <c r="G234" s="896"/>
      <c r="H234" s="926"/>
      <c r="I234" s="896"/>
      <c r="M234" s="944"/>
    </row>
    <row r="235" spans="7:13" x14ac:dyDescent="0.2">
      <c r="G235" s="896"/>
      <c r="H235" s="926"/>
      <c r="I235" s="896"/>
      <c r="M235" s="944"/>
    </row>
    <row r="236" spans="7:13" x14ac:dyDescent="0.2">
      <c r="G236" s="896"/>
      <c r="H236" s="926"/>
      <c r="I236" s="896"/>
      <c r="M236" s="944"/>
    </row>
    <row r="237" spans="7:13" x14ac:dyDescent="0.2">
      <c r="G237" s="896"/>
      <c r="H237" s="926"/>
      <c r="I237" s="896"/>
      <c r="M237" s="944"/>
    </row>
    <row r="238" spans="7:13" x14ac:dyDescent="0.2">
      <c r="G238" s="896"/>
      <c r="H238" s="926"/>
      <c r="I238" s="896"/>
      <c r="M238" s="944"/>
    </row>
    <row r="239" spans="7:13" x14ac:dyDescent="0.2">
      <c r="G239" s="896"/>
      <c r="H239" s="926"/>
      <c r="I239" s="896"/>
      <c r="M239" s="944"/>
    </row>
    <row r="240" spans="7:13" x14ac:dyDescent="0.2">
      <c r="G240" s="896"/>
      <c r="H240" s="926"/>
      <c r="I240" s="896"/>
      <c r="M240" s="944"/>
    </row>
    <row r="241" spans="7:13" x14ac:dyDescent="0.2">
      <c r="G241" s="896"/>
      <c r="H241" s="926"/>
      <c r="I241" s="896"/>
      <c r="M241" s="944"/>
    </row>
    <row r="242" spans="7:13" x14ac:dyDescent="0.2">
      <c r="G242" s="896"/>
      <c r="H242" s="926"/>
      <c r="I242" s="896"/>
      <c r="M242" s="944"/>
    </row>
    <row r="243" spans="7:13" x14ac:dyDescent="0.2">
      <c r="G243" s="896"/>
      <c r="H243" s="926"/>
      <c r="I243" s="896"/>
      <c r="M243" s="944"/>
    </row>
    <row r="244" spans="7:13" x14ac:dyDescent="0.2">
      <c r="G244" s="896"/>
      <c r="H244" s="926"/>
      <c r="I244" s="896"/>
      <c r="M244" s="944"/>
    </row>
    <row r="245" spans="7:13" x14ac:dyDescent="0.2">
      <c r="G245" s="896"/>
      <c r="H245" s="926"/>
      <c r="I245" s="896"/>
      <c r="M245" s="944"/>
    </row>
    <row r="246" spans="7:13" x14ac:dyDescent="0.2">
      <c r="G246" s="896"/>
      <c r="H246" s="926"/>
      <c r="I246" s="896"/>
      <c r="M246" s="944"/>
    </row>
    <row r="247" spans="7:13" x14ac:dyDescent="0.2">
      <c r="G247" s="896"/>
      <c r="H247" s="926"/>
      <c r="I247" s="896"/>
      <c r="M247" s="944"/>
    </row>
    <row r="248" spans="7:13" x14ac:dyDescent="0.2">
      <c r="G248" s="896"/>
      <c r="H248" s="926"/>
      <c r="I248" s="896"/>
      <c r="M248" s="944"/>
    </row>
    <row r="249" spans="7:13" x14ac:dyDescent="0.2">
      <c r="G249" s="896"/>
      <c r="H249" s="926"/>
      <c r="I249" s="896"/>
      <c r="M249" s="944"/>
    </row>
    <row r="250" spans="7:13" x14ac:dyDescent="0.2">
      <c r="G250" s="896"/>
      <c r="H250" s="926"/>
      <c r="I250" s="896"/>
      <c r="M250" s="944"/>
    </row>
    <row r="251" spans="7:13" x14ac:dyDescent="0.2">
      <c r="G251" s="896"/>
      <c r="H251" s="926"/>
      <c r="I251" s="896"/>
      <c r="M251" s="944"/>
    </row>
    <row r="252" spans="7:13" x14ac:dyDescent="0.2">
      <c r="G252" s="896"/>
      <c r="H252" s="926"/>
      <c r="I252" s="896"/>
      <c r="M252" s="944"/>
    </row>
    <row r="253" spans="7:13" x14ac:dyDescent="0.2">
      <c r="G253" s="896"/>
      <c r="H253" s="926"/>
      <c r="I253" s="896"/>
      <c r="M253" s="944"/>
    </row>
    <row r="254" spans="7:13" x14ac:dyDescent="0.2">
      <c r="G254" s="896"/>
      <c r="H254" s="926"/>
      <c r="I254" s="896"/>
      <c r="M254" s="944"/>
    </row>
    <row r="255" spans="7:13" x14ac:dyDescent="0.2">
      <c r="G255" s="896"/>
      <c r="H255" s="926"/>
      <c r="I255" s="896"/>
      <c r="M255" s="944"/>
    </row>
    <row r="256" spans="7:13" x14ac:dyDescent="0.2">
      <c r="G256" s="896"/>
      <c r="H256" s="926"/>
      <c r="I256" s="896"/>
      <c r="M256" s="944"/>
    </row>
    <row r="257" spans="7:13" x14ac:dyDescent="0.2">
      <c r="G257" s="896"/>
      <c r="H257" s="926"/>
      <c r="I257" s="896"/>
      <c r="M257" s="944"/>
    </row>
    <row r="258" spans="7:13" x14ac:dyDescent="0.2">
      <c r="G258" s="896"/>
      <c r="H258" s="926"/>
      <c r="I258" s="896"/>
      <c r="M258" s="944"/>
    </row>
    <row r="259" spans="7:13" x14ac:dyDescent="0.2">
      <c r="G259" s="896"/>
      <c r="H259" s="926"/>
      <c r="I259" s="896"/>
      <c r="M259" s="944"/>
    </row>
    <row r="260" spans="7:13" x14ac:dyDescent="0.2">
      <c r="G260" s="896"/>
      <c r="H260" s="926"/>
      <c r="I260" s="896"/>
      <c r="M260" s="944"/>
    </row>
    <row r="261" spans="7:13" x14ac:dyDescent="0.2">
      <c r="G261" s="896"/>
      <c r="H261" s="926"/>
      <c r="I261" s="896"/>
      <c r="M261" s="944"/>
    </row>
    <row r="262" spans="7:13" x14ac:dyDescent="0.2">
      <c r="G262" s="896"/>
      <c r="H262" s="926"/>
      <c r="I262" s="896"/>
      <c r="M262" s="944"/>
    </row>
    <row r="263" spans="7:13" x14ac:dyDescent="0.2">
      <c r="G263" s="896"/>
      <c r="H263" s="926"/>
      <c r="I263" s="896"/>
      <c r="M263" s="944"/>
    </row>
    <row r="264" spans="7:13" x14ac:dyDescent="0.2">
      <c r="G264" s="896"/>
      <c r="H264" s="926"/>
      <c r="I264" s="896"/>
      <c r="M264" s="944"/>
    </row>
    <row r="265" spans="7:13" x14ac:dyDescent="0.2">
      <c r="G265" s="896"/>
      <c r="H265" s="926"/>
      <c r="I265" s="896"/>
      <c r="M265" s="944"/>
    </row>
    <row r="266" spans="7:13" x14ac:dyDescent="0.2">
      <c r="G266" s="896"/>
      <c r="H266" s="926"/>
      <c r="I266" s="896"/>
      <c r="M266" s="944"/>
    </row>
    <row r="267" spans="7:13" x14ac:dyDescent="0.2">
      <c r="G267" s="896"/>
      <c r="H267" s="926"/>
      <c r="I267" s="896"/>
      <c r="M267" s="944"/>
    </row>
    <row r="268" spans="7:13" x14ac:dyDescent="0.2">
      <c r="G268" s="896"/>
      <c r="H268" s="926"/>
      <c r="I268" s="896"/>
      <c r="M268" s="944"/>
    </row>
    <row r="269" spans="7:13" x14ac:dyDescent="0.2">
      <c r="G269" s="896"/>
      <c r="H269" s="926"/>
      <c r="I269" s="896"/>
      <c r="M269" s="944"/>
    </row>
    <row r="270" spans="7:13" x14ac:dyDescent="0.2">
      <c r="G270" s="896"/>
      <c r="H270" s="926"/>
      <c r="I270" s="896"/>
      <c r="M270" s="944"/>
    </row>
    <row r="271" spans="7:13" x14ac:dyDescent="0.2">
      <c r="G271" s="896"/>
      <c r="H271" s="926"/>
      <c r="I271" s="896"/>
      <c r="M271" s="944"/>
    </row>
    <row r="272" spans="7:13" x14ac:dyDescent="0.2">
      <c r="G272" s="896"/>
      <c r="H272" s="926"/>
      <c r="I272" s="896"/>
      <c r="M272" s="944"/>
    </row>
    <row r="273" spans="7:13" x14ac:dyDescent="0.2">
      <c r="G273" s="896"/>
      <c r="H273" s="926"/>
      <c r="I273" s="896"/>
      <c r="M273" s="944"/>
    </row>
    <row r="274" spans="7:13" x14ac:dyDescent="0.2">
      <c r="G274" s="896"/>
      <c r="H274" s="926"/>
      <c r="I274" s="896"/>
      <c r="M274" s="944"/>
    </row>
    <row r="275" spans="7:13" x14ac:dyDescent="0.2">
      <c r="G275" s="896"/>
      <c r="H275" s="926"/>
      <c r="I275" s="896"/>
      <c r="M275" s="944"/>
    </row>
    <row r="276" spans="7:13" x14ac:dyDescent="0.2">
      <c r="G276" s="896"/>
      <c r="H276" s="926"/>
      <c r="I276" s="896"/>
      <c r="M276" s="944"/>
    </row>
    <row r="277" spans="7:13" x14ac:dyDescent="0.2">
      <c r="G277" s="896"/>
      <c r="H277" s="926"/>
      <c r="I277" s="896"/>
      <c r="M277" s="944"/>
    </row>
    <row r="278" spans="7:13" x14ac:dyDescent="0.2">
      <c r="G278" s="896"/>
      <c r="H278" s="926"/>
      <c r="I278" s="896"/>
      <c r="M278" s="944"/>
    </row>
    <row r="279" spans="7:13" x14ac:dyDescent="0.2">
      <c r="G279" s="896"/>
      <c r="H279" s="926"/>
      <c r="I279" s="896"/>
      <c r="M279" s="944"/>
    </row>
    <row r="280" spans="7:13" x14ac:dyDescent="0.2">
      <c r="G280" s="896"/>
      <c r="H280" s="926"/>
      <c r="I280" s="896"/>
      <c r="M280" s="944"/>
    </row>
    <row r="281" spans="7:13" x14ac:dyDescent="0.2">
      <c r="G281" s="896"/>
      <c r="H281" s="926"/>
      <c r="I281" s="896"/>
      <c r="M281" s="944"/>
    </row>
    <row r="282" spans="7:13" x14ac:dyDescent="0.2">
      <c r="G282" s="896"/>
      <c r="H282" s="926"/>
      <c r="I282" s="896"/>
      <c r="M282" s="944"/>
    </row>
    <row r="283" spans="7:13" x14ac:dyDescent="0.2">
      <c r="G283" s="896"/>
      <c r="H283" s="926"/>
      <c r="I283" s="896"/>
      <c r="M283" s="944"/>
    </row>
    <row r="284" spans="7:13" x14ac:dyDescent="0.2">
      <c r="G284" s="896"/>
      <c r="H284" s="926"/>
      <c r="I284" s="896"/>
      <c r="M284" s="944"/>
    </row>
    <row r="285" spans="7:13" x14ac:dyDescent="0.2">
      <c r="G285" s="896"/>
      <c r="H285" s="926"/>
      <c r="I285" s="896"/>
      <c r="M285" s="944"/>
    </row>
    <row r="286" spans="7:13" x14ac:dyDescent="0.2">
      <c r="G286" s="896"/>
      <c r="H286" s="926"/>
      <c r="I286" s="896"/>
      <c r="M286" s="944"/>
    </row>
    <row r="287" spans="7:13" x14ac:dyDescent="0.2">
      <c r="G287" s="896"/>
      <c r="H287" s="926"/>
      <c r="I287" s="896"/>
      <c r="M287" s="944"/>
    </row>
    <row r="288" spans="7:13" x14ac:dyDescent="0.2">
      <c r="G288" s="896"/>
      <c r="H288" s="926"/>
      <c r="I288" s="896"/>
      <c r="M288" s="944"/>
    </row>
    <row r="289" spans="7:13" x14ac:dyDescent="0.2">
      <c r="G289" s="896"/>
      <c r="H289" s="926"/>
      <c r="I289" s="896"/>
      <c r="M289" s="944"/>
    </row>
    <row r="290" spans="7:13" x14ac:dyDescent="0.2">
      <c r="G290" s="896"/>
      <c r="H290" s="926"/>
      <c r="I290" s="896"/>
      <c r="M290" s="944"/>
    </row>
    <row r="291" spans="7:13" x14ac:dyDescent="0.2">
      <c r="G291" s="896"/>
      <c r="H291" s="926"/>
      <c r="I291" s="896"/>
      <c r="M291" s="944"/>
    </row>
    <row r="292" spans="7:13" x14ac:dyDescent="0.2">
      <c r="G292" s="896"/>
      <c r="H292" s="926"/>
      <c r="I292" s="896"/>
      <c r="M292" s="944"/>
    </row>
    <row r="293" spans="7:13" x14ac:dyDescent="0.2">
      <c r="G293" s="896"/>
      <c r="H293" s="926"/>
      <c r="I293" s="896"/>
      <c r="M293" s="944"/>
    </row>
    <row r="294" spans="7:13" x14ac:dyDescent="0.2">
      <c r="G294" s="896"/>
      <c r="H294" s="926"/>
      <c r="I294" s="896"/>
      <c r="M294" s="944"/>
    </row>
    <row r="295" spans="7:13" x14ac:dyDescent="0.2">
      <c r="G295" s="896"/>
      <c r="H295" s="926"/>
      <c r="I295" s="896"/>
      <c r="M295" s="944"/>
    </row>
    <row r="296" spans="7:13" x14ac:dyDescent="0.2">
      <c r="G296" s="896"/>
      <c r="H296" s="926"/>
      <c r="I296" s="896"/>
      <c r="M296" s="944"/>
    </row>
    <row r="297" spans="7:13" x14ac:dyDescent="0.2">
      <c r="G297" s="896"/>
      <c r="H297" s="926"/>
      <c r="I297" s="896"/>
      <c r="M297" s="944"/>
    </row>
    <row r="298" spans="7:13" x14ac:dyDescent="0.2">
      <c r="G298" s="896"/>
      <c r="H298" s="926"/>
      <c r="I298" s="896"/>
      <c r="M298" s="944"/>
    </row>
    <row r="299" spans="7:13" x14ac:dyDescent="0.2">
      <c r="G299" s="896"/>
      <c r="H299" s="926"/>
      <c r="I299" s="896"/>
      <c r="M299" s="944"/>
    </row>
    <row r="300" spans="7:13" x14ac:dyDescent="0.2">
      <c r="G300" s="896"/>
      <c r="H300" s="926"/>
      <c r="I300" s="896"/>
      <c r="M300" s="944"/>
    </row>
    <row r="301" spans="7:13" x14ac:dyDescent="0.2">
      <c r="G301" s="896"/>
      <c r="H301" s="926"/>
      <c r="I301" s="896"/>
      <c r="M301" s="944"/>
    </row>
    <row r="302" spans="7:13" x14ac:dyDescent="0.2">
      <c r="G302" s="896"/>
      <c r="H302" s="926"/>
      <c r="I302" s="896"/>
      <c r="M302" s="944"/>
    </row>
    <row r="303" spans="7:13" x14ac:dyDescent="0.2">
      <c r="G303" s="896"/>
      <c r="H303" s="926"/>
      <c r="I303" s="896"/>
      <c r="M303" s="944"/>
    </row>
    <row r="304" spans="7:13" x14ac:dyDescent="0.2">
      <c r="G304" s="896"/>
      <c r="H304" s="926"/>
      <c r="I304" s="896"/>
      <c r="M304" s="944"/>
    </row>
    <row r="305" spans="7:13" x14ac:dyDescent="0.2">
      <c r="G305" s="896"/>
      <c r="H305" s="926"/>
      <c r="I305" s="896"/>
      <c r="M305" s="944"/>
    </row>
    <row r="306" spans="7:13" x14ac:dyDescent="0.2">
      <c r="G306" s="896"/>
      <c r="H306" s="926"/>
      <c r="I306" s="896"/>
      <c r="M306" s="944"/>
    </row>
    <row r="307" spans="7:13" x14ac:dyDescent="0.2">
      <c r="G307" s="896"/>
      <c r="H307" s="926"/>
      <c r="I307" s="896"/>
      <c r="M307" s="944"/>
    </row>
    <row r="308" spans="7:13" x14ac:dyDescent="0.2">
      <c r="G308" s="896"/>
      <c r="H308" s="926"/>
      <c r="I308" s="896"/>
      <c r="M308" s="944"/>
    </row>
    <row r="309" spans="7:13" x14ac:dyDescent="0.2">
      <c r="G309" s="896"/>
      <c r="H309" s="926"/>
      <c r="I309" s="896"/>
      <c r="M309" s="944"/>
    </row>
    <row r="310" spans="7:13" x14ac:dyDescent="0.2">
      <c r="G310" s="896"/>
      <c r="H310" s="926"/>
      <c r="I310" s="896"/>
      <c r="M310" s="944"/>
    </row>
    <row r="311" spans="7:13" x14ac:dyDescent="0.2">
      <c r="G311" s="896"/>
      <c r="H311" s="926"/>
      <c r="I311" s="896"/>
      <c r="M311" s="944"/>
    </row>
    <row r="312" spans="7:13" x14ac:dyDescent="0.2">
      <c r="G312" s="896"/>
      <c r="H312" s="926"/>
      <c r="I312" s="896"/>
      <c r="M312" s="944"/>
    </row>
    <row r="313" spans="7:13" x14ac:dyDescent="0.2">
      <c r="G313" s="896"/>
      <c r="H313" s="926"/>
      <c r="I313" s="896"/>
      <c r="M313" s="944"/>
    </row>
    <row r="314" spans="7:13" x14ac:dyDescent="0.2">
      <c r="G314" s="896"/>
      <c r="H314" s="926"/>
      <c r="I314" s="896"/>
      <c r="M314" s="944"/>
    </row>
    <row r="315" spans="7:13" x14ac:dyDescent="0.2">
      <c r="G315" s="896"/>
      <c r="H315" s="926"/>
      <c r="I315" s="896"/>
      <c r="M315" s="944"/>
    </row>
    <row r="316" spans="7:13" x14ac:dyDescent="0.2">
      <c r="G316" s="896"/>
      <c r="H316" s="926"/>
      <c r="I316" s="896"/>
      <c r="M316" s="944"/>
    </row>
    <row r="317" spans="7:13" x14ac:dyDescent="0.2">
      <c r="G317" s="896"/>
      <c r="H317" s="926"/>
      <c r="I317" s="896"/>
      <c r="M317" s="944"/>
    </row>
    <row r="318" spans="7:13" x14ac:dyDescent="0.2">
      <c r="G318" s="896"/>
      <c r="H318" s="926"/>
      <c r="I318" s="896"/>
      <c r="M318" s="944"/>
    </row>
    <row r="319" spans="7:13" x14ac:dyDescent="0.2">
      <c r="G319" s="896"/>
      <c r="H319" s="926"/>
      <c r="I319" s="896"/>
      <c r="M319" s="944"/>
    </row>
    <row r="320" spans="7:13" x14ac:dyDescent="0.2">
      <c r="G320" s="896"/>
      <c r="H320" s="926"/>
      <c r="I320" s="896"/>
      <c r="M320" s="944"/>
    </row>
    <row r="321" spans="7:13" x14ac:dyDescent="0.2">
      <c r="G321" s="896"/>
      <c r="H321" s="926"/>
      <c r="I321" s="896"/>
      <c r="M321" s="944"/>
    </row>
    <row r="322" spans="7:13" x14ac:dyDescent="0.2">
      <c r="G322" s="896"/>
      <c r="H322" s="926"/>
      <c r="I322" s="896"/>
      <c r="M322" s="944"/>
    </row>
    <row r="323" spans="7:13" x14ac:dyDescent="0.2">
      <c r="G323" s="896"/>
      <c r="H323" s="926"/>
      <c r="I323" s="896"/>
      <c r="M323" s="944"/>
    </row>
    <row r="324" spans="7:13" x14ac:dyDescent="0.2">
      <c r="G324" s="896"/>
      <c r="H324" s="926"/>
      <c r="I324" s="896"/>
      <c r="M324" s="944"/>
    </row>
    <row r="325" spans="7:13" x14ac:dyDescent="0.2">
      <c r="G325" s="896"/>
      <c r="H325" s="926"/>
      <c r="I325" s="896"/>
      <c r="M325" s="944"/>
    </row>
    <row r="326" spans="7:13" x14ac:dyDescent="0.2">
      <c r="G326" s="896"/>
      <c r="H326" s="926"/>
      <c r="I326" s="896"/>
      <c r="M326" s="944"/>
    </row>
    <row r="327" spans="7:13" x14ac:dyDescent="0.2">
      <c r="G327" s="896"/>
      <c r="H327" s="926"/>
      <c r="I327" s="896"/>
      <c r="M327" s="944"/>
    </row>
    <row r="328" spans="7:13" x14ac:dyDescent="0.2">
      <c r="G328" s="896"/>
      <c r="H328" s="926"/>
      <c r="I328" s="896"/>
      <c r="M328" s="944"/>
    </row>
    <row r="329" spans="7:13" x14ac:dyDescent="0.2">
      <c r="G329" s="896"/>
      <c r="H329" s="926"/>
      <c r="I329" s="896"/>
      <c r="M329" s="944"/>
    </row>
    <row r="330" spans="7:13" x14ac:dyDescent="0.2">
      <c r="G330" s="896"/>
      <c r="H330" s="926"/>
      <c r="I330" s="896"/>
      <c r="M330" s="944"/>
    </row>
    <row r="331" spans="7:13" x14ac:dyDescent="0.2">
      <c r="G331" s="896"/>
      <c r="H331" s="926"/>
      <c r="I331" s="896"/>
      <c r="M331" s="944"/>
    </row>
    <row r="332" spans="7:13" x14ac:dyDescent="0.2">
      <c r="G332" s="896"/>
      <c r="H332" s="926"/>
      <c r="I332" s="896"/>
      <c r="M332" s="944"/>
    </row>
    <row r="333" spans="7:13" x14ac:dyDescent="0.2">
      <c r="G333" s="896"/>
      <c r="H333" s="926"/>
      <c r="I333" s="896"/>
      <c r="M333" s="944"/>
    </row>
    <row r="334" spans="7:13" x14ac:dyDescent="0.2">
      <c r="G334" s="896"/>
      <c r="H334" s="926"/>
      <c r="I334" s="896"/>
      <c r="M334" s="944"/>
    </row>
    <row r="335" spans="7:13" x14ac:dyDescent="0.2">
      <c r="G335" s="896"/>
      <c r="H335" s="926"/>
      <c r="I335" s="896"/>
      <c r="M335" s="944"/>
    </row>
    <row r="336" spans="7:13" x14ac:dyDescent="0.2">
      <c r="G336" s="896"/>
      <c r="H336" s="926"/>
      <c r="I336" s="896"/>
      <c r="M336" s="944"/>
    </row>
    <row r="337" spans="7:13" x14ac:dyDescent="0.2">
      <c r="G337" s="896"/>
      <c r="H337" s="926"/>
      <c r="I337" s="896"/>
      <c r="M337" s="944"/>
    </row>
    <row r="338" spans="7:13" x14ac:dyDescent="0.2">
      <c r="G338" s="896"/>
      <c r="H338" s="926"/>
      <c r="I338" s="896"/>
      <c r="M338" s="944"/>
    </row>
    <row r="339" spans="7:13" x14ac:dyDescent="0.2">
      <c r="G339" s="896"/>
      <c r="H339" s="926"/>
      <c r="I339" s="896"/>
      <c r="M339" s="944"/>
    </row>
    <row r="340" spans="7:13" x14ac:dyDescent="0.2">
      <c r="G340" s="896"/>
      <c r="H340" s="926"/>
      <c r="I340" s="896"/>
      <c r="M340" s="944"/>
    </row>
    <row r="341" spans="7:13" x14ac:dyDescent="0.2">
      <c r="G341" s="896"/>
      <c r="H341" s="926"/>
      <c r="I341" s="896"/>
      <c r="M341" s="944"/>
    </row>
    <row r="342" spans="7:13" x14ac:dyDescent="0.2">
      <c r="G342" s="896"/>
      <c r="H342" s="926"/>
      <c r="I342" s="896"/>
      <c r="M342" s="944"/>
    </row>
    <row r="343" spans="7:13" x14ac:dyDescent="0.2">
      <c r="G343" s="896"/>
      <c r="H343" s="926"/>
      <c r="I343" s="896"/>
      <c r="M343" s="944"/>
    </row>
    <row r="344" spans="7:13" x14ac:dyDescent="0.2">
      <c r="G344" s="896"/>
      <c r="H344" s="926"/>
      <c r="I344" s="896"/>
      <c r="M344" s="944"/>
    </row>
    <row r="345" spans="7:13" x14ac:dyDescent="0.2">
      <c r="G345" s="896"/>
      <c r="H345" s="926"/>
      <c r="I345" s="896"/>
      <c r="M345" s="944"/>
    </row>
    <row r="346" spans="7:13" x14ac:dyDescent="0.2">
      <c r="G346" s="896"/>
      <c r="H346" s="926"/>
      <c r="I346" s="896"/>
      <c r="M346" s="944"/>
    </row>
    <row r="347" spans="7:13" x14ac:dyDescent="0.2">
      <c r="G347" s="896"/>
      <c r="H347" s="926"/>
      <c r="I347" s="896"/>
      <c r="M347" s="944"/>
    </row>
    <row r="348" spans="7:13" x14ac:dyDescent="0.2">
      <c r="G348" s="896"/>
      <c r="H348" s="926"/>
      <c r="I348" s="896"/>
      <c r="M348" s="944"/>
    </row>
    <row r="349" spans="7:13" x14ac:dyDescent="0.2">
      <c r="G349" s="896"/>
      <c r="H349" s="926"/>
      <c r="I349" s="896"/>
      <c r="M349" s="944"/>
    </row>
    <row r="350" spans="7:13" x14ac:dyDescent="0.2">
      <c r="G350" s="896"/>
      <c r="H350" s="926"/>
      <c r="I350" s="896"/>
      <c r="M350" s="944"/>
    </row>
    <row r="351" spans="7:13" x14ac:dyDescent="0.2">
      <c r="G351" s="896"/>
      <c r="H351" s="926"/>
      <c r="I351" s="896"/>
      <c r="M351" s="944"/>
    </row>
    <row r="352" spans="7:13" x14ac:dyDescent="0.2">
      <c r="G352" s="896"/>
      <c r="H352" s="926"/>
      <c r="I352" s="896"/>
      <c r="M352" s="944"/>
    </row>
    <row r="353" spans="7:13" x14ac:dyDescent="0.2">
      <c r="G353" s="896"/>
      <c r="H353" s="926"/>
      <c r="I353" s="896"/>
      <c r="M353" s="944"/>
    </row>
    <row r="354" spans="7:13" x14ac:dyDescent="0.2">
      <c r="G354" s="896"/>
      <c r="H354" s="926"/>
      <c r="I354" s="896"/>
      <c r="M354" s="944"/>
    </row>
    <row r="355" spans="7:13" x14ac:dyDescent="0.2">
      <c r="G355" s="896"/>
      <c r="H355" s="926"/>
      <c r="I355" s="896"/>
      <c r="M355" s="944"/>
    </row>
    <row r="356" spans="7:13" x14ac:dyDescent="0.2">
      <c r="G356" s="896"/>
      <c r="H356" s="926"/>
      <c r="I356" s="896"/>
      <c r="M356" s="944"/>
    </row>
    <row r="357" spans="7:13" x14ac:dyDescent="0.2">
      <c r="G357" s="896"/>
      <c r="H357" s="926"/>
      <c r="I357" s="896"/>
      <c r="M357" s="944"/>
    </row>
    <row r="358" spans="7:13" x14ac:dyDescent="0.2">
      <c r="G358" s="896"/>
      <c r="H358" s="926"/>
      <c r="I358" s="896"/>
      <c r="M358" s="944"/>
    </row>
    <row r="359" spans="7:13" x14ac:dyDescent="0.2">
      <c r="G359" s="896"/>
      <c r="H359" s="926"/>
      <c r="I359" s="896"/>
      <c r="M359" s="944"/>
    </row>
    <row r="360" spans="7:13" x14ac:dyDescent="0.2">
      <c r="G360" s="896"/>
      <c r="H360" s="926"/>
      <c r="I360" s="896"/>
      <c r="M360" s="944"/>
    </row>
    <row r="361" spans="7:13" x14ac:dyDescent="0.2">
      <c r="G361" s="896"/>
      <c r="H361" s="926"/>
      <c r="I361" s="896"/>
      <c r="M361" s="944"/>
    </row>
    <row r="362" spans="7:13" x14ac:dyDescent="0.2">
      <c r="G362" s="896"/>
      <c r="H362" s="926"/>
      <c r="I362" s="896"/>
      <c r="M362" s="944"/>
    </row>
    <row r="363" spans="7:13" x14ac:dyDescent="0.2">
      <c r="G363" s="896"/>
      <c r="H363" s="926"/>
      <c r="I363" s="896"/>
      <c r="M363" s="944"/>
    </row>
    <row r="364" spans="7:13" x14ac:dyDescent="0.2">
      <c r="G364" s="896"/>
      <c r="H364" s="926"/>
      <c r="I364" s="896"/>
      <c r="M364" s="944"/>
    </row>
    <row r="365" spans="7:13" x14ac:dyDescent="0.2">
      <c r="G365" s="896"/>
      <c r="H365" s="926"/>
      <c r="I365" s="896"/>
      <c r="M365" s="944"/>
    </row>
    <row r="366" spans="7:13" x14ac:dyDescent="0.2">
      <c r="G366" s="896"/>
      <c r="H366" s="926"/>
      <c r="I366" s="896"/>
      <c r="M366" s="944"/>
    </row>
    <row r="367" spans="7:13" x14ac:dyDescent="0.2">
      <c r="G367" s="896"/>
      <c r="H367" s="926"/>
      <c r="I367" s="896"/>
      <c r="M367" s="944"/>
    </row>
    <row r="368" spans="7:13" x14ac:dyDescent="0.2">
      <c r="G368" s="896"/>
      <c r="H368" s="926"/>
      <c r="I368" s="896"/>
      <c r="M368" s="944"/>
    </row>
    <row r="369" spans="7:13" x14ac:dyDescent="0.2">
      <c r="G369" s="896"/>
      <c r="H369" s="926"/>
      <c r="I369" s="896"/>
      <c r="M369" s="944"/>
    </row>
    <row r="370" spans="7:13" x14ac:dyDescent="0.2">
      <c r="G370" s="896"/>
      <c r="H370" s="926"/>
      <c r="I370" s="896"/>
      <c r="M370" s="944"/>
    </row>
    <row r="371" spans="7:13" x14ac:dyDescent="0.2">
      <c r="G371" s="896"/>
      <c r="H371" s="926"/>
      <c r="I371" s="896"/>
      <c r="M371" s="944"/>
    </row>
    <row r="372" spans="7:13" x14ac:dyDescent="0.2">
      <c r="G372" s="896"/>
      <c r="H372" s="926"/>
      <c r="I372" s="896"/>
      <c r="M372" s="944"/>
    </row>
    <row r="373" spans="7:13" x14ac:dyDescent="0.2">
      <c r="G373" s="896"/>
      <c r="H373" s="926"/>
      <c r="I373" s="896"/>
      <c r="M373" s="944"/>
    </row>
    <row r="374" spans="7:13" x14ac:dyDescent="0.2">
      <c r="G374" s="896"/>
      <c r="H374" s="926"/>
      <c r="I374" s="896"/>
      <c r="M374" s="944"/>
    </row>
    <row r="375" spans="7:13" x14ac:dyDescent="0.2">
      <c r="G375" s="896"/>
      <c r="H375" s="926"/>
      <c r="I375" s="896"/>
      <c r="M375" s="944"/>
    </row>
    <row r="376" spans="7:13" x14ac:dyDescent="0.2">
      <c r="G376" s="896"/>
      <c r="H376" s="926"/>
      <c r="I376" s="896"/>
      <c r="M376" s="944"/>
    </row>
    <row r="377" spans="7:13" x14ac:dyDescent="0.2">
      <c r="G377" s="896"/>
      <c r="H377" s="926"/>
      <c r="I377" s="896"/>
      <c r="M377" s="944"/>
    </row>
    <row r="378" spans="7:13" x14ac:dyDescent="0.2">
      <c r="G378" s="896"/>
      <c r="H378" s="926"/>
      <c r="I378" s="896"/>
      <c r="M378" s="944"/>
    </row>
    <row r="379" spans="7:13" x14ac:dyDescent="0.2">
      <c r="G379" s="896"/>
      <c r="H379" s="926"/>
      <c r="I379" s="896"/>
      <c r="M379" s="944"/>
    </row>
    <row r="380" spans="7:13" x14ac:dyDescent="0.2">
      <c r="G380" s="896"/>
      <c r="H380" s="926"/>
      <c r="I380" s="896"/>
      <c r="M380" s="944"/>
    </row>
    <row r="381" spans="7:13" x14ac:dyDescent="0.2">
      <c r="G381" s="896"/>
      <c r="H381" s="926"/>
      <c r="I381" s="896"/>
      <c r="M381" s="944"/>
    </row>
    <row r="382" spans="7:13" x14ac:dyDescent="0.2">
      <c r="G382" s="896"/>
      <c r="H382" s="926"/>
      <c r="I382" s="896"/>
      <c r="M382" s="944"/>
    </row>
    <row r="383" spans="7:13" x14ac:dyDescent="0.2">
      <c r="G383" s="896"/>
      <c r="H383" s="926"/>
      <c r="I383" s="896"/>
      <c r="M383" s="944"/>
    </row>
    <row r="384" spans="7:13" x14ac:dyDescent="0.2">
      <c r="G384" s="896"/>
      <c r="H384" s="926"/>
      <c r="I384" s="896"/>
      <c r="M384" s="944"/>
    </row>
    <row r="385" spans="7:13" x14ac:dyDescent="0.2">
      <c r="G385" s="896"/>
      <c r="H385" s="926"/>
      <c r="I385" s="896"/>
      <c r="M385" s="944"/>
    </row>
    <row r="386" spans="7:13" x14ac:dyDescent="0.2">
      <c r="G386" s="896"/>
      <c r="H386" s="926"/>
      <c r="I386" s="896"/>
      <c r="M386" s="944"/>
    </row>
    <row r="387" spans="7:13" x14ac:dyDescent="0.2">
      <c r="G387" s="896"/>
      <c r="H387" s="926"/>
      <c r="I387" s="896"/>
      <c r="M387" s="944"/>
    </row>
    <row r="388" spans="7:13" x14ac:dyDescent="0.2">
      <c r="G388" s="896"/>
      <c r="H388" s="926"/>
      <c r="I388" s="896"/>
      <c r="M388" s="944"/>
    </row>
    <row r="389" spans="7:13" x14ac:dyDescent="0.2">
      <c r="G389" s="896"/>
      <c r="H389" s="926"/>
      <c r="I389" s="896"/>
      <c r="M389" s="944"/>
    </row>
    <row r="390" spans="7:13" x14ac:dyDescent="0.2">
      <c r="G390" s="896"/>
      <c r="H390" s="926"/>
      <c r="I390" s="896"/>
      <c r="M390" s="944"/>
    </row>
    <row r="391" spans="7:13" x14ac:dyDescent="0.2">
      <c r="G391" s="896"/>
      <c r="H391" s="926"/>
      <c r="I391" s="896"/>
      <c r="M391" s="944"/>
    </row>
    <row r="392" spans="7:13" x14ac:dyDescent="0.2">
      <c r="G392" s="896"/>
      <c r="H392" s="926"/>
      <c r="I392" s="896"/>
      <c r="M392" s="944"/>
    </row>
    <row r="393" spans="7:13" x14ac:dyDescent="0.2">
      <c r="G393" s="896"/>
      <c r="H393" s="926"/>
      <c r="I393" s="896"/>
      <c r="M393" s="944"/>
    </row>
    <row r="394" spans="7:13" x14ac:dyDescent="0.2">
      <c r="G394" s="896"/>
      <c r="H394" s="926"/>
      <c r="I394" s="896"/>
      <c r="M394" s="944"/>
    </row>
    <row r="395" spans="7:13" x14ac:dyDescent="0.2">
      <c r="G395" s="896"/>
      <c r="H395" s="926"/>
      <c r="I395" s="896"/>
      <c r="M395" s="944"/>
    </row>
    <row r="396" spans="7:13" x14ac:dyDescent="0.2">
      <c r="G396" s="896"/>
      <c r="H396" s="926"/>
      <c r="I396" s="896"/>
      <c r="M396" s="944"/>
    </row>
    <row r="397" spans="7:13" x14ac:dyDescent="0.2">
      <c r="G397" s="896"/>
      <c r="H397" s="926"/>
      <c r="I397" s="896"/>
      <c r="M397" s="944"/>
    </row>
    <row r="398" spans="7:13" x14ac:dyDescent="0.2">
      <c r="G398" s="896"/>
      <c r="H398" s="926"/>
      <c r="I398" s="896"/>
      <c r="M398" s="944"/>
    </row>
    <row r="399" spans="7:13" x14ac:dyDescent="0.2">
      <c r="G399" s="896"/>
      <c r="H399" s="926"/>
      <c r="I399" s="896"/>
      <c r="M399" s="944"/>
    </row>
    <row r="400" spans="7:13" x14ac:dyDescent="0.2">
      <c r="G400" s="896"/>
      <c r="H400" s="926"/>
      <c r="I400" s="896"/>
      <c r="M400" s="944"/>
    </row>
    <row r="401" spans="7:13" x14ac:dyDescent="0.2">
      <c r="G401" s="896"/>
      <c r="H401" s="926"/>
      <c r="I401" s="896"/>
      <c r="M401" s="944"/>
    </row>
    <row r="402" spans="7:13" x14ac:dyDescent="0.2">
      <c r="G402" s="896"/>
      <c r="H402" s="926"/>
      <c r="I402" s="896"/>
      <c r="M402" s="944"/>
    </row>
    <row r="403" spans="7:13" x14ac:dyDescent="0.2">
      <c r="G403" s="896"/>
      <c r="H403" s="926"/>
      <c r="I403" s="896"/>
      <c r="M403" s="944"/>
    </row>
    <row r="404" spans="7:13" x14ac:dyDescent="0.2">
      <c r="G404" s="896"/>
      <c r="H404" s="926"/>
      <c r="I404" s="896"/>
      <c r="M404" s="944"/>
    </row>
    <row r="405" spans="7:13" x14ac:dyDescent="0.2">
      <c r="G405" s="896"/>
      <c r="H405" s="926"/>
      <c r="I405" s="896"/>
      <c r="M405" s="944"/>
    </row>
    <row r="406" spans="7:13" x14ac:dyDescent="0.2">
      <c r="G406" s="896"/>
      <c r="H406" s="926"/>
      <c r="I406" s="896"/>
      <c r="M406" s="944"/>
    </row>
    <row r="407" spans="7:13" x14ac:dyDescent="0.2">
      <c r="G407" s="896"/>
      <c r="H407" s="926"/>
      <c r="I407" s="896"/>
      <c r="M407" s="944"/>
    </row>
    <row r="408" spans="7:13" x14ac:dyDescent="0.2">
      <c r="G408" s="896"/>
      <c r="H408" s="926"/>
      <c r="I408" s="896"/>
      <c r="M408" s="944"/>
    </row>
    <row r="409" spans="7:13" x14ac:dyDescent="0.2">
      <c r="G409" s="896"/>
      <c r="H409" s="926"/>
      <c r="I409" s="896"/>
      <c r="M409" s="944"/>
    </row>
    <row r="410" spans="7:13" x14ac:dyDescent="0.2">
      <c r="G410" s="896"/>
      <c r="H410" s="926"/>
      <c r="I410" s="896"/>
      <c r="M410" s="944"/>
    </row>
    <row r="411" spans="7:13" x14ac:dyDescent="0.2">
      <c r="G411" s="896"/>
      <c r="H411" s="926"/>
      <c r="I411" s="896"/>
      <c r="M411" s="944"/>
    </row>
    <row r="412" spans="7:13" x14ac:dyDescent="0.2">
      <c r="G412" s="896"/>
      <c r="H412" s="926"/>
      <c r="I412" s="896"/>
      <c r="M412" s="944"/>
    </row>
    <row r="413" spans="7:13" x14ac:dyDescent="0.2">
      <c r="G413" s="896"/>
      <c r="H413" s="926"/>
      <c r="I413" s="896"/>
      <c r="M413" s="944"/>
    </row>
    <row r="414" spans="7:13" x14ac:dyDescent="0.2">
      <c r="G414" s="896"/>
      <c r="H414" s="926"/>
      <c r="I414" s="896"/>
      <c r="M414" s="944"/>
    </row>
    <row r="415" spans="7:13" x14ac:dyDescent="0.2">
      <c r="G415" s="896"/>
      <c r="H415" s="926"/>
      <c r="I415" s="896"/>
      <c r="M415" s="944"/>
    </row>
    <row r="416" spans="7:13" x14ac:dyDescent="0.2">
      <c r="G416" s="896"/>
      <c r="H416" s="926"/>
      <c r="I416" s="896"/>
      <c r="M416" s="944"/>
    </row>
    <row r="417" spans="7:13" x14ac:dyDescent="0.2">
      <c r="G417" s="896"/>
      <c r="H417" s="926"/>
      <c r="I417" s="896"/>
      <c r="M417" s="944"/>
    </row>
    <row r="418" spans="7:13" x14ac:dyDescent="0.2">
      <c r="G418" s="896"/>
      <c r="H418" s="926"/>
      <c r="I418" s="896"/>
      <c r="M418" s="944"/>
    </row>
    <row r="419" spans="7:13" x14ac:dyDescent="0.2">
      <c r="G419" s="896"/>
      <c r="H419" s="926"/>
      <c r="I419" s="896"/>
      <c r="M419" s="944"/>
    </row>
    <row r="420" spans="7:13" x14ac:dyDescent="0.2">
      <c r="G420" s="896"/>
      <c r="H420" s="926"/>
      <c r="I420" s="896"/>
      <c r="M420" s="944"/>
    </row>
    <row r="421" spans="7:13" x14ac:dyDescent="0.2">
      <c r="G421" s="896"/>
      <c r="H421" s="926"/>
      <c r="I421" s="896"/>
      <c r="M421" s="944"/>
    </row>
    <row r="422" spans="7:13" x14ac:dyDescent="0.2">
      <c r="G422" s="896"/>
      <c r="H422" s="926"/>
      <c r="I422" s="896"/>
      <c r="M422" s="944"/>
    </row>
    <row r="423" spans="7:13" x14ac:dyDescent="0.2">
      <c r="G423" s="896"/>
      <c r="H423" s="926"/>
      <c r="I423" s="896"/>
      <c r="M423" s="944"/>
    </row>
    <row r="424" spans="7:13" x14ac:dyDescent="0.2">
      <c r="G424" s="896"/>
      <c r="H424" s="926"/>
      <c r="I424" s="896"/>
      <c r="M424" s="944"/>
    </row>
    <row r="425" spans="7:13" x14ac:dyDescent="0.2">
      <c r="G425" s="896"/>
      <c r="H425" s="926"/>
      <c r="I425" s="896"/>
      <c r="M425" s="944"/>
    </row>
    <row r="426" spans="7:13" x14ac:dyDescent="0.2">
      <c r="G426" s="896"/>
      <c r="H426" s="926"/>
      <c r="I426" s="896"/>
      <c r="M426" s="944"/>
    </row>
    <row r="427" spans="7:13" x14ac:dyDescent="0.2">
      <c r="G427" s="896"/>
      <c r="H427" s="926"/>
      <c r="I427" s="896"/>
      <c r="M427" s="944"/>
    </row>
    <row r="428" spans="7:13" x14ac:dyDescent="0.2">
      <c r="G428" s="896"/>
      <c r="H428" s="926"/>
      <c r="I428" s="896"/>
      <c r="M428" s="944"/>
    </row>
    <row r="429" spans="7:13" x14ac:dyDescent="0.2">
      <c r="G429" s="896"/>
      <c r="H429" s="926"/>
      <c r="I429" s="896"/>
      <c r="M429" s="944"/>
    </row>
    <row r="430" spans="7:13" x14ac:dyDescent="0.2">
      <c r="G430" s="896"/>
      <c r="H430" s="926"/>
      <c r="I430" s="896"/>
      <c r="M430" s="944"/>
    </row>
    <row r="431" spans="7:13" x14ac:dyDescent="0.2">
      <c r="G431" s="896"/>
      <c r="H431" s="926"/>
      <c r="I431" s="896"/>
      <c r="M431" s="944"/>
    </row>
    <row r="432" spans="7:13" x14ac:dyDescent="0.2">
      <c r="G432" s="896"/>
      <c r="H432" s="926"/>
      <c r="I432" s="896"/>
      <c r="M432" s="944"/>
    </row>
    <row r="433" spans="7:13" x14ac:dyDescent="0.2">
      <c r="G433" s="896"/>
      <c r="H433" s="926"/>
      <c r="I433" s="896"/>
      <c r="M433" s="944"/>
    </row>
    <row r="434" spans="7:13" x14ac:dyDescent="0.2">
      <c r="G434" s="896"/>
      <c r="H434" s="926"/>
      <c r="I434" s="896"/>
      <c r="M434" s="944"/>
    </row>
    <row r="435" spans="7:13" x14ac:dyDescent="0.2">
      <c r="G435" s="896"/>
      <c r="H435" s="926"/>
      <c r="I435" s="896"/>
      <c r="M435" s="944"/>
    </row>
    <row r="436" spans="7:13" x14ac:dyDescent="0.2">
      <c r="G436" s="896"/>
      <c r="H436" s="926"/>
      <c r="I436" s="896"/>
      <c r="M436" s="944"/>
    </row>
    <row r="437" spans="7:13" x14ac:dyDescent="0.2">
      <c r="G437" s="896"/>
      <c r="H437" s="926"/>
      <c r="I437" s="896"/>
      <c r="M437" s="944"/>
    </row>
    <row r="438" spans="7:13" x14ac:dyDescent="0.2">
      <c r="G438" s="896"/>
      <c r="H438" s="926"/>
      <c r="I438" s="896"/>
      <c r="M438" s="944"/>
    </row>
    <row r="439" spans="7:13" x14ac:dyDescent="0.2">
      <c r="G439" s="896"/>
      <c r="H439" s="926"/>
      <c r="I439" s="896"/>
      <c r="M439" s="944"/>
    </row>
    <row r="440" spans="7:13" x14ac:dyDescent="0.2">
      <c r="G440" s="896"/>
      <c r="H440" s="926"/>
      <c r="I440" s="896"/>
      <c r="M440" s="944"/>
    </row>
    <row r="441" spans="7:13" x14ac:dyDescent="0.2">
      <c r="G441" s="896"/>
      <c r="H441" s="926"/>
      <c r="I441" s="896"/>
      <c r="M441" s="944"/>
    </row>
    <row r="442" spans="7:13" x14ac:dyDescent="0.2">
      <c r="G442" s="896"/>
      <c r="H442" s="926"/>
      <c r="I442" s="896"/>
      <c r="M442" s="944"/>
    </row>
    <row r="443" spans="7:13" x14ac:dyDescent="0.2">
      <c r="G443" s="896"/>
      <c r="H443" s="926"/>
      <c r="I443" s="896"/>
      <c r="M443" s="944"/>
    </row>
    <row r="444" spans="7:13" x14ac:dyDescent="0.2">
      <c r="G444" s="896"/>
      <c r="H444" s="926"/>
      <c r="I444" s="896"/>
      <c r="M444" s="944"/>
    </row>
    <row r="445" spans="7:13" x14ac:dyDescent="0.2">
      <c r="G445" s="896"/>
      <c r="H445" s="926"/>
      <c r="I445" s="896"/>
      <c r="M445" s="944"/>
    </row>
    <row r="446" spans="7:13" x14ac:dyDescent="0.2">
      <c r="G446" s="896"/>
      <c r="H446" s="926"/>
      <c r="I446" s="896"/>
      <c r="M446" s="944"/>
    </row>
    <row r="447" spans="7:13" x14ac:dyDescent="0.2">
      <c r="G447" s="896"/>
      <c r="H447" s="926"/>
      <c r="I447" s="896"/>
      <c r="M447" s="944"/>
    </row>
    <row r="448" spans="7:13" x14ac:dyDescent="0.2">
      <c r="G448" s="896"/>
      <c r="H448" s="926"/>
      <c r="I448" s="896"/>
      <c r="M448" s="944"/>
    </row>
    <row r="449" spans="7:13" x14ac:dyDescent="0.2">
      <c r="G449" s="896"/>
      <c r="H449" s="926"/>
      <c r="I449" s="896"/>
      <c r="M449" s="944"/>
    </row>
    <row r="450" spans="7:13" x14ac:dyDescent="0.2">
      <c r="G450" s="896"/>
      <c r="H450" s="926"/>
      <c r="I450" s="896"/>
      <c r="M450" s="944"/>
    </row>
    <row r="451" spans="7:13" x14ac:dyDescent="0.2">
      <c r="G451" s="896"/>
      <c r="H451" s="926"/>
      <c r="I451" s="896"/>
      <c r="M451" s="944"/>
    </row>
    <row r="452" spans="7:13" x14ac:dyDescent="0.2">
      <c r="G452" s="896"/>
      <c r="H452" s="926"/>
      <c r="I452" s="896"/>
      <c r="M452" s="944"/>
    </row>
    <row r="453" spans="7:13" x14ac:dyDescent="0.2">
      <c r="G453" s="896"/>
      <c r="H453" s="926"/>
      <c r="I453" s="896"/>
      <c r="M453" s="944"/>
    </row>
    <row r="454" spans="7:13" x14ac:dyDescent="0.2">
      <c r="G454" s="896"/>
      <c r="H454" s="926"/>
      <c r="I454" s="896"/>
      <c r="M454" s="944"/>
    </row>
    <row r="455" spans="7:13" x14ac:dyDescent="0.2">
      <c r="G455" s="896"/>
      <c r="H455" s="926"/>
      <c r="I455" s="896"/>
      <c r="M455" s="944"/>
    </row>
    <row r="456" spans="7:13" x14ac:dyDescent="0.2">
      <c r="G456" s="896"/>
      <c r="H456" s="926"/>
      <c r="I456" s="896"/>
      <c r="M456" s="944"/>
    </row>
    <row r="457" spans="7:13" x14ac:dyDescent="0.2">
      <c r="G457" s="896"/>
      <c r="H457" s="926"/>
      <c r="I457" s="896"/>
      <c r="M457" s="944"/>
    </row>
    <row r="458" spans="7:13" x14ac:dyDescent="0.2">
      <c r="G458" s="896"/>
      <c r="H458" s="926"/>
      <c r="I458" s="896"/>
      <c r="M458" s="944"/>
    </row>
    <row r="459" spans="7:13" x14ac:dyDescent="0.2">
      <c r="G459" s="896"/>
      <c r="H459" s="926"/>
      <c r="I459" s="896"/>
      <c r="M459" s="944"/>
    </row>
    <row r="460" spans="7:13" x14ac:dyDescent="0.2">
      <c r="G460" s="896"/>
      <c r="H460" s="926"/>
      <c r="I460" s="896"/>
      <c r="M460" s="944"/>
    </row>
    <row r="461" spans="7:13" x14ac:dyDescent="0.2">
      <c r="G461" s="896"/>
      <c r="H461" s="926"/>
      <c r="I461" s="896"/>
      <c r="M461" s="944"/>
    </row>
    <row r="462" spans="7:13" x14ac:dyDescent="0.2">
      <c r="G462" s="896"/>
      <c r="H462" s="926"/>
      <c r="I462" s="896"/>
      <c r="M462" s="944"/>
    </row>
    <row r="463" spans="7:13" x14ac:dyDescent="0.2">
      <c r="G463" s="896"/>
      <c r="H463" s="926"/>
      <c r="I463" s="896"/>
      <c r="M463" s="944"/>
    </row>
    <row r="464" spans="7:13" x14ac:dyDescent="0.2">
      <c r="G464" s="896"/>
      <c r="H464" s="926"/>
      <c r="I464" s="896"/>
      <c r="M464" s="944"/>
    </row>
    <row r="465" spans="7:13" x14ac:dyDescent="0.2">
      <c r="G465" s="896"/>
      <c r="H465" s="926"/>
      <c r="I465" s="896"/>
      <c r="M465" s="944"/>
    </row>
    <row r="466" spans="7:13" x14ac:dyDescent="0.2">
      <c r="G466" s="896"/>
      <c r="H466" s="926"/>
      <c r="I466" s="896"/>
      <c r="M466" s="944"/>
    </row>
    <row r="467" spans="7:13" x14ac:dyDescent="0.2">
      <c r="G467" s="896"/>
      <c r="H467" s="926"/>
      <c r="I467" s="896"/>
      <c r="M467" s="944"/>
    </row>
    <row r="468" spans="7:13" x14ac:dyDescent="0.2">
      <c r="G468" s="896"/>
      <c r="H468" s="926"/>
      <c r="I468" s="896"/>
      <c r="M468" s="944"/>
    </row>
    <row r="469" spans="7:13" x14ac:dyDescent="0.2">
      <c r="G469" s="896"/>
      <c r="H469" s="926"/>
      <c r="I469" s="896"/>
      <c r="M469" s="944"/>
    </row>
    <row r="470" spans="7:13" x14ac:dyDescent="0.2">
      <c r="G470" s="896"/>
      <c r="H470" s="926"/>
      <c r="I470" s="896"/>
      <c r="M470" s="944"/>
    </row>
    <row r="471" spans="7:13" x14ac:dyDescent="0.2">
      <c r="G471" s="896"/>
      <c r="H471" s="926"/>
      <c r="I471" s="896"/>
      <c r="M471" s="944"/>
    </row>
    <row r="472" spans="7:13" x14ac:dyDescent="0.2">
      <c r="G472" s="896"/>
      <c r="H472" s="926"/>
      <c r="I472" s="896"/>
      <c r="M472" s="944"/>
    </row>
    <row r="473" spans="7:13" x14ac:dyDescent="0.2">
      <c r="G473" s="896"/>
      <c r="H473" s="926"/>
      <c r="I473" s="896"/>
      <c r="M473" s="944"/>
    </row>
    <row r="474" spans="7:13" x14ac:dyDescent="0.2">
      <c r="G474" s="896"/>
      <c r="H474" s="926"/>
      <c r="I474" s="896"/>
      <c r="M474" s="944"/>
    </row>
    <row r="475" spans="7:13" x14ac:dyDescent="0.2">
      <c r="G475" s="896"/>
      <c r="H475" s="926"/>
      <c r="I475" s="896"/>
      <c r="M475" s="944"/>
    </row>
    <row r="476" spans="7:13" x14ac:dyDescent="0.2">
      <c r="G476" s="896"/>
      <c r="H476" s="926"/>
      <c r="I476" s="896"/>
      <c r="M476" s="944"/>
    </row>
    <row r="477" spans="7:13" x14ac:dyDescent="0.2">
      <c r="G477" s="896"/>
      <c r="H477" s="926"/>
      <c r="I477" s="896"/>
      <c r="M477" s="944"/>
    </row>
    <row r="478" spans="7:13" x14ac:dyDescent="0.2">
      <c r="G478" s="896"/>
      <c r="H478" s="926"/>
      <c r="I478" s="896"/>
      <c r="M478" s="944"/>
    </row>
    <row r="479" spans="7:13" x14ac:dyDescent="0.2">
      <c r="G479" s="896"/>
      <c r="H479" s="926"/>
      <c r="I479" s="896"/>
      <c r="M479" s="944"/>
    </row>
    <row r="480" spans="7:13" x14ac:dyDescent="0.2">
      <c r="G480" s="896"/>
      <c r="H480" s="926"/>
      <c r="I480" s="896"/>
      <c r="M480" s="944"/>
    </row>
    <row r="481" spans="7:13" x14ac:dyDescent="0.2">
      <c r="G481" s="896"/>
      <c r="H481" s="926"/>
      <c r="I481" s="896"/>
      <c r="M481" s="944"/>
    </row>
    <row r="482" spans="7:13" x14ac:dyDescent="0.2">
      <c r="G482" s="896"/>
      <c r="H482" s="926"/>
      <c r="I482" s="896"/>
      <c r="M482" s="944"/>
    </row>
    <row r="483" spans="7:13" x14ac:dyDescent="0.2">
      <c r="G483" s="896"/>
      <c r="H483" s="926"/>
      <c r="I483" s="896"/>
      <c r="M483" s="944"/>
    </row>
    <row r="484" spans="7:13" x14ac:dyDescent="0.2">
      <c r="G484" s="896"/>
      <c r="H484" s="926"/>
      <c r="I484" s="896"/>
      <c r="M484" s="944"/>
    </row>
    <row r="485" spans="7:13" x14ac:dyDescent="0.2">
      <c r="G485" s="896"/>
      <c r="H485" s="926"/>
      <c r="I485" s="896"/>
      <c r="M485" s="944"/>
    </row>
    <row r="486" spans="7:13" x14ac:dyDescent="0.2">
      <c r="G486" s="896"/>
      <c r="H486" s="926"/>
      <c r="I486" s="896"/>
      <c r="M486" s="944"/>
    </row>
    <row r="487" spans="7:13" x14ac:dyDescent="0.2">
      <c r="G487" s="896"/>
      <c r="H487" s="926"/>
      <c r="I487" s="896"/>
      <c r="M487" s="944"/>
    </row>
    <row r="488" spans="7:13" x14ac:dyDescent="0.2">
      <c r="G488" s="896"/>
      <c r="H488" s="926"/>
      <c r="I488" s="896"/>
      <c r="M488" s="944"/>
    </row>
    <row r="489" spans="7:13" x14ac:dyDescent="0.2">
      <c r="G489" s="896"/>
      <c r="H489" s="926"/>
      <c r="I489" s="896"/>
      <c r="M489" s="944"/>
    </row>
    <row r="490" spans="7:13" x14ac:dyDescent="0.2">
      <c r="G490" s="896"/>
      <c r="H490" s="926"/>
      <c r="I490" s="896"/>
      <c r="M490" s="944"/>
    </row>
    <row r="491" spans="7:13" x14ac:dyDescent="0.2">
      <c r="G491" s="896"/>
      <c r="H491" s="926"/>
      <c r="I491" s="896"/>
      <c r="M491" s="944"/>
    </row>
    <row r="492" spans="7:13" x14ac:dyDescent="0.2">
      <c r="G492" s="896"/>
      <c r="H492" s="926"/>
      <c r="I492" s="896"/>
      <c r="M492" s="944"/>
    </row>
    <row r="493" spans="7:13" x14ac:dyDescent="0.2">
      <c r="G493" s="896"/>
      <c r="H493" s="926"/>
      <c r="I493" s="896"/>
      <c r="M493" s="944"/>
    </row>
    <row r="494" spans="7:13" x14ac:dyDescent="0.2">
      <c r="G494" s="896"/>
      <c r="H494" s="926"/>
      <c r="I494" s="896"/>
      <c r="M494" s="944"/>
    </row>
    <row r="495" spans="7:13" x14ac:dyDescent="0.2">
      <c r="G495" s="896"/>
      <c r="H495" s="926"/>
      <c r="I495" s="896"/>
      <c r="M495" s="944"/>
    </row>
    <row r="496" spans="7:13" x14ac:dyDescent="0.2">
      <c r="G496" s="896"/>
      <c r="H496" s="926"/>
      <c r="I496" s="896"/>
      <c r="M496" s="944"/>
    </row>
    <row r="497" spans="7:13" x14ac:dyDescent="0.2">
      <c r="G497" s="896"/>
      <c r="H497" s="926"/>
      <c r="I497" s="896"/>
      <c r="M497" s="944"/>
    </row>
    <row r="498" spans="7:13" x14ac:dyDescent="0.2">
      <c r="G498" s="896"/>
      <c r="H498" s="926"/>
      <c r="I498" s="896"/>
      <c r="M498" s="944"/>
    </row>
    <row r="499" spans="7:13" x14ac:dyDescent="0.2">
      <c r="G499" s="896"/>
      <c r="H499" s="926"/>
      <c r="I499" s="896"/>
      <c r="M499" s="944"/>
    </row>
    <row r="500" spans="7:13" x14ac:dyDescent="0.2">
      <c r="G500" s="896"/>
      <c r="H500" s="926"/>
      <c r="I500" s="896"/>
      <c r="M500" s="944"/>
    </row>
    <row r="501" spans="7:13" x14ac:dyDescent="0.2">
      <c r="G501" s="896"/>
      <c r="H501" s="926"/>
      <c r="I501" s="896"/>
      <c r="M501" s="944"/>
    </row>
    <row r="502" spans="7:13" x14ac:dyDescent="0.2">
      <c r="G502" s="896"/>
      <c r="H502" s="926"/>
      <c r="I502" s="896"/>
      <c r="M502" s="944"/>
    </row>
    <row r="503" spans="7:13" x14ac:dyDescent="0.2">
      <c r="G503" s="896"/>
      <c r="H503" s="926"/>
      <c r="I503" s="896"/>
      <c r="M503" s="944"/>
    </row>
    <row r="504" spans="7:13" x14ac:dyDescent="0.2">
      <c r="G504" s="896"/>
      <c r="H504" s="926"/>
      <c r="I504" s="896"/>
      <c r="M504" s="944"/>
    </row>
    <row r="505" spans="7:13" x14ac:dyDescent="0.2">
      <c r="G505" s="896"/>
      <c r="H505" s="926"/>
      <c r="I505" s="896"/>
      <c r="M505" s="944"/>
    </row>
    <row r="506" spans="7:13" x14ac:dyDescent="0.2">
      <c r="G506" s="896"/>
      <c r="H506" s="926"/>
      <c r="I506" s="896"/>
      <c r="M506" s="944"/>
    </row>
    <row r="507" spans="7:13" x14ac:dyDescent="0.2">
      <c r="G507" s="896"/>
      <c r="H507" s="926"/>
      <c r="I507" s="896"/>
      <c r="M507" s="944"/>
    </row>
    <row r="508" spans="7:13" x14ac:dyDescent="0.2">
      <c r="G508" s="896"/>
      <c r="H508" s="926"/>
      <c r="I508" s="896"/>
      <c r="M508" s="944"/>
    </row>
    <row r="509" spans="7:13" x14ac:dyDescent="0.2">
      <c r="G509" s="896"/>
      <c r="H509" s="926"/>
      <c r="I509" s="896"/>
      <c r="M509" s="944"/>
    </row>
    <row r="510" spans="7:13" x14ac:dyDescent="0.2">
      <c r="G510" s="896"/>
      <c r="H510" s="926"/>
      <c r="I510" s="896"/>
      <c r="M510" s="944"/>
    </row>
    <row r="511" spans="7:13" x14ac:dyDescent="0.2">
      <c r="G511" s="896"/>
      <c r="H511" s="926"/>
      <c r="I511" s="896"/>
      <c r="M511" s="944"/>
    </row>
    <row r="512" spans="7:13" x14ac:dyDescent="0.2">
      <c r="G512" s="896"/>
      <c r="H512" s="926"/>
      <c r="I512" s="896"/>
      <c r="M512" s="944"/>
    </row>
    <row r="513" spans="7:13" x14ac:dyDescent="0.2">
      <c r="G513" s="896"/>
      <c r="H513" s="926"/>
      <c r="I513" s="896"/>
      <c r="M513" s="944"/>
    </row>
    <row r="514" spans="7:13" x14ac:dyDescent="0.2">
      <c r="G514" s="896"/>
      <c r="H514" s="926"/>
      <c r="I514" s="896"/>
      <c r="M514" s="944"/>
    </row>
    <row r="515" spans="7:13" x14ac:dyDescent="0.2">
      <c r="G515" s="896"/>
      <c r="H515" s="926"/>
      <c r="I515" s="896"/>
      <c r="M515" s="944"/>
    </row>
    <row r="516" spans="7:13" x14ac:dyDescent="0.2">
      <c r="G516" s="896"/>
      <c r="H516" s="926"/>
      <c r="I516" s="896"/>
      <c r="M516" s="944"/>
    </row>
    <row r="517" spans="7:13" x14ac:dyDescent="0.2">
      <c r="G517" s="896"/>
      <c r="H517" s="926"/>
      <c r="I517" s="896"/>
      <c r="M517" s="944"/>
    </row>
    <row r="518" spans="7:13" x14ac:dyDescent="0.2">
      <c r="G518" s="896"/>
      <c r="H518" s="926"/>
      <c r="I518" s="896"/>
      <c r="M518" s="944"/>
    </row>
    <row r="519" spans="7:13" x14ac:dyDescent="0.2">
      <c r="G519" s="896"/>
      <c r="H519" s="926"/>
      <c r="I519" s="896"/>
      <c r="M519" s="944"/>
    </row>
    <row r="520" spans="7:13" x14ac:dyDescent="0.2">
      <c r="G520" s="896"/>
      <c r="H520" s="926"/>
      <c r="I520" s="896"/>
      <c r="M520" s="944"/>
    </row>
    <row r="521" spans="7:13" x14ac:dyDescent="0.2">
      <c r="G521" s="896"/>
      <c r="H521" s="926"/>
      <c r="I521" s="896"/>
      <c r="M521" s="944"/>
    </row>
    <row r="522" spans="7:13" x14ac:dyDescent="0.2">
      <c r="G522" s="896"/>
      <c r="H522" s="926"/>
      <c r="I522" s="896"/>
      <c r="M522" s="944"/>
    </row>
    <row r="523" spans="7:13" x14ac:dyDescent="0.2">
      <c r="G523" s="896"/>
      <c r="H523" s="926"/>
      <c r="I523" s="896"/>
      <c r="M523" s="944"/>
    </row>
    <row r="524" spans="7:13" x14ac:dyDescent="0.2">
      <c r="G524" s="896"/>
      <c r="H524" s="926"/>
      <c r="I524" s="896"/>
      <c r="M524" s="944"/>
    </row>
    <row r="525" spans="7:13" x14ac:dyDescent="0.2">
      <c r="G525" s="896"/>
      <c r="H525" s="926"/>
      <c r="I525" s="896"/>
      <c r="M525" s="944"/>
    </row>
    <row r="526" spans="7:13" x14ac:dyDescent="0.2">
      <c r="G526" s="896"/>
      <c r="H526" s="926"/>
      <c r="I526" s="896"/>
      <c r="M526" s="944"/>
    </row>
    <row r="527" spans="7:13" x14ac:dyDescent="0.2">
      <c r="G527" s="896"/>
      <c r="H527" s="926"/>
      <c r="I527" s="896"/>
      <c r="M527" s="944"/>
    </row>
    <row r="528" spans="7:13" x14ac:dyDescent="0.2">
      <c r="G528" s="896"/>
      <c r="H528" s="926"/>
      <c r="I528" s="896"/>
      <c r="M528" s="944"/>
    </row>
    <row r="529" spans="7:13" x14ac:dyDescent="0.2">
      <c r="G529" s="896"/>
      <c r="H529" s="926"/>
      <c r="I529" s="896"/>
      <c r="M529" s="944"/>
    </row>
    <row r="530" spans="7:13" x14ac:dyDescent="0.2">
      <c r="G530" s="896"/>
      <c r="H530" s="926"/>
      <c r="I530" s="896"/>
      <c r="M530" s="944"/>
    </row>
    <row r="531" spans="7:13" x14ac:dyDescent="0.2">
      <c r="G531" s="896"/>
      <c r="H531" s="926"/>
      <c r="I531" s="896"/>
      <c r="M531" s="944"/>
    </row>
    <row r="532" spans="7:13" x14ac:dyDescent="0.2">
      <c r="G532" s="896"/>
      <c r="H532" s="926"/>
      <c r="I532" s="896"/>
      <c r="M532" s="944"/>
    </row>
    <row r="533" spans="7:13" x14ac:dyDescent="0.2">
      <c r="G533" s="896"/>
      <c r="H533" s="926"/>
      <c r="I533" s="896"/>
      <c r="M533" s="944"/>
    </row>
    <row r="534" spans="7:13" x14ac:dyDescent="0.2">
      <c r="G534" s="896"/>
      <c r="H534" s="926"/>
      <c r="I534" s="896"/>
      <c r="M534" s="944"/>
    </row>
    <row r="535" spans="7:13" x14ac:dyDescent="0.2">
      <c r="G535" s="896"/>
      <c r="H535" s="926"/>
      <c r="I535" s="896"/>
      <c r="M535" s="944"/>
    </row>
    <row r="536" spans="7:13" x14ac:dyDescent="0.2">
      <c r="G536" s="896"/>
      <c r="H536" s="926"/>
      <c r="I536" s="896"/>
      <c r="M536" s="944"/>
    </row>
    <row r="537" spans="7:13" x14ac:dyDescent="0.2">
      <c r="G537" s="896"/>
      <c r="H537" s="926"/>
      <c r="I537" s="896"/>
      <c r="M537" s="944"/>
    </row>
    <row r="538" spans="7:13" x14ac:dyDescent="0.2">
      <c r="G538" s="896"/>
      <c r="H538" s="926"/>
      <c r="I538" s="896"/>
      <c r="M538" s="944"/>
    </row>
    <row r="539" spans="7:13" x14ac:dyDescent="0.2">
      <c r="G539" s="896"/>
      <c r="H539" s="926"/>
      <c r="I539" s="896"/>
      <c r="M539" s="944"/>
    </row>
    <row r="540" spans="7:13" x14ac:dyDescent="0.2">
      <c r="G540" s="896"/>
      <c r="H540" s="926"/>
      <c r="I540" s="896"/>
      <c r="M540" s="944"/>
    </row>
    <row r="541" spans="7:13" x14ac:dyDescent="0.2">
      <c r="G541" s="896"/>
      <c r="H541" s="926"/>
      <c r="I541" s="896"/>
      <c r="M541" s="944"/>
    </row>
    <row r="542" spans="7:13" x14ac:dyDescent="0.2">
      <c r="G542" s="896"/>
      <c r="H542" s="926"/>
      <c r="I542" s="896"/>
      <c r="M542" s="944"/>
    </row>
    <row r="543" spans="7:13" x14ac:dyDescent="0.2">
      <c r="G543" s="896"/>
      <c r="H543" s="926"/>
      <c r="I543" s="896"/>
      <c r="M543" s="944"/>
    </row>
    <row r="544" spans="7:13" x14ac:dyDescent="0.2">
      <c r="G544" s="896"/>
      <c r="H544" s="926"/>
      <c r="I544" s="896"/>
      <c r="M544" s="944"/>
    </row>
    <row r="545" spans="7:13" x14ac:dyDescent="0.2">
      <c r="G545" s="896"/>
      <c r="H545" s="926"/>
      <c r="I545" s="896"/>
      <c r="M545" s="944"/>
    </row>
    <row r="546" spans="7:13" x14ac:dyDescent="0.2">
      <c r="G546" s="896"/>
      <c r="H546" s="926"/>
      <c r="I546" s="896"/>
      <c r="M546" s="944"/>
    </row>
    <row r="547" spans="7:13" x14ac:dyDescent="0.2">
      <c r="G547" s="896"/>
      <c r="H547" s="926"/>
      <c r="I547" s="896"/>
      <c r="M547" s="944"/>
    </row>
    <row r="548" spans="7:13" x14ac:dyDescent="0.2">
      <c r="G548" s="896"/>
      <c r="H548" s="926"/>
      <c r="I548" s="896"/>
      <c r="M548" s="944"/>
    </row>
    <row r="549" spans="7:13" x14ac:dyDescent="0.2">
      <c r="G549" s="896"/>
      <c r="H549" s="926"/>
      <c r="I549" s="896"/>
      <c r="M549" s="944"/>
    </row>
    <row r="550" spans="7:13" x14ac:dyDescent="0.2">
      <c r="G550" s="896"/>
      <c r="H550" s="926"/>
      <c r="I550" s="896"/>
      <c r="M550" s="944"/>
    </row>
    <row r="551" spans="7:13" x14ac:dyDescent="0.2">
      <c r="G551" s="896"/>
      <c r="H551" s="926"/>
      <c r="I551" s="896"/>
      <c r="M551" s="944"/>
    </row>
    <row r="552" spans="7:13" x14ac:dyDescent="0.2">
      <c r="G552" s="896"/>
      <c r="H552" s="926"/>
      <c r="I552" s="896"/>
      <c r="M552" s="944"/>
    </row>
    <row r="553" spans="7:13" x14ac:dyDescent="0.2">
      <c r="G553" s="896"/>
      <c r="H553" s="926"/>
      <c r="I553" s="896"/>
      <c r="M553" s="944"/>
    </row>
    <row r="554" spans="7:13" x14ac:dyDescent="0.2">
      <c r="G554" s="896"/>
      <c r="H554" s="926"/>
      <c r="I554" s="896"/>
      <c r="M554" s="944"/>
    </row>
    <row r="555" spans="7:13" x14ac:dyDescent="0.2">
      <c r="G555" s="896"/>
      <c r="H555" s="926"/>
      <c r="I555" s="896"/>
      <c r="M555" s="944"/>
    </row>
    <row r="556" spans="7:13" x14ac:dyDescent="0.2">
      <c r="G556" s="896"/>
      <c r="H556" s="926"/>
      <c r="I556" s="896"/>
      <c r="M556" s="944"/>
    </row>
    <row r="557" spans="7:13" x14ac:dyDescent="0.2">
      <c r="G557" s="896"/>
      <c r="H557" s="926"/>
      <c r="I557" s="896"/>
      <c r="M557" s="944"/>
    </row>
    <row r="558" spans="7:13" x14ac:dyDescent="0.2">
      <c r="G558" s="896"/>
      <c r="H558" s="926"/>
      <c r="I558" s="896"/>
      <c r="M558" s="944"/>
    </row>
    <row r="559" spans="7:13" x14ac:dyDescent="0.2">
      <c r="G559" s="896"/>
      <c r="H559" s="926"/>
      <c r="I559" s="896"/>
      <c r="M559" s="944"/>
    </row>
    <row r="560" spans="7:13" x14ac:dyDescent="0.2">
      <c r="G560" s="896"/>
      <c r="H560" s="926"/>
      <c r="I560" s="896"/>
      <c r="M560" s="944"/>
    </row>
    <row r="561" spans="7:13" x14ac:dyDescent="0.2">
      <c r="G561" s="896"/>
      <c r="H561" s="926"/>
      <c r="I561" s="896"/>
      <c r="M561" s="944"/>
    </row>
    <row r="562" spans="7:13" x14ac:dyDescent="0.2">
      <c r="G562" s="896"/>
      <c r="H562" s="926"/>
      <c r="I562" s="896"/>
      <c r="M562" s="944"/>
    </row>
    <row r="563" spans="7:13" x14ac:dyDescent="0.2">
      <c r="G563" s="896"/>
      <c r="H563" s="926"/>
      <c r="I563" s="896"/>
      <c r="M563" s="944"/>
    </row>
    <row r="564" spans="7:13" x14ac:dyDescent="0.2">
      <c r="G564" s="896"/>
      <c r="H564" s="926"/>
      <c r="I564" s="896"/>
      <c r="M564" s="944"/>
    </row>
    <row r="565" spans="7:13" x14ac:dyDescent="0.2">
      <c r="G565" s="896"/>
      <c r="H565" s="926"/>
      <c r="I565" s="896"/>
      <c r="M565" s="944"/>
    </row>
    <row r="566" spans="7:13" x14ac:dyDescent="0.2">
      <c r="G566" s="896"/>
      <c r="H566" s="926"/>
      <c r="I566" s="896"/>
      <c r="M566" s="944"/>
    </row>
    <row r="567" spans="7:13" x14ac:dyDescent="0.2">
      <c r="G567" s="896"/>
      <c r="H567" s="926"/>
      <c r="I567" s="896"/>
      <c r="M567" s="944"/>
    </row>
    <row r="568" spans="7:13" x14ac:dyDescent="0.2">
      <c r="G568" s="896"/>
      <c r="H568" s="926"/>
      <c r="I568" s="896"/>
      <c r="M568" s="944"/>
    </row>
    <row r="569" spans="7:13" x14ac:dyDescent="0.2">
      <c r="G569" s="896"/>
      <c r="H569" s="926"/>
      <c r="I569" s="896"/>
      <c r="M569" s="944"/>
    </row>
    <row r="570" spans="7:13" x14ac:dyDescent="0.2">
      <c r="G570" s="896"/>
      <c r="H570" s="926"/>
      <c r="I570" s="896"/>
      <c r="M570" s="944"/>
    </row>
    <row r="571" spans="7:13" x14ac:dyDescent="0.2">
      <c r="G571" s="896"/>
      <c r="H571" s="926"/>
      <c r="I571" s="896"/>
      <c r="M571" s="944"/>
    </row>
    <row r="572" spans="7:13" x14ac:dyDescent="0.2">
      <c r="G572" s="896"/>
      <c r="H572" s="926"/>
      <c r="I572" s="896"/>
      <c r="M572" s="944"/>
    </row>
    <row r="573" spans="7:13" x14ac:dyDescent="0.2">
      <c r="G573" s="896"/>
      <c r="H573" s="926"/>
      <c r="I573" s="896"/>
      <c r="M573" s="944"/>
    </row>
    <row r="574" spans="7:13" x14ac:dyDescent="0.2">
      <c r="G574" s="896"/>
      <c r="H574" s="926"/>
      <c r="I574" s="896"/>
      <c r="M574" s="944"/>
    </row>
    <row r="575" spans="7:13" x14ac:dyDescent="0.2">
      <c r="G575" s="896"/>
      <c r="H575" s="926"/>
      <c r="I575" s="896"/>
      <c r="M575" s="944"/>
    </row>
    <row r="576" spans="7:13" x14ac:dyDescent="0.2">
      <c r="G576" s="896"/>
      <c r="H576" s="926"/>
      <c r="I576" s="896"/>
      <c r="M576" s="944"/>
    </row>
    <row r="577" spans="7:13" x14ac:dyDescent="0.2">
      <c r="G577" s="896"/>
      <c r="H577" s="926"/>
      <c r="I577" s="896"/>
      <c r="M577" s="944"/>
    </row>
    <row r="578" spans="7:13" x14ac:dyDescent="0.2">
      <c r="G578" s="896"/>
      <c r="H578" s="926"/>
      <c r="I578" s="896"/>
      <c r="M578" s="944"/>
    </row>
    <row r="579" spans="7:13" x14ac:dyDescent="0.2">
      <c r="G579" s="896"/>
      <c r="H579" s="926"/>
      <c r="I579" s="896"/>
      <c r="M579" s="944"/>
    </row>
    <row r="580" spans="7:13" x14ac:dyDescent="0.2">
      <c r="G580" s="896"/>
      <c r="H580" s="926"/>
      <c r="I580" s="896"/>
      <c r="M580" s="944"/>
    </row>
    <row r="581" spans="7:13" x14ac:dyDescent="0.2">
      <c r="G581" s="896"/>
      <c r="H581" s="926"/>
      <c r="I581" s="896"/>
      <c r="M581" s="944"/>
    </row>
    <row r="582" spans="7:13" x14ac:dyDescent="0.2">
      <c r="G582" s="896"/>
      <c r="H582" s="926"/>
      <c r="I582" s="896"/>
      <c r="M582" s="944"/>
    </row>
    <row r="583" spans="7:13" x14ac:dyDescent="0.2">
      <c r="G583" s="896"/>
      <c r="H583" s="926"/>
      <c r="I583" s="896"/>
      <c r="M583" s="944"/>
    </row>
    <row r="584" spans="7:13" x14ac:dyDescent="0.2">
      <c r="G584" s="896"/>
      <c r="H584" s="926"/>
      <c r="I584" s="896"/>
      <c r="M584" s="944"/>
    </row>
    <row r="585" spans="7:13" x14ac:dyDescent="0.2">
      <c r="G585" s="896"/>
      <c r="H585" s="926"/>
      <c r="I585" s="896"/>
      <c r="M585" s="944"/>
    </row>
    <row r="586" spans="7:13" x14ac:dyDescent="0.2">
      <c r="G586" s="896"/>
      <c r="H586" s="926"/>
      <c r="I586" s="896"/>
      <c r="M586" s="944"/>
    </row>
    <row r="587" spans="7:13" x14ac:dyDescent="0.2">
      <c r="G587" s="896"/>
      <c r="H587" s="926"/>
      <c r="I587" s="896"/>
      <c r="M587" s="944"/>
    </row>
    <row r="588" spans="7:13" x14ac:dyDescent="0.2">
      <c r="G588" s="896"/>
      <c r="H588" s="926"/>
      <c r="I588" s="896"/>
      <c r="M588" s="944"/>
    </row>
    <row r="589" spans="7:13" x14ac:dyDescent="0.2">
      <c r="G589" s="896"/>
      <c r="H589" s="926"/>
      <c r="I589" s="896"/>
      <c r="M589" s="944"/>
    </row>
    <row r="590" spans="7:13" x14ac:dyDescent="0.2">
      <c r="G590" s="896"/>
      <c r="H590" s="926"/>
      <c r="I590" s="896"/>
      <c r="M590" s="944"/>
    </row>
    <row r="591" spans="7:13" x14ac:dyDescent="0.2">
      <c r="G591" s="896"/>
      <c r="H591" s="926"/>
      <c r="I591" s="896"/>
      <c r="M591" s="944"/>
    </row>
    <row r="592" spans="7:13" x14ac:dyDescent="0.2">
      <c r="G592" s="896"/>
      <c r="H592" s="926"/>
      <c r="I592" s="896"/>
      <c r="M592" s="944"/>
    </row>
    <row r="593" spans="7:13" x14ac:dyDescent="0.2">
      <c r="G593" s="896"/>
      <c r="H593" s="926"/>
      <c r="I593" s="896"/>
      <c r="M593" s="944"/>
    </row>
    <row r="594" spans="7:13" x14ac:dyDescent="0.2">
      <c r="G594" s="896"/>
      <c r="H594" s="926"/>
      <c r="I594" s="896"/>
      <c r="M594" s="944"/>
    </row>
    <row r="595" spans="7:13" x14ac:dyDescent="0.2">
      <c r="G595" s="896"/>
      <c r="H595" s="926"/>
      <c r="I595" s="896"/>
      <c r="M595" s="944"/>
    </row>
    <row r="596" spans="7:13" x14ac:dyDescent="0.2">
      <c r="G596" s="896"/>
      <c r="H596" s="926"/>
      <c r="I596" s="896"/>
      <c r="M596" s="944"/>
    </row>
    <row r="597" spans="7:13" x14ac:dyDescent="0.2">
      <c r="G597" s="896"/>
      <c r="H597" s="926"/>
      <c r="I597" s="896"/>
      <c r="M597" s="944"/>
    </row>
    <row r="598" spans="7:13" x14ac:dyDescent="0.2">
      <c r="G598" s="896"/>
      <c r="H598" s="926"/>
      <c r="I598" s="896"/>
      <c r="M598" s="944"/>
    </row>
    <row r="599" spans="7:13" x14ac:dyDescent="0.2">
      <c r="G599" s="896"/>
      <c r="H599" s="926"/>
      <c r="I599" s="896"/>
      <c r="M599" s="944"/>
    </row>
    <row r="600" spans="7:13" x14ac:dyDescent="0.2">
      <c r="G600" s="896"/>
      <c r="H600" s="926"/>
      <c r="I600" s="896"/>
      <c r="M600" s="944"/>
    </row>
    <row r="601" spans="7:13" x14ac:dyDescent="0.2">
      <c r="G601" s="896"/>
      <c r="H601" s="926"/>
      <c r="I601" s="896"/>
      <c r="M601" s="944"/>
    </row>
    <row r="602" spans="7:13" x14ac:dyDescent="0.2">
      <c r="G602" s="896"/>
      <c r="H602" s="926"/>
      <c r="I602" s="896"/>
      <c r="M602" s="944"/>
    </row>
    <row r="603" spans="7:13" x14ac:dyDescent="0.2">
      <c r="G603" s="896"/>
      <c r="H603" s="926"/>
      <c r="I603" s="896"/>
      <c r="M603" s="944"/>
    </row>
    <row r="604" spans="7:13" x14ac:dyDescent="0.2">
      <c r="G604" s="896"/>
      <c r="H604" s="926"/>
      <c r="I604" s="896"/>
      <c r="M604" s="944"/>
    </row>
    <row r="605" spans="7:13" x14ac:dyDescent="0.2">
      <c r="G605" s="896"/>
      <c r="H605" s="926"/>
      <c r="I605" s="896"/>
      <c r="M605" s="944"/>
    </row>
    <row r="606" spans="7:13" x14ac:dyDescent="0.2">
      <c r="G606" s="896"/>
      <c r="H606" s="926"/>
      <c r="I606" s="896"/>
      <c r="M606" s="944"/>
    </row>
    <row r="607" spans="7:13" x14ac:dyDescent="0.2">
      <c r="G607" s="896"/>
      <c r="H607" s="926"/>
      <c r="I607" s="896"/>
      <c r="M607" s="944"/>
    </row>
    <row r="608" spans="7:13" x14ac:dyDescent="0.2">
      <c r="G608" s="896"/>
      <c r="H608" s="926"/>
      <c r="I608" s="896"/>
      <c r="M608" s="944"/>
    </row>
    <row r="609" spans="7:13" x14ac:dyDescent="0.2">
      <c r="G609" s="896"/>
      <c r="H609" s="926"/>
      <c r="I609" s="896"/>
      <c r="M609" s="944"/>
    </row>
    <row r="610" spans="7:13" x14ac:dyDescent="0.2">
      <c r="G610" s="896"/>
      <c r="H610" s="926"/>
      <c r="I610" s="896"/>
      <c r="M610" s="944"/>
    </row>
    <row r="611" spans="7:13" x14ac:dyDescent="0.2">
      <c r="G611" s="896"/>
      <c r="H611" s="926"/>
      <c r="I611" s="896"/>
      <c r="M611" s="944"/>
    </row>
    <row r="612" spans="7:13" x14ac:dyDescent="0.2">
      <c r="G612" s="896"/>
      <c r="H612" s="926"/>
      <c r="I612" s="896"/>
      <c r="M612" s="944"/>
    </row>
    <row r="613" spans="7:13" x14ac:dyDescent="0.2">
      <c r="G613" s="896"/>
      <c r="H613" s="926"/>
      <c r="I613" s="896"/>
      <c r="M613" s="944"/>
    </row>
    <row r="614" spans="7:13" x14ac:dyDescent="0.2">
      <c r="G614" s="896"/>
      <c r="H614" s="926"/>
      <c r="I614" s="896"/>
      <c r="M614" s="944"/>
    </row>
    <row r="615" spans="7:13" x14ac:dyDescent="0.2">
      <c r="G615" s="896"/>
      <c r="H615" s="926"/>
      <c r="I615" s="896"/>
      <c r="M615" s="944"/>
    </row>
    <row r="616" spans="7:13" x14ac:dyDescent="0.2">
      <c r="G616" s="896"/>
      <c r="H616" s="926"/>
      <c r="I616" s="896"/>
      <c r="M616" s="944"/>
    </row>
    <row r="617" spans="7:13" x14ac:dyDescent="0.2">
      <c r="G617" s="896"/>
      <c r="H617" s="926"/>
      <c r="I617" s="896"/>
      <c r="M617" s="944"/>
    </row>
    <row r="618" spans="7:13" x14ac:dyDescent="0.2">
      <c r="G618" s="896"/>
      <c r="H618" s="926"/>
      <c r="I618" s="896"/>
      <c r="M618" s="944"/>
    </row>
    <row r="619" spans="7:13" x14ac:dyDescent="0.2">
      <c r="G619" s="896"/>
      <c r="H619" s="926"/>
      <c r="I619" s="896"/>
      <c r="M619" s="944"/>
    </row>
    <row r="620" spans="7:13" x14ac:dyDescent="0.2">
      <c r="G620" s="896"/>
      <c r="H620" s="926"/>
      <c r="I620" s="896"/>
      <c r="M620" s="944"/>
    </row>
    <row r="621" spans="7:13" x14ac:dyDescent="0.2">
      <c r="G621" s="896"/>
      <c r="H621" s="926"/>
      <c r="I621" s="896"/>
      <c r="M621" s="944"/>
    </row>
    <row r="622" spans="7:13" x14ac:dyDescent="0.2">
      <c r="G622" s="896"/>
      <c r="H622" s="926"/>
      <c r="I622" s="896"/>
      <c r="M622" s="944"/>
    </row>
    <row r="623" spans="7:13" x14ac:dyDescent="0.2">
      <c r="G623" s="896"/>
      <c r="H623" s="926"/>
      <c r="I623" s="896"/>
      <c r="M623" s="944"/>
    </row>
    <row r="624" spans="7:13" x14ac:dyDescent="0.2">
      <c r="G624" s="896"/>
      <c r="H624" s="926"/>
      <c r="I624" s="896"/>
      <c r="M624" s="944"/>
    </row>
    <row r="625" spans="7:13" x14ac:dyDescent="0.2">
      <c r="G625" s="896"/>
      <c r="H625" s="926"/>
      <c r="I625" s="896"/>
      <c r="M625" s="944"/>
    </row>
    <row r="626" spans="7:13" x14ac:dyDescent="0.2">
      <c r="G626" s="896"/>
      <c r="H626" s="926"/>
      <c r="I626" s="896"/>
      <c r="M626" s="944"/>
    </row>
    <row r="627" spans="7:13" x14ac:dyDescent="0.2">
      <c r="G627" s="896"/>
      <c r="H627" s="926"/>
      <c r="I627" s="896"/>
      <c r="M627" s="944"/>
    </row>
    <row r="628" spans="7:13" x14ac:dyDescent="0.2">
      <c r="G628" s="896"/>
      <c r="H628" s="926"/>
      <c r="I628" s="896"/>
      <c r="M628" s="944"/>
    </row>
    <row r="629" spans="7:13" x14ac:dyDescent="0.2">
      <c r="G629" s="896"/>
      <c r="H629" s="926"/>
      <c r="I629" s="896"/>
      <c r="M629" s="944"/>
    </row>
    <row r="630" spans="7:13" x14ac:dyDescent="0.2">
      <c r="G630" s="896"/>
      <c r="H630" s="926"/>
      <c r="I630" s="896"/>
      <c r="M630" s="944"/>
    </row>
    <row r="631" spans="7:13" x14ac:dyDescent="0.2">
      <c r="G631" s="896"/>
      <c r="H631" s="926"/>
      <c r="I631" s="896"/>
      <c r="M631" s="944"/>
    </row>
    <row r="632" spans="7:13" x14ac:dyDescent="0.2">
      <c r="G632" s="896"/>
      <c r="H632" s="926"/>
      <c r="I632" s="896"/>
      <c r="M632" s="944"/>
    </row>
    <row r="633" spans="7:13" x14ac:dyDescent="0.2">
      <c r="G633" s="896"/>
      <c r="H633" s="926"/>
      <c r="I633" s="896"/>
      <c r="M633" s="944"/>
    </row>
    <row r="634" spans="7:13" x14ac:dyDescent="0.2">
      <c r="G634" s="896"/>
      <c r="H634" s="926"/>
      <c r="I634" s="896"/>
      <c r="M634" s="944"/>
    </row>
    <row r="635" spans="7:13" x14ac:dyDescent="0.2">
      <c r="G635" s="896"/>
      <c r="H635" s="926"/>
      <c r="I635" s="896"/>
      <c r="M635" s="944"/>
    </row>
    <row r="636" spans="7:13" x14ac:dyDescent="0.2">
      <c r="G636" s="896"/>
      <c r="H636" s="926"/>
      <c r="I636" s="896"/>
      <c r="M636" s="944"/>
    </row>
    <row r="637" spans="7:13" x14ac:dyDescent="0.2">
      <c r="G637" s="896"/>
      <c r="H637" s="926"/>
      <c r="I637" s="896"/>
      <c r="M637" s="944"/>
    </row>
    <row r="638" spans="7:13" x14ac:dyDescent="0.2">
      <c r="G638" s="896"/>
      <c r="H638" s="926"/>
      <c r="I638" s="896"/>
      <c r="M638" s="944"/>
    </row>
    <row r="639" spans="7:13" x14ac:dyDescent="0.2">
      <c r="G639" s="896"/>
      <c r="H639" s="926"/>
      <c r="I639" s="896"/>
      <c r="M639" s="944"/>
    </row>
    <row r="640" spans="7:13" x14ac:dyDescent="0.2">
      <c r="G640" s="896"/>
      <c r="H640" s="926"/>
      <c r="I640" s="896"/>
      <c r="M640" s="944"/>
    </row>
    <row r="641" spans="7:13" x14ac:dyDescent="0.2">
      <c r="G641" s="896"/>
      <c r="H641" s="926"/>
      <c r="I641" s="896"/>
      <c r="M641" s="944"/>
    </row>
    <row r="642" spans="7:13" x14ac:dyDescent="0.2">
      <c r="G642" s="896"/>
      <c r="H642" s="926"/>
      <c r="I642" s="896"/>
      <c r="M642" s="944"/>
    </row>
    <row r="643" spans="7:13" x14ac:dyDescent="0.2">
      <c r="G643" s="896"/>
      <c r="H643" s="926"/>
      <c r="I643" s="896"/>
      <c r="M643" s="944"/>
    </row>
    <row r="644" spans="7:13" x14ac:dyDescent="0.2">
      <c r="G644" s="896"/>
      <c r="H644" s="926"/>
      <c r="I644" s="896"/>
      <c r="M644" s="944"/>
    </row>
    <row r="645" spans="7:13" x14ac:dyDescent="0.2">
      <c r="G645" s="896"/>
      <c r="H645" s="926"/>
      <c r="I645" s="896"/>
      <c r="M645" s="944"/>
    </row>
    <row r="646" spans="7:13" x14ac:dyDescent="0.2">
      <c r="G646" s="896"/>
      <c r="H646" s="926"/>
      <c r="I646" s="896"/>
      <c r="M646" s="944"/>
    </row>
    <row r="647" spans="7:13" x14ac:dyDescent="0.2">
      <c r="G647" s="896"/>
      <c r="H647" s="926"/>
      <c r="I647" s="896"/>
      <c r="M647" s="944"/>
    </row>
    <row r="648" spans="7:13" x14ac:dyDescent="0.2">
      <c r="G648" s="896"/>
      <c r="H648" s="926"/>
      <c r="I648" s="896"/>
      <c r="M648" s="944"/>
    </row>
    <row r="649" spans="7:13" x14ac:dyDescent="0.2">
      <c r="G649" s="896"/>
      <c r="H649" s="926"/>
      <c r="I649" s="896"/>
      <c r="M649" s="944"/>
    </row>
    <row r="650" spans="7:13" x14ac:dyDescent="0.2">
      <c r="G650" s="896"/>
      <c r="H650" s="926"/>
      <c r="I650" s="896"/>
      <c r="M650" s="944"/>
    </row>
    <row r="651" spans="7:13" x14ac:dyDescent="0.2">
      <c r="G651" s="896"/>
      <c r="H651" s="926"/>
      <c r="I651" s="896"/>
      <c r="M651" s="944"/>
    </row>
    <row r="652" spans="7:13" x14ac:dyDescent="0.2">
      <c r="G652" s="896"/>
      <c r="H652" s="926"/>
      <c r="I652" s="896"/>
      <c r="M652" s="944"/>
    </row>
    <row r="653" spans="7:13" x14ac:dyDescent="0.2">
      <c r="G653" s="896"/>
      <c r="H653" s="926"/>
      <c r="I653" s="896"/>
      <c r="M653" s="944"/>
    </row>
    <row r="654" spans="7:13" x14ac:dyDescent="0.2">
      <c r="G654" s="896"/>
      <c r="H654" s="926"/>
      <c r="I654" s="896"/>
      <c r="M654" s="944"/>
    </row>
    <row r="655" spans="7:13" x14ac:dyDescent="0.2">
      <c r="G655" s="896"/>
      <c r="H655" s="926"/>
      <c r="I655" s="896"/>
      <c r="M655" s="944"/>
    </row>
    <row r="656" spans="7:13" x14ac:dyDescent="0.2">
      <c r="G656" s="896"/>
      <c r="H656" s="926"/>
      <c r="I656" s="896"/>
      <c r="M656" s="944"/>
    </row>
    <row r="657" spans="7:13" x14ac:dyDescent="0.2">
      <c r="G657" s="896"/>
      <c r="H657" s="926"/>
      <c r="I657" s="896"/>
      <c r="M657" s="944"/>
    </row>
    <row r="658" spans="7:13" x14ac:dyDescent="0.2">
      <c r="G658" s="896"/>
      <c r="H658" s="926"/>
      <c r="I658" s="896"/>
      <c r="M658" s="944"/>
    </row>
    <row r="659" spans="7:13" x14ac:dyDescent="0.2">
      <c r="G659" s="896"/>
      <c r="H659" s="926"/>
      <c r="I659" s="896"/>
      <c r="M659" s="944"/>
    </row>
    <row r="660" spans="7:13" x14ac:dyDescent="0.2">
      <c r="G660" s="896"/>
      <c r="H660" s="926"/>
      <c r="I660" s="896"/>
      <c r="M660" s="944"/>
    </row>
    <row r="661" spans="7:13" x14ac:dyDescent="0.2">
      <c r="G661" s="896"/>
      <c r="H661" s="926"/>
      <c r="I661" s="896"/>
      <c r="M661" s="944"/>
    </row>
    <row r="662" spans="7:13" x14ac:dyDescent="0.2">
      <c r="G662" s="896"/>
      <c r="H662" s="926"/>
      <c r="I662" s="896"/>
      <c r="M662" s="944"/>
    </row>
    <row r="663" spans="7:13" x14ac:dyDescent="0.2">
      <c r="G663" s="896"/>
      <c r="H663" s="926"/>
      <c r="I663" s="896"/>
      <c r="M663" s="944"/>
    </row>
    <row r="664" spans="7:13" x14ac:dyDescent="0.2">
      <c r="G664" s="896"/>
      <c r="H664" s="926"/>
      <c r="I664" s="896"/>
      <c r="M664" s="944"/>
    </row>
    <row r="665" spans="7:13" x14ac:dyDescent="0.2">
      <c r="G665" s="896"/>
      <c r="H665" s="926"/>
      <c r="I665" s="896"/>
      <c r="M665" s="944"/>
    </row>
    <row r="666" spans="7:13" x14ac:dyDescent="0.2">
      <c r="G666" s="896"/>
      <c r="H666" s="926"/>
      <c r="I666" s="896"/>
      <c r="M666" s="944"/>
    </row>
    <row r="667" spans="7:13" x14ac:dyDescent="0.2">
      <c r="G667" s="896"/>
      <c r="H667" s="926"/>
      <c r="I667" s="896"/>
      <c r="M667" s="944"/>
    </row>
    <row r="668" spans="7:13" x14ac:dyDescent="0.2">
      <c r="G668" s="896"/>
      <c r="H668" s="926"/>
      <c r="I668" s="896"/>
      <c r="M668" s="944"/>
    </row>
    <row r="669" spans="7:13" x14ac:dyDescent="0.2">
      <c r="G669" s="896"/>
      <c r="H669" s="926"/>
      <c r="I669" s="896"/>
      <c r="M669" s="944"/>
    </row>
    <row r="670" spans="7:13" x14ac:dyDescent="0.2">
      <c r="G670" s="896"/>
      <c r="H670" s="926"/>
      <c r="I670" s="896"/>
      <c r="M670" s="944"/>
    </row>
    <row r="671" spans="7:13" x14ac:dyDescent="0.2">
      <c r="G671" s="896"/>
      <c r="H671" s="926"/>
      <c r="I671" s="896"/>
      <c r="M671" s="944"/>
    </row>
    <row r="672" spans="7:13" x14ac:dyDescent="0.2">
      <c r="G672" s="896"/>
      <c r="H672" s="926"/>
      <c r="I672" s="896"/>
      <c r="M672" s="944"/>
    </row>
    <row r="673" spans="7:13" x14ac:dyDescent="0.2">
      <c r="G673" s="896"/>
      <c r="H673" s="926"/>
      <c r="I673" s="896"/>
      <c r="M673" s="944"/>
    </row>
    <row r="674" spans="7:13" x14ac:dyDescent="0.2">
      <c r="G674" s="896"/>
      <c r="H674" s="926"/>
      <c r="I674" s="896"/>
      <c r="M674" s="944"/>
    </row>
    <row r="675" spans="7:13" x14ac:dyDescent="0.2">
      <c r="G675" s="896"/>
      <c r="H675" s="926"/>
      <c r="I675" s="896"/>
      <c r="M675" s="944"/>
    </row>
    <row r="676" spans="7:13" x14ac:dyDescent="0.2">
      <c r="G676" s="896"/>
      <c r="H676" s="926"/>
      <c r="I676" s="896"/>
      <c r="M676" s="944"/>
    </row>
    <row r="677" spans="7:13" x14ac:dyDescent="0.2">
      <c r="G677" s="896"/>
      <c r="H677" s="926"/>
      <c r="I677" s="896"/>
      <c r="M677" s="944"/>
    </row>
    <row r="678" spans="7:13" x14ac:dyDescent="0.2">
      <c r="G678" s="896"/>
      <c r="H678" s="926"/>
      <c r="I678" s="896"/>
      <c r="M678" s="944"/>
    </row>
    <row r="679" spans="7:13" x14ac:dyDescent="0.2">
      <c r="G679" s="896"/>
      <c r="H679" s="926"/>
      <c r="I679" s="896"/>
      <c r="M679" s="944"/>
    </row>
    <row r="680" spans="7:13" x14ac:dyDescent="0.2">
      <c r="G680" s="896"/>
      <c r="H680" s="926"/>
      <c r="I680" s="896"/>
      <c r="M680" s="944"/>
    </row>
    <row r="681" spans="7:13" x14ac:dyDescent="0.2">
      <c r="G681" s="896"/>
      <c r="H681" s="926"/>
      <c r="I681" s="896"/>
      <c r="M681" s="944"/>
    </row>
    <row r="682" spans="7:13" x14ac:dyDescent="0.2">
      <c r="G682" s="896"/>
      <c r="H682" s="926"/>
      <c r="I682" s="896"/>
      <c r="M682" s="944"/>
    </row>
    <row r="683" spans="7:13" x14ac:dyDescent="0.2">
      <c r="G683" s="896"/>
      <c r="H683" s="926"/>
      <c r="I683" s="896"/>
      <c r="M683" s="944"/>
    </row>
    <row r="684" spans="7:13" x14ac:dyDescent="0.2">
      <c r="G684" s="896"/>
      <c r="H684" s="926"/>
      <c r="I684" s="896"/>
      <c r="M684" s="944"/>
    </row>
    <row r="685" spans="7:13" x14ac:dyDescent="0.2">
      <c r="G685" s="896"/>
      <c r="H685" s="926"/>
      <c r="I685" s="896"/>
      <c r="M685" s="944"/>
    </row>
    <row r="686" spans="7:13" x14ac:dyDescent="0.2">
      <c r="G686" s="896"/>
      <c r="H686" s="926"/>
      <c r="I686" s="896"/>
      <c r="M686" s="944"/>
    </row>
    <row r="687" spans="7:13" x14ac:dyDescent="0.2">
      <c r="G687" s="896"/>
      <c r="H687" s="926"/>
      <c r="I687" s="896"/>
      <c r="M687" s="944"/>
    </row>
    <row r="688" spans="7:13" x14ac:dyDescent="0.2">
      <c r="G688" s="896"/>
      <c r="H688" s="926"/>
      <c r="I688" s="896"/>
      <c r="M688" s="944"/>
    </row>
    <row r="689" spans="7:13" x14ac:dyDescent="0.2">
      <c r="G689" s="896"/>
      <c r="H689" s="926"/>
      <c r="I689" s="896"/>
      <c r="M689" s="944"/>
    </row>
    <row r="690" spans="7:13" x14ac:dyDescent="0.2">
      <c r="G690" s="896"/>
      <c r="H690" s="926"/>
      <c r="I690" s="896"/>
      <c r="M690" s="944"/>
    </row>
    <row r="691" spans="7:13" x14ac:dyDescent="0.2">
      <c r="G691" s="896"/>
      <c r="H691" s="926"/>
      <c r="I691" s="896"/>
      <c r="M691" s="944"/>
    </row>
    <row r="692" spans="7:13" x14ac:dyDescent="0.2">
      <c r="G692" s="896"/>
      <c r="H692" s="926"/>
      <c r="I692" s="896"/>
      <c r="M692" s="944"/>
    </row>
    <row r="693" spans="7:13" x14ac:dyDescent="0.2">
      <c r="G693" s="896"/>
      <c r="H693" s="926"/>
      <c r="I693" s="896"/>
      <c r="M693" s="944"/>
    </row>
    <row r="694" spans="7:13" x14ac:dyDescent="0.2">
      <c r="G694" s="896"/>
      <c r="H694" s="926"/>
      <c r="I694" s="896"/>
      <c r="M694" s="944"/>
    </row>
    <row r="695" spans="7:13" x14ac:dyDescent="0.2">
      <c r="G695" s="896"/>
      <c r="H695" s="926"/>
      <c r="I695" s="896"/>
      <c r="M695" s="944"/>
    </row>
    <row r="696" spans="7:13" x14ac:dyDescent="0.2">
      <c r="G696" s="896"/>
      <c r="H696" s="926"/>
      <c r="I696" s="896"/>
      <c r="M696" s="944"/>
    </row>
    <row r="697" spans="7:13" x14ac:dyDescent="0.2">
      <c r="G697" s="896"/>
      <c r="H697" s="926"/>
      <c r="I697" s="896"/>
      <c r="M697" s="944"/>
    </row>
    <row r="698" spans="7:13" x14ac:dyDescent="0.2">
      <c r="G698" s="896"/>
      <c r="H698" s="926"/>
      <c r="I698" s="896"/>
      <c r="M698" s="944"/>
    </row>
    <row r="699" spans="7:13" x14ac:dyDescent="0.2">
      <c r="G699" s="896"/>
      <c r="H699" s="926"/>
      <c r="I699" s="896"/>
      <c r="M699" s="944"/>
    </row>
    <row r="700" spans="7:13" x14ac:dyDescent="0.2">
      <c r="G700" s="896"/>
      <c r="H700" s="926"/>
      <c r="I700" s="896"/>
      <c r="M700" s="944"/>
    </row>
    <row r="701" spans="7:13" x14ac:dyDescent="0.2">
      <c r="G701" s="896"/>
      <c r="H701" s="926"/>
      <c r="I701" s="896"/>
      <c r="M701" s="944"/>
    </row>
    <row r="702" spans="7:13" x14ac:dyDescent="0.2">
      <c r="G702" s="896"/>
      <c r="H702" s="926"/>
      <c r="I702" s="896"/>
      <c r="M702" s="944"/>
    </row>
    <row r="703" spans="7:13" x14ac:dyDescent="0.2">
      <c r="G703" s="896"/>
      <c r="H703" s="926"/>
      <c r="I703" s="896"/>
      <c r="M703" s="944"/>
    </row>
    <row r="704" spans="7:13" x14ac:dyDescent="0.2">
      <c r="G704" s="896"/>
      <c r="H704" s="926"/>
      <c r="I704" s="896"/>
      <c r="M704" s="944"/>
    </row>
    <row r="705" spans="7:13" x14ac:dyDescent="0.2">
      <c r="G705" s="896"/>
      <c r="H705" s="926"/>
      <c r="I705" s="896"/>
      <c r="M705" s="944"/>
    </row>
    <row r="706" spans="7:13" x14ac:dyDescent="0.2">
      <c r="G706" s="896"/>
      <c r="H706" s="926"/>
      <c r="I706" s="896"/>
      <c r="M706" s="944"/>
    </row>
    <row r="707" spans="7:13" x14ac:dyDescent="0.2">
      <c r="G707" s="896"/>
      <c r="H707" s="926"/>
      <c r="I707" s="896"/>
      <c r="M707" s="944"/>
    </row>
    <row r="708" spans="7:13" x14ac:dyDescent="0.2">
      <c r="G708" s="896"/>
      <c r="H708" s="926"/>
      <c r="I708" s="896"/>
      <c r="M708" s="944"/>
    </row>
    <row r="709" spans="7:13" x14ac:dyDescent="0.2">
      <c r="G709" s="896"/>
      <c r="H709" s="926"/>
      <c r="I709" s="896"/>
      <c r="M709" s="944"/>
    </row>
    <row r="710" spans="7:13" x14ac:dyDescent="0.2">
      <c r="G710" s="896"/>
      <c r="H710" s="926"/>
      <c r="I710" s="896"/>
      <c r="M710" s="944"/>
    </row>
    <row r="711" spans="7:13" x14ac:dyDescent="0.2">
      <c r="G711" s="896"/>
      <c r="H711" s="926"/>
      <c r="I711" s="896"/>
      <c r="M711" s="944"/>
    </row>
    <row r="712" spans="7:13" x14ac:dyDescent="0.2">
      <c r="G712" s="896"/>
      <c r="H712" s="926"/>
      <c r="I712" s="896"/>
      <c r="M712" s="944"/>
    </row>
    <row r="713" spans="7:13" x14ac:dyDescent="0.2">
      <c r="G713" s="896"/>
      <c r="H713" s="926"/>
      <c r="I713" s="896"/>
      <c r="M713" s="944"/>
    </row>
    <row r="714" spans="7:13" x14ac:dyDescent="0.2">
      <c r="G714" s="896"/>
      <c r="H714" s="926"/>
      <c r="I714" s="896"/>
      <c r="M714" s="944"/>
    </row>
    <row r="715" spans="7:13" x14ac:dyDescent="0.2">
      <c r="G715" s="896"/>
      <c r="H715" s="926"/>
      <c r="I715" s="896"/>
      <c r="M715" s="944"/>
    </row>
    <row r="716" spans="7:13" x14ac:dyDescent="0.2">
      <c r="G716" s="896"/>
      <c r="H716" s="926"/>
      <c r="I716" s="896"/>
      <c r="M716" s="944"/>
    </row>
    <row r="717" spans="7:13" x14ac:dyDescent="0.2">
      <c r="G717" s="896"/>
      <c r="H717" s="926"/>
      <c r="I717" s="896"/>
      <c r="M717" s="944"/>
    </row>
    <row r="718" spans="7:13" x14ac:dyDescent="0.2">
      <c r="G718" s="896"/>
      <c r="H718" s="926"/>
      <c r="I718" s="896"/>
      <c r="M718" s="944"/>
    </row>
    <row r="719" spans="7:13" x14ac:dyDescent="0.2">
      <c r="G719" s="896"/>
      <c r="H719" s="926"/>
      <c r="I719" s="896"/>
      <c r="M719" s="944"/>
    </row>
    <row r="720" spans="7:13" x14ac:dyDescent="0.2">
      <c r="G720" s="896"/>
      <c r="H720" s="926"/>
      <c r="I720" s="896"/>
      <c r="M720" s="944"/>
    </row>
    <row r="721" spans="7:13" x14ac:dyDescent="0.2">
      <c r="G721" s="896"/>
      <c r="H721" s="926"/>
      <c r="I721" s="896"/>
      <c r="M721" s="944"/>
    </row>
    <row r="722" spans="7:13" x14ac:dyDescent="0.2">
      <c r="G722" s="896"/>
      <c r="H722" s="926"/>
      <c r="I722" s="896"/>
      <c r="M722" s="944"/>
    </row>
    <row r="723" spans="7:13" x14ac:dyDescent="0.2">
      <c r="G723" s="896"/>
      <c r="H723" s="926"/>
      <c r="I723" s="896"/>
      <c r="M723" s="944"/>
    </row>
    <row r="724" spans="7:13" x14ac:dyDescent="0.2">
      <c r="G724" s="896"/>
      <c r="H724" s="926"/>
      <c r="I724" s="896"/>
      <c r="M724" s="944"/>
    </row>
    <row r="725" spans="7:13" x14ac:dyDescent="0.2">
      <c r="G725" s="896"/>
      <c r="H725" s="926"/>
      <c r="I725" s="896"/>
      <c r="M725" s="944"/>
    </row>
    <row r="726" spans="7:13" x14ac:dyDescent="0.2">
      <c r="G726" s="896"/>
      <c r="H726" s="926"/>
      <c r="I726" s="896"/>
      <c r="M726" s="944"/>
    </row>
    <row r="727" spans="7:13" x14ac:dyDescent="0.2">
      <c r="G727" s="896"/>
      <c r="H727" s="926"/>
      <c r="I727" s="896"/>
      <c r="M727" s="944"/>
    </row>
    <row r="728" spans="7:13" x14ac:dyDescent="0.2">
      <c r="G728" s="896"/>
      <c r="H728" s="926"/>
      <c r="I728" s="896"/>
      <c r="M728" s="944"/>
    </row>
    <row r="729" spans="7:13" x14ac:dyDescent="0.2">
      <c r="G729" s="896"/>
      <c r="H729" s="926"/>
      <c r="I729" s="896"/>
      <c r="M729" s="944"/>
    </row>
    <row r="730" spans="7:13" x14ac:dyDescent="0.2">
      <c r="G730" s="896"/>
      <c r="H730" s="926"/>
      <c r="I730" s="896"/>
      <c r="M730" s="944"/>
    </row>
    <row r="731" spans="7:13" x14ac:dyDescent="0.2">
      <c r="G731" s="896"/>
      <c r="H731" s="926"/>
      <c r="I731" s="896"/>
      <c r="M731" s="944"/>
    </row>
    <row r="732" spans="7:13" x14ac:dyDescent="0.2">
      <c r="G732" s="896"/>
      <c r="H732" s="926"/>
      <c r="I732" s="896"/>
      <c r="M732" s="944"/>
    </row>
    <row r="733" spans="7:13" x14ac:dyDescent="0.2">
      <c r="G733" s="896"/>
      <c r="H733" s="926"/>
      <c r="I733" s="896"/>
      <c r="M733" s="944"/>
    </row>
    <row r="734" spans="7:13" x14ac:dyDescent="0.2">
      <c r="G734" s="896"/>
      <c r="H734" s="926"/>
      <c r="I734" s="896"/>
      <c r="M734" s="944"/>
    </row>
    <row r="735" spans="7:13" x14ac:dyDescent="0.2">
      <c r="G735" s="896"/>
      <c r="H735" s="926"/>
      <c r="I735" s="896"/>
      <c r="M735" s="944"/>
    </row>
    <row r="736" spans="7:13" x14ac:dyDescent="0.2">
      <c r="G736" s="896"/>
      <c r="H736" s="926"/>
      <c r="I736" s="896"/>
      <c r="M736" s="944"/>
    </row>
    <row r="737" spans="7:13" x14ac:dyDescent="0.2">
      <c r="G737" s="896"/>
      <c r="H737" s="926"/>
      <c r="I737" s="896"/>
      <c r="M737" s="944"/>
    </row>
    <row r="738" spans="7:13" x14ac:dyDescent="0.2">
      <c r="G738" s="896"/>
      <c r="H738" s="926"/>
      <c r="I738" s="896"/>
      <c r="M738" s="944"/>
    </row>
    <row r="739" spans="7:13" x14ac:dyDescent="0.2">
      <c r="G739" s="896"/>
      <c r="H739" s="926"/>
      <c r="I739" s="896"/>
      <c r="M739" s="944"/>
    </row>
    <row r="740" spans="7:13" x14ac:dyDescent="0.2">
      <c r="G740" s="896"/>
      <c r="H740" s="926"/>
      <c r="I740" s="896"/>
      <c r="M740" s="944"/>
    </row>
    <row r="741" spans="7:13" x14ac:dyDescent="0.2">
      <c r="G741" s="896"/>
      <c r="H741" s="926"/>
      <c r="I741" s="896"/>
      <c r="M741" s="944"/>
    </row>
    <row r="742" spans="7:13" x14ac:dyDescent="0.2">
      <c r="G742" s="896"/>
      <c r="H742" s="926"/>
      <c r="I742" s="896"/>
      <c r="M742" s="944"/>
    </row>
    <row r="743" spans="7:13" x14ac:dyDescent="0.2">
      <c r="G743" s="896"/>
      <c r="H743" s="926"/>
      <c r="I743" s="896"/>
      <c r="M743" s="944"/>
    </row>
    <row r="744" spans="7:13" x14ac:dyDescent="0.2">
      <c r="G744" s="896"/>
      <c r="H744" s="926"/>
      <c r="I744" s="896"/>
      <c r="M744" s="944"/>
    </row>
    <row r="745" spans="7:13" x14ac:dyDescent="0.2">
      <c r="G745" s="896"/>
      <c r="H745" s="926"/>
      <c r="I745" s="896"/>
      <c r="M745" s="944"/>
    </row>
    <row r="746" spans="7:13" x14ac:dyDescent="0.2">
      <c r="G746" s="896"/>
      <c r="H746" s="926"/>
      <c r="I746" s="896"/>
      <c r="M746" s="944"/>
    </row>
    <row r="747" spans="7:13" x14ac:dyDescent="0.2">
      <c r="G747" s="896"/>
      <c r="H747" s="926"/>
      <c r="I747" s="896"/>
      <c r="M747" s="944"/>
    </row>
    <row r="748" spans="7:13" x14ac:dyDescent="0.2">
      <c r="G748" s="896"/>
      <c r="H748" s="926"/>
      <c r="I748" s="896"/>
      <c r="M748" s="944"/>
    </row>
    <row r="749" spans="7:13" x14ac:dyDescent="0.2">
      <c r="G749" s="896"/>
      <c r="H749" s="926"/>
      <c r="I749" s="896"/>
      <c r="M749" s="944"/>
    </row>
    <row r="750" spans="7:13" x14ac:dyDescent="0.2">
      <c r="G750" s="896"/>
      <c r="H750" s="926"/>
      <c r="I750" s="896"/>
      <c r="M750" s="944"/>
    </row>
    <row r="751" spans="7:13" x14ac:dyDescent="0.2">
      <c r="G751" s="896"/>
      <c r="H751" s="926"/>
      <c r="I751" s="896"/>
      <c r="M751" s="944"/>
    </row>
    <row r="752" spans="7:13" x14ac:dyDescent="0.2">
      <c r="G752" s="896"/>
      <c r="H752" s="926"/>
      <c r="I752" s="896"/>
      <c r="M752" s="944"/>
    </row>
    <row r="753" spans="7:13" x14ac:dyDescent="0.2">
      <c r="G753" s="896"/>
      <c r="H753" s="926"/>
      <c r="I753" s="896"/>
      <c r="M753" s="944"/>
    </row>
    <row r="754" spans="7:13" x14ac:dyDescent="0.2">
      <c r="G754" s="896"/>
      <c r="H754" s="926"/>
      <c r="I754" s="896"/>
      <c r="M754" s="944"/>
    </row>
    <row r="755" spans="7:13" x14ac:dyDescent="0.2">
      <c r="G755" s="896"/>
      <c r="H755" s="926"/>
      <c r="I755" s="896"/>
      <c r="M755" s="944"/>
    </row>
    <row r="756" spans="7:13" x14ac:dyDescent="0.2">
      <c r="G756" s="896"/>
      <c r="H756" s="926"/>
      <c r="I756" s="896"/>
      <c r="M756" s="944"/>
    </row>
    <row r="757" spans="7:13" x14ac:dyDescent="0.2">
      <c r="G757" s="896"/>
      <c r="H757" s="926"/>
      <c r="I757" s="896"/>
      <c r="M757" s="944"/>
    </row>
    <row r="758" spans="7:13" x14ac:dyDescent="0.2">
      <c r="G758" s="896"/>
      <c r="H758" s="926"/>
      <c r="I758" s="896"/>
      <c r="M758" s="944"/>
    </row>
    <row r="759" spans="7:13" x14ac:dyDescent="0.2">
      <c r="G759" s="896"/>
      <c r="H759" s="926"/>
      <c r="I759" s="896"/>
      <c r="M759" s="944"/>
    </row>
    <row r="760" spans="7:13" x14ac:dyDescent="0.2">
      <c r="G760" s="896"/>
      <c r="H760" s="926"/>
      <c r="I760" s="896"/>
      <c r="M760" s="944"/>
    </row>
    <row r="761" spans="7:13" x14ac:dyDescent="0.2">
      <c r="G761" s="896"/>
      <c r="H761" s="926"/>
      <c r="I761" s="896"/>
      <c r="M761" s="944"/>
    </row>
    <row r="762" spans="7:13" x14ac:dyDescent="0.2">
      <c r="G762" s="896"/>
      <c r="H762" s="926"/>
      <c r="I762" s="896"/>
      <c r="M762" s="944"/>
    </row>
    <row r="763" spans="7:13" x14ac:dyDescent="0.2">
      <c r="G763" s="896"/>
      <c r="H763" s="926"/>
      <c r="I763" s="896"/>
      <c r="M763" s="944"/>
    </row>
    <row r="764" spans="7:13" x14ac:dyDescent="0.2">
      <c r="G764" s="896"/>
      <c r="H764" s="926"/>
      <c r="I764" s="896"/>
      <c r="M764" s="944"/>
    </row>
    <row r="765" spans="7:13" x14ac:dyDescent="0.2">
      <c r="G765" s="896"/>
      <c r="H765" s="926"/>
      <c r="I765" s="896"/>
      <c r="M765" s="944"/>
    </row>
    <row r="766" spans="7:13" x14ac:dyDescent="0.2">
      <c r="G766" s="896"/>
      <c r="H766" s="926"/>
      <c r="I766" s="896"/>
      <c r="M766" s="944"/>
    </row>
    <row r="767" spans="7:13" x14ac:dyDescent="0.2">
      <c r="G767" s="896"/>
      <c r="H767" s="926"/>
      <c r="I767" s="896"/>
      <c r="M767" s="944"/>
    </row>
    <row r="768" spans="7:13" x14ac:dyDescent="0.2">
      <c r="G768" s="896"/>
      <c r="H768" s="926"/>
      <c r="I768" s="896"/>
      <c r="M768" s="944"/>
    </row>
    <row r="769" spans="7:13" x14ac:dyDescent="0.2">
      <c r="G769" s="896"/>
      <c r="H769" s="926"/>
      <c r="I769" s="896"/>
      <c r="M769" s="944"/>
    </row>
    <row r="770" spans="7:13" x14ac:dyDescent="0.2">
      <c r="G770" s="896"/>
      <c r="H770" s="926"/>
      <c r="I770" s="896"/>
      <c r="M770" s="944"/>
    </row>
    <row r="771" spans="7:13" x14ac:dyDescent="0.2">
      <c r="G771" s="896"/>
      <c r="H771" s="926"/>
      <c r="I771" s="896"/>
      <c r="M771" s="944"/>
    </row>
    <row r="772" spans="7:13" x14ac:dyDescent="0.2">
      <c r="G772" s="896"/>
      <c r="H772" s="926"/>
      <c r="I772" s="896"/>
      <c r="M772" s="944"/>
    </row>
    <row r="773" spans="7:13" x14ac:dyDescent="0.2">
      <c r="G773" s="896"/>
      <c r="H773" s="926"/>
      <c r="I773" s="896"/>
      <c r="M773" s="944"/>
    </row>
    <row r="774" spans="7:13" x14ac:dyDescent="0.2">
      <c r="G774" s="896"/>
      <c r="H774" s="926"/>
      <c r="I774" s="896"/>
      <c r="M774" s="944"/>
    </row>
    <row r="775" spans="7:13" x14ac:dyDescent="0.2">
      <c r="G775" s="896"/>
      <c r="H775" s="926"/>
      <c r="I775" s="896"/>
      <c r="M775" s="944"/>
    </row>
    <row r="776" spans="7:13" x14ac:dyDescent="0.2">
      <c r="G776" s="896"/>
      <c r="H776" s="926"/>
      <c r="I776" s="896"/>
      <c r="M776" s="944"/>
    </row>
    <row r="777" spans="7:13" x14ac:dyDescent="0.2">
      <c r="G777" s="896"/>
      <c r="H777" s="926"/>
      <c r="I777" s="896"/>
      <c r="M777" s="944"/>
    </row>
    <row r="778" spans="7:13" x14ac:dyDescent="0.2">
      <c r="G778" s="896"/>
      <c r="H778" s="926"/>
      <c r="I778" s="896"/>
      <c r="M778" s="944"/>
    </row>
    <row r="779" spans="7:13" x14ac:dyDescent="0.2">
      <c r="G779" s="896"/>
      <c r="H779" s="926"/>
      <c r="I779" s="896"/>
      <c r="M779" s="944"/>
    </row>
    <row r="780" spans="7:13" x14ac:dyDescent="0.2">
      <c r="G780" s="896"/>
      <c r="H780" s="926"/>
      <c r="I780" s="896"/>
      <c r="M780" s="944"/>
    </row>
    <row r="781" spans="7:13" x14ac:dyDescent="0.2">
      <c r="G781" s="896"/>
      <c r="H781" s="926"/>
      <c r="I781" s="896"/>
      <c r="M781" s="944"/>
    </row>
    <row r="782" spans="7:13" x14ac:dyDescent="0.2">
      <c r="G782" s="896"/>
      <c r="H782" s="926"/>
      <c r="I782" s="896"/>
      <c r="M782" s="944"/>
    </row>
    <row r="783" spans="7:13" x14ac:dyDescent="0.2">
      <c r="G783" s="896"/>
      <c r="H783" s="926"/>
      <c r="I783" s="896"/>
      <c r="M783" s="944"/>
    </row>
    <row r="784" spans="7:13" x14ac:dyDescent="0.2">
      <c r="G784" s="896"/>
      <c r="H784" s="926"/>
      <c r="I784" s="896"/>
      <c r="M784" s="944"/>
    </row>
    <row r="785" spans="7:13" x14ac:dyDescent="0.2">
      <c r="G785" s="896"/>
      <c r="H785" s="926"/>
      <c r="I785" s="896"/>
      <c r="M785" s="944"/>
    </row>
    <row r="786" spans="7:13" x14ac:dyDescent="0.2">
      <c r="G786" s="896"/>
      <c r="H786" s="926"/>
      <c r="I786" s="896"/>
      <c r="M786" s="944"/>
    </row>
    <row r="787" spans="7:13" x14ac:dyDescent="0.2">
      <c r="G787" s="896"/>
      <c r="H787" s="926"/>
      <c r="I787" s="896"/>
      <c r="M787" s="944"/>
    </row>
    <row r="788" spans="7:13" x14ac:dyDescent="0.2">
      <c r="G788" s="896"/>
      <c r="H788" s="926"/>
      <c r="I788" s="896"/>
      <c r="M788" s="944"/>
    </row>
    <row r="789" spans="7:13" x14ac:dyDescent="0.2">
      <c r="G789" s="896"/>
      <c r="H789" s="926"/>
      <c r="I789" s="896"/>
      <c r="M789" s="944"/>
    </row>
    <row r="790" spans="7:13" x14ac:dyDescent="0.2">
      <c r="G790" s="896"/>
      <c r="H790" s="926"/>
      <c r="I790" s="896"/>
      <c r="M790" s="944"/>
    </row>
    <row r="791" spans="7:13" x14ac:dyDescent="0.2">
      <c r="G791" s="896"/>
      <c r="H791" s="926"/>
      <c r="I791" s="896"/>
      <c r="M791" s="944"/>
    </row>
    <row r="792" spans="7:13" x14ac:dyDescent="0.2">
      <c r="G792" s="896"/>
      <c r="H792" s="926"/>
      <c r="I792" s="896"/>
      <c r="M792" s="944"/>
    </row>
    <row r="793" spans="7:13" x14ac:dyDescent="0.2">
      <c r="G793" s="896"/>
      <c r="H793" s="926"/>
      <c r="I793" s="896"/>
      <c r="M793" s="944"/>
    </row>
    <row r="794" spans="7:13" x14ac:dyDescent="0.2">
      <c r="G794" s="896"/>
      <c r="H794" s="926"/>
      <c r="I794" s="896"/>
      <c r="M794" s="944"/>
    </row>
    <row r="795" spans="7:13" x14ac:dyDescent="0.2">
      <c r="G795" s="896"/>
      <c r="H795" s="926"/>
      <c r="I795" s="896"/>
      <c r="M795" s="944"/>
    </row>
    <row r="796" spans="7:13" x14ac:dyDescent="0.2">
      <c r="G796" s="896"/>
      <c r="H796" s="926"/>
      <c r="I796" s="896"/>
      <c r="M796" s="944"/>
    </row>
    <row r="797" spans="7:13" x14ac:dyDescent="0.2">
      <c r="G797" s="896"/>
      <c r="H797" s="926"/>
      <c r="I797" s="896"/>
      <c r="M797" s="944"/>
    </row>
    <row r="798" spans="7:13" x14ac:dyDescent="0.2">
      <c r="G798" s="896"/>
      <c r="H798" s="926"/>
      <c r="I798" s="896"/>
      <c r="M798" s="944"/>
    </row>
    <row r="799" spans="7:13" x14ac:dyDescent="0.2">
      <c r="G799" s="896"/>
      <c r="H799" s="926"/>
      <c r="I799" s="896"/>
      <c r="M799" s="944"/>
    </row>
    <row r="800" spans="7:13" x14ac:dyDescent="0.2">
      <c r="G800" s="896"/>
      <c r="H800" s="926"/>
      <c r="I800" s="896"/>
      <c r="M800" s="944"/>
    </row>
    <row r="801" spans="7:13" x14ac:dyDescent="0.2">
      <c r="G801" s="896"/>
      <c r="H801" s="926"/>
      <c r="I801" s="896"/>
      <c r="M801" s="944"/>
    </row>
    <row r="802" spans="7:13" x14ac:dyDescent="0.2">
      <c r="G802" s="896"/>
      <c r="H802" s="926"/>
      <c r="I802" s="896"/>
      <c r="M802" s="944"/>
    </row>
    <row r="803" spans="7:13" x14ac:dyDescent="0.2">
      <c r="G803" s="896"/>
      <c r="H803" s="926"/>
      <c r="I803" s="896"/>
      <c r="M803" s="944"/>
    </row>
    <row r="804" spans="7:13" x14ac:dyDescent="0.2">
      <c r="G804" s="896"/>
      <c r="H804" s="926"/>
      <c r="I804" s="896"/>
      <c r="M804" s="944"/>
    </row>
    <row r="805" spans="7:13" x14ac:dyDescent="0.2">
      <c r="G805" s="896"/>
      <c r="H805" s="926"/>
      <c r="I805" s="896"/>
      <c r="M805" s="944"/>
    </row>
    <row r="806" spans="7:13" x14ac:dyDescent="0.2">
      <c r="G806" s="896"/>
      <c r="H806" s="926"/>
      <c r="I806" s="896"/>
      <c r="M806" s="944"/>
    </row>
    <row r="807" spans="7:13" x14ac:dyDescent="0.2">
      <c r="G807" s="896"/>
      <c r="H807" s="926"/>
      <c r="I807" s="896"/>
      <c r="M807" s="944"/>
    </row>
    <row r="808" spans="7:13" x14ac:dyDescent="0.2">
      <c r="G808" s="896"/>
      <c r="H808" s="926"/>
      <c r="I808" s="896"/>
      <c r="M808" s="944"/>
    </row>
    <row r="809" spans="7:13" x14ac:dyDescent="0.2">
      <c r="G809" s="896"/>
      <c r="H809" s="926"/>
      <c r="I809" s="896"/>
      <c r="M809" s="944"/>
    </row>
    <row r="810" spans="7:13" x14ac:dyDescent="0.2">
      <c r="G810" s="896"/>
      <c r="H810" s="926"/>
      <c r="I810" s="896"/>
      <c r="M810" s="944"/>
    </row>
    <row r="811" spans="7:13" x14ac:dyDescent="0.2">
      <c r="G811" s="896"/>
      <c r="H811" s="926"/>
      <c r="I811" s="896"/>
      <c r="M811" s="944"/>
    </row>
    <row r="812" spans="7:13" x14ac:dyDescent="0.2">
      <c r="G812" s="896"/>
      <c r="H812" s="926"/>
      <c r="I812" s="896"/>
      <c r="M812" s="944"/>
    </row>
    <row r="813" spans="7:13" x14ac:dyDescent="0.2">
      <c r="G813" s="896"/>
      <c r="H813" s="926"/>
      <c r="I813" s="896"/>
      <c r="M813" s="944"/>
    </row>
    <row r="814" spans="7:13" x14ac:dyDescent="0.2">
      <c r="G814" s="896"/>
      <c r="H814" s="926"/>
      <c r="I814" s="896"/>
      <c r="M814" s="944"/>
    </row>
    <row r="815" spans="7:13" x14ac:dyDescent="0.2">
      <c r="G815" s="896"/>
      <c r="H815" s="926"/>
      <c r="I815" s="896"/>
      <c r="M815" s="944"/>
    </row>
    <row r="816" spans="7:13" x14ac:dyDescent="0.2">
      <c r="G816" s="896"/>
      <c r="H816" s="926"/>
      <c r="I816" s="896"/>
      <c r="M816" s="944"/>
    </row>
    <row r="817" spans="7:13" x14ac:dyDescent="0.2">
      <c r="G817" s="896"/>
      <c r="H817" s="926"/>
      <c r="I817" s="896"/>
      <c r="M817" s="944"/>
    </row>
    <row r="818" spans="7:13" x14ac:dyDescent="0.2">
      <c r="G818" s="896"/>
      <c r="H818" s="926"/>
      <c r="I818" s="896"/>
      <c r="M818" s="944"/>
    </row>
    <row r="819" spans="7:13" x14ac:dyDescent="0.2">
      <c r="G819" s="896"/>
      <c r="H819" s="926"/>
      <c r="I819" s="896"/>
      <c r="M819" s="944"/>
    </row>
    <row r="820" spans="7:13" x14ac:dyDescent="0.2">
      <c r="G820" s="896"/>
      <c r="H820" s="926"/>
      <c r="I820" s="896"/>
      <c r="M820" s="944"/>
    </row>
    <row r="821" spans="7:13" x14ac:dyDescent="0.2">
      <c r="G821" s="896"/>
      <c r="H821" s="926"/>
      <c r="I821" s="896"/>
      <c r="M821" s="944"/>
    </row>
    <row r="822" spans="7:13" x14ac:dyDescent="0.2">
      <c r="G822" s="896"/>
      <c r="H822" s="926"/>
      <c r="I822" s="896"/>
      <c r="M822" s="944"/>
    </row>
    <row r="823" spans="7:13" x14ac:dyDescent="0.2">
      <c r="G823" s="896"/>
      <c r="H823" s="926"/>
      <c r="I823" s="896"/>
      <c r="M823" s="944"/>
    </row>
    <row r="824" spans="7:13" x14ac:dyDescent="0.2">
      <c r="G824" s="896"/>
      <c r="H824" s="926"/>
      <c r="I824" s="896"/>
      <c r="M824" s="944"/>
    </row>
    <row r="825" spans="7:13" x14ac:dyDescent="0.2">
      <c r="G825" s="896"/>
      <c r="H825" s="926"/>
      <c r="I825" s="896"/>
      <c r="M825" s="944"/>
    </row>
    <row r="826" spans="7:13" x14ac:dyDescent="0.2">
      <c r="G826" s="896"/>
      <c r="H826" s="926"/>
      <c r="I826" s="896"/>
      <c r="M826" s="944"/>
    </row>
    <row r="827" spans="7:13" x14ac:dyDescent="0.2">
      <c r="G827" s="896"/>
      <c r="H827" s="926"/>
      <c r="I827" s="896"/>
      <c r="M827" s="944"/>
    </row>
    <row r="828" spans="7:13" x14ac:dyDescent="0.2">
      <c r="G828" s="896"/>
      <c r="H828" s="926"/>
      <c r="I828" s="896"/>
      <c r="M828" s="944"/>
    </row>
    <row r="829" spans="7:13" x14ac:dyDescent="0.2">
      <c r="G829" s="896"/>
      <c r="H829" s="926"/>
      <c r="I829" s="896"/>
      <c r="M829" s="944"/>
    </row>
    <row r="830" spans="7:13" x14ac:dyDescent="0.2">
      <c r="G830" s="896"/>
      <c r="H830" s="926"/>
      <c r="I830" s="896"/>
      <c r="M830" s="944"/>
    </row>
    <row r="831" spans="7:13" x14ac:dyDescent="0.2">
      <c r="G831" s="896"/>
      <c r="H831" s="926"/>
      <c r="I831" s="896"/>
      <c r="M831" s="944"/>
    </row>
    <row r="832" spans="7:13" x14ac:dyDescent="0.2">
      <c r="G832" s="896"/>
      <c r="H832" s="926"/>
      <c r="I832" s="896"/>
      <c r="M832" s="944"/>
    </row>
    <row r="833" spans="7:13" x14ac:dyDescent="0.2">
      <c r="G833" s="896"/>
      <c r="H833" s="926"/>
      <c r="I833" s="896"/>
      <c r="M833" s="944"/>
    </row>
    <row r="834" spans="7:13" x14ac:dyDescent="0.2">
      <c r="G834" s="896"/>
      <c r="H834" s="926"/>
      <c r="I834" s="896"/>
      <c r="M834" s="944"/>
    </row>
    <row r="835" spans="7:13" x14ac:dyDescent="0.2">
      <c r="G835" s="896"/>
      <c r="H835" s="926"/>
      <c r="I835" s="896"/>
      <c r="M835" s="944"/>
    </row>
    <row r="836" spans="7:13" x14ac:dyDescent="0.2">
      <c r="G836" s="896"/>
      <c r="H836" s="926"/>
      <c r="I836" s="896"/>
      <c r="M836" s="944"/>
    </row>
    <row r="837" spans="7:13" x14ac:dyDescent="0.2">
      <c r="G837" s="896"/>
      <c r="H837" s="926"/>
      <c r="I837" s="896"/>
      <c r="M837" s="944"/>
    </row>
    <row r="838" spans="7:13" x14ac:dyDescent="0.2">
      <c r="G838" s="896"/>
      <c r="H838" s="926"/>
      <c r="I838" s="896"/>
      <c r="M838" s="944"/>
    </row>
    <row r="839" spans="7:13" x14ac:dyDescent="0.2">
      <c r="G839" s="896"/>
      <c r="H839" s="926"/>
      <c r="I839" s="896"/>
      <c r="M839" s="944"/>
    </row>
    <row r="840" spans="7:13" x14ac:dyDescent="0.2">
      <c r="G840" s="896"/>
      <c r="H840" s="926"/>
      <c r="I840" s="896"/>
      <c r="M840" s="944"/>
    </row>
    <row r="841" spans="7:13" x14ac:dyDescent="0.2">
      <c r="G841" s="896"/>
      <c r="H841" s="926"/>
      <c r="I841" s="896"/>
      <c r="M841" s="944"/>
    </row>
    <row r="842" spans="7:13" x14ac:dyDescent="0.2">
      <c r="G842" s="896"/>
      <c r="H842" s="926"/>
      <c r="I842" s="896"/>
      <c r="M842" s="944"/>
    </row>
    <row r="843" spans="7:13" x14ac:dyDescent="0.2">
      <c r="G843" s="896"/>
      <c r="H843" s="926"/>
      <c r="I843" s="896"/>
      <c r="M843" s="944"/>
    </row>
    <row r="844" spans="7:13" x14ac:dyDescent="0.2">
      <c r="G844" s="896"/>
      <c r="H844" s="926"/>
      <c r="I844" s="896"/>
      <c r="M844" s="944"/>
    </row>
    <row r="845" spans="7:13" x14ac:dyDescent="0.2">
      <c r="G845" s="896"/>
      <c r="H845" s="926"/>
      <c r="I845" s="896"/>
      <c r="M845" s="944"/>
    </row>
    <row r="846" spans="7:13" x14ac:dyDescent="0.2">
      <c r="G846" s="896"/>
      <c r="H846" s="926"/>
      <c r="I846" s="896"/>
      <c r="M846" s="944"/>
    </row>
    <row r="847" spans="7:13" x14ac:dyDescent="0.2">
      <c r="G847" s="896"/>
      <c r="H847" s="926"/>
      <c r="I847" s="896"/>
      <c r="M847" s="944"/>
    </row>
    <row r="848" spans="7:13" x14ac:dyDescent="0.2">
      <c r="G848" s="896"/>
      <c r="H848" s="926"/>
      <c r="I848" s="896"/>
      <c r="M848" s="944"/>
    </row>
    <row r="849" spans="7:13" x14ac:dyDescent="0.2">
      <c r="G849" s="896"/>
      <c r="H849" s="926"/>
      <c r="I849" s="896"/>
      <c r="M849" s="944"/>
    </row>
    <row r="850" spans="7:13" x14ac:dyDescent="0.2">
      <c r="G850" s="896"/>
      <c r="H850" s="926"/>
      <c r="I850" s="896"/>
      <c r="M850" s="944"/>
    </row>
    <row r="851" spans="7:13" x14ac:dyDescent="0.2">
      <c r="G851" s="896"/>
      <c r="H851" s="926"/>
      <c r="I851" s="896"/>
      <c r="M851" s="944"/>
    </row>
    <row r="852" spans="7:13" x14ac:dyDescent="0.2">
      <c r="G852" s="896"/>
      <c r="H852" s="926"/>
      <c r="I852" s="896"/>
      <c r="M852" s="944"/>
    </row>
    <row r="853" spans="7:13" x14ac:dyDescent="0.2">
      <c r="G853" s="896"/>
      <c r="H853" s="926"/>
      <c r="I853" s="896"/>
      <c r="M853" s="944"/>
    </row>
    <row r="854" spans="7:13" x14ac:dyDescent="0.2">
      <c r="G854" s="896"/>
      <c r="H854" s="926"/>
      <c r="I854" s="896"/>
      <c r="M854" s="944"/>
    </row>
    <row r="855" spans="7:13" x14ac:dyDescent="0.2">
      <c r="G855" s="896"/>
      <c r="H855" s="926"/>
      <c r="I855" s="896"/>
      <c r="M855" s="944"/>
    </row>
    <row r="856" spans="7:13" x14ac:dyDescent="0.2">
      <c r="G856" s="896"/>
      <c r="H856" s="926"/>
      <c r="I856" s="896"/>
      <c r="M856" s="944"/>
    </row>
    <row r="857" spans="7:13" x14ac:dyDescent="0.2">
      <c r="G857" s="896"/>
      <c r="H857" s="926"/>
      <c r="I857" s="896"/>
      <c r="M857" s="944"/>
    </row>
    <row r="858" spans="7:13" x14ac:dyDescent="0.2">
      <c r="G858" s="896"/>
      <c r="H858" s="926"/>
      <c r="I858" s="896"/>
      <c r="M858" s="944"/>
    </row>
    <row r="859" spans="7:13" x14ac:dyDescent="0.2">
      <c r="G859" s="896"/>
      <c r="H859" s="926"/>
      <c r="I859" s="896"/>
      <c r="M859" s="944"/>
    </row>
    <row r="860" spans="7:13" x14ac:dyDescent="0.2">
      <c r="G860" s="896"/>
      <c r="H860" s="926"/>
      <c r="I860" s="896"/>
      <c r="M860" s="944"/>
    </row>
    <row r="861" spans="7:13" x14ac:dyDescent="0.2">
      <c r="G861" s="896"/>
      <c r="H861" s="926"/>
      <c r="I861" s="896"/>
      <c r="M861" s="944"/>
    </row>
    <row r="862" spans="7:13" x14ac:dyDescent="0.2">
      <c r="G862" s="896"/>
      <c r="H862" s="926"/>
      <c r="I862" s="896"/>
      <c r="M862" s="944"/>
    </row>
    <row r="863" spans="7:13" x14ac:dyDescent="0.2">
      <c r="G863" s="896"/>
      <c r="H863" s="926"/>
      <c r="I863" s="896"/>
      <c r="M863" s="944"/>
    </row>
    <row r="864" spans="7:13" x14ac:dyDescent="0.2">
      <c r="G864" s="896"/>
      <c r="H864" s="926"/>
      <c r="I864" s="896"/>
      <c r="M864" s="944"/>
    </row>
    <row r="865" spans="7:13" x14ac:dyDescent="0.2">
      <c r="G865" s="896"/>
      <c r="H865" s="926"/>
      <c r="I865" s="896"/>
      <c r="M865" s="944"/>
    </row>
    <row r="866" spans="7:13" x14ac:dyDescent="0.2">
      <c r="G866" s="896"/>
      <c r="H866" s="926"/>
      <c r="I866" s="896"/>
      <c r="M866" s="944"/>
    </row>
    <row r="867" spans="7:13" x14ac:dyDescent="0.2">
      <c r="G867" s="896"/>
      <c r="H867" s="926"/>
      <c r="I867" s="896"/>
      <c r="M867" s="944"/>
    </row>
    <row r="868" spans="7:13" x14ac:dyDescent="0.2">
      <c r="G868" s="896"/>
      <c r="H868" s="926"/>
      <c r="I868" s="896"/>
      <c r="M868" s="944"/>
    </row>
    <row r="869" spans="7:13" x14ac:dyDescent="0.2">
      <c r="G869" s="896"/>
      <c r="H869" s="926"/>
      <c r="I869" s="896"/>
      <c r="M869" s="944"/>
    </row>
    <row r="870" spans="7:13" x14ac:dyDescent="0.2">
      <c r="G870" s="896"/>
      <c r="H870" s="926"/>
      <c r="I870" s="896"/>
      <c r="M870" s="944"/>
    </row>
    <row r="871" spans="7:13" x14ac:dyDescent="0.2">
      <c r="G871" s="896"/>
      <c r="H871" s="926"/>
      <c r="I871" s="896"/>
      <c r="M871" s="944"/>
    </row>
    <row r="872" spans="7:13" x14ac:dyDescent="0.2">
      <c r="G872" s="896"/>
      <c r="H872" s="926"/>
      <c r="I872" s="896"/>
      <c r="M872" s="944"/>
    </row>
    <row r="873" spans="7:13" x14ac:dyDescent="0.2">
      <c r="G873" s="896"/>
      <c r="H873" s="926"/>
      <c r="I873" s="896"/>
      <c r="M873" s="944"/>
    </row>
    <row r="874" spans="7:13" x14ac:dyDescent="0.2">
      <c r="G874" s="896"/>
      <c r="H874" s="926"/>
      <c r="I874" s="896"/>
      <c r="M874" s="944"/>
    </row>
    <row r="875" spans="7:13" x14ac:dyDescent="0.2">
      <c r="G875" s="896"/>
      <c r="H875" s="926"/>
      <c r="I875" s="896"/>
      <c r="M875" s="944"/>
    </row>
    <row r="876" spans="7:13" x14ac:dyDescent="0.2">
      <c r="G876" s="896"/>
      <c r="H876" s="926"/>
      <c r="I876" s="896"/>
      <c r="M876" s="944"/>
    </row>
    <row r="877" spans="7:13" x14ac:dyDescent="0.2">
      <c r="G877" s="896"/>
      <c r="H877" s="926"/>
      <c r="I877" s="896"/>
      <c r="M877" s="944"/>
    </row>
    <row r="878" spans="7:13" x14ac:dyDescent="0.2">
      <c r="G878" s="896"/>
      <c r="H878" s="926"/>
      <c r="I878" s="896"/>
      <c r="M878" s="944"/>
    </row>
    <row r="879" spans="7:13" x14ac:dyDescent="0.2">
      <c r="G879" s="896"/>
      <c r="H879" s="926"/>
      <c r="I879" s="896"/>
      <c r="M879" s="944"/>
    </row>
    <row r="880" spans="7:13" x14ac:dyDescent="0.2">
      <c r="G880" s="896"/>
      <c r="H880" s="926"/>
      <c r="I880" s="896"/>
      <c r="M880" s="944"/>
    </row>
    <row r="881" spans="7:13" x14ac:dyDescent="0.2">
      <c r="G881" s="896"/>
      <c r="H881" s="926"/>
      <c r="I881" s="896"/>
      <c r="M881" s="944"/>
    </row>
    <row r="882" spans="7:13" x14ac:dyDescent="0.2">
      <c r="G882" s="896"/>
      <c r="H882" s="926"/>
      <c r="I882" s="896"/>
      <c r="M882" s="944"/>
    </row>
    <row r="883" spans="7:13" x14ac:dyDescent="0.2">
      <c r="G883" s="896"/>
      <c r="H883" s="926"/>
      <c r="I883" s="896"/>
      <c r="M883" s="944"/>
    </row>
    <row r="884" spans="7:13" x14ac:dyDescent="0.2">
      <c r="G884" s="896"/>
      <c r="H884" s="926"/>
      <c r="I884" s="896"/>
      <c r="M884" s="944"/>
    </row>
    <row r="885" spans="7:13" x14ac:dyDescent="0.2">
      <c r="G885" s="896"/>
      <c r="H885" s="926"/>
      <c r="I885" s="896"/>
      <c r="M885" s="944"/>
    </row>
    <row r="886" spans="7:13" x14ac:dyDescent="0.2">
      <c r="G886" s="896"/>
      <c r="H886" s="926"/>
      <c r="I886" s="896"/>
      <c r="M886" s="944"/>
    </row>
    <row r="887" spans="7:13" x14ac:dyDescent="0.2">
      <c r="G887" s="896"/>
      <c r="H887" s="926"/>
      <c r="I887" s="896"/>
      <c r="M887" s="944"/>
    </row>
    <row r="888" spans="7:13" x14ac:dyDescent="0.2">
      <c r="G888" s="896"/>
      <c r="H888" s="926"/>
      <c r="I888" s="896"/>
      <c r="M888" s="944"/>
    </row>
    <row r="889" spans="7:13" x14ac:dyDescent="0.2">
      <c r="G889" s="896"/>
      <c r="H889" s="926"/>
      <c r="I889" s="896"/>
      <c r="M889" s="944"/>
    </row>
    <row r="890" spans="7:13" x14ac:dyDescent="0.2">
      <c r="G890" s="896"/>
      <c r="H890" s="926"/>
      <c r="I890" s="896"/>
      <c r="M890" s="944"/>
    </row>
    <row r="891" spans="7:13" x14ac:dyDescent="0.2">
      <c r="G891" s="896"/>
      <c r="H891" s="926"/>
      <c r="I891" s="896"/>
      <c r="M891" s="944"/>
    </row>
    <row r="892" spans="7:13" x14ac:dyDescent="0.2">
      <c r="G892" s="896"/>
      <c r="H892" s="926"/>
      <c r="I892" s="896"/>
      <c r="M892" s="944"/>
    </row>
    <row r="893" spans="7:13" x14ac:dyDescent="0.2">
      <c r="G893" s="896"/>
      <c r="H893" s="926"/>
      <c r="I893" s="896"/>
      <c r="M893" s="944"/>
    </row>
    <row r="894" spans="7:13" x14ac:dyDescent="0.2">
      <c r="G894" s="896"/>
      <c r="H894" s="926"/>
      <c r="I894" s="896"/>
      <c r="M894" s="944"/>
    </row>
    <row r="895" spans="7:13" x14ac:dyDescent="0.2">
      <c r="G895" s="896"/>
      <c r="H895" s="926"/>
      <c r="I895" s="896"/>
      <c r="M895" s="944"/>
    </row>
    <row r="896" spans="7:13" x14ac:dyDescent="0.2">
      <c r="G896" s="896"/>
      <c r="H896" s="926"/>
      <c r="I896" s="896"/>
      <c r="M896" s="944"/>
    </row>
    <row r="897" spans="7:13" x14ac:dyDescent="0.2">
      <c r="G897" s="896"/>
      <c r="H897" s="926"/>
      <c r="I897" s="896"/>
      <c r="M897" s="944"/>
    </row>
    <row r="898" spans="7:13" x14ac:dyDescent="0.2">
      <c r="G898" s="896"/>
      <c r="H898" s="926"/>
      <c r="I898" s="896"/>
      <c r="M898" s="944"/>
    </row>
    <row r="899" spans="7:13" x14ac:dyDescent="0.2">
      <c r="G899" s="896"/>
      <c r="H899" s="926"/>
      <c r="I899" s="896"/>
      <c r="M899" s="944"/>
    </row>
    <row r="900" spans="7:13" x14ac:dyDescent="0.2">
      <c r="G900" s="896"/>
      <c r="H900" s="926"/>
      <c r="I900" s="896"/>
      <c r="M900" s="944"/>
    </row>
    <row r="901" spans="7:13" x14ac:dyDescent="0.2">
      <c r="G901" s="896"/>
      <c r="H901" s="926"/>
      <c r="I901" s="896"/>
      <c r="M901" s="944"/>
    </row>
    <row r="902" spans="7:13" x14ac:dyDescent="0.2">
      <c r="G902" s="896"/>
      <c r="H902" s="926"/>
      <c r="I902" s="896"/>
      <c r="M902" s="944"/>
    </row>
    <row r="903" spans="7:13" x14ac:dyDescent="0.2">
      <c r="G903" s="896"/>
      <c r="H903" s="926"/>
      <c r="I903" s="896"/>
      <c r="M903" s="944"/>
    </row>
    <row r="904" spans="7:13" x14ac:dyDescent="0.2">
      <c r="G904" s="896"/>
      <c r="H904" s="926"/>
      <c r="I904" s="896"/>
      <c r="M904" s="944"/>
    </row>
    <row r="905" spans="7:13" x14ac:dyDescent="0.2">
      <c r="G905" s="896"/>
      <c r="H905" s="926"/>
      <c r="I905" s="896"/>
      <c r="M905" s="944"/>
    </row>
    <row r="906" spans="7:13" x14ac:dyDescent="0.2">
      <c r="G906" s="896"/>
      <c r="H906" s="926"/>
      <c r="I906" s="896"/>
      <c r="M906" s="944"/>
    </row>
    <row r="907" spans="7:13" x14ac:dyDescent="0.2">
      <c r="G907" s="896"/>
      <c r="H907" s="926"/>
      <c r="I907" s="896"/>
      <c r="M907" s="944"/>
    </row>
    <row r="908" spans="7:13" x14ac:dyDescent="0.2">
      <c r="G908" s="896"/>
      <c r="H908" s="926"/>
      <c r="I908" s="896"/>
      <c r="M908" s="944"/>
    </row>
    <row r="909" spans="7:13" x14ac:dyDescent="0.2">
      <c r="G909" s="896"/>
      <c r="H909" s="926"/>
      <c r="I909" s="896"/>
      <c r="M909" s="944"/>
    </row>
    <row r="910" spans="7:13" x14ac:dyDescent="0.2">
      <c r="G910" s="896"/>
      <c r="H910" s="926"/>
      <c r="I910" s="896"/>
      <c r="M910" s="944"/>
    </row>
    <row r="911" spans="7:13" x14ac:dyDescent="0.2">
      <c r="G911" s="896"/>
      <c r="H911" s="926"/>
      <c r="I911" s="896"/>
      <c r="M911" s="944"/>
    </row>
    <row r="912" spans="7:13" x14ac:dyDescent="0.2">
      <c r="G912" s="896"/>
      <c r="H912" s="926"/>
      <c r="I912" s="896"/>
      <c r="M912" s="944"/>
    </row>
    <row r="913" spans="7:13" x14ac:dyDescent="0.2">
      <c r="G913" s="896"/>
      <c r="H913" s="926"/>
      <c r="I913" s="896"/>
      <c r="M913" s="944"/>
    </row>
    <row r="914" spans="7:13" x14ac:dyDescent="0.2">
      <c r="G914" s="896"/>
      <c r="H914" s="926"/>
      <c r="I914" s="896"/>
      <c r="M914" s="944"/>
    </row>
    <row r="915" spans="7:13" x14ac:dyDescent="0.2">
      <c r="G915" s="896"/>
      <c r="H915" s="926"/>
      <c r="I915" s="896"/>
      <c r="M915" s="944"/>
    </row>
    <row r="916" spans="7:13" x14ac:dyDescent="0.2">
      <c r="G916" s="896"/>
      <c r="H916" s="926"/>
      <c r="I916" s="896"/>
      <c r="M916" s="944"/>
    </row>
    <row r="917" spans="7:13" x14ac:dyDescent="0.2">
      <c r="G917" s="896"/>
      <c r="H917" s="926"/>
      <c r="I917" s="896"/>
      <c r="M917" s="944"/>
    </row>
    <row r="918" spans="7:13" x14ac:dyDescent="0.2">
      <c r="G918" s="896"/>
      <c r="H918" s="926"/>
      <c r="I918" s="896"/>
      <c r="M918" s="944"/>
    </row>
    <row r="919" spans="7:13" x14ac:dyDescent="0.2">
      <c r="G919" s="896"/>
      <c r="H919" s="926"/>
      <c r="I919" s="896"/>
      <c r="M919" s="944"/>
    </row>
    <row r="920" spans="7:13" x14ac:dyDescent="0.2">
      <c r="G920" s="896"/>
      <c r="H920" s="926"/>
      <c r="I920" s="896"/>
      <c r="M920" s="944"/>
    </row>
    <row r="921" spans="7:13" x14ac:dyDescent="0.2">
      <c r="G921" s="896"/>
      <c r="H921" s="926"/>
      <c r="I921" s="896"/>
      <c r="M921" s="944"/>
    </row>
    <row r="922" spans="7:13" x14ac:dyDescent="0.2">
      <c r="G922" s="896"/>
      <c r="H922" s="926"/>
      <c r="I922" s="896"/>
      <c r="M922" s="944"/>
    </row>
    <row r="923" spans="7:13" x14ac:dyDescent="0.2">
      <c r="G923" s="896"/>
      <c r="H923" s="926"/>
      <c r="I923" s="896"/>
      <c r="M923" s="944"/>
    </row>
    <row r="924" spans="7:13" x14ac:dyDescent="0.2">
      <c r="G924" s="896"/>
      <c r="H924" s="926"/>
      <c r="I924" s="896"/>
      <c r="M924" s="944"/>
    </row>
    <row r="925" spans="7:13" x14ac:dyDescent="0.2">
      <c r="G925" s="896"/>
      <c r="H925" s="926"/>
      <c r="I925" s="896"/>
      <c r="M925" s="944"/>
    </row>
    <row r="926" spans="7:13" x14ac:dyDescent="0.2">
      <c r="G926" s="896"/>
      <c r="H926" s="926"/>
      <c r="I926" s="896"/>
      <c r="M926" s="944"/>
    </row>
    <row r="927" spans="7:13" x14ac:dyDescent="0.2">
      <c r="G927" s="896"/>
      <c r="H927" s="926"/>
      <c r="I927" s="896"/>
      <c r="M927" s="944"/>
    </row>
    <row r="928" spans="7:13" x14ac:dyDescent="0.2">
      <c r="G928" s="896"/>
      <c r="H928" s="926"/>
      <c r="I928" s="896"/>
      <c r="M928" s="944"/>
    </row>
    <row r="929" spans="7:13" x14ac:dyDescent="0.2">
      <c r="G929" s="896"/>
      <c r="H929" s="926"/>
      <c r="I929" s="896"/>
      <c r="M929" s="944"/>
    </row>
    <row r="930" spans="7:13" x14ac:dyDescent="0.2">
      <c r="G930" s="896"/>
      <c r="H930" s="926"/>
      <c r="I930" s="896"/>
      <c r="M930" s="944"/>
    </row>
    <row r="931" spans="7:13" x14ac:dyDescent="0.2">
      <c r="G931" s="896"/>
      <c r="H931" s="926"/>
      <c r="I931" s="896"/>
      <c r="M931" s="944"/>
    </row>
    <row r="932" spans="7:13" x14ac:dyDescent="0.2">
      <c r="G932" s="896"/>
      <c r="H932" s="926"/>
      <c r="I932" s="896"/>
      <c r="M932" s="944"/>
    </row>
    <row r="933" spans="7:13" x14ac:dyDescent="0.2">
      <c r="G933" s="896"/>
      <c r="H933" s="926"/>
      <c r="I933" s="896"/>
      <c r="M933" s="944"/>
    </row>
    <row r="934" spans="7:13" x14ac:dyDescent="0.2">
      <c r="G934" s="896"/>
      <c r="H934" s="926"/>
      <c r="I934" s="896"/>
      <c r="M934" s="944"/>
    </row>
    <row r="935" spans="7:13" x14ac:dyDescent="0.2">
      <c r="G935" s="896"/>
      <c r="H935" s="926"/>
      <c r="I935" s="896"/>
      <c r="M935" s="944"/>
    </row>
    <row r="936" spans="7:13" x14ac:dyDescent="0.2">
      <c r="G936" s="896"/>
      <c r="H936" s="926"/>
      <c r="I936" s="896"/>
      <c r="M936" s="944"/>
    </row>
    <row r="937" spans="7:13" x14ac:dyDescent="0.2">
      <c r="G937" s="896"/>
      <c r="H937" s="926"/>
      <c r="I937" s="896"/>
      <c r="M937" s="944"/>
    </row>
    <row r="938" spans="7:13" x14ac:dyDescent="0.2">
      <c r="G938" s="896"/>
      <c r="H938" s="926"/>
      <c r="I938" s="896"/>
      <c r="M938" s="944"/>
    </row>
    <row r="939" spans="7:13" x14ac:dyDescent="0.2">
      <c r="G939" s="896"/>
      <c r="H939" s="926"/>
      <c r="I939" s="896"/>
      <c r="M939" s="944"/>
    </row>
    <row r="940" spans="7:13" x14ac:dyDescent="0.2">
      <c r="G940" s="896"/>
      <c r="H940" s="926"/>
      <c r="I940" s="896"/>
      <c r="M940" s="944"/>
    </row>
    <row r="941" spans="7:13" x14ac:dyDescent="0.2">
      <c r="G941" s="896"/>
      <c r="H941" s="926"/>
      <c r="I941" s="896"/>
      <c r="M941" s="944"/>
    </row>
    <row r="942" spans="7:13" x14ac:dyDescent="0.2">
      <c r="G942" s="896"/>
      <c r="H942" s="926"/>
      <c r="I942" s="896"/>
      <c r="M942" s="944"/>
    </row>
    <row r="943" spans="7:13" x14ac:dyDescent="0.2">
      <c r="G943" s="896"/>
      <c r="H943" s="926"/>
      <c r="I943" s="896"/>
      <c r="M943" s="944"/>
    </row>
    <row r="944" spans="7:13" x14ac:dyDescent="0.2">
      <c r="G944" s="896"/>
      <c r="H944" s="926"/>
      <c r="I944" s="896"/>
      <c r="M944" s="944"/>
    </row>
    <row r="945" spans="7:13" x14ac:dyDescent="0.2">
      <c r="G945" s="896"/>
      <c r="H945" s="926"/>
      <c r="I945" s="896"/>
      <c r="M945" s="944"/>
    </row>
    <row r="946" spans="7:13" x14ac:dyDescent="0.2">
      <c r="G946" s="896"/>
      <c r="H946" s="926"/>
      <c r="I946" s="896"/>
      <c r="M946" s="944"/>
    </row>
    <row r="947" spans="7:13" x14ac:dyDescent="0.2">
      <c r="G947" s="896"/>
      <c r="H947" s="926"/>
      <c r="I947" s="896"/>
      <c r="M947" s="944"/>
    </row>
    <row r="948" spans="7:13" x14ac:dyDescent="0.2">
      <c r="G948" s="896"/>
      <c r="H948" s="926"/>
      <c r="I948" s="896"/>
      <c r="M948" s="944"/>
    </row>
    <row r="949" spans="7:13" x14ac:dyDescent="0.2">
      <c r="G949" s="896"/>
      <c r="H949" s="926"/>
      <c r="I949" s="896"/>
      <c r="M949" s="944"/>
    </row>
    <row r="950" spans="7:13" x14ac:dyDescent="0.2">
      <c r="G950" s="896"/>
      <c r="H950" s="926"/>
      <c r="I950" s="896"/>
      <c r="M950" s="944"/>
    </row>
    <row r="951" spans="7:13" x14ac:dyDescent="0.2">
      <c r="G951" s="896"/>
      <c r="H951" s="926"/>
      <c r="I951" s="896"/>
      <c r="M951" s="944"/>
    </row>
    <row r="952" spans="7:13" x14ac:dyDescent="0.2">
      <c r="G952" s="896"/>
      <c r="H952" s="926"/>
      <c r="I952" s="896"/>
      <c r="M952" s="944"/>
    </row>
    <row r="953" spans="7:13" x14ac:dyDescent="0.2">
      <c r="G953" s="896"/>
      <c r="H953" s="926"/>
      <c r="I953" s="896"/>
      <c r="M953" s="944"/>
    </row>
    <row r="954" spans="7:13" x14ac:dyDescent="0.2">
      <c r="G954" s="896"/>
      <c r="H954" s="926"/>
      <c r="I954" s="896"/>
      <c r="M954" s="944"/>
    </row>
    <row r="955" spans="7:13" x14ac:dyDescent="0.2">
      <c r="G955" s="896"/>
      <c r="H955" s="926"/>
      <c r="I955" s="896"/>
      <c r="M955" s="944"/>
    </row>
    <row r="956" spans="7:13" x14ac:dyDescent="0.2">
      <c r="G956" s="896"/>
      <c r="H956" s="926"/>
      <c r="I956" s="896"/>
      <c r="M956" s="944"/>
    </row>
    <row r="957" spans="7:13" x14ac:dyDescent="0.2">
      <c r="G957" s="896"/>
      <c r="H957" s="926"/>
      <c r="I957" s="896"/>
      <c r="M957" s="944"/>
    </row>
    <row r="958" spans="7:13" x14ac:dyDescent="0.2">
      <c r="G958" s="896"/>
      <c r="H958" s="926"/>
      <c r="I958" s="896"/>
      <c r="M958" s="944"/>
    </row>
    <row r="959" spans="7:13" x14ac:dyDescent="0.2">
      <c r="G959" s="896"/>
      <c r="H959" s="926"/>
      <c r="I959" s="896"/>
      <c r="M959" s="944"/>
    </row>
    <row r="960" spans="7:13" x14ac:dyDescent="0.2">
      <c r="G960" s="896"/>
      <c r="H960" s="926"/>
      <c r="I960" s="896"/>
      <c r="M960" s="944"/>
    </row>
    <row r="961" spans="7:13" x14ac:dyDescent="0.2">
      <c r="G961" s="896"/>
      <c r="H961" s="926"/>
      <c r="I961" s="896"/>
      <c r="M961" s="944"/>
    </row>
    <row r="962" spans="7:13" x14ac:dyDescent="0.2">
      <c r="G962" s="896"/>
      <c r="H962" s="926"/>
      <c r="I962" s="896"/>
      <c r="M962" s="944"/>
    </row>
    <row r="963" spans="7:13" x14ac:dyDescent="0.2">
      <c r="G963" s="896"/>
      <c r="H963" s="926"/>
      <c r="I963" s="896"/>
      <c r="M963" s="944"/>
    </row>
    <row r="964" spans="7:13" x14ac:dyDescent="0.2">
      <c r="G964" s="896"/>
      <c r="H964" s="926"/>
      <c r="I964" s="896"/>
      <c r="M964" s="944"/>
    </row>
    <row r="965" spans="7:13" x14ac:dyDescent="0.2">
      <c r="G965" s="896"/>
      <c r="H965" s="926"/>
      <c r="I965" s="896"/>
      <c r="M965" s="944"/>
    </row>
    <row r="966" spans="7:13" x14ac:dyDescent="0.2">
      <c r="G966" s="896"/>
      <c r="H966" s="926"/>
      <c r="I966" s="896"/>
      <c r="M966" s="944"/>
    </row>
    <row r="967" spans="7:13" x14ac:dyDescent="0.2">
      <c r="G967" s="896"/>
      <c r="H967" s="926"/>
      <c r="I967" s="896"/>
      <c r="M967" s="944"/>
    </row>
    <row r="968" spans="7:13" x14ac:dyDescent="0.2">
      <c r="G968" s="896"/>
      <c r="H968" s="926"/>
      <c r="I968" s="896"/>
      <c r="M968" s="944"/>
    </row>
    <row r="969" spans="7:13" x14ac:dyDescent="0.2">
      <c r="G969" s="896"/>
      <c r="H969" s="926"/>
      <c r="I969" s="896"/>
      <c r="M969" s="944"/>
    </row>
    <row r="970" spans="7:13" x14ac:dyDescent="0.2">
      <c r="G970" s="896"/>
      <c r="H970" s="926"/>
      <c r="I970" s="896"/>
      <c r="M970" s="944"/>
    </row>
    <row r="971" spans="7:13" x14ac:dyDescent="0.2">
      <c r="G971" s="896"/>
      <c r="H971" s="926"/>
      <c r="I971" s="896"/>
      <c r="M971" s="944"/>
    </row>
    <row r="972" spans="7:13" x14ac:dyDescent="0.2">
      <c r="G972" s="896"/>
      <c r="H972" s="926"/>
      <c r="I972" s="896"/>
      <c r="M972" s="944"/>
    </row>
    <row r="973" spans="7:13" x14ac:dyDescent="0.2">
      <c r="G973" s="896"/>
      <c r="H973" s="926"/>
      <c r="I973" s="896"/>
      <c r="M973" s="944"/>
    </row>
    <row r="974" spans="7:13" x14ac:dyDescent="0.2">
      <c r="G974" s="896"/>
      <c r="H974" s="926"/>
      <c r="I974" s="896"/>
      <c r="M974" s="944"/>
    </row>
    <row r="975" spans="7:13" x14ac:dyDescent="0.2">
      <c r="G975" s="896"/>
      <c r="H975" s="926"/>
      <c r="I975" s="896"/>
      <c r="M975" s="944"/>
    </row>
    <row r="976" spans="7:13" x14ac:dyDescent="0.2">
      <c r="G976" s="896"/>
      <c r="H976" s="926"/>
      <c r="I976" s="896"/>
      <c r="M976" s="944"/>
    </row>
    <row r="977" spans="7:13" x14ac:dyDescent="0.2">
      <c r="G977" s="896"/>
      <c r="H977" s="926"/>
      <c r="I977" s="896"/>
      <c r="M977" s="944"/>
    </row>
    <row r="978" spans="7:13" x14ac:dyDescent="0.2">
      <c r="G978" s="896"/>
      <c r="H978" s="926"/>
      <c r="I978" s="896"/>
      <c r="M978" s="944"/>
    </row>
    <row r="979" spans="7:13" x14ac:dyDescent="0.2">
      <c r="G979" s="896"/>
      <c r="H979" s="926"/>
      <c r="I979" s="896"/>
      <c r="M979" s="944"/>
    </row>
    <row r="980" spans="7:13" x14ac:dyDescent="0.2">
      <c r="G980" s="896"/>
      <c r="H980" s="926"/>
      <c r="I980" s="896"/>
      <c r="M980" s="944"/>
    </row>
    <row r="981" spans="7:13" x14ac:dyDescent="0.2">
      <c r="G981" s="896"/>
      <c r="H981" s="926"/>
      <c r="I981" s="896"/>
      <c r="M981" s="944"/>
    </row>
    <row r="982" spans="7:13" x14ac:dyDescent="0.2">
      <c r="G982" s="896"/>
      <c r="H982" s="926"/>
      <c r="I982" s="896"/>
      <c r="M982" s="944"/>
    </row>
    <row r="983" spans="7:13" x14ac:dyDescent="0.2">
      <c r="G983" s="896"/>
      <c r="H983" s="926"/>
      <c r="I983" s="896"/>
      <c r="M983" s="944"/>
    </row>
    <row r="984" spans="7:13" x14ac:dyDescent="0.2">
      <c r="G984" s="896"/>
      <c r="H984" s="926"/>
      <c r="I984" s="896"/>
      <c r="M984" s="944"/>
    </row>
    <row r="985" spans="7:13" x14ac:dyDescent="0.2">
      <c r="G985" s="896"/>
      <c r="H985" s="926"/>
      <c r="I985" s="896"/>
      <c r="M985" s="944"/>
    </row>
    <row r="986" spans="7:13" x14ac:dyDescent="0.2">
      <c r="G986" s="896"/>
      <c r="H986" s="926"/>
      <c r="I986" s="896"/>
      <c r="M986" s="944"/>
    </row>
    <row r="987" spans="7:13" x14ac:dyDescent="0.2">
      <c r="G987" s="896"/>
      <c r="H987" s="926"/>
      <c r="I987" s="896"/>
      <c r="M987" s="944"/>
    </row>
    <row r="988" spans="7:13" x14ac:dyDescent="0.2">
      <c r="G988" s="896"/>
      <c r="H988" s="926"/>
      <c r="I988" s="896"/>
      <c r="M988" s="944"/>
    </row>
    <row r="989" spans="7:13" x14ac:dyDescent="0.2">
      <c r="G989" s="896"/>
      <c r="H989" s="926"/>
      <c r="I989" s="896"/>
      <c r="M989" s="944"/>
    </row>
    <row r="990" spans="7:13" x14ac:dyDescent="0.2">
      <c r="G990" s="896"/>
      <c r="H990" s="926"/>
      <c r="I990" s="896"/>
      <c r="M990" s="944"/>
    </row>
    <row r="991" spans="7:13" x14ac:dyDescent="0.2">
      <c r="G991" s="896"/>
      <c r="H991" s="926"/>
      <c r="I991" s="896"/>
      <c r="M991" s="944"/>
    </row>
    <row r="992" spans="7:13" x14ac:dyDescent="0.2">
      <c r="G992" s="896"/>
      <c r="H992" s="926"/>
      <c r="I992" s="896"/>
      <c r="M992" s="944"/>
    </row>
    <row r="993" spans="7:13" x14ac:dyDescent="0.2">
      <c r="G993" s="896"/>
      <c r="H993" s="926"/>
      <c r="I993" s="896"/>
      <c r="M993" s="944"/>
    </row>
    <row r="994" spans="7:13" x14ac:dyDescent="0.2">
      <c r="G994" s="896"/>
      <c r="H994" s="926"/>
      <c r="I994" s="896"/>
      <c r="M994" s="944"/>
    </row>
    <row r="995" spans="7:13" x14ac:dyDescent="0.2">
      <c r="G995" s="896"/>
      <c r="H995" s="926"/>
      <c r="I995" s="896"/>
      <c r="M995" s="944"/>
    </row>
    <row r="996" spans="7:13" x14ac:dyDescent="0.2">
      <c r="G996" s="896"/>
      <c r="H996" s="926"/>
      <c r="I996" s="896"/>
      <c r="M996" s="944"/>
    </row>
    <row r="997" spans="7:13" x14ac:dyDescent="0.2">
      <c r="G997" s="896"/>
      <c r="H997" s="926"/>
      <c r="I997" s="896"/>
      <c r="M997" s="944"/>
    </row>
    <row r="998" spans="7:13" x14ac:dyDescent="0.2">
      <c r="G998" s="896"/>
      <c r="H998" s="926"/>
      <c r="I998" s="896"/>
      <c r="M998" s="944"/>
    </row>
    <row r="999" spans="7:13" x14ac:dyDescent="0.2">
      <c r="G999" s="896"/>
      <c r="H999" s="926"/>
      <c r="I999" s="896"/>
      <c r="M999" s="944"/>
    </row>
    <row r="1000" spans="7:13" x14ac:dyDescent="0.2">
      <c r="G1000" s="896"/>
      <c r="H1000" s="926"/>
      <c r="I1000" s="896"/>
      <c r="M1000" s="944"/>
    </row>
    <row r="1001" spans="7:13" x14ac:dyDescent="0.2">
      <c r="G1001" s="896"/>
      <c r="H1001" s="926"/>
      <c r="I1001" s="896"/>
      <c r="M1001" s="944"/>
    </row>
    <row r="1002" spans="7:13" x14ac:dyDescent="0.2">
      <c r="G1002" s="896"/>
      <c r="H1002" s="926"/>
      <c r="I1002" s="896"/>
      <c r="M1002" s="944"/>
    </row>
    <row r="1003" spans="7:13" x14ac:dyDescent="0.2">
      <c r="G1003" s="896"/>
      <c r="H1003" s="926"/>
      <c r="I1003" s="896"/>
      <c r="M1003" s="944"/>
    </row>
    <row r="1004" spans="7:13" x14ac:dyDescent="0.2">
      <c r="G1004" s="896"/>
      <c r="H1004" s="926"/>
      <c r="I1004" s="896"/>
      <c r="M1004" s="944"/>
    </row>
    <row r="1005" spans="7:13" x14ac:dyDescent="0.2">
      <c r="G1005" s="896"/>
      <c r="H1005" s="926"/>
      <c r="I1005" s="896"/>
      <c r="M1005" s="944"/>
    </row>
    <row r="1006" spans="7:13" x14ac:dyDescent="0.2">
      <c r="G1006" s="896"/>
      <c r="H1006" s="926"/>
      <c r="I1006" s="896"/>
      <c r="M1006" s="944"/>
    </row>
    <row r="1007" spans="7:13" x14ac:dyDescent="0.2">
      <c r="G1007" s="896"/>
      <c r="H1007" s="926"/>
      <c r="I1007" s="896"/>
      <c r="M1007" s="944"/>
    </row>
    <row r="1008" spans="7:13" x14ac:dyDescent="0.2">
      <c r="G1008" s="896"/>
      <c r="H1008" s="926"/>
      <c r="I1008" s="896"/>
      <c r="M1008" s="944"/>
    </row>
    <row r="1009" spans="7:13" x14ac:dyDescent="0.2">
      <c r="G1009" s="896"/>
      <c r="H1009" s="926"/>
      <c r="I1009" s="896"/>
      <c r="M1009" s="944"/>
    </row>
    <row r="1010" spans="7:13" x14ac:dyDescent="0.2">
      <c r="G1010" s="896"/>
      <c r="H1010" s="926"/>
      <c r="I1010" s="896"/>
      <c r="M1010" s="944"/>
    </row>
    <row r="1011" spans="7:13" x14ac:dyDescent="0.2">
      <c r="G1011" s="896"/>
      <c r="H1011" s="926"/>
      <c r="I1011" s="896"/>
      <c r="M1011" s="944"/>
    </row>
    <row r="1012" spans="7:13" x14ac:dyDescent="0.2">
      <c r="G1012" s="896"/>
      <c r="H1012" s="926"/>
      <c r="I1012" s="896"/>
      <c r="M1012" s="944"/>
    </row>
    <row r="1013" spans="7:13" x14ac:dyDescent="0.2">
      <c r="G1013" s="896"/>
      <c r="H1013" s="926"/>
      <c r="I1013" s="896"/>
      <c r="M1013" s="944"/>
    </row>
    <row r="1014" spans="7:13" x14ac:dyDescent="0.2">
      <c r="G1014" s="896"/>
      <c r="H1014" s="926"/>
      <c r="I1014" s="896"/>
      <c r="M1014" s="944"/>
    </row>
    <row r="1015" spans="7:13" x14ac:dyDescent="0.2">
      <c r="G1015" s="896"/>
      <c r="H1015" s="926"/>
      <c r="I1015" s="896"/>
      <c r="M1015" s="944"/>
    </row>
    <row r="1016" spans="7:13" x14ac:dyDescent="0.2">
      <c r="G1016" s="896"/>
      <c r="H1016" s="926"/>
      <c r="I1016" s="896"/>
      <c r="M1016" s="944"/>
    </row>
    <row r="1017" spans="7:13" x14ac:dyDescent="0.2">
      <c r="G1017" s="896"/>
      <c r="H1017" s="926"/>
      <c r="I1017" s="896"/>
      <c r="M1017" s="944"/>
    </row>
    <row r="1018" spans="7:13" x14ac:dyDescent="0.2">
      <c r="G1018" s="896"/>
      <c r="H1018" s="926"/>
      <c r="I1018" s="896"/>
      <c r="M1018" s="944"/>
    </row>
    <row r="1019" spans="7:13" x14ac:dyDescent="0.2">
      <c r="G1019" s="896"/>
      <c r="H1019" s="926"/>
      <c r="I1019" s="896"/>
      <c r="M1019" s="944"/>
    </row>
  </sheetData>
  <mergeCells count="48">
    <mergeCell ref="M173:Z173"/>
    <mergeCell ref="B174:C174"/>
    <mergeCell ref="D174:G174"/>
    <mergeCell ref="H174:L174"/>
    <mergeCell ref="I168:L169"/>
    <mergeCell ref="A170:E170"/>
    <mergeCell ref="H171:I171"/>
    <mergeCell ref="B173:C173"/>
    <mergeCell ref="D173:G173"/>
    <mergeCell ref="H173:L173"/>
    <mergeCell ref="I121:L122"/>
    <mergeCell ref="A124:B124"/>
    <mergeCell ref="C124:C125"/>
    <mergeCell ref="D124:D125"/>
    <mergeCell ref="E124:E125"/>
    <mergeCell ref="F124:F125"/>
    <mergeCell ref="G124:H124"/>
    <mergeCell ref="I124:J124"/>
    <mergeCell ref="K124:L124"/>
    <mergeCell ref="K12:L12"/>
    <mergeCell ref="I74:L74"/>
    <mergeCell ref="A76:B76"/>
    <mergeCell ref="G76:H76"/>
    <mergeCell ref="I76:J76"/>
    <mergeCell ref="K76:L76"/>
    <mergeCell ref="D10:E10"/>
    <mergeCell ref="F10:G10"/>
    <mergeCell ref="H10:I10"/>
    <mergeCell ref="A12:B12"/>
    <mergeCell ref="D12:F12"/>
    <mergeCell ref="G12:H12"/>
    <mergeCell ref="I12:J12"/>
    <mergeCell ref="D8:E8"/>
    <mergeCell ref="F8:G8"/>
    <mergeCell ref="H8:I8"/>
    <mergeCell ref="J8:L8"/>
    <mergeCell ref="D9:E9"/>
    <mergeCell ref="F9:G9"/>
    <mergeCell ref="H9:I9"/>
    <mergeCell ref="J9:L9"/>
    <mergeCell ref="F1:L1"/>
    <mergeCell ref="B2:C2"/>
    <mergeCell ref="D2:G2"/>
    <mergeCell ref="H2:L2"/>
    <mergeCell ref="B3:C3"/>
    <mergeCell ref="D3:G7"/>
    <mergeCell ref="H3:L7"/>
    <mergeCell ref="B6:C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1"/>
  <dimension ref="A1:O1051"/>
  <sheetViews>
    <sheetView topLeftCell="A20" workbookViewId="0">
      <selection activeCell="B40" sqref="B40"/>
    </sheetView>
  </sheetViews>
  <sheetFormatPr baseColWidth="10" defaultColWidth="14.42578125" defaultRowHeight="13.5" x14ac:dyDescent="0.3"/>
  <cols>
    <col min="1" max="1" width="7.28515625" style="1312" customWidth="1"/>
    <col min="2" max="2" width="73.5703125" style="1312" customWidth="1"/>
    <col min="3" max="3" width="5.7109375" style="1312" customWidth="1"/>
    <col min="4" max="4" width="13.5703125" style="1410" customWidth="1"/>
    <col min="5" max="5" width="13" style="1312" customWidth="1"/>
    <col min="6" max="6" width="14.5703125" style="1312" customWidth="1"/>
    <col min="7" max="7" width="11.42578125" style="1312" customWidth="1"/>
    <col min="8" max="8" width="15.42578125" style="1312" customWidth="1"/>
    <col min="9" max="9" width="7.7109375" style="1312" customWidth="1"/>
    <col min="10" max="10" width="14.140625" style="1312" customWidth="1"/>
    <col min="11" max="11" width="9" style="1312" customWidth="1"/>
    <col min="12" max="12" width="16.7109375" style="1312" customWidth="1"/>
    <col min="13" max="13" width="28.5703125" style="1312" customWidth="1"/>
    <col min="14" max="16384" width="14.42578125" style="1312"/>
  </cols>
  <sheetData>
    <row r="1" spans="1:14" x14ac:dyDescent="0.3">
      <c r="A1" s="1312" t="s">
        <v>1367</v>
      </c>
      <c r="B1" s="2157" t="s">
        <v>1185</v>
      </c>
      <c r="C1" s="2157"/>
      <c r="D1" s="2157"/>
      <c r="E1" s="2157"/>
      <c r="F1" s="2157"/>
      <c r="G1" s="2157"/>
      <c r="H1" s="2157"/>
      <c r="I1" s="2157"/>
      <c r="J1" s="2157"/>
      <c r="K1" s="2157"/>
      <c r="L1" s="2157"/>
    </row>
    <row r="2" spans="1:14" x14ac:dyDescent="0.3">
      <c r="A2" s="1313"/>
      <c r="B2" s="1314" t="s">
        <v>1186</v>
      </c>
      <c r="C2" s="2158" t="s">
        <v>1187</v>
      </c>
      <c r="D2" s="2158"/>
      <c r="E2" s="2159"/>
      <c r="F2" s="2160" t="s">
        <v>1188</v>
      </c>
      <c r="G2" s="2161"/>
      <c r="H2" s="2161"/>
      <c r="I2" s="2161"/>
      <c r="J2" s="2161"/>
      <c r="K2" s="2161"/>
      <c r="L2" s="2162"/>
    </row>
    <row r="3" spans="1:14" x14ac:dyDescent="0.3">
      <c r="A3" s="1315"/>
      <c r="B3" s="1316"/>
      <c r="C3" s="2163" t="s">
        <v>1190</v>
      </c>
      <c r="D3" s="2164"/>
      <c r="E3" s="2165"/>
      <c r="F3" s="2163" t="s">
        <v>1191</v>
      </c>
      <c r="G3" s="2164"/>
      <c r="H3" s="2164"/>
      <c r="I3" s="2164"/>
      <c r="J3" s="2164"/>
      <c r="K3" s="2164"/>
      <c r="L3" s="2165"/>
    </row>
    <row r="4" spans="1:14" x14ac:dyDescent="0.3">
      <c r="A4" s="1315"/>
      <c r="B4" s="1316"/>
      <c r="C4" s="2166"/>
      <c r="D4" s="2167"/>
      <c r="E4" s="2168"/>
      <c r="F4" s="2166"/>
      <c r="G4" s="2167"/>
      <c r="H4" s="2167"/>
      <c r="I4" s="2167"/>
      <c r="J4" s="2167"/>
      <c r="K4" s="2167"/>
      <c r="L4" s="2168"/>
    </row>
    <row r="5" spans="1:14" x14ac:dyDescent="0.3">
      <c r="A5" s="1315"/>
      <c r="B5" s="1317"/>
      <c r="C5" s="2166"/>
      <c r="D5" s="2167"/>
      <c r="E5" s="2168"/>
      <c r="F5" s="2166"/>
      <c r="G5" s="2167"/>
      <c r="H5" s="2167"/>
      <c r="I5" s="2167"/>
      <c r="J5" s="2167"/>
      <c r="K5" s="2167"/>
      <c r="L5" s="2168"/>
    </row>
    <row r="6" spans="1:14" x14ac:dyDescent="0.3">
      <c r="A6" s="1315"/>
      <c r="B6" s="1318" t="s">
        <v>1368</v>
      </c>
      <c r="C6" s="2166"/>
      <c r="D6" s="2167"/>
      <c r="E6" s="2168"/>
      <c r="F6" s="2166"/>
      <c r="G6" s="2167"/>
      <c r="H6" s="2167"/>
      <c r="I6" s="2167"/>
      <c r="J6" s="2167"/>
      <c r="K6" s="2167"/>
      <c r="L6" s="2168"/>
    </row>
    <row r="7" spans="1:14" x14ac:dyDescent="0.3">
      <c r="A7" s="1315"/>
      <c r="B7" s="1317"/>
      <c r="C7" s="2169"/>
      <c r="D7" s="2170"/>
      <c r="E7" s="2171"/>
      <c r="F7" s="2169"/>
      <c r="G7" s="2170"/>
      <c r="H7" s="2170"/>
      <c r="I7" s="2170"/>
      <c r="J7" s="2170"/>
      <c r="K7" s="2170"/>
      <c r="L7" s="2171"/>
    </row>
    <row r="8" spans="1:14" x14ac:dyDescent="0.3">
      <c r="A8" s="1315"/>
      <c r="B8" s="1319" t="s">
        <v>1193</v>
      </c>
      <c r="C8" s="2144" t="s">
        <v>1194</v>
      </c>
      <c r="D8" s="2145"/>
      <c r="E8" s="1320">
        <v>546435190</v>
      </c>
      <c r="F8" s="2151" t="s">
        <v>1369</v>
      </c>
      <c r="G8" s="2152"/>
      <c r="H8" s="1321">
        <v>30</v>
      </c>
      <c r="I8" s="2153" t="s">
        <v>1370</v>
      </c>
      <c r="J8" s="2154"/>
      <c r="K8" s="2155">
        <v>252587121</v>
      </c>
      <c r="L8" s="2156"/>
    </row>
    <row r="9" spans="1:14" x14ac:dyDescent="0.3">
      <c r="A9" s="1315"/>
      <c r="B9" s="1317"/>
      <c r="C9" s="2136" t="s">
        <v>1197</v>
      </c>
      <c r="D9" s="2137"/>
      <c r="E9" s="1322">
        <v>252139693</v>
      </c>
      <c r="F9" s="2138" t="s">
        <v>1371</v>
      </c>
      <c r="G9" s="2139"/>
      <c r="H9" s="1323">
        <v>37</v>
      </c>
      <c r="I9" s="2140" t="s">
        <v>1372</v>
      </c>
      <c r="J9" s="2141"/>
      <c r="K9" s="2142">
        <v>252586345</v>
      </c>
      <c r="L9" s="2143"/>
    </row>
    <row r="10" spans="1:14" x14ac:dyDescent="0.3">
      <c r="A10" s="1324"/>
      <c r="B10" s="1325" t="s">
        <v>1373</v>
      </c>
      <c r="C10" s="2144" t="s">
        <v>1200</v>
      </c>
      <c r="D10" s="2145"/>
      <c r="E10" s="1326">
        <v>798574883</v>
      </c>
      <c r="F10" s="2138" t="s">
        <v>1374</v>
      </c>
      <c r="G10" s="2146"/>
      <c r="H10" s="1327">
        <v>67</v>
      </c>
      <c r="I10" s="2147" t="s">
        <v>1375</v>
      </c>
      <c r="J10" s="2148"/>
      <c r="K10" s="2149">
        <v>293848845</v>
      </c>
      <c r="L10" s="2150"/>
    </row>
    <row r="11" spans="1:14" x14ac:dyDescent="0.3">
      <c r="D11" s="1328"/>
      <c r="E11" s="1329"/>
      <c r="F11" s="1329"/>
      <c r="G11" s="1330"/>
      <c r="H11" s="1330"/>
      <c r="I11" s="1330"/>
      <c r="J11" s="1330"/>
    </row>
    <row r="12" spans="1:14" x14ac:dyDescent="0.3">
      <c r="A12" s="2118" t="s">
        <v>1202</v>
      </c>
      <c r="B12" s="2126"/>
      <c r="C12" s="2131" t="s">
        <v>1376</v>
      </c>
      <c r="D12" s="2132"/>
      <c r="E12" s="2132"/>
      <c r="F12" s="2133"/>
      <c r="G12" s="2123" t="s">
        <v>1377</v>
      </c>
      <c r="H12" s="2124"/>
      <c r="I12" s="2125" t="s">
        <v>1378</v>
      </c>
      <c r="J12" s="2126"/>
      <c r="K12" s="2134" t="s">
        <v>1379</v>
      </c>
      <c r="L12" s="2126"/>
    </row>
    <row r="13" spans="1:14" ht="38.25" x14ac:dyDescent="0.3">
      <c r="A13" s="1331" t="s">
        <v>4</v>
      </c>
      <c r="B13" s="1332" t="s">
        <v>5</v>
      </c>
      <c r="C13" s="1333" t="s">
        <v>6</v>
      </c>
      <c r="D13" s="1334" t="s">
        <v>1207</v>
      </c>
      <c r="E13" s="1335" t="s">
        <v>830</v>
      </c>
      <c r="F13" s="1336" t="s">
        <v>1208</v>
      </c>
      <c r="G13" s="1337" t="s">
        <v>1380</v>
      </c>
      <c r="H13" s="1336" t="s">
        <v>1208</v>
      </c>
      <c r="I13" s="1335" t="s">
        <v>830</v>
      </c>
      <c r="J13" s="1336" t="s">
        <v>1208</v>
      </c>
      <c r="K13" s="1335" t="s">
        <v>830</v>
      </c>
      <c r="L13" s="1338" t="s">
        <v>1208</v>
      </c>
    </row>
    <row r="14" spans="1:14" ht="27" x14ac:dyDescent="0.3">
      <c r="A14" s="1339">
        <v>1</v>
      </c>
      <c r="B14" s="1340" t="s">
        <v>103</v>
      </c>
      <c r="C14" s="1341" t="s">
        <v>19</v>
      </c>
      <c r="D14" s="1342">
        <v>103790</v>
      </c>
      <c r="E14" s="1343">
        <v>62</v>
      </c>
      <c r="F14" s="1344">
        <v>6434980</v>
      </c>
      <c r="G14" s="1345">
        <v>23</v>
      </c>
      <c r="H14" s="1346">
        <v>2387170</v>
      </c>
      <c r="I14" s="1346">
        <v>85</v>
      </c>
      <c r="J14" s="1347">
        <v>8822150</v>
      </c>
      <c r="K14" s="1348">
        <v>77.992000000000004</v>
      </c>
      <c r="L14" s="1349">
        <v>8094790</v>
      </c>
      <c r="M14" s="1350"/>
      <c r="N14" s="1351"/>
    </row>
    <row r="15" spans="1:14" x14ac:dyDescent="0.3">
      <c r="A15" s="1339">
        <v>2</v>
      </c>
      <c r="B15" s="1340" t="s">
        <v>105</v>
      </c>
      <c r="C15" s="1341" t="s">
        <v>14</v>
      </c>
      <c r="D15" s="1342">
        <v>37657</v>
      </c>
      <c r="E15" s="1343">
        <v>53</v>
      </c>
      <c r="F15" s="1344">
        <v>1995821</v>
      </c>
      <c r="G15" s="1345">
        <v>-3</v>
      </c>
      <c r="H15" s="1346">
        <v>-112971</v>
      </c>
      <c r="I15" s="1346">
        <v>50</v>
      </c>
      <c r="J15" s="1347">
        <v>1882850</v>
      </c>
      <c r="K15" s="1352">
        <v>36.22</v>
      </c>
      <c r="L15" s="1349">
        <v>1363937</v>
      </c>
      <c r="M15" s="1350"/>
      <c r="N15" s="1351"/>
    </row>
    <row r="16" spans="1:14" x14ac:dyDescent="0.3">
      <c r="A16" s="1339">
        <v>3</v>
      </c>
      <c r="B16" s="1340" t="s">
        <v>866</v>
      </c>
      <c r="C16" s="1341" t="s">
        <v>14</v>
      </c>
      <c r="D16" s="1342">
        <v>42410</v>
      </c>
      <c r="E16" s="1343">
        <v>53</v>
      </c>
      <c r="F16" s="1344">
        <v>2247730</v>
      </c>
      <c r="G16" s="1345">
        <v>17</v>
      </c>
      <c r="H16" s="1346">
        <v>720970</v>
      </c>
      <c r="I16" s="1346">
        <v>70</v>
      </c>
      <c r="J16" s="1347">
        <v>2968700</v>
      </c>
      <c r="K16" s="1352">
        <v>42.92</v>
      </c>
      <c r="L16" s="1349">
        <v>1820237</v>
      </c>
      <c r="M16" s="1350"/>
      <c r="N16" s="1351"/>
    </row>
    <row r="17" spans="1:14" x14ac:dyDescent="0.3">
      <c r="A17" s="1339">
        <v>4</v>
      </c>
      <c r="B17" s="1340" t="s">
        <v>867</v>
      </c>
      <c r="C17" s="1341" t="s">
        <v>19</v>
      </c>
      <c r="D17" s="1342">
        <v>16976</v>
      </c>
      <c r="E17" s="1343">
        <v>10</v>
      </c>
      <c r="F17" s="1344">
        <v>169760</v>
      </c>
      <c r="G17" s="1345">
        <v>20</v>
      </c>
      <c r="H17" s="1346">
        <v>339520</v>
      </c>
      <c r="I17" s="1346">
        <v>30</v>
      </c>
      <c r="J17" s="1347">
        <v>509280</v>
      </c>
      <c r="K17" s="1352">
        <v>13.932899999999998</v>
      </c>
      <c r="L17" s="1349">
        <v>236525</v>
      </c>
      <c r="M17" s="1350"/>
      <c r="N17" s="1351"/>
    </row>
    <row r="18" spans="1:14" ht="27" x14ac:dyDescent="0.3">
      <c r="A18" s="1339">
        <v>5</v>
      </c>
      <c r="B18" s="1340" t="s">
        <v>1209</v>
      </c>
      <c r="C18" s="1341" t="s">
        <v>6</v>
      </c>
      <c r="D18" s="1342">
        <v>10880</v>
      </c>
      <c r="E18" s="1343">
        <v>60</v>
      </c>
      <c r="F18" s="1344">
        <v>652800</v>
      </c>
      <c r="G18" s="1353">
        <v>140</v>
      </c>
      <c r="H18" s="1346">
        <v>1523200</v>
      </c>
      <c r="I18" s="1346">
        <v>200</v>
      </c>
      <c r="J18" s="1347">
        <v>2176000</v>
      </c>
      <c r="K18" s="1354">
        <v>59</v>
      </c>
      <c r="L18" s="1349">
        <v>641920</v>
      </c>
      <c r="M18" s="1350"/>
      <c r="N18" s="1351"/>
    </row>
    <row r="19" spans="1:14" ht="27" x14ac:dyDescent="0.3">
      <c r="A19" s="1339">
        <v>6</v>
      </c>
      <c r="B19" s="1340" t="s">
        <v>849</v>
      </c>
      <c r="C19" s="1341" t="s">
        <v>19</v>
      </c>
      <c r="D19" s="1342">
        <v>67793</v>
      </c>
      <c r="E19" s="1343">
        <v>50</v>
      </c>
      <c r="F19" s="1344">
        <v>3389650</v>
      </c>
      <c r="G19" s="1345">
        <v>200</v>
      </c>
      <c r="H19" s="1346">
        <v>13558600</v>
      </c>
      <c r="I19" s="1346">
        <v>250</v>
      </c>
      <c r="J19" s="1347">
        <v>16948250</v>
      </c>
      <c r="K19" s="1352">
        <v>0</v>
      </c>
      <c r="L19" s="1349">
        <v>0</v>
      </c>
      <c r="M19" s="1350"/>
      <c r="N19" s="1351"/>
    </row>
    <row r="20" spans="1:14" ht="27" x14ac:dyDescent="0.3">
      <c r="A20" s="1339">
        <v>7</v>
      </c>
      <c r="B20" s="1340" t="s">
        <v>1210</v>
      </c>
      <c r="C20" s="1341" t="s">
        <v>6</v>
      </c>
      <c r="D20" s="1342">
        <v>33242</v>
      </c>
      <c r="E20" s="1343">
        <v>90</v>
      </c>
      <c r="F20" s="1344">
        <v>2991780</v>
      </c>
      <c r="G20" s="1345">
        <v>50</v>
      </c>
      <c r="H20" s="1346">
        <v>1662100</v>
      </c>
      <c r="I20" s="1346">
        <v>140</v>
      </c>
      <c r="J20" s="1347">
        <v>4653880</v>
      </c>
      <c r="K20" s="1352">
        <v>90</v>
      </c>
      <c r="L20" s="1349">
        <v>2991780</v>
      </c>
      <c r="M20" s="1350"/>
      <c r="N20" s="1351"/>
    </row>
    <row r="21" spans="1:14" x14ac:dyDescent="0.3">
      <c r="A21" s="1339">
        <v>8</v>
      </c>
      <c r="B21" s="1340" t="s">
        <v>158</v>
      </c>
      <c r="C21" s="1341" t="s">
        <v>14</v>
      </c>
      <c r="D21" s="1342">
        <v>12246</v>
      </c>
      <c r="E21" s="1343">
        <v>160</v>
      </c>
      <c r="F21" s="1344">
        <v>1959360</v>
      </c>
      <c r="G21" s="1345">
        <v>-160</v>
      </c>
      <c r="H21" s="1346">
        <v>-1959360</v>
      </c>
      <c r="I21" s="1346">
        <v>0</v>
      </c>
      <c r="J21" s="1347">
        <v>0</v>
      </c>
      <c r="K21" s="1352">
        <v>0</v>
      </c>
      <c r="L21" s="1349">
        <v>0</v>
      </c>
      <c r="M21" s="1350"/>
      <c r="N21" s="1351"/>
    </row>
    <row r="22" spans="1:14" x14ac:dyDescent="0.3">
      <c r="A22" s="1339">
        <v>9</v>
      </c>
      <c r="B22" s="1340" t="s">
        <v>1211</v>
      </c>
      <c r="C22" s="1341" t="s">
        <v>14</v>
      </c>
      <c r="D22" s="1342">
        <v>22418</v>
      </c>
      <c r="E22" s="1343">
        <v>15</v>
      </c>
      <c r="F22" s="1344">
        <v>336270</v>
      </c>
      <c r="G22" s="1345">
        <v>0</v>
      </c>
      <c r="H22" s="1346">
        <v>0</v>
      </c>
      <c r="I22" s="1346">
        <v>15</v>
      </c>
      <c r="J22" s="1347">
        <v>336270</v>
      </c>
      <c r="K22" s="1352">
        <v>0</v>
      </c>
      <c r="L22" s="1349">
        <v>0</v>
      </c>
      <c r="M22" s="1350"/>
      <c r="N22" s="1351"/>
    </row>
    <row r="23" spans="1:14" x14ac:dyDescent="0.3">
      <c r="A23" s="1339">
        <v>10</v>
      </c>
      <c r="B23" s="1340" t="s">
        <v>1212</v>
      </c>
      <c r="C23" s="1341" t="s">
        <v>14</v>
      </c>
      <c r="D23" s="1342">
        <v>24172</v>
      </c>
      <c r="E23" s="1343">
        <v>10</v>
      </c>
      <c r="F23" s="1344">
        <v>241720</v>
      </c>
      <c r="G23" s="1345">
        <v>0</v>
      </c>
      <c r="H23" s="1346">
        <v>0</v>
      </c>
      <c r="I23" s="1346">
        <v>10</v>
      </c>
      <c r="J23" s="1347">
        <v>241720</v>
      </c>
      <c r="K23" s="1352">
        <v>0</v>
      </c>
      <c r="L23" s="1349">
        <v>0</v>
      </c>
      <c r="M23" s="1350"/>
      <c r="N23" s="1351"/>
    </row>
    <row r="24" spans="1:14" x14ac:dyDescent="0.3">
      <c r="A24" s="1339">
        <v>11</v>
      </c>
      <c r="B24" s="1340" t="s">
        <v>109</v>
      </c>
      <c r="C24" s="1341" t="s">
        <v>14</v>
      </c>
      <c r="D24" s="1342">
        <v>33950</v>
      </c>
      <c r="E24" s="1343">
        <v>55</v>
      </c>
      <c r="F24" s="1344">
        <v>1867250</v>
      </c>
      <c r="G24" s="1345">
        <v>5</v>
      </c>
      <c r="H24" s="1346">
        <v>169750</v>
      </c>
      <c r="I24" s="1346">
        <v>60</v>
      </c>
      <c r="J24" s="1347">
        <v>2037000</v>
      </c>
      <c r="K24" s="1352">
        <v>0</v>
      </c>
      <c r="L24" s="1349">
        <v>0</v>
      </c>
      <c r="M24" s="1350"/>
      <c r="N24" s="1351"/>
    </row>
    <row r="25" spans="1:14" x14ac:dyDescent="0.3">
      <c r="A25" s="1339">
        <v>12</v>
      </c>
      <c r="B25" s="1340" t="s">
        <v>1213</v>
      </c>
      <c r="C25" s="1341" t="s">
        <v>14</v>
      </c>
      <c r="D25" s="1342">
        <v>35948</v>
      </c>
      <c r="E25" s="1343">
        <v>10</v>
      </c>
      <c r="F25" s="1344">
        <v>359480</v>
      </c>
      <c r="G25" s="1345">
        <v>0</v>
      </c>
      <c r="H25" s="1346">
        <v>0</v>
      </c>
      <c r="I25" s="1346">
        <v>10</v>
      </c>
      <c r="J25" s="1347">
        <v>359480</v>
      </c>
      <c r="K25" s="1352">
        <v>9.9899999999999984</v>
      </c>
      <c r="L25" s="1349">
        <v>359121</v>
      </c>
      <c r="M25" s="1350"/>
      <c r="N25" s="1351"/>
    </row>
    <row r="26" spans="1:14" ht="27" x14ac:dyDescent="0.3">
      <c r="A26" s="1339">
        <v>13</v>
      </c>
      <c r="B26" s="1340" t="s">
        <v>1214</v>
      </c>
      <c r="C26" s="1341" t="s">
        <v>19</v>
      </c>
      <c r="D26" s="1342">
        <v>74642</v>
      </c>
      <c r="E26" s="1343">
        <v>1400</v>
      </c>
      <c r="F26" s="1344">
        <v>104498800</v>
      </c>
      <c r="G26" s="1345">
        <v>-1400</v>
      </c>
      <c r="H26" s="1346">
        <v>-104498800</v>
      </c>
      <c r="I26" s="1346">
        <v>0</v>
      </c>
      <c r="J26" s="1347">
        <v>0</v>
      </c>
      <c r="K26" s="1352">
        <v>0</v>
      </c>
      <c r="L26" s="1349">
        <v>0</v>
      </c>
      <c r="M26" s="1350"/>
      <c r="N26" s="1351"/>
    </row>
    <row r="27" spans="1:14" x14ac:dyDescent="0.3">
      <c r="A27" s="1339">
        <v>14</v>
      </c>
      <c r="B27" s="1340" t="s">
        <v>1215</v>
      </c>
      <c r="C27" s="1341" t="s">
        <v>19</v>
      </c>
      <c r="D27" s="1342">
        <v>34005</v>
      </c>
      <c r="E27" s="1343">
        <v>140</v>
      </c>
      <c r="F27" s="1344">
        <v>4760700</v>
      </c>
      <c r="G27" s="1345">
        <v>-140</v>
      </c>
      <c r="H27" s="1346">
        <v>-4760700</v>
      </c>
      <c r="I27" s="1346">
        <v>0</v>
      </c>
      <c r="J27" s="1347">
        <v>0</v>
      </c>
      <c r="K27" s="1352">
        <v>0</v>
      </c>
      <c r="L27" s="1349">
        <v>0</v>
      </c>
      <c r="M27" s="1350"/>
      <c r="N27" s="1351"/>
    </row>
    <row r="28" spans="1:14" x14ac:dyDescent="0.3">
      <c r="A28" s="1339">
        <v>15</v>
      </c>
      <c r="B28" s="1340" t="s">
        <v>1216</v>
      </c>
      <c r="C28" s="1341" t="s">
        <v>14</v>
      </c>
      <c r="D28" s="1342">
        <v>49495</v>
      </c>
      <c r="E28" s="1343">
        <v>140</v>
      </c>
      <c r="F28" s="1344">
        <v>6929300</v>
      </c>
      <c r="G28" s="1345">
        <v>0</v>
      </c>
      <c r="H28" s="1346">
        <v>0</v>
      </c>
      <c r="I28" s="1346">
        <v>140</v>
      </c>
      <c r="J28" s="1347">
        <v>6929300</v>
      </c>
      <c r="K28" s="1355">
        <v>16</v>
      </c>
      <c r="L28" s="1349">
        <v>791920</v>
      </c>
      <c r="M28" s="1350"/>
      <c r="N28" s="1351"/>
    </row>
    <row r="29" spans="1:14" x14ac:dyDescent="0.3">
      <c r="A29" s="1339">
        <v>16</v>
      </c>
      <c r="B29" s="1340" t="s">
        <v>171</v>
      </c>
      <c r="C29" s="1341" t="s">
        <v>14</v>
      </c>
      <c r="D29" s="1342">
        <v>36251</v>
      </c>
      <c r="E29" s="1343">
        <v>140</v>
      </c>
      <c r="F29" s="1344">
        <v>5075140</v>
      </c>
      <c r="G29" s="1345">
        <v>-140</v>
      </c>
      <c r="H29" s="1346">
        <v>-5075140</v>
      </c>
      <c r="I29" s="1346">
        <v>0</v>
      </c>
      <c r="J29" s="1347">
        <v>0</v>
      </c>
      <c r="K29" s="1352">
        <v>0</v>
      </c>
      <c r="L29" s="1349">
        <v>0</v>
      </c>
      <c r="M29" s="1350"/>
      <c r="N29" s="1351"/>
    </row>
    <row r="30" spans="1:14" x14ac:dyDescent="0.3">
      <c r="A30" s="1343">
        <v>17</v>
      </c>
      <c r="B30" s="1340" t="s">
        <v>211</v>
      </c>
      <c r="C30" s="1341" t="s">
        <v>19</v>
      </c>
      <c r="D30" s="1342">
        <v>7728</v>
      </c>
      <c r="E30" s="1343">
        <v>50</v>
      </c>
      <c r="F30" s="1344">
        <v>386400</v>
      </c>
      <c r="G30" s="1345">
        <v>30</v>
      </c>
      <c r="H30" s="1346">
        <v>231840</v>
      </c>
      <c r="I30" s="1346">
        <v>80</v>
      </c>
      <c r="J30" s="1347">
        <v>618240</v>
      </c>
      <c r="K30" s="1352">
        <v>0</v>
      </c>
      <c r="L30" s="1349">
        <v>0</v>
      </c>
      <c r="M30" s="1350"/>
      <c r="N30" s="1351"/>
    </row>
    <row r="31" spans="1:14" x14ac:dyDescent="0.3">
      <c r="A31" s="1339">
        <v>18</v>
      </c>
      <c r="B31" s="1340" t="s">
        <v>88</v>
      </c>
      <c r="C31" s="1341" t="s">
        <v>19</v>
      </c>
      <c r="D31" s="1342">
        <v>22520</v>
      </c>
      <c r="E31" s="1343">
        <v>40</v>
      </c>
      <c r="F31" s="1344">
        <v>900800</v>
      </c>
      <c r="G31" s="1345">
        <v>260</v>
      </c>
      <c r="H31" s="1346">
        <v>5855200</v>
      </c>
      <c r="I31" s="1346">
        <v>300</v>
      </c>
      <c r="J31" s="1347">
        <v>6756000</v>
      </c>
      <c r="K31" s="1352">
        <v>171.94050000000001</v>
      </c>
      <c r="L31" s="1349">
        <v>3872100</v>
      </c>
      <c r="M31" s="1350"/>
      <c r="N31" s="1351"/>
    </row>
    <row r="32" spans="1:14" x14ac:dyDescent="0.3">
      <c r="A32" s="1339">
        <v>19</v>
      </c>
      <c r="B32" s="1340" t="s">
        <v>639</v>
      </c>
      <c r="C32" s="1341" t="s">
        <v>19</v>
      </c>
      <c r="D32" s="1342">
        <v>17033</v>
      </c>
      <c r="E32" s="1343">
        <v>100</v>
      </c>
      <c r="F32" s="1344">
        <v>1703300</v>
      </c>
      <c r="G32" s="1345">
        <v>350</v>
      </c>
      <c r="H32" s="1346">
        <v>5961550</v>
      </c>
      <c r="I32" s="1346">
        <v>450</v>
      </c>
      <c r="J32" s="1347">
        <v>7664850</v>
      </c>
      <c r="K32" s="1352">
        <v>343.88100000000003</v>
      </c>
      <c r="L32" s="1349">
        <v>5857325</v>
      </c>
      <c r="M32" s="1350"/>
      <c r="N32" s="1351"/>
    </row>
    <row r="33" spans="1:14" x14ac:dyDescent="0.3">
      <c r="A33" s="1339">
        <v>20</v>
      </c>
      <c r="B33" s="1340" t="s">
        <v>92</v>
      </c>
      <c r="C33" s="1341" t="s">
        <v>19</v>
      </c>
      <c r="D33" s="1342">
        <v>15561</v>
      </c>
      <c r="E33" s="1343">
        <v>30</v>
      </c>
      <c r="F33" s="1344">
        <v>466830</v>
      </c>
      <c r="G33" s="1345">
        <v>-10</v>
      </c>
      <c r="H33" s="1346">
        <v>-155610</v>
      </c>
      <c r="I33" s="1346">
        <v>20</v>
      </c>
      <c r="J33" s="1347">
        <v>311220</v>
      </c>
      <c r="K33" s="1352">
        <v>0</v>
      </c>
      <c r="L33" s="1349">
        <v>0</v>
      </c>
      <c r="M33" s="1350"/>
      <c r="N33" s="1351"/>
    </row>
    <row r="34" spans="1:14" x14ac:dyDescent="0.3">
      <c r="A34" s="1339">
        <v>21</v>
      </c>
      <c r="B34" s="1340" t="s">
        <v>1114</v>
      </c>
      <c r="C34" s="1341" t="s">
        <v>19</v>
      </c>
      <c r="D34" s="1342">
        <v>13415</v>
      </c>
      <c r="E34" s="1343">
        <v>120</v>
      </c>
      <c r="F34" s="1344">
        <v>1609800</v>
      </c>
      <c r="G34" s="1345">
        <v>-120</v>
      </c>
      <c r="H34" s="1346">
        <v>-1609800</v>
      </c>
      <c r="I34" s="1346">
        <v>0</v>
      </c>
      <c r="J34" s="1347">
        <v>0</v>
      </c>
      <c r="K34" s="1352">
        <v>0</v>
      </c>
      <c r="L34" s="1349">
        <v>0</v>
      </c>
      <c r="N34" s="1351"/>
    </row>
    <row r="35" spans="1:14" x14ac:dyDescent="0.3">
      <c r="A35" s="1339">
        <v>22</v>
      </c>
      <c r="B35" s="1340" t="s">
        <v>1217</v>
      </c>
      <c r="C35" s="1341" t="s">
        <v>19</v>
      </c>
      <c r="D35" s="1342">
        <v>26675</v>
      </c>
      <c r="E35" s="1343">
        <v>120</v>
      </c>
      <c r="F35" s="1344">
        <v>3201000</v>
      </c>
      <c r="G35" s="1345">
        <v>-120</v>
      </c>
      <c r="H35" s="1346">
        <v>-3201000</v>
      </c>
      <c r="I35" s="1346">
        <v>0</v>
      </c>
      <c r="J35" s="1347">
        <v>0</v>
      </c>
      <c r="K35" s="1352">
        <v>0</v>
      </c>
      <c r="L35" s="1349">
        <v>0</v>
      </c>
      <c r="N35" s="1351"/>
    </row>
    <row r="36" spans="1:14" x14ac:dyDescent="0.3">
      <c r="A36" s="1339">
        <v>23</v>
      </c>
      <c r="B36" s="1356" t="s">
        <v>1218</v>
      </c>
      <c r="C36" s="1341" t="s">
        <v>19</v>
      </c>
      <c r="D36" s="1342">
        <v>77505</v>
      </c>
      <c r="E36" s="1343">
        <v>120</v>
      </c>
      <c r="F36" s="1344">
        <v>9300600</v>
      </c>
      <c r="G36" s="1345">
        <v>-120</v>
      </c>
      <c r="H36" s="1346">
        <v>-9300600</v>
      </c>
      <c r="I36" s="1346">
        <v>0</v>
      </c>
      <c r="J36" s="1347">
        <v>0</v>
      </c>
      <c r="K36" s="1352">
        <v>0</v>
      </c>
      <c r="L36" s="1349">
        <v>0</v>
      </c>
      <c r="N36" s="1351"/>
    </row>
    <row r="37" spans="1:14" x14ac:dyDescent="0.3">
      <c r="A37" s="1339">
        <v>24</v>
      </c>
      <c r="B37" s="1340" t="s">
        <v>1219</v>
      </c>
      <c r="C37" s="1341" t="s">
        <v>14</v>
      </c>
      <c r="D37" s="1342">
        <v>34176</v>
      </c>
      <c r="E37" s="1343">
        <v>140</v>
      </c>
      <c r="F37" s="1344">
        <v>4784640</v>
      </c>
      <c r="G37" s="1345">
        <v>-140</v>
      </c>
      <c r="H37" s="1346">
        <v>-4784640</v>
      </c>
      <c r="I37" s="1346">
        <v>0</v>
      </c>
      <c r="J37" s="1347">
        <v>0</v>
      </c>
      <c r="K37" s="1352">
        <v>0</v>
      </c>
      <c r="L37" s="1349">
        <v>0</v>
      </c>
      <c r="N37" s="1351"/>
    </row>
    <row r="38" spans="1:14" ht="40.5" x14ac:dyDescent="0.3">
      <c r="A38" s="1339">
        <v>25</v>
      </c>
      <c r="B38" s="1340" t="s">
        <v>1220</v>
      </c>
      <c r="C38" s="1341" t="s">
        <v>6</v>
      </c>
      <c r="D38" s="1342">
        <v>530275</v>
      </c>
      <c r="E38" s="1343">
        <v>5</v>
      </c>
      <c r="F38" s="1344">
        <v>2651375</v>
      </c>
      <c r="G38" s="1345">
        <v>0</v>
      </c>
      <c r="H38" s="1346">
        <v>0</v>
      </c>
      <c r="I38" s="1346">
        <v>5</v>
      </c>
      <c r="J38" s="1347">
        <v>2651375</v>
      </c>
      <c r="K38" s="1352">
        <v>0</v>
      </c>
      <c r="L38" s="1349">
        <v>0</v>
      </c>
      <c r="N38" s="1351"/>
    </row>
    <row r="39" spans="1:14" ht="27" x14ac:dyDescent="0.3">
      <c r="A39" s="1339">
        <v>26</v>
      </c>
      <c r="B39" s="1340" t="s">
        <v>409</v>
      </c>
      <c r="C39" s="1341" t="s">
        <v>14</v>
      </c>
      <c r="D39" s="1521">
        <v>207303</v>
      </c>
      <c r="E39" s="1343">
        <v>7</v>
      </c>
      <c r="F39" s="1344">
        <v>1451121</v>
      </c>
      <c r="G39" s="1345">
        <v>7</v>
      </c>
      <c r="H39" s="1346">
        <v>1451121</v>
      </c>
      <c r="I39" s="1346">
        <v>14</v>
      </c>
      <c r="J39" s="1347">
        <v>2902242</v>
      </c>
      <c r="K39" s="1352">
        <v>0</v>
      </c>
      <c r="L39" s="1349">
        <v>0</v>
      </c>
      <c r="N39" s="1351"/>
    </row>
    <row r="40" spans="1:14" x14ac:dyDescent="0.3">
      <c r="A40" s="1339">
        <v>27</v>
      </c>
      <c r="B40" s="1340" t="s">
        <v>1221</v>
      </c>
      <c r="C40" s="1341" t="s">
        <v>19</v>
      </c>
      <c r="D40" s="1342">
        <v>123675</v>
      </c>
      <c r="E40" s="1343">
        <v>10</v>
      </c>
      <c r="F40" s="1344">
        <v>1236750</v>
      </c>
      <c r="G40" s="1345">
        <v>-10</v>
      </c>
      <c r="H40" s="1346">
        <v>-1236750</v>
      </c>
      <c r="I40" s="1346">
        <v>0</v>
      </c>
      <c r="J40" s="1347">
        <v>0</v>
      </c>
      <c r="K40" s="1352">
        <v>0</v>
      </c>
      <c r="L40" s="1349">
        <v>0</v>
      </c>
      <c r="N40" s="1351"/>
    </row>
    <row r="41" spans="1:14" x14ac:dyDescent="0.3">
      <c r="A41" s="1339">
        <v>28</v>
      </c>
      <c r="B41" s="1340" t="s">
        <v>852</v>
      </c>
      <c r="C41" s="1341" t="s">
        <v>848</v>
      </c>
      <c r="D41" s="1342">
        <v>162835</v>
      </c>
      <c r="E41" s="1343">
        <v>4</v>
      </c>
      <c r="F41" s="1344">
        <v>651340</v>
      </c>
      <c r="G41" s="1345">
        <v>-4</v>
      </c>
      <c r="H41" s="1346">
        <v>-651340</v>
      </c>
      <c r="I41" s="1346">
        <v>0</v>
      </c>
      <c r="J41" s="1347">
        <v>0</v>
      </c>
      <c r="K41" s="1352">
        <v>0</v>
      </c>
      <c r="L41" s="1349">
        <v>0</v>
      </c>
      <c r="N41" s="1351"/>
    </row>
    <row r="42" spans="1:14" ht="27" x14ac:dyDescent="0.3">
      <c r="A42" s="1339">
        <v>29</v>
      </c>
      <c r="B42" s="1340" t="s">
        <v>1222</v>
      </c>
      <c r="C42" s="1341" t="s">
        <v>6</v>
      </c>
      <c r="D42" s="1342">
        <v>423809</v>
      </c>
      <c r="E42" s="1343">
        <v>1</v>
      </c>
      <c r="F42" s="1344">
        <v>423809</v>
      </c>
      <c r="G42" s="1345">
        <v>0</v>
      </c>
      <c r="H42" s="1346">
        <v>0</v>
      </c>
      <c r="I42" s="1346">
        <v>1</v>
      </c>
      <c r="J42" s="1347">
        <v>423809</v>
      </c>
      <c r="K42" s="1352">
        <v>0</v>
      </c>
      <c r="L42" s="1349">
        <v>0</v>
      </c>
      <c r="M42" s="1357"/>
      <c r="N42" s="1351"/>
    </row>
    <row r="43" spans="1:14" ht="27" x14ac:dyDescent="0.3">
      <c r="A43" s="1339">
        <v>30</v>
      </c>
      <c r="B43" s="1340" t="s">
        <v>1223</v>
      </c>
      <c r="C43" s="1341" t="s">
        <v>14</v>
      </c>
      <c r="D43" s="1342">
        <v>145375</v>
      </c>
      <c r="E43" s="1343">
        <v>39</v>
      </c>
      <c r="F43" s="1344">
        <v>5669625</v>
      </c>
      <c r="G43" s="1345">
        <v>-39</v>
      </c>
      <c r="H43" s="1346">
        <v>-5669625</v>
      </c>
      <c r="I43" s="1346">
        <v>0</v>
      </c>
      <c r="J43" s="1347">
        <v>0</v>
      </c>
      <c r="K43" s="1352">
        <v>0</v>
      </c>
      <c r="L43" s="1349">
        <v>0</v>
      </c>
      <c r="N43" s="1351"/>
    </row>
    <row r="44" spans="1:14" ht="27" x14ac:dyDescent="0.3">
      <c r="A44" s="1339">
        <v>31</v>
      </c>
      <c r="B44" s="1340" t="s">
        <v>1224</v>
      </c>
      <c r="C44" s="1341" t="s">
        <v>14</v>
      </c>
      <c r="D44" s="1342">
        <v>54233</v>
      </c>
      <c r="E44" s="1343">
        <v>18</v>
      </c>
      <c r="F44" s="1344">
        <v>976194</v>
      </c>
      <c r="G44" s="1345">
        <v>-18</v>
      </c>
      <c r="H44" s="1346">
        <v>-976194</v>
      </c>
      <c r="I44" s="1346">
        <v>0</v>
      </c>
      <c r="J44" s="1347">
        <v>0</v>
      </c>
      <c r="K44" s="1352">
        <v>0</v>
      </c>
      <c r="L44" s="1349">
        <v>0</v>
      </c>
      <c r="N44" s="1351"/>
    </row>
    <row r="45" spans="1:14" ht="40.5" x14ac:dyDescent="0.3">
      <c r="A45" s="1339">
        <v>32</v>
      </c>
      <c r="B45" s="1358" t="s">
        <v>117</v>
      </c>
      <c r="C45" s="1341" t="s">
        <v>14</v>
      </c>
      <c r="D45" s="1342">
        <v>64357</v>
      </c>
      <c r="E45" s="1343">
        <v>97</v>
      </c>
      <c r="F45" s="1344">
        <v>6242629</v>
      </c>
      <c r="G45" s="1345">
        <v>-27</v>
      </c>
      <c r="H45" s="1346">
        <v>-1737639</v>
      </c>
      <c r="I45" s="1346">
        <v>70</v>
      </c>
      <c r="J45" s="1347">
        <v>4504990</v>
      </c>
      <c r="K45" s="1354">
        <v>69.179999999999993</v>
      </c>
      <c r="L45" s="1349">
        <v>4452217</v>
      </c>
      <c r="N45" s="1351"/>
    </row>
    <row r="46" spans="1:14" ht="27" x14ac:dyDescent="0.3">
      <c r="A46" s="1339">
        <v>33</v>
      </c>
      <c r="B46" s="1358" t="s">
        <v>119</v>
      </c>
      <c r="C46" s="1341" t="s">
        <v>6</v>
      </c>
      <c r="D46" s="1342">
        <v>29010</v>
      </c>
      <c r="E46" s="1343">
        <v>36</v>
      </c>
      <c r="F46" s="1344">
        <v>1044360</v>
      </c>
      <c r="G46" s="1345">
        <v>-5</v>
      </c>
      <c r="H46" s="1346">
        <v>-145050</v>
      </c>
      <c r="I46" s="1346">
        <v>31</v>
      </c>
      <c r="J46" s="1347">
        <v>899310</v>
      </c>
      <c r="K46" s="1354">
        <v>31</v>
      </c>
      <c r="L46" s="1349">
        <v>899310</v>
      </c>
      <c r="N46" s="1351"/>
    </row>
    <row r="47" spans="1:14" x14ac:dyDescent="0.3">
      <c r="A47" s="1339">
        <v>34</v>
      </c>
      <c r="B47" s="1358" t="s">
        <v>856</v>
      </c>
      <c r="C47" s="1341" t="s">
        <v>14</v>
      </c>
      <c r="D47" s="1342">
        <v>9412</v>
      </c>
      <c r="E47" s="1343">
        <v>1600</v>
      </c>
      <c r="F47" s="1344">
        <v>15059200</v>
      </c>
      <c r="G47" s="1345">
        <v>0</v>
      </c>
      <c r="H47" s="1346">
        <v>0</v>
      </c>
      <c r="I47" s="1346">
        <v>1600</v>
      </c>
      <c r="J47" s="1347">
        <v>15059200</v>
      </c>
      <c r="K47" s="1354">
        <v>1598</v>
      </c>
      <c r="L47" s="1349">
        <v>15040376</v>
      </c>
      <c r="N47" s="1351"/>
    </row>
    <row r="48" spans="1:14" x14ac:dyDescent="0.3">
      <c r="A48" s="1339">
        <v>35</v>
      </c>
      <c r="B48" s="1358" t="s">
        <v>857</v>
      </c>
      <c r="C48" s="1341" t="s">
        <v>6</v>
      </c>
      <c r="D48" s="1342">
        <v>64733</v>
      </c>
      <c r="E48" s="1343">
        <v>37</v>
      </c>
      <c r="F48" s="1344">
        <v>2395121</v>
      </c>
      <c r="G48" s="1345">
        <v>43</v>
      </c>
      <c r="H48" s="1346">
        <v>2783519</v>
      </c>
      <c r="I48" s="1346">
        <v>80</v>
      </c>
      <c r="J48" s="1347">
        <v>5178640</v>
      </c>
      <c r="K48" s="1354">
        <v>80</v>
      </c>
      <c r="L48" s="1349">
        <v>5178640</v>
      </c>
      <c r="N48" s="1351"/>
    </row>
    <row r="49" spans="1:14" x14ac:dyDescent="0.3">
      <c r="A49" s="1339">
        <v>36</v>
      </c>
      <c r="B49" s="1358" t="s">
        <v>858</v>
      </c>
      <c r="C49" s="1341" t="s">
        <v>6</v>
      </c>
      <c r="D49" s="1342">
        <v>18502</v>
      </c>
      <c r="E49" s="1343">
        <v>37</v>
      </c>
      <c r="F49" s="1344">
        <v>684574</v>
      </c>
      <c r="G49" s="1345">
        <v>3</v>
      </c>
      <c r="H49" s="1346">
        <v>55506</v>
      </c>
      <c r="I49" s="1346">
        <v>40</v>
      </c>
      <c r="J49" s="1347">
        <v>740080</v>
      </c>
      <c r="K49" s="1354">
        <v>40</v>
      </c>
      <c r="L49" s="1349">
        <v>740080</v>
      </c>
      <c r="N49" s="1351"/>
    </row>
    <row r="50" spans="1:14" ht="40.5" x14ac:dyDescent="0.3">
      <c r="A50" s="1339">
        <v>37</v>
      </c>
      <c r="B50" s="1358" t="s">
        <v>1225</v>
      </c>
      <c r="C50" s="1341" t="s">
        <v>6</v>
      </c>
      <c r="D50" s="1342">
        <v>110023</v>
      </c>
      <c r="E50" s="1343">
        <v>36</v>
      </c>
      <c r="F50" s="1344">
        <v>3960828</v>
      </c>
      <c r="G50" s="1345">
        <v>-8</v>
      </c>
      <c r="H50" s="1346">
        <v>-880184</v>
      </c>
      <c r="I50" s="1346">
        <v>28</v>
      </c>
      <c r="J50" s="1347">
        <v>3080644</v>
      </c>
      <c r="K50" s="1354">
        <v>28</v>
      </c>
      <c r="L50" s="1349">
        <v>3080644</v>
      </c>
      <c r="N50" s="1351"/>
    </row>
    <row r="51" spans="1:14" ht="40.5" x14ac:dyDescent="0.3">
      <c r="A51" s="1339">
        <v>38</v>
      </c>
      <c r="B51" s="1358" t="s">
        <v>1226</v>
      </c>
      <c r="C51" s="1341" t="s">
        <v>6</v>
      </c>
      <c r="D51" s="1342">
        <v>113421</v>
      </c>
      <c r="E51" s="1343">
        <v>36</v>
      </c>
      <c r="F51" s="1344">
        <v>4083156</v>
      </c>
      <c r="G51" s="1345">
        <v>-4</v>
      </c>
      <c r="H51" s="1346">
        <v>-453684</v>
      </c>
      <c r="I51" s="1346">
        <v>32</v>
      </c>
      <c r="J51" s="1347">
        <v>3629472</v>
      </c>
      <c r="K51" s="1354">
        <v>32</v>
      </c>
      <c r="L51" s="1349">
        <v>3629472</v>
      </c>
      <c r="N51" s="1351"/>
    </row>
    <row r="52" spans="1:14" x14ac:dyDescent="0.3">
      <c r="A52" s="1339">
        <v>39</v>
      </c>
      <c r="B52" s="1358" t="s">
        <v>135</v>
      </c>
      <c r="C52" s="1341" t="s">
        <v>14</v>
      </c>
      <c r="D52" s="1342">
        <v>15132</v>
      </c>
      <c r="E52" s="1343">
        <v>250</v>
      </c>
      <c r="F52" s="1344">
        <v>3783000</v>
      </c>
      <c r="G52" s="1345">
        <v>95</v>
      </c>
      <c r="H52" s="1346">
        <v>1437540</v>
      </c>
      <c r="I52" s="1346">
        <v>345</v>
      </c>
      <c r="J52" s="1347">
        <v>5220540</v>
      </c>
      <c r="K52" s="1354">
        <v>345</v>
      </c>
      <c r="L52" s="1349">
        <v>5220540</v>
      </c>
      <c r="N52" s="1351"/>
    </row>
    <row r="53" spans="1:14" ht="27" x14ac:dyDescent="0.3">
      <c r="A53" s="1339">
        <v>40</v>
      </c>
      <c r="B53" s="1358" t="s">
        <v>133</v>
      </c>
      <c r="C53" s="1341" t="s">
        <v>6</v>
      </c>
      <c r="D53" s="1342">
        <v>104071</v>
      </c>
      <c r="E53" s="1343">
        <v>20</v>
      </c>
      <c r="F53" s="1344">
        <v>2081420</v>
      </c>
      <c r="G53" s="1345">
        <v>0</v>
      </c>
      <c r="H53" s="1346">
        <v>0</v>
      </c>
      <c r="I53" s="1346">
        <v>20</v>
      </c>
      <c r="J53" s="1347">
        <v>2081420</v>
      </c>
      <c r="K53" s="1355">
        <v>20</v>
      </c>
      <c r="L53" s="1349">
        <v>2081420</v>
      </c>
      <c r="N53" s="1351"/>
    </row>
    <row r="54" spans="1:14" ht="27" x14ac:dyDescent="0.3">
      <c r="A54" s="1339">
        <v>41</v>
      </c>
      <c r="B54" s="1358" t="s">
        <v>1227</v>
      </c>
      <c r="C54" s="1341" t="s">
        <v>14</v>
      </c>
      <c r="D54" s="1342">
        <v>14841</v>
      </c>
      <c r="E54" s="1343">
        <v>20</v>
      </c>
      <c r="F54" s="1344">
        <v>296820</v>
      </c>
      <c r="G54" s="1345">
        <v>-5</v>
      </c>
      <c r="H54" s="1346">
        <v>-74205</v>
      </c>
      <c r="I54" s="1346">
        <v>15</v>
      </c>
      <c r="J54" s="1347">
        <v>222615</v>
      </c>
      <c r="K54" s="1352">
        <v>7.26</v>
      </c>
      <c r="L54" s="1349">
        <v>107746</v>
      </c>
      <c r="N54" s="1351"/>
    </row>
    <row r="55" spans="1:14" x14ac:dyDescent="0.3">
      <c r="A55" s="1339">
        <v>42</v>
      </c>
      <c r="B55" s="1358" t="s">
        <v>279</v>
      </c>
      <c r="C55" s="1341" t="s">
        <v>6</v>
      </c>
      <c r="D55" s="1342">
        <v>88543</v>
      </c>
      <c r="E55" s="1343">
        <v>4</v>
      </c>
      <c r="F55" s="1344">
        <v>354172</v>
      </c>
      <c r="G55" s="1345">
        <v>4</v>
      </c>
      <c r="H55" s="1346">
        <v>354172</v>
      </c>
      <c r="I55" s="1346">
        <v>8</v>
      </c>
      <c r="J55" s="1347">
        <v>708344</v>
      </c>
      <c r="K55" s="1352">
        <v>4</v>
      </c>
      <c r="L55" s="1349">
        <v>354172</v>
      </c>
      <c r="N55" s="1351"/>
    </row>
    <row r="56" spans="1:14" x14ac:dyDescent="0.3">
      <c r="A56" s="1339">
        <v>43</v>
      </c>
      <c r="B56" s="1358" t="s">
        <v>141</v>
      </c>
      <c r="C56" s="1341" t="s">
        <v>6</v>
      </c>
      <c r="D56" s="1342">
        <v>2786713</v>
      </c>
      <c r="E56" s="1343">
        <v>1</v>
      </c>
      <c r="F56" s="1344">
        <v>2786713</v>
      </c>
      <c r="G56" s="1345">
        <v>0</v>
      </c>
      <c r="H56" s="1346">
        <v>0</v>
      </c>
      <c r="I56" s="1346">
        <v>1</v>
      </c>
      <c r="J56" s="1347">
        <v>2786713</v>
      </c>
      <c r="K56" s="1352">
        <v>1</v>
      </c>
      <c r="L56" s="1349">
        <v>2786713</v>
      </c>
      <c r="N56" s="1351"/>
    </row>
    <row r="57" spans="1:14" x14ac:dyDescent="0.3">
      <c r="A57" s="1339">
        <v>44</v>
      </c>
      <c r="B57" s="1358" t="s">
        <v>1228</v>
      </c>
      <c r="C57" s="1341" t="s">
        <v>6</v>
      </c>
      <c r="D57" s="1342">
        <v>1576250</v>
      </c>
      <c r="E57" s="1343">
        <v>1</v>
      </c>
      <c r="F57" s="1344">
        <v>1576250</v>
      </c>
      <c r="G57" s="1345">
        <v>0</v>
      </c>
      <c r="H57" s="1346">
        <v>0</v>
      </c>
      <c r="I57" s="1346">
        <v>1</v>
      </c>
      <c r="J57" s="1347">
        <v>1576250</v>
      </c>
      <c r="K57" s="1352">
        <v>0</v>
      </c>
      <c r="L57" s="1349">
        <v>0</v>
      </c>
      <c r="N57" s="1351"/>
    </row>
    <row r="58" spans="1:14" x14ac:dyDescent="0.3">
      <c r="A58" s="1339">
        <v>45</v>
      </c>
      <c r="B58" s="1340" t="s">
        <v>889</v>
      </c>
      <c r="C58" s="1341" t="s">
        <v>14</v>
      </c>
      <c r="D58" s="1342">
        <v>48252</v>
      </c>
      <c r="E58" s="1343">
        <v>15</v>
      </c>
      <c r="F58" s="1344">
        <v>723780</v>
      </c>
      <c r="G58" s="1345">
        <v>-15</v>
      </c>
      <c r="H58" s="1346">
        <v>-723780</v>
      </c>
      <c r="I58" s="1346">
        <v>0</v>
      </c>
      <c r="J58" s="1347">
        <v>0</v>
      </c>
      <c r="K58" s="1352">
        <v>0</v>
      </c>
      <c r="L58" s="1349">
        <v>0</v>
      </c>
      <c r="N58" s="1351"/>
    </row>
    <row r="59" spans="1:14" ht="27" x14ac:dyDescent="0.3">
      <c r="A59" s="1339">
        <v>46</v>
      </c>
      <c r="B59" s="1340" t="s">
        <v>759</v>
      </c>
      <c r="C59" s="1341" t="s">
        <v>6</v>
      </c>
      <c r="D59" s="1342">
        <v>1599967</v>
      </c>
      <c r="E59" s="1343">
        <v>4</v>
      </c>
      <c r="F59" s="1344">
        <v>6399868</v>
      </c>
      <c r="G59" s="1345">
        <v>3</v>
      </c>
      <c r="H59" s="1346">
        <v>4799901</v>
      </c>
      <c r="I59" s="1346">
        <v>7</v>
      </c>
      <c r="J59" s="1347">
        <v>11199769</v>
      </c>
      <c r="K59" s="1352">
        <v>0</v>
      </c>
      <c r="L59" s="1349">
        <v>0</v>
      </c>
      <c r="N59" s="1351"/>
    </row>
    <row r="60" spans="1:14" x14ac:dyDescent="0.3">
      <c r="A60" s="1339">
        <v>47</v>
      </c>
      <c r="B60" s="1340" t="s">
        <v>1229</v>
      </c>
      <c r="C60" s="1341" t="s">
        <v>6</v>
      </c>
      <c r="D60" s="1342">
        <v>42139</v>
      </c>
      <c r="E60" s="1343">
        <v>2</v>
      </c>
      <c r="F60" s="1344">
        <v>84278</v>
      </c>
      <c r="G60" s="1345">
        <v>-2</v>
      </c>
      <c r="H60" s="1346">
        <v>-84278</v>
      </c>
      <c r="I60" s="1346">
        <v>0</v>
      </c>
      <c r="J60" s="1347">
        <v>0</v>
      </c>
      <c r="K60" s="1352">
        <v>0</v>
      </c>
      <c r="L60" s="1349">
        <v>0</v>
      </c>
      <c r="N60" s="1351"/>
    </row>
    <row r="61" spans="1:14" x14ac:dyDescent="0.3">
      <c r="A61" s="1339">
        <v>48</v>
      </c>
      <c r="B61" s="1340" t="s">
        <v>892</v>
      </c>
      <c r="C61" s="1341" t="s">
        <v>848</v>
      </c>
      <c r="D61" s="1342">
        <v>40321</v>
      </c>
      <c r="E61" s="1343">
        <v>4</v>
      </c>
      <c r="F61" s="1344">
        <v>161284</v>
      </c>
      <c r="G61" s="1345">
        <v>-4</v>
      </c>
      <c r="H61" s="1346">
        <v>-161284</v>
      </c>
      <c r="I61" s="1346">
        <v>0</v>
      </c>
      <c r="J61" s="1347">
        <v>0</v>
      </c>
      <c r="K61" s="1352">
        <v>0</v>
      </c>
      <c r="L61" s="1349">
        <v>0</v>
      </c>
      <c r="N61" s="1351"/>
    </row>
    <row r="62" spans="1:14" x14ac:dyDescent="0.3">
      <c r="A62" s="1359">
        <v>49</v>
      </c>
      <c r="B62" s="1340" t="s">
        <v>166</v>
      </c>
      <c r="C62" s="1341" t="s">
        <v>150</v>
      </c>
      <c r="D62" s="1342">
        <v>70878</v>
      </c>
      <c r="E62" s="1343">
        <v>10</v>
      </c>
      <c r="F62" s="1344">
        <v>708780</v>
      </c>
      <c r="G62" s="1345">
        <v>14</v>
      </c>
      <c r="H62" s="1346">
        <v>992292</v>
      </c>
      <c r="I62" s="1346">
        <v>24</v>
      </c>
      <c r="J62" s="1347">
        <v>1701072</v>
      </c>
      <c r="K62" s="1352">
        <v>0</v>
      </c>
      <c r="L62" s="1349">
        <v>0</v>
      </c>
      <c r="N62" s="1351"/>
    </row>
    <row r="63" spans="1:14" x14ac:dyDescent="0.3">
      <c r="A63" s="1360">
        <v>50</v>
      </c>
      <c r="B63" s="1361" t="s">
        <v>195</v>
      </c>
      <c r="C63" s="1362" t="s">
        <v>19</v>
      </c>
      <c r="D63" s="1363">
        <v>4850</v>
      </c>
      <c r="E63" s="1364">
        <v>1650</v>
      </c>
      <c r="F63" s="1344">
        <v>8002500</v>
      </c>
      <c r="G63" s="1365">
        <v>0</v>
      </c>
      <c r="H63" s="1346">
        <v>0</v>
      </c>
      <c r="I63" s="1346">
        <v>1650</v>
      </c>
      <c r="J63" s="1347">
        <v>8002500</v>
      </c>
      <c r="K63" s="1352">
        <v>262.22449999999998</v>
      </c>
      <c r="L63" s="1349">
        <v>1271789</v>
      </c>
      <c r="M63" s="1350"/>
      <c r="N63" s="1351"/>
    </row>
    <row r="64" spans="1:14" x14ac:dyDescent="0.3">
      <c r="A64" s="1360" t="s">
        <v>1381</v>
      </c>
      <c r="B64" s="1366" t="s">
        <v>888</v>
      </c>
      <c r="C64" s="1367" t="s">
        <v>19</v>
      </c>
      <c r="D64" s="1368">
        <v>15318</v>
      </c>
      <c r="E64" s="1369"/>
      <c r="F64" s="1344"/>
      <c r="G64" s="1370">
        <v>3</v>
      </c>
      <c r="H64" s="1371">
        <v>45954</v>
      </c>
      <c r="I64" s="1371">
        <v>3</v>
      </c>
      <c r="J64" s="1372">
        <v>45954</v>
      </c>
      <c r="K64" s="1352">
        <v>2.5009999999999999</v>
      </c>
      <c r="L64" s="1349">
        <v>38310</v>
      </c>
      <c r="M64" s="1350"/>
      <c r="N64" s="1351"/>
    </row>
    <row r="65" spans="1:14" x14ac:dyDescent="0.3">
      <c r="A65" s="1373" t="s">
        <v>1382</v>
      </c>
      <c r="B65" s="1340" t="s">
        <v>886</v>
      </c>
      <c r="C65" s="1341" t="s">
        <v>6</v>
      </c>
      <c r="D65" s="1342">
        <v>26103</v>
      </c>
      <c r="E65" s="1374"/>
      <c r="F65" s="1344"/>
      <c r="G65" s="1345">
        <v>3</v>
      </c>
      <c r="H65" s="1371">
        <v>78309</v>
      </c>
      <c r="I65" s="1371">
        <v>3</v>
      </c>
      <c r="J65" s="1372">
        <v>78309</v>
      </c>
      <c r="K65" s="1375">
        <v>1</v>
      </c>
      <c r="L65" s="1349">
        <v>26103</v>
      </c>
      <c r="N65" s="1351"/>
    </row>
    <row r="66" spans="1:14" x14ac:dyDescent="0.3">
      <c r="A66" s="1339" t="s">
        <v>1383</v>
      </c>
      <c r="B66" s="1376" t="s">
        <v>1230</v>
      </c>
      <c r="C66" s="1341" t="s">
        <v>6</v>
      </c>
      <c r="D66" s="1342">
        <v>44378</v>
      </c>
      <c r="E66" s="1374"/>
      <c r="F66" s="1344"/>
      <c r="G66" s="1345">
        <v>8</v>
      </c>
      <c r="H66" s="1371">
        <v>355024</v>
      </c>
      <c r="I66" s="1371">
        <v>8</v>
      </c>
      <c r="J66" s="1372">
        <v>355024</v>
      </c>
      <c r="K66" s="1375">
        <v>8</v>
      </c>
      <c r="L66" s="1349">
        <v>355024</v>
      </c>
      <c r="N66" s="1351"/>
    </row>
    <row r="67" spans="1:14" x14ac:dyDescent="0.3">
      <c r="A67" s="1343" t="s">
        <v>1384</v>
      </c>
      <c r="B67" s="1376" t="s">
        <v>1237</v>
      </c>
      <c r="C67" s="1341" t="s">
        <v>14</v>
      </c>
      <c r="D67" s="1342">
        <v>13282</v>
      </c>
      <c r="E67" s="1335"/>
      <c r="F67" s="1344"/>
      <c r="G67" s="1345">
        <v>5</v>
      </c>
      <c r="H67" s="1371">
        <v>66410</v>
      </c>
      <c r="I67" s="1371">
        <v>5</v>
      </c>
      <c r="J67" s="1372">
        <v>66410</v>
      </c>
      <c r="K67" s="1352"/>
      <c r="L67" s="1349">
        <v>0</v>
      </c>
      <c r="N67" s="1351"/>
    </row>
    <row r="68" spans="1:14" ht="27" x14ac:dyDescent="0.3">
      <c r="A68" s="1341" t="s">
        <v>1385</v>
      </c>
      <c r="B68" s="1376" t="s">
        <v>1244</v>
      </c>
      <c r="C68" s="1343" t="s">
        <v>19</v>
      </c>
      <c r="D68" s="1342">
        <v>27501</v>
      </c>
      <c r="E68" s="1374"/>
      <c r="F68" s="1344"/>
      <c r="G68" s="1345">
        <v>30</v>
      </c>
      <c r="H68" s="1371">
        <v>825030</v>
      </c>
      <c r="I68" s="1371">
        <v>30</v>
      </c>
      <c r="J68" s="1372">
        <v>825030</v>
      </c>
      <c r="K68" s="1352"/>
      <c r="L68" s="1349">
        <v>0</v>
      </c>
      <c r="N68" s="1351"/>
    </row>
    <row r="69" spans="1:14" x14ac:dyDescent="0.3">
      <c r="A69" s="1377" t="s">
        <v>1386</v>
      </c>
      <c r="B69" s="1376" t="s">
        <v>1387</v>
      </c>
      <c r="C69" s="1343" t="s">
        <v>6</v>
      </c>
      <c r="D69" s="1342">
        <v>165038</v>
      </c>
      <c r="E69" s="1374"/>
      <c r="F69" s="1344"/>
      <c r="G69" s="1345">
        <v>1</v>
      </c>
      <c r="H69" s="1371">
        <v>165038</v>
      </c>
      <c r="I69" s="1371">
        <v>1</v>
      </c>
      <c r="J69" s="1372">
        <v>165038</v>
      </c>
      <c r="K69" s="1352"/>
      <c r="L69" s="1349">
        <v>0</v>
      </c>
      <c r="M69" s="1378"/>
      <c r="N69" s="1351"/>
    </row>
    <row r="70" spans="1:14" x14ac:dyDescent="0.3">
      <c r="A70" s="1377" t="s">
        <v>1388</v>
      </c>
      <c r="B70" s="1376" t="s">
        <v>1389</v>
      </c>
      <c r="C70" s="1343" t="s">
        <v>14</v>
      </c>
      <c r="D70" s="1342">
        <v>13616</v>
      </c>
      <c r="E70" s="1374"/>
      <c r="F70" s="1344"/>
      <c r="G70" s="1345">
        <v>15</v>
      </c>
      <c r="H70" s="1371">
        <v>204240</v>
      </c>
      <c r="I70" s="1371">
        <v>15</v>
      </c>
      <c r="J70" s="1372">
        <v>204240</v>
      </c>
      <c r="K70" s="1352"/>
      <c r="L70" s="1349">
        <v>0</v>
      </c>
      <c r="M70" s="1378"/>
      <c r="N70" s="1351"/>
    </row>
    <row r="71" spans="1:14" x14ac:dyDescent="0.3">
      <c r="A71" s="1377" t="s">
        <v>1390</v>
      </c>
      <c r="B71" s="1376" t="s">
        <v>1391</v>
      </c>
      <c r="C71" s="1343" t="s">
        <v>14</v>
      </c>
      <c r="D71" s="1342">
        <v>32455</v>
      </c>
      <c r="E71" s="1374"/>
      <c r="F71" s="1344"/>
      <c r="G71" s="1345">
        <v>15</v>
      </c>
      <c r="H71" s="1371">
        <v>486825</v>
      </c>
      <c r="I71" s="1371">
        <v>15</v>
      </c>
      <c r="J71" s="1372">
        <v>486825</v>
      </c>
      <c r="K71" s="1352"/>
      <c r="L71" s="1349">
        <v>0</v>
      </c>
      <c r="N71" s="1351"/>
    </row>
    <row r="72" spans="1:14" x14ac:dyDescent="0.3">
      <c r="A72" s="1377" t="s">
        <v>1392</v>
      </c>
      <c r="B72" s="1376" t="s">
        <v>1393</v>
      </c>
      <c r="C72" s="1343" t="s">
        <v>14</v>
      </c>
      <c r="D72" s="1342">
        <v>10853</v>
      </c>
      <c r="E72" s="1374"/>
      <c r="F72" s="1379"/>
      <c r="G72" s="1345">
        <v>50</v>
      </c>
      <c r="H72" s="1371">
        <v>542650</v>
      </c>
      <c r="I72" s="1371">
        <v>50</v>
      </c>
      <c r="J72" s="1372">
        <v>542650</v>
      </c>
      <c r="K72" s="1352"/>
      <c r="L72" s="1349">
        <v>0</v>
      </c>
      <c r="N72" s="1351"/>
    </row>
    <row r="73" spans="1:14" x14ac:dyDescent="0.3">
      <c r="A73" s="1377" t="s">
        <v>1394</v>
      </c>
      <c r="B73" s="1376" t="s">
        <v>1395</v>
      </c>
      <c r="C73" s="1343" t="s">
        <v>6</v>
      </c>
      <c r="D73" s="1342">
        <v>8667</v>
      </c>
      <c r="E73" s="1374"/>
      <c r="F73" s="1379"/>
      <c r="G73" s="1345">
        <v>20</v>
      </c>
      <c r="H73" s="1371">
        <v>173340</v>
      </c>
      <c r="I73" s="1371">
        <v>20</v>
      </c>
      <c r="J73" s="1372">
        <v>173340</v>
      </c>
      <c r="K73" s="1352"/>
      <c r="L73" s="1349">
        <v>0</v>
      </c>
      <c r="N73" s="1351"/>
    </row>
    <row r="74" spans="1:14" x14ac:dyDescent="0.3">
      <c r="A74" s="1377" t="s">
        <v>1396</v>
      </c>
      <c r="B74" s="1380" t="s">
        <v>639</v>
      </c>
      <c r="C74" s="1343" t="s">
        <v>14</v>
      </c>
      <c r="D74" s="1342">
        <v>10218</v>
      </c>
      <c r="E74" s="1374"/>
      <c r="F74" s="1381"/>
      <c r="G74" s="1345">
        <v>80</v>
      </c>
      <c r="H74" s="1371">
        <v>817440</v>
      </c>
      <c r="I74" s="1371">
        <v>80</v>
      </c>
      <c r="J74" s="1372">
        <v>817440</v>
      </c>
      <c r="K74" s="1352"/>
      <c r="L74" s="1349">
        <v>0</v>
      </c>
      <c r="N74" s="1351"/>
    </row>
    <row r="75" spans="1:14" x14ac:dyDescent="0.3">
      <c r="A75" s="1377" t="s">
        <v>1397</v>
      </c>
      <c r="B75" s="1376" t="s">
        <v>1398</v>
      </c>
      <c r="C75" s="1382" t="s">
        <v>6</v>
      </c>
      <c r="D75" s="1521">
        <v>59085</v>
      </c>
      <c r="E75" s="1374"/>
      <c r="F75" s="1383"/>
      <c r="G75" s="1345">
        <v>75</v>
      </c>
      <c r="H75" s="1371">
        <v>4431375</v>
      </c>
      <c r="I75" s="1371">
        <v>75</v>
      </c>
      <c r="J75" s="1372">
        <v>4431375</v>
      </c>
      <c r="K75" s="1352"/>
      <c r="L75" s="1349">
        <v>0</v>
      </c>
      <c r="N75" s="1351"/>
    </row>
    <row r="76" spans="1:14" ht="27" x14ac:dyDescent="0.3">
      <c r="A76" s="1377" t="s">
        <v>1399</v>
      </c>
      <c r="B76" s="1376" t="s">
        <v>1400</v>
      </c>
      <c r="C76" s="1384" t="s">
        <v>6</v>
      </c>
      <c r="D76" s="1521">
        <v>58950</v>
      </c>
      <c r="E76" s="1374"/>
      <c r="F76" s="1385"/>
      <c r="G76" s="1345">
        <v>75</v>
      </c>
      <c r="H76" s="1371">
        <v>4421250</v>
      </c>
      <c r="I76" s="1371">
        <v>75</v>
      </c>
      <c r="J76" s="1372">
        <v>4421250</v>
      </c>
      <c r="K76" s="1352"/>
      <c r="L76" s="1349">
        <v>0</v>
      </c>
      <c r="N76" s="1351"/>
    </row>
    <row r="77" spans="1:14" ht="27" x14ac:dyDescent="0.3">
      <c r="A77" s="1377" t="s">
        <v>1401</v>
      </c>
      <c r="B77" s="1380" t="s">
        <v>1402</v>
      </c>
      <c r="C77" s="1384" t="s">
        <v>14</v>
      </c>
      <c r="D77" s="1342">
        <v>90360</v>
      </c>
      <c r="E77" s="1374"/>
      <c r="F77" s="1385"/>
      <c r="G77" s="1345">
        <v>710</v>
      </c>
      <c r="H77" s="1371">
        <v>64155600</v>
      </c>
      <c r="I77" s="1371">
        <v>710</v>
      </c>
      <c r="J77" s="1372">
        <v>64155600</v>
      </c>
      <c r="K77" s="1352"/>
      <c r="L77" s="1349">
        <v>0</v>
      </c>
    </row>
    <row r="78" spans="1:14" ht="27" x14ac:dyDescent="0.3">
      <c r="A78" s="1377" t="s">
        <v>1403</v>
      </c>
      <c r="B78" s="1376" t="s">
        <v>1404</v>
      </c>
      <c r="C78" s="1384" t="s">
        <v>19</v>
      </c>
      <c r="D78" s="1521">
        <v>71300</v>
      </c>
      <c r="E78" s="1374"/>
      <c r="F78" s="1385"/>
      <c r="G78" s="1345">
        <v>900.6</v>
      </c>
      <c r="H78" s="1371">
        <v>64212780</v>
      </c>
      <c r="I78" s="1371">
        <v>900.6</v>
      </c>
      <c r="J78" s="1372">
        <v>64212780</v>
      </c>
      <c r="K78" s="1352"/>
      <c r="L78" s="1349">
        <v>0</v>
      </c>
      <c r="M78" s="1357"/>
    </row>
    <row r="79" spans="1:14" ht="27" x14ac:dyDescent="0.3">
      <c r="A79" s="1377" t="s">
        <v>1405</v>
      </c>
      <c r="B79" s="1376" t="s">
        <v>1406</v>
      </c>
      <c r="C79" s="1384" t="s">
        <v>14</v>
      </c>
      <c r="D79" s="1521">
        <v>81750</v>
      </c>
      <c r="E79" s="1374"/>
      <c r="F79" s="1385"/>
      <c r="G79" s="1345">
        <v>65</v>
      </c>
      <c r="H79" s="1371">
        <v>5313750</v>
      </c>
      <c r="I79" s="1371">
        <v>65</v>
      </c>
      <c r="J79" s="1372">
        <v>5313750</v>
      </c>
      <c r="K79" s="1352"/>
      <c r="L79" s="1349">
        <v>0</v>
      </c>
    </row>
    <row r="80" spans="1:14" ht="27" x14ac:dyDescent="0.3">
      <c r="A80" s="1377" t="s">
        <v>1407</v>
      </c>
      <c r="B80" s="1376" t="s">
        <v>57</v>
      </c>
      <c r="C80" s="1384" t="s">
        <v>14</v>
      </c>
      <c r="D80" s="1521">
        <v>83405</v>
      </c>
      <c r="E80" s="1374"/>
      <c r="F80" s="1385"/>
      <c r="G80" s="1345">
        <v>127.03999999999999</v>
      </c>
      <c r="H80" s="1371">
        <v>10595771</v>
      </c>
      <c r="I80" s="1371">
        <v>127.03999999999999</v>
      </c>
      <c r="J80" s="1372">
        <v>10595771</v>
      </c>
      <c r="K80" s="1352"/>
      <c r="L80" s="1349">
        <v>0</v>
      </c>
      <c r="M80" s="1357"/>
    </row>
    <row r="81" spans="1:15" ht="19.5" customHeight="1" x14ac:dyDescent="0.3">
      <c r="A81" s="1377" t="s">
        <v>1408</v>
      </c>
      <c r="B81" s="1376" t="s">
        <v>59</v>
      </c>
      <c r="C81" s="1384" t="s">
        <v>14</v>
      </c>
      <c r="D81" s="1342">
        <v>13500</v>
      </c>
      <c r="E81" s="1374"/>
      <c r="F81" s="1385"/>
      <c r="G81" s="1345">
        <v>161.04</v>
      </c>
      <c r="H81" s="1371">
        <v>2174040</v>
      </c>
      <c r="I81" s="1371">
        <v>161.04</v>
      </c>
      <c r="J81" s="1372">
        <v>2174040</v>
      </c>
      <c r="K81" s="1352"/>
      <c r="L81" s="1349">
        <v>0</v>
      </c>
    </row>
    <row r="82" spans="1:15" ht="27" x14ac:dyDescent="0.3">
      <c r="A82" s="1377" t="s">
        <v>1409</v>
      </c>
      <c r="B82" s="1376" t="s">
        <v>61</v>
      </c>
      <c r="C82" s="1384" t="s">
        <v>14</v>
      </c>
      <c r="D82" s="1342">
        <v>40540</v>
      </c>
      <c r="E82" s="1374"/>
      <c r="F82" s="1385"/>
      <c r="G82" s="1345">
        <v>161.04</v>
      </c>
      <c r="H82" s="1371">
        <v>6528562</v>
      </c>
      <c r="I82" s="1371">
        <v>161.04</v>
      </c>
      <c r="J82" s="1372">
        <v>6528562</v>
      </c>
      <c r="K82" s="1352"/>
      <c r="L82" s="1349">
        <v>0</v>
      </c>
      <c r="M82" s="1357"/>
    </row>
    <row r="83" spans="1:15" ht="17.25" customHeight="1" x14ac:dyDescent="0.3">
      <c r="A83" s="1377" t="s">
        <v>1410</v>
      </c>
      <c r="B83" s="1376" t="s">
        <v>63</v>
      </c>
      <c r="C83" s="1384" t="s">
        <v>6</v>
      </c>
      <c r="D83" s="1521">
        <v>23825</v>
      </c>
      <c r="E83" s="1374"/>
      <c r="F83" s="1385"/>
      <c r="G83" s="1345">
        <v>24</v>
      </c>
      <c r="H83" s="1371">
        <v>571800</v>
      </c>
      <c r="I83" s="1371">
        <v>24</v>
      </c>
      <c r="J83" s="1372">
        <v>571800</v>
      </c>
      <c r="K83" s="1352"/>
      <c r="L83" s="1349">
        <v>0</v>
      </c>
    </row>
    <row r="84" spans="1:15" ht="18" customHeight="1" x14ac:dyDescent="0.3">
      <c r="A84" s="1377" t="s">
        <v>1411</v>
      </c>
      <c r="B84" s="1376" t="s">
        <v>65</v>
      </c>
      <c r="C84" s="1384" t="s">
        <v>14</v>
      </c>
      <c r="D84" s="1342">
        <v>42270</v>
      </c>
      <c r="E84" s="1374"/>
      <c r="F84" s="1385"/>
      <c r="G84" s="1345">
        <v>171</v>
      </c>
      <c r="H84" s="1371">
        <v>7228170</v>
      </c>
      <c r="I84" s="1371">
        <v>171</v>
      </c>
      <c r="J84" s="1372">
        <v>7228170</v>
      </c>
      <c r="K84" s="1352"/>
      <c r="L84" s="1349">
        <v>0</v>
      </c>
      <c r="M84" s="1357"/>
    </row>
    <row r="85" spans="1:15" ht="27" x14ac:dyDescent="0.3">
      <c r="A85" s="1377" t="s">
        <v>1412</v>
      </c>
      <c r="B85" s="1376" t="s">
        <v>1413</v>
      </c>
      <c r="C85" s="1384" t="s">
        <v>14</v>
      </c>
      <c r="D85" s="1521">
        <v>97360</v>
      </c>
      <c r="E85" s="1374"/>
      <c r="F85" s="1381"/>
      <c r="G85" s="1345">
        <v>341.96000000000004</v>
      </c>
      <c r="H85" s="1371">
        <v>33293226</v>
      </c>
      <c r="I85" s="1371">
        <v>341.96000000000004</v>
      </c>
      <c r="J85" s="1372">
        <v>33293226</v>
      </c>
      <c r="K85" s="1352"/>
      <c r="L85" s="1349">
        <v>0</v>
      </c>
    </row>
    <row r="86" spans="1:15" ht="27" x14ac:dyDescent="0.3">
      <c r="A86" s="1377" t="s">
        <v>1414</v>
      </c>
      <c r="B86" s="1376" t="s">
        <v>1415</v>
      </c>
      <c r="C86" s="1384" t="s">
        <v>14</v>
      </c>
      <c r="D86" s="1521">
        <v>89079</v>
      </c>
      <c r="E86" s="1374"/>
      <c r="F86" s="1381"/>
      <c r="G86" s="1345">
        <v>458</v>
      </c>
      <c r="H86" s="1371">
        <v>40798182</v>
      </c>
      <c r="I86" s="1371">
        <v>458</v>
      </c>
      <c r="J86" s="1372">
        <v>40798182</v>
      </c>
      <c r="K86" s="1352"/>
      <c r="L86" s="1349">
        <v>0</v>
      </c>
    </row>
    <row r="87" spans="1:15" ht="27" x14ac:dyDescent="0.3">
      <c r="A87" s="1377" t="s">
        <v>1416</v>
      </c>
      <c r="B87" s="1376" t="s">
        <v>1417</v>
      </c>
      <c r="C87" s="1384" t="s">
        <v>14</v>
      </c>
      <c r="D87" s="1521">
        <v>105321</v>
      </c>
      <c r="E87" s="1374"/>
      <c r="F87" s="1381"/>
      <c r="G87" s="1345">
        <v>86</v>
      </c>
      <c r="H87" s="1371">
        <v>9057606</v>
      </c>
      <c r="I87" s="1371">
        <v>86</v>
      </c>
      <c r="J87" s="1372">
        <v>9057606</v>
      </c>
      <c r="K87" s="1352"/>
      <c r="L87" s="1349">
        <v>0</v>
      </c>
    </row>
    <row r="88" spans="1:15" x14ac:dyDescent="0.3">
      <c r="A88" s="1341"/>
      <c r="B88" s="1376"/>
      <c r="C88" s="1343"/>
      <c r="D88" s="1386"/>
      <c r="E88" s="1374"/>
      <c r="F88" s="1381"/>
      <c r="G88" s="1387"/>
      <c r="H88" s="1387"/>
      <c r="I88" s="1387"/>
      <c r="J88" s="1347"/>
      <c r="K88" s="1388"/>
      <c r="L88" s="1388"/>
    </row>
    <row r="89" spans="1:15" x14ac:dyDescent="0.3">
      <c r="A89" s="1341"/>
      <c r="B89" s="1389" t="s">
        <v>1231</v>
      </c>
      <c r="C89" s="1343"/>
      <c r="D89" s="1386"/>
      <c r="E89" s="1374"/>
      <c r="F89" s="1390">
        <v>239752858</v>
      </c>
      <c r="G89" s="1391"/>
      <c r="H89" s="1390">
        <v>152573689</v>
      </c>
      <c r="I89" s="1391"/>
      <c r="J89" s="1392">
        <v>392326547</v>
      </c>
      <c r="K89" s="1388"/>
      <c r="L89" s="1393">
        <v>71292211</v>
      </c>
      <c r="N89" s="1350"/>
    </row>
    <row r="90" spans="1:15" x14ac:dyDescent="0.3">
      <c r="A90" s="1341"/>
      <c r="B90" s="1389" t="s">
        <v>197</v>
      </c>
      <c r="C90" s="1394"/>
      <c r="D90" s="1395">
        <v>0.18</v>
      </c>
      <c r="E90" s="1395"/>
      <c r="F90" s="1390">
        <v>43155514</v>
      </c>
      <c r="G90" s="1391"/>
      <c r="H90" s="1390">
        <v>27463264</v>
      </c>
      <c r="I90" s="1391"/>
      <c r="J90" s="1390">
        <v>70618778</v>
      </c>
      <c r="K90" s="1388"/>
      <c r="L90" s="1390">
        <v>12832598</v>
      </c>
    </row>
    <row r="91" spans="1:15" x14ac:dyDescent="0.3">
      <c r="A91" s="1341"/>
      <c r="B91" s="1389" t="s">
        <v>198</v>
      </c>
      <c r="C91" s="1394"/>
      <c r="D91" s="1395">
        <v>0.02</v>
      </c>
      <c r="E91" s="1395"/>
      <c r="F91" s="1390">
        <v>4795057</v>
      </c>
      <c r="G91" s="1391"/>
      <c r="H91" s="1390">
        <v>3051474</v>
      </c>
      <c r="I91" s="1391"/>
      <c r="J91" s="1390">
        <v>7846531</v>
      </c>
      <c r="K91" s="1388"/>
      <c r="L91" s="1390">
        <v>1425844</v>
      </c>
    </row>
    <row r="92" spans="1:15" x14ac:dyDescent="0.3">
      <c r="A92" s="1341"/>
      <c r="B92" s="1389" t="s">
        <v>199</v>
      </c>
      <c r="C92" s="1394"/>
      <c r="D92" s="1395">
        <v>0.05</v>
      </c>
      <c r="E92" s="1395"/>
      <c r="F92" s="1390">
        <v>11987643</v>
      </c>
      <c r="G92" s="1391"/>
      <c r="H92" s="1390">
        <v>7628684</v>
      </c>
      <c r="I92" s="1391"/>
      <c r="J92" s="1390">
        <v>19616327</v>
      </c>
      <c r="K92" s="1388"/>
      <c r="L92" s="1390">
        <v>3564611</v>
      </c>
    </row>
    <row r="93" spans="1:15" x14ac:dyDescent="0.3">
      <c r="A93" s="1341"/>
      <c r="B93" s="1389" t="s">
        <v>200</v>
      </c>
      <c r="C93" s="1394"/>
      <c r="D93" s="1395">
        <v>0.19</v>
      </c>
      <c r="E93" s="1395"/>
      <c r="F93" s="1390">
        <v>2277652</v>
      </c>
      <c r="G93" s="1391"/>
      <c r="H93" s="1390">
        <v>1449450</v>
      </c>
      <c r="I93" s="1391"/>
      <c r="J93" s="1390">
        <v>3727102</v>
      </c>
      <c r="K93" s="1388"/>
      <c r="L93" s="1390">
        <v>677276</v>
      </c>
      <c r="O93" s="1396"/>
    </row>
    <row r="94" spans="1:15" x14ac:dyDescent="0.3">
      <c r="A94" s="1341"/>
      <c r="B94" s="1389" t="s">
        <v>1232</v>
      </c>
      <c r="C94" s="1343"/>
      <c r="D94" s="1386"/>
      <c r="E94" s="1397"/>
      <c r="F94" s="1390">
        <v>301968724</v>
      </c>
      <c r="G94" s="1391"/>
      <c r="H94" s="1390">
        <v>192166561</v>
      </c>
      <c r="I94" s="1391"/>
      <c r="J94" s="1390">
        <v>494135285</v>
      </c>
      <c r="K94" s="1388"/>
      <c r="L94" s="1390">
        <v>89792540</v>
      </c>
      <c r="M94" s="1398"/>
    </row>
    <row r="95" spans="1:15" x14ac:dyDescent="0.3">
      <c r="A95" s="1399"/>
      <c r="B95" s="1399"/>
      <c r="C95" s="1399"/>
      <c r="D95" s="1400"/>
      <c r="E95" s="1399"/>
      <c r="F95" s="1401"/>
      <c r="G95" s="1402"/>
      <c r="H95" s="1402"/>
      <c r="I95" s="1402"/>
      <c r="J95" s="1402"/>
    </row>
    <row r="96" spans="1:15" ht="27" customHeight="1" x14ac:dyDescent="0.3">
      <c r="A96" s="2135" t="s">
        <v>1234</v>
      </c>
      <c r="B96" s="2126"/>
      <c r="C96" s="2120" t="s">
        <v>1376</v>
      </c>
      <c r="D96" s="2121"/>
      <c r="E96" s="2121"/>
      <c r="F96" s="2122"/>
      <c r="G96" s="2123" t="s">
        <v>1377</v>
      </c>
      <c r="H96" s="2124"/>
      <c r="I96" s="2125" t="s">
        <v>1378</v>
      </c>
      <c r="J96" s="2126"/>
      <c r="K96" s="2127" t="s">
        <v>1379</v>
      </c>
      <c r="L96" s="2128"/>
    </row>
    <row r="97" spans="1:15" ht="34.5" customHeight="1" x14ac:dyDescent="0.3">
      <c r="A97" s="1403" t="s">
        <v>4</v>
      </c>
      <c r="B97" s="1332" t="s">
        <v>5</v>
      </c>
      <c r="C97" s="1333" t="s">
        <v>6</v>
      </c>
      <c r="D97" s="1334" t="s">
        <v>1207</v>
      </c>
      <c r="E97" s="1335" t="s">
        <v>830</v>
      </c>
      <c r="F97" s="1336" t="s">
        <v>1208</v>
      </c>
      <c r="G97" s="1337" t="s">
        <v>1380</v>
      </c>
      <c r="H97" s="1336" t="s">
        <v>1208</v>
      </c>
      <c r="I97" s="1335" t="s">
        <v>830</v>
      </c>
      <c r="J97" s="1404" t="s">
        <v>1208</v>
      </c>
      <c r="K97" s="1335" t="s">
        <v>830</v>
      </c>
      <c r="L97" s="1405" t="s">
        <v>1208</v>
      </c>
    </row>
    <row r="98" spans="1:15" x14ac:dyDescent="0.3">
      <c r="A98" s="1339">
        <v>1</v>
      </c>
      <c r="B98" s="1340" t="s">
        <v>888</v>
      </c>
      <c r="C98" s="1341" t="s">
        <v>19</v>
      </c>
      <c r="D98" s="1342">
        <v>15318</v>
      </c>
      <c r="E98" s="1343">
        <v>90</v>
      </c>
      <c r="F98" s="1344">
        <v>1378620</v>
      </c>
      <c r="G98" s="1406">
        <v>-4</v>
      </c>
      <c r="H98" s="1344">
        <v>-61272</v>
      </c>
      <c r="I98" s="1407">
        <v>86</v>
      </c>
      <c r="J98" s="1408">
        <v>1317348</v>
      </c>
      <c r="K98" s="1352">
        <v>85.805900000000008</v>
      </c>
      <c r="L98" s="1409">
        <v>1314375</v>
      </c>
      <c r="O98" s="1410"/>
    </row>
    <row r="99" spans="1:15" ht="27" x14ac:dyDescent="0.3">
      <c r="A99" s="1339">
        <v>2</v>
      </c>
      <c r="B99" s="1340" t="s">
        <v>103</v>
      </c>
      <c r="C99" s="1341" t="s">
        <v>19</v>
      </c>
      <c r="D99" s="1342">
        <v>103790</v>
      </c>
      <c r="E99" s="1343">
        <v>206</v>
      </c>
      <c r="F99" s="1344">
        <v>21380740</v>
      </c>
      <c r="G99" s="1406">
        <v>6</v>
      </c>
      <c r="H99" s="1344">
        <v>622740</v>
      </c>
      <c r="I99" s="1407">
        <v>212</v>
      </c>
      <c r="J99" s="1408">
        <v>22003480</v>
      </c>
      <c r="K99" s="1352">
        <v>211.35649999999998</v>
      </c>
      <c r="L99" s="1409">
        <v>21936691</v>
      </c>
      <c r="O99" s="1410"/>
    </row>
    <row r="100" spans="1:15" x14ac:dyDescent="0.3">
      <c r="A100" s="1339">
        <v>3</v>
      </c>
      <c r="B100" s="1340" t="s">
        <v>105</v>
      </c>
      <c r="C100" s="1341" t="s">
        <v>14</v>
      </c>
      <c r="D100" s="1342">
        <v>37657</v>
      </c>
      <c r="E100" s="1343">
        <v>50</v>
      </c>
      <c r="F100" s="1344">
        <v>1882850</v>
      </c>
      <c r="G100" s="1406">
        <v>-9</v>
      </c>
      <c r="H100" s="1344">
        <v>-338913</v>
      </c>
      <c r="I100" s="1407">
        <v>41</v>
      </c>
      <c r="J100" s="1408">
        <v>1543937</v>
      </c>
      <c r="K100" s="1354">
        <v>40.799999999999997</v>
      </c>
      <c r="L100" s="1409">
        <v>1536406</v>
      </c>
      <c r="O100" s="1410"/>
    </row>
    <row r="101" spans="1:15" x14ac:dyDescent="0.3">
      <c r="A101" s="1343">
        <v>4</v>
      </c>
      <c r="B101" s="1340" t="s">
        <v>866</v>
      </c>
      <c r="C101" s="1341" t="s">
        <v>14</v>
      </c>
      <c r="D101" s="1342">
        <v>42410</v>
      </c>
      <c r="E101" s="1343">
        <v>50</v>
      </c>
      <c r="F101" s="1344">
        <v>2120500</v>
      </c>
      <c r="G101" s="1406">
        <v>90</v>
      </c>
      <c r="H101" s="1344">
        <v>3816900</v>
      </c>
      <c r="I101" s="1407">
        <v>140</v>
      </c>
      <c r="J101" s="1408">
        <v>5937400</v>
      </c>
      <c r="K101" s="1354">
        <v>124.70000000000002</v>
      </c>
      <c r="L101" s="1409">
        <v>5288527</v>
      </c>
      <c r="O101" s="1410"/>
    </row>
    <row r="102" spans="1:15" x14ac:dyDescent="0.3">
      <c r="A102" s="1343">
        <v>5</v>
      </c>
      <c r="B102" s="1356" t="s">
        <v>867</v>
      </c>
      <c r="C102" s="1341" t="s">
        <v>19</v>
      </c>
      <c r="D102" s="1342">
        <v>16976</v>
      </c>
      <c r="E102" s="1343">
        <v>4</v>
      </c>
      <c r="F102" s="1344">
        <v>67904</v>
      </c>
      <c r="G102" s="1406">
        <v>2</v>
      </c>
      <c r="H102" s="1344">
        <v>33952</v>
      </c>
      <c r="I102" s="1407">
        <v>6</v>
      </c>
      <c r="J102" s="1408">
        <v>101856</v>
      </c>
      <c r="K102" s="1411">
        <v>4.08</v>
      </c>
      <c r="L102" s="1409">
        <v>69262</v>
      </c>
      <c r="O102" s="1410"/>
    </row>
    <row r="103" spans="1:15" ht="27" customHeight="1" x14ac:dyDescent="0.3">
      <c r="A103" s="1343">
        <v>6</v>
      </c>
      <c r="B103" s="1340" t="s">
        <v>1209</v>
      </c>
      <c r="C103" s="1341" t="s">
        <v>6</v>
      </c>
      <c r="D103" s="1342">
        <v>10880</v>
      </c>
      <c r="E103" s="1343">
        <v>110</v>
      </c>
      <c r="F103" s="1344">
        <v>1196800</v>
      </c>
      <c r="G103" s="1406">
        <v>-110</v>
      </c>
      <c r="H103" s="1344">
        <v>-1196800</v>
      </c>
      <c r="I103" s="1407">
        <v>0</v>
      </c>
      <c r="J103" s="1408">
        <v>0</v>
      </c>
      <c r="K103" s="1352">
        <v>0</v>
      </c>
      <c r="L103" s="1409">
        <v>0</v>
      </c>
      <c r="O103" s="1410"/>
    </row>
    <row r="104" spans="1:15" ht="27" x14ac:dyDescent="0.3">
      <c r="A104" s="1343">
        <v>7</v>
      </c>
      <c r="B104" s="1340" t="s">
        <v>849</v>
      </c>
      <c r="C104" s="1341" t="s">
        <v>19</v>
      </c>
      <c r="D104" s="1342">
        <v>67793</v>
      </c>
      <c r="E104" s="1343">
        <v>50</v>
      </c>
      <c r="F104" s="1344">
        <v>3389650</v>
      </c>
      <c r="G104" s="1406">
        <v>-40</v>
      </c>
      <c r="H104" s="1344">
        <v>-2711720</v>
      </c>
      <c r="I104" s="1407">
        <v>10</v>
      </c>
      <c r="J104" s="1408">
        <v>677930</v>
      </c>
      <c r="K104" s="1352">
        <v>0</v>
      </c>
      <c r="L104" s="1409">
        <v>0</v>
      </c>
      <c r="O104" s="1410"/>
    </row>
    <row r="105" spans="1:15" ht="31.5" customHeight="1" x14ac:dyDescent="0.3">
      <c r="A105" s="1343">
        <v>8</v>
      </c>
      <c r="B105" s="1340" t="s">
        <v>1210</v>
      </c>
      <c r="C105" s="1341" t="s">
        <v>6</v>
      </c>
      <c r="D105" s="1342">
        <v>33242</v>
      </c>
      <c r="E105" s="1343">
        <v>90</v>
      </c>
      <c r="F105" s="1344">
        <v>2991780</v>
      </c>
      <c r="G105" s="1406">
        <v>-90</v>
      </c>
      <c r="H105" s="1344">
        <v>-2991780</v>
      </c>
      <c r="I105" s="1407">
        <v>0</v>
      </c>
      <c r="J105" s="1408">
        <v>0</v>
      </c>
      <c r="K105" s="1352">
        <v>0</v>
      </c>
      <c r="L105" s="1409">
        <v>0</v>
      </c>
      <c r="O105" s="1410"/>
    </row>
    <row r="106" spans="1:15" x14ac:dyDescent="0.3">
      <c r="A106" s="1343">
        <v>9</v>
      </c>
      <c r="B106" s="1356" t="s">
        <v>1236</v>
      </c>
      <c r="C106" s="1341" t="s">
        <v>14</v>
      </c>
      <c r="D106" s="1342">
        <v>10534</v>
      </c>
      <c r="E106" s="1343">
        <v>45</v>
      </c>
      <c r="F106" s="1344">
        <v>474030</v>
      </c>
      <c r="G106" s="1406">
        <v>16</v>
      </c>
      <c r="H106" s="1344">
        <v>168544</v>
      </c>
      <c r="I106" s="1407">
        <v>61</v>
      </c>
      <c r="J106" s="1408">
        <v>642574</v>
      </c>
      <c r="K106" s="1354">
        <v>60.239999999999995</v>
      </c>
      <c r="L106" s="1409">
        <v>634568</v>
      </c>
      <c r="O106" s="1410"/>
    </row>
    <row r="107" spans="1:15" x14ac:dyDescent="0.3">
      <c r="A107" s="1343">
        <v>10</v>
      </c>
      <c r="B107" s="1356" t="s">
        <v>1237</v>
      </c>
      <c r="C107" s="1341" t="s">
        <v>14</v>
      </c>
      <c r="D107" s="1342">
        <v>13282</v>
      </c>
      <c r="E107" s="1343">
        <v>16</v>
      </c>
      <c r="F107" s="1344">
        <v>212512</v>
      </c>
      <c r="G107" s="1406">
        <v>4</v>
      </c>
      <c r="H107" s="1344">
        <v>53128</v>
      </c>
      <c r="I107" s="1407">
        <v>20</v>
      </c>
      <c r="J107" s="1408">
        <v>265640</v>
      </c>
      <c r="K107" s="1352">
        <v>0</v>
      </c>
      <c r="L107" s="1409">
        <v>0</v>
      </c>
      <c r="O107" s="1410"/>
    </row>
    <row r="108" spans="1:15" x14ac:dyDescent="0.3">
      <c r="A108" s="1343">
        <v>11</v>
      </c>
      <c r="B108" s="1356" t="s">
        <v>109</v>
      </c>
      <c r="C108" s="1341" t="s">
        <v>14</v>
      </c>
      <c r="D108" s="1342">
        <v>33950</v>
      </c>
      <c r="E108" s="1343">
        <v>99</v>
      </c>
      <c r="F108" s="1344">
        <v>3361050</v>
      </c>
      <c r="G108" s="1406">
        <v>16</v>
      </c>
      <c r="H108" s="1344">
        <v>543200</v>
      </c>
      <c r="I108" s="1407">
        <v>115</v>
      </c>
      <c r="J108" s="1408">
        <v>3904250</v>
      </c>
      <c r="K108" s="1352">
        <v>0</v>
      </c>
      <c r="L108" s="1409">
        <v>0</v>
      </c>
      <c r="O108" s="1410"/>
    </row>
    <row r="109" spans="1:15" x14ac:dyDescent="0.3">
      <c r="A109" s="1339">
        <v>12</v>
      </c>
      <c r="B109" s="1340" t="s">
        <v>211</v>
      </c>
      <c r="C109" s="1341" t="s">
        <v>19</v>
      </c>
      <c r="D109" s="1342">
        <v>7728</v>
      </c>
      <c r="E109" s="1343">
        <v>150</v>
      </c>
      <c r="F109" s="1344">
        <v>1159200</v>
      </c>
      <c r="G109" s="1406">
        <v>-150</v>
      </c>
      <c r="H109" s="1344">
        <v>-1159200</v>
      </c>
      <c r="I109" s="1407">
        <v>0</v>
      </c>
      <c r="J109" s="1408">
        <v>0</v>
      </c>
      <c r="K109" s="1352">
        <v>0</v>
      </c>
      <c r="L109" s="1409">
        <v>0</v>
      </c>
      <c r="O109" s="1410"/>
    </row>
    <row r="110" spans="1:15" x14ac:dyDescent="0.3">
      <c r="A110" s="1339">
        <v>13</v>
      </c>
      <c r="B110" s="1340" t="s">
        <v>88</v>
      </c>
      <c r="C110" s="1341" t="s">
        <v>19</v>
      </c>
      <c r="D110" s="1342">
        <v>22520</v>
      </c>
      <c r="E110" s="1343">
        <v>140</v>
      </c>
      <c r="F110" s="1344">
        <v>3152800</v>
      </c>
      <c r="G110" s="1406">
        <v>110</v>
      </c>
      <c r="H110" s="1344">
        <v>2477200</v>
      </c>
      <c r="I110" s="1407">
        <v>250</v>
      </c>
      <c r="J110" s="1408">
        <v>5630000</v>
      </c>
      <c r="K110" s="1352">
        <v>241.68974999999998</v>
      </c>
      <c r="L110" s="1409">
        <v>5442853</v>
      </c>
      <c r="O110" s="1410"/>
    </row>
    <row r="111" spans="1:15" x14ac:dyDescent="0.3">
      <c r="A111" s="1339">
        <v>14</v>
      </c>
      <c r="B111" s="1340" t="s">
        <v>639</v>
      </c>
      <c r="C111" s="1341" t="s">
        <v>19</v>
      </c>
      <c r="D111" s="1342">
        <v>17033</v>
      </c>
      <c r="E111" s="1343">
        <v>50</v>
      </c>
      <c r="F111" s="1344">
        <v>851650</v>
      </c>
      <c r="G111" s="1412">
        <v>433.3</v>
      </c>
      <c r="H111" s="1344">
        <v>7380399</v>
      </c>
      <c r="I111" s="1413">
        <v>483.3</v>
      </c>
      <c r="J111" s="1408">
        <v>8232049</v>
      </c>
      <c r="K111" s="1352">
        <v>483.37949999999995</v>
      </c>
      <c r="L111" s="1409">
        <v>8233403</v>
      </c>
      <c r="O111" s="1410"/>
    </row>
    <row r="112" spans="1:15" x14ac:dyDescent="0.3">
      <c r="A112" s="1339">
        <v>15</v>
      </c>
      <c r="B112" s="1340" t="s">
        <v>92</v>
      </c>
      <c r="C112" s="1341" t="s">
        <v>19</v>
      </c>
      <c r="D112" s="1342">
        <v>15561</v>
      </c>
      <c r="E112" s="1343">
        <v>40</v>
      </c>
      <c r="F112" s="1344">
        <v>622440</v>
      </c>
      <c r="G112" s="1406">
        <v>-10</v>
      </c>
      <c r="H112" s="1344">
        <v>-155610</v>
      </c>
      <c r="I112" s="1407">
        <v>30</v>
      </c>
      <c r="J112" s="1408">
        <v>466830</v>
      </c>
      <c r="K112" s="1352">
        <v>0</v>
      </c>
      <c r="L112" s="1409">
        <v>0</v>
      </c>
      <c r="O112" s="1410"/>
    </row>
    <row r="113" spans="1:15" x14ac:dyDescent="0.3">
      <c r="A113" s="1339">
        <v>16</v>
      </c>
      <c r="B113" s="1340" t="s">
        <v>886</v>
      </c>
      <c r="C113" s="1341" t="s">
        <v>6</v>
      </c>
      <c r="D113" s="1342">
        <v>26103</v>
      </c>
      <c r="E113" s="1343">
        <v>5</v>
      </c>
      <c r="F113" s="1344">
        <v>130515</v>
      </c>
      <c r="G113" s="1406">
        <v>1</v>
      </c>
      <c r="H113" s="1344">
        <v>26103</v>
      </c>
      <c r="I113" s="1407">
        <v>6</v>
      </c>
      <c r="J113" s="1408">
        <v>156618</v>
      </c>
      <c r="K113" s="1354">
        <v>6</v>
      </c>
      <c r="L113" s="1409">
        <v>156618</v>
      </c>
      <c r="O113" s="1410"/>
    </row>
    <row r="114" spans="1:15" x14ac:dyDescent="0.3">
      <c r="A114" s="1339">
        <v>17</v>
      </c>
      <c r="B114" s="1340" t="s">
        <v>900</v>
      </c>
      <c r="C114" s="1341" t="s">
        <v>6</v>
      </c>
      <c r="D114" s="1342">
        <v>43650</v>
      </c>
      <c r="E114" s="1343">
        <v>5</v>
      </c>
      <c r="F114" s="1344">
        <v>218250</v>
      </c>
      <c r="G114" s="1406">
        <v>-5</v>
      </c>
      <c r="H114" s="1344">
        <v>-218250</v>
      </c>
      <c r="I114" s="1407">
        <v>0</v>
      </c>
      <c r="J114" s="1408">
        <v>0</v>
      </c>
      <c r="K114" s="1352">
        <v>0</v>
      </c>
      <c r="L114" s="1409">
        <v>0</v>
      </c>
      <c r="O114" s="1410"/>
    </row>
    <row r="115" spans="1:15" ht="40.5" x14ac:dyDescent="0.3">
      <c r="A115" s="1339">
        <v>18</v>
      </c>
      <c r="B115" s="1340" t="s">
        <v>1220</v>
      </c>
      <c r="C115" s="1341" t="s">
        <v>848</v>
      </c>
      <c r="D115" s="1342">
        <v>530275</v>
      </c>
      <c r="E115" s="1343">
        <v>3</v>
      </c>
      <c r="F115" s="1344">
        <v>1590825</v>
      </c>
      <c r="G115" s="1406">
        <v>4</v>
      </c>
      <c r="H115" s="1344">
        <v>2121100</v>
      </c>
      <c r="I115" s="1407">
        <v>7</v>
      </c>
      <c r="J115" s="1408">
        <v>3711925</v>
      </c>
      <c r="K115" s="1352">
        <v>0</v>
      </c>
      <c r="L115" s="1409">
        <v>0</v>
      </c>
      <c r="O115" s="1410"/>
    </row>
    <row r="116" spans="1:15" ht="40.5" x14ac:dyDescent="0.3">
      <c r="A116" s="1339">
        <v>19</v>
      </c>
      <c r="B116" s="1358" t="s">
        <v>117</v>
      </c>
      <c r="C116" s="1341" t="s">
        <v>14</v>
      </c>
      <c r="D116" s="1342">
        <v>64357</v>
      </c>
      <c r="E116" s="1343">
        <v>120</v>
      </c>
      <c r="F116" s="1344">
        <v>7722840</v>
      </c>
      <c r="G116" s="1406">
        <v>30</v>
      </c>
      <c r="H116" s="1344">
        <v>1930710</v>
      </c>
      <c r="I116" s="1407">
        <v>150</v>
      </c>
      <c r="J116" s="1408">
        <v>9653550</v>
      </c>
      <c r="K116" s="1354">
        <v>98.11999999999999</v>
      </c>
      <c r="L116" s="1409">
        <v>6314709</v>
      </c>
      <c r="O116" s="1410"/>
    </row>
    <row r="117" spans="1:15" ht="27" x14ac:dyDescent="0.3">
      <c r="A117" s="1339">
        <v>20</v>
      </c>
      <c r="B117" s="1358" t="s">
        <v>119</v>
      </c>
      <c r="C117" s="1341" t="s">
        <v>6</v>
      </c>
      <c r="D117" s="1342">
        <v>29010</v>
      </c>
      <c r="E117" s="1343">
        <v>32</v>
      </c>
      <c r="F117" s="1344">
        <v>928320</v>
      </c>
      <c r="G117" s="1406">
        <v>-2</v>
      </c>
      <c r="H117" s="1344">
        <v>-58020</v>
      </c>
      <c r="I117" s="1407">
        <v>30</v>
      </c>
      <c r="J117" s="1408">
        <v>870300</v>
      </c>
      <c r="K117" s="1352">
        <v>0</v>
      </c>
      <c r="L117" s="1409">
        <v>0</v>
      </c>
      <c r="O117" s="1410"/>
    </row>
    <row r="118" spans="1:15" x14ac:dyDescent="0.3">
      <c r="A118" s="1339">
        <v>21</v>
      </c>
      <c r="B118" s="1358" t="s">
        <v>856</v>
      </c>
      <c r="C118" s="1341" t="s">
        <v>14</v>
      </c>
      <c r="D118" s="1342">
        <v>9412</v>
      </c>
      <c r="E118" s="1343">
        <v>1334</v>
      </c>
      <c r="F118" s="1344">
        <v>12555608</v>
      </c>
      <c r="G118" s="1412">
        <v>180</v>
      </c>
      <c r="H118" s="1344">
        <v>1694160</v>
      </c>
      <c r="I118" s="1413">
        <v>1514</v>
      </c>
      <c r="J118" s="1408">
        <v>14249768</v>
      </c>
      <c r="K118" s="1355">
        <v>1420</v>
      </c>
      <c r="L118" s="1409">
        <v>13365040</v>
      </c>
      <c r="O118" s="1410"/>
    </row>
    <row r="119" spans="1:15" x14ac:dyDescent="0.3">
      <c r="A119" s="1339">
        <v>22</v>
      </c>
      <c r="B119" s="1358" t="s">
        <v>857</v>
      </c>
      <c r="C119" s="1341" t="s">
        <v>6</v>
      </c>
      <c r="D119" s="1342">
        <v>64733</v>
      </c>
      <c r="E119" s="1343">
        <v>32</v>
      </c>
      <c r="F119" s="1344">
        <v>2071456</v>
      </c>
      <c r="G119" s="1406">
        <v>45</v>
      </c>
      <c r="H119" s="1344">
        <v>2912985</v>
      </c>
      <c r="I119" s="1413">
        <v>77</v>
      </c>
      <c r="J119" s="1408">
        <v>4984441</v>
      </c>
      <c r="K119" s="1352">
        <v>0</v>
      </c>
      <c r="L119" s="1409">
        <v>0</v>
      </c>
      <c r="O119" s="1410"/>
    </row>
    <row r="120" spans="1:15" x14ac:dyDescent="0.3">
      <c r="A120" s="1339">
        <v>23</v>
      </c>
      <c r="B120" s="1358" t="s">
        <v>858</v>
      </c>
      <c r="C120" s="1341" t="s">
        <v>6</v>
      </c>
      <c r="D120" s="1342">
        <v>18502</v>
      </c>
      <c r="E120" s="1343">
        <v>32</v>
      </c>
      <c r="F120" s="1344">
        <v>592064</v>
      </c>
      <c r="G120" s="1412">
        <v>10</v>
      </c>
      <c r="H120" s="1344">
        <v>185020</v>
      </c>
      <c r="I120" s="1413">
        <v>42</v>
      </c>
      <c r="J120" s="1408">
        <v>777084</v>
      </c>
      <c r="K120" s="1352">
        <v>0</v>
      </c>
      <c r="L120" s="1409">
        <v>0</v>
      </c>
      <c r="O120" s="1410"/>
    </row>
    <row r="121" spans="1:15" ht="40.5" x14ac:dyDescent="0.3">
      <c r="A121" s="1339">
        <v>24</v>
      </c>
      <c r="B121" s="1358" t="s">
        <v>1225</v>
      </c>
      <c r="C121" s="1341" t="s">
        <v>6</v>
      </c>
      <c r="D121" s="1342">
        <v>110023</v>
      </c>
      <c r="E121" s="1343">
        <v>32</v>
      </c>
      <c r="F121" s="1344">
        <v>3520736</v>
      </c>
      <c r="G121" s="1412">
        <v>-8</v>
      </c>
      <c r="H121" s="1344">
        <v>-880184</v>
      </c>
      <c r="I121" s="1407">
        <v>24</v>
      </c>
      <c r="J121" s="1408">
        <v>2640552</v>
      </c>
      <c r="K121" s="1352">
        <v>0</v>
      </c>
      <c r="L121" s="1409">
        <v>0</v>
      </c>
      <c r="O121" s="1410"/>
    </row>
    <row r="122" spans="1:15" ht="40.5" x14ac:dyDescent="0.3">
      <c r="A122" s="1339">
        <v>25</v>
      </c>
      <c r="B122" s="1358" t="s">
        <v>1226</v>
      </c>
      <c r="C122" s="1341" t="s">
        <v>6</v>
      </c>
      <c r="D122" s="1342">
        <v>113421</v>
      </c>
      <c r="E122" s="1343">
        <v>32</v>
      </c>
      <c r="F122" s="1344">
        <v>3629472</v>
      </c>
      <c r="G122" s="1412">
        <v>-2</v>
      </c>
      <c r="H122" s="1344">
        <v>-226842</v>
      </c>
      <c r="I122" s="1407">
        <v>30</v>
      </c>
      <c r="J122" s="1408">
        <v>3402630</v>
      </c>
      <c r="K122" s="1352">
        <v>0</v>
      </c>
      <c r="L122" s="1409">
        <v>0</v>
      </c>
      <c r="O122" s="1410"/>
    </row>
    <row r="123" spans="1:15" ht="27" customHeight="1" x14ac:dyDescent="0.3">
      <c r="A123" s="1339">
        <v>26</v>
      </c>
      <c r="B123" s="1358" t="s">
        <v>135</v>
      </c>
      <c r="C123" s="1341" t="s">
        <v>14</v>
      </c>
      <c r="D123" s="1342">
        <v>15132</v>
      </c>
      <c r="E123" s="1343">
        <v>350</v>
      </c>
      <c r="F123" s="1344">
        <v>5296200</v>
      </c>
      <c r="G123" s="1412">
        <v>550</v>
      </c>
      <c r="H123" s="1344">
        <v>8322600</v>
      </c>
      <c r="I123" s="1407">
        <v>900</v>
      </c>
      <c r="J123" s="1408">
        <v>13618800</v>
      </c>
      <c r="K123" s="1352">
        <v>0</v>
      </c>
      <c r="L123" s="1409">
        <v>0</v>
      </c>
      <c r="O123" s="1410"/>
    </row>
    <row r="124" spans="1:15" ht="27" x14ac:dyDescent="0.3">
      <c r="A124" s="1339">
        <v>27</v>
      </c>
      <c r="B124" s="1358" t="s">
        <v>133</v>
      </c>
      <c r="C124" s="1341" t="s">
        <v>6</v>
      </c>
      <c r="D124" s="1342">
        <v>104071</v>
      </c>
      <c r="E124" s="1343">
        <v>20</v>
      </c>
      <c r="F124" s="1344">
        <v>2081420</v>
      </c>
      <c r="G124" s="1412">
        <v>-20</v>
      </c>
      <c r="H124" s="1344">
        <v>-2081420</v>
      </c>
      <c r="I124" s="1407">
        <v>0</v>
      </c>
      <c r="J124" s="1408">
        <v>0</v>
      </c>
      <c r="K124" s="1352">
        <v>0</v>
      </c>
      <c r="L124" s="1409">
        <v>0</v>
      </c>
      <c r="O124" s="1410"/>
    </row>
    <row r="125" spans="1:15" ht="24.75" customHeight="1" x14ac:dyDescent="0.3">
      <c r="A125" s="1339">
        <v>28</v>
      </c>
      <c r="B125" s="1358" t="s">
        <v>1227</v>
      </c>
      <c r="C125" s="1341" t="s">
        <v>14</v>
      </c>
      <c r="D125" s="1342">
        <v>14841</v>
      </c>
      <c r="E125" s="1343">
        <v>20</v>
      </c>
      <c r="F125" s="1344">
        <v>296820</v>
      </c>
      <c r="G125" s="1412">
        <v>-20</v>
      </c>
      <c r="H125" s="1344">
        <v>-296820</v>
      </c>
      <c r="I125" s="1407">
        <v>0</v>
      </c>
      <c r="J125" s="1408">
        <v>0</v>
      </c>
      <c r="K125" s="1352">
        <v>0</v>
      </c>
      <c r="L125" s="1409">
        <v>0</v>
      </c>
      <c r="O125" s="1410"/>
    </row>
    <row r="126" spans="1:15" x14ac:dyDescent="0.3">
      <c r="A126" s="1339">
        <v>29</v>
      </c>
      <c r="B126" s="1358" t="s">
        <v>279</v>
      </c>
      <c r="C126" s="1341" t="s">
        <v>6</v>
      </c>
      <c r="D126" s="1342">
        <v>88543</v>
      </c>
      <c r="E126" s="1343">
        <v>7</v>
      </c>
      <c r="F126" s="1344">
        <v>619801</v>
      </c>
      <c r="G126" s="1412">
        <v>1</v>
      </c>
      <c r="H126" s="1344">
        <v>88543</v>
      </c>
      <c r="I126" s="1407">
        <v>8</v>
      </c>
      <c r="J126" s="1408">
        <v>708344</v>
      </c>
      <c r="K126" s="1352">
        <v>0</v>
      </c>
      <c r="L126" s="1409">
        <v>0</v>
      </c>
      <c r="O126" s="1410"/>
    </row>
    <row r="127" spans="1:15" ht="27.75" customHeight="1" x14ac:dyDescent="0.3">
      <c r="A127" s="1339">
        <v>30</v>
      </c>
      <c r="B127" s="1358" t="s">
        <v>141</v>
      </c>
      <c r="C127" s="1341" t="s">
        <v>6</v>
      </c>
      <c r="D127" s="1342">
        <v>2786713</v>
      </c>
      <c r="E127" s="1343">
        <v>1</v>
      </c>
      <c r="F127" s="1344">
        <v>2786713</v>
      </c>
      <c r="G127" s="1412">
        <v>0</v>
      </c>
      <c r="H127" s="1344">
        <v>0</v>
      </c>
      <c r="I127" s="1407">
        <v>1</v>
      </c>
      <c r="J127" s="1408">
        <v>2786713</v>
      </c>
      <c r="K127" s="1352">
        <v>0</v>
      </c>
      <c r="L127" s="1409">
        <v>0</v>
      </c>
      <c r="O127" s="1410"/>
    </row>
    <row r="128" spans="1:15" ht="22.5" customHeight="1" x14ac:dyDescent="0.3">
      <c r="A128" s="1339">
        <v>31</v>
      </c>
      <c r="B128" s="1358" t="s">
        <v>1228</v>
      </c>
      <c r="C128" s="1341" t="s">
        <v>6</v>
      </c>
      <c r="D128" s="1342">
        <v>1576250</v>
      </c>
      <c r="E128" s="1343">
        <v>1</v>
      </c>
      <c r="F128" s="1344">
        <v>1576250</v>
      </c>
      <c r="G128" s="1412">
        <v>0</v>
      </c>
      <c r="H128" s="1344">
        <v>0</v>
      </c>
      <c r="I128" s="1407">
        <v>1</v>
      </c>
      <c r="J128" s="1408">
        <v>1576250</v>
      </c>
      <c r="K128" s="1352">
        <v>0</v>
      </c>
      <c r="L128" s="1409">
        <v>0</v>
      </c>
      <c r="O128" s="1410"/>
    </row>
    <row r="129" spans="1:15" ht="26.25" customHeight="1" x14ac:dyDescent="0.3">
      <c r="A129" s="1339">
        <v>32</v>
      </c>
      <c r="B129" s="1340" t="s">
        <v>889</v>
      </c>
      <c r="C129" s="1341" t="s">
        <v>14</v>
      </c>
      <c r="D129" s="1342">
        <v>48252</v>
      </c>
      <c r="E129" s="1343">
        <v>15</v>
      </c>
      <c r="F129" s="1344">
        <v>723780</v>
      </c>
      <c r="G129" s="1412">
        <v>-15</v>
      </c>
      <c r="H129" s="1344">
        <v>-723780</v>
      </c>
      <c r="I129" s="1407">
        <v>0</v>
      </c>
      <c r="J129" s="1408">
        <v>0</v>
      </c>
      <c r="K129" s="1352">
        <v>0</v>
      </c>
      <c r="L129" s="1409">
        <v>0</v>
      </c>
      <c r="O129" s="1410"/>
    </row>
    <row r="130" spans="1:15" x14ac:dyDescent="0.3">
      <c r="A130" s="1339">
        <v>33</v>
      </c>
      <c r="B130" s="1340" t="s">
        <v>1230</v>
      </c>
      <c r="C130" s="1341" t="s">
        <v>6</v>
      </c>
      <c r="D130" s="1342">
        <v>44378</v>
      </c>
      <c r="E130" s="1343">
        <v>2</v>
      </c>
      <c r="F130" s="1344">
        <v>88756</v>
      </c>
      <c r="G130" s="1412">
        <v>10</v>
      </c>
      <c r="H130" s="1344">
        <v>443780</v>
      </c>
      <c r="I130" s="1407">
        <v>12</v>
      </c>
      <c r="J130" s="1408">
        <v>532536</v>
      </c>
      <c r="K130" s="1352">
        <v>0</v>
      </c>
      <c r="L130" s="1409">
        <v>0</v>
      </c>
      <c r="O130" s="1410"/>
    </row>
    <row r="131" spans="1:15" x14ac:dyDescent="0.3">
      <c r="A131" s="1339">
        <v>34</v>
      </c>
      <c r="B131" s="1340" t="s">
        <v>1238</v>
      </c>
      <c r="C131" s="1341" t="s">
        <v>19</v>
      </c>
      <c r="D131" s="1342">
        <v>44819</v>
      </c>
      <c r="E131" s="1343">
        <v>22</v>
      </c>
      <c r="F131" s="1344">
        <v>986018</v>
      </c>
      <c r="G131" s="1412">
        <v>-1.65</v>
      </c>
      <c r="H131" s="1344">
        <v>-73951</v>
      </c>
      <c r="I131" s="1413">
        <v>20.350000000000001</v>
      </c>
      <c r="J131" s="1408">
        <v>912067</v>
      </c>
      <c r="K131" s="1354">
        <v>20.350000000000001</v>
      </c>
      <c r="L131" s="1409">
        <v>912067</v>
      </c>
      <c r="O131" s="1410"/>
    </row>
    <row r="132" spans="1:15" x14ac:dyDescent="0.3">
      <c r="A132" s="1339">
        <v>35</v>
      </c>
      <c r="B132" s="1340" t="s">
        <v>892</v>
      </c>
      <c r="C132" s="1341" t="s">
        <v>6</v>
      </c>
      <c r="D132" s="1342">
        <v>40321</v>
      </c>
      <c r="E132" s="1343">
        <v>2</v>
      </c>
      <c r="F132" s="1344">
        <v>80642</v>
      </c>
      <c r="G132" s="1412">
        <v>-2</v>
      </c>
      <c r="H132" s="1344">
        <v>-80642</v>
      </c>
      <c r="I132" s="1407">
        <v>0</v>
      </c>
      <c r="J132" s="1408">
        <v>0</v>
      </c>
      <c r="K132" s="1352">
        <v>0</v>
      </c>
      <c r="L132" s="1409">
        <v>0</v>
      </c>
      <c r="O132" s="1410"/>
    </row>
    <row r="133" spans="1:15" x14ac:dyDescent="0.3">
      <c r="A133" s="1414">
        <v>36</v>
      </c>
      <c r="B133" s="1415" t="s">
        <v>195</v>
      </c>
      <c r="C133" s="1362" t="s">
        <v>19</v>
      </c>
      <c r="D133" s="1363">
        <v>4850</v>
      </c>
      <c r="E133" s="1364">
        <v>400</v>
      </c>
      <c r="F133" s="1416">
        <v>1940000</v>
      </c>
      <c r="G133" s="1417">
        <v>0</v>
      </c>
      <c r="H133" s="1416">
        <v>0</v>
      </c>
      <c r="I133" s="1418">
        <v>400</v>
      </c>
      <c r="J133" s="1419">
        <v>1940000</v>
      </c>
      <c r="K133" s="1352">
        <v>276.40050000000002</v>
      </c>
      <c r="L133" s="1409">
        <v>1340542</v>
      </c>
      <c r="O133" s="1410"/>
    </row>
    <row r="134" spans="1:15" ht="16.5" customHeight="1" x14ac:dyDescent="0.3">
      <c r="A134" s="1420" t="s">
        <v>1418</v>
      </c>
      <c r="B134" s="1421" t="s">
        <v>1213</v>
      </c>
      <c r="C134" s="1422" t="s">
        <v>14</v>
      </c>
      <c r="D134" s="1423">
        <v>35948</v>
      </c>
      <c r="E134" s="1424"/>
      <c r="F134" s="1425"/>
      <c r="G134" s="1426">
        <v>13</v>
      </c>
      <c r="H134" s="1427">
        <v>467324</v>
      </c>
      <c r="I134" s="1428">
        <v>13</v>
      </c>
      <c r="J134" s="1429">
        <v>467324</v>
      </c>
      <c r="K134" s="1352"/>
      <c r="L134" s="1409">
        <v>0</v>
      </c>
      <c r="O134" s="1410"/>
    </row>
    <row r="135" spans="1:15" x14ac:dyDescent="0.3">
      <c r="A135" s="1430" t="s">
        <v>1419</v>
      </c>
      <c r="B135" s="1431" t="s">
        <v>1389</v>
      </c>
      <c r="C135" s="1432" t="s">
        <v>14</v>
      </c>
      <c r="D135" s="1433">
        <v>13616</v>
      </c>
      <c r="E135" s="1434"/>
      <c r="F135" s="1435"/>
      <c r="G135" s="1436">
        <v>15</v>
      </c>
      <c r="H135" s="1427">
        <v>204240</v>
      </c>
      <c r="I135" s="1437">
        <v>15</v>
      </c>
      <c r="J135" s="1438">
        <v>204240</v>
      </c>
      <c r="K135" s="1352"/>
      <c r="L135" s="1409">
        <v>0</v>
      </c>
      <c r="M135" s="1439"/>
      <c r="O135" s="1410"/>
    </row>
    <row r="136" spans="1:15" x14ac:dyDescent="0.3">
      <c r="A136" s="1377" t="s">
        <v>1420</v>
      </c>
      <c r="B136" s="1340" t="s">
        <v>1391</v>
      </c>
      <c r="C136" s="1343" t="s">
        <v>14</v>
      </c>
      <c r="D136" s="1342">
        <v>32455</v>
      </c>
      <c r="E136" s="1412"/>
      <c r="F136" s="1379"/>
      <c r="G136" s="1406">
        <v>15</v>
      </c>
      <c r="H136" s="1427">
        <v>486825</v>
      </c>
      <c r="I136" s="1407">
        <v>15</v>
      </c>
      <c r="J136" s="1408">
        <v>486825</v>
      </c>
      <c r="K136" s="1352"/>
      <c r="L136" s="1409">
        <v>0</v>
      </c>
      <c r="M136" s="1440"/>
      <c r="O136" s="1410"/>
    </row>
    <row r="137" spans="1:15" x14ac:dyDescent="0.3">
      <c r="A137" s="1377" t="s">
        <v>1421</v>
      </c>
      <c r="B137" s="1340" t="s">
        <v>1422</v>
      </c>
      <c r="C137" s="1339" t="s">
        <v>14</v>
      </c>
      <c r="D137" s="1342">
        <v>11500</v>
      </c>
      <c r="E137" s="1374"/>
      <c r="F137" s="1381"/>
      <c r="G137" s="1406">
        <v>18</v>
      </c>
      <c r="H137" s="1427">
        <v>207000</v>
      </c>
      <c r="I137" s="1407">
        <v>18</v>
      </c>
      <c r="J137" s="1408">
        <v>207000</v>
      </c>
      <c r="K137" s="1352"/>
      <c r="L137" s="1409">
        <v>0</v>
      </c>
      <c r="O137" s="1410"/>
    </row>
    <row r="138" spans="1:15" ht="26.25" customHeight="1" x14ac:dyDescent="0.3">
      <c r="A138" s="1377" t="s">
        <v>1423</v>
      </c>
      <c r="B138" s="1340" t="s">
        <v>1424</v>
      </c>
      <c r="C138" s="1339" t="s">
        <v>19</v>
      </c>
      <c r="D138" s="1342">
        <v>33540</v>
      </c>
      <c r="E138" s="1374"/>
      <c r="F138" s="1381"/>
      <c r="G138" s="1406">
        <v>31</v>
      </c>
      <c r="H138" s="1427">
        <v>1039740</v>
      </c>
      <c r="I138" s="1407">
        <v>31</v>
      </c>
      <c r="J138" s="1408">
        <v>1039740</v>
      </c>
      <c r="K138" s="1352"/>
      <c r="L138" s="1409">
        <v>0</v>
      </c>
      <c r="M138" s="1357"/>
      <c r="O138" s="1410"/>
    </row>
    <row r="139" spans="1:15" ht="20.25" customHeight="1" x14ac:dyDescent="0.3">
      <c r="A139" s="1377" t="s">
        <v>1425</v>
      </c>
      <c r="B139" s="1340" t="s">
        <v>1426</v>
      </c>
      <c r="C139" s="1339" t="s">
        <v>474</v>
      </c>
      <c r="D139" s="1342">
        <v>5500</v>
      </c>
      <c r="E139" s="1374"/>
      <c r="F139" s="1381"/>
      <c r="G139" s="1406">
        <v>50</v>
      </c>
      <c r="H139" s="1427">
        <v>275000</v>
      </c>
      <c r="I139" s="1407">
        <v>50</v>
      </c>
      <c r="J139" s="1408">
        <v>275000</v>
      </c>
      <c r="K139" s="1352"/>
      <c r="L139" s="1409">
        <v>0</v>
      </c>
      <c r="O139" s="1410"/>
    </row>
    <row r="140" spans="1:15" ht="18" customHeight="1" x14ac:dyDescent="0.3">
      <c r="A140" s="1377" t="s">
        <v>1427</v>
      </c>
      <c r="B140" s="1340" t="s">
        <v>1428</v>
      </c>
      <c r="C140" s="1343" t="s">
        <v>6</v>
      </c>
      <c r="D140" s="1521">
        <v>31336</v>
      </c>
      <c r="E140" s="1374"/>
      <c r="F140" s="1381"/>
      <c r="G140" s="1406">
        <v>59</v>
      </c>
      <c r="H140" s="1427">
        <v>1848824</v>
      </c>
      <c r="I140" s="1407">
        <v>59</v>
      </c>
      <c r="J140" s="1408">
        <v>1848824</v>
      </c>
      <c r="K140" s="1352"/>
      <c r="L140" s="1409">
        <v>0</v>
      </c>
      <c r="O140" s="1410"/>
    </row>
    <row r="141" spans="1:15" x14ac:dyDescent="0.3">
      <c r="A141" s="1377" t="s">
        <v>1429</v>
      </c>
      <c r="B141" s="1340" t="s">
        <v>1430</v>
      </c>
      <c r="C141" s="1343" t="s">
        <v>6</v>
      </c>
      <c r="D141" s="1521">
        <v>42155</v>
      </c>
      <c r="E141" s="1374"/>
      <c r="F141" s="1381"/>
      <c r="G141" s="1406">
        <v>10</v>
      </c>
      <c r="H141" s="1427">
        <v>421550</v>
      </c>
      <c r="I141" s="1407">
        <v>10</v>
      </c>
      <c r="J141" s="1408">
        <v>421550</v>
      </c>
      <c r="K141" s="1352"/>
      <c r="L141" s="1409">
        <v>0</v>
      </c>
      <c r="O141" s="1410"/>
    </row>
    <row r="142" spans="1:15" x14ac:dyDescent="0.3">
      <c r="A142" s="1377" t="s">
        <v>1431</v>
      </c>
      <c r="B142" s="1340" t="s">
        <v>639</v>
      </c>
      <c r="C142" s="1343" t="s">
        <v>474</v>
      </c>
      <c r="D142" s="1342">
        <v>10218</v>
      </c>
      <c r="E142" s="1374"/>
      <c r="F142" s="1381"/>
      <c r="G142" s="1406">
        <v>300</v>
      </c>
      <c r="H142" s="1427">
        <v>3065400</v>
      </c>
      <c r="I142" s="1407">
        <v>300</v>
      </c>
      <c r="J142" s="1408">
        <v>3065400</v>
      </c>
      <c r="K142" s="1352"/>
      <c r="L142" s="1409">
        <v>0</v>
      </c>
      <c r="O142" s="1410"/>
    </row>
    <row r="143" spans="1:15" x14ac:dyDescent="0.3">
      <c r="A143" s="1377" t="s">
        <v>1432</v>
      </c>
      <c r="B143" s="1340" t="s">
        <v>1433</v>
      </c>
      <c r="C143" s="1343" t="s">
        <v>6</v>
      </c>
      <c r="D143" s="1342">
        <v>31160</v>
      </c>
      <c r="E143" s="1441"/>
      <c r="F143" s="1442"/>
      <c r="G143" s="1443">
        <v>6</v>
      </c>
      <c r="H143" s="1427">
        <v>186960</v>
      </c>
      <c r="I143" s="1444">
        <v>6</v>
      </c>
      <c r="J143" s="1445">
        <v>186960</v>
      </c>
      <c r="K143" s="1446"/>
      <c r="L143" s="1447">
        <v>0</v>
      </c>
      <c r="O143" s="1410"/>
    </row>
    <row r="144" spans="1:15" ht="27" customHeight="1" x14ac:dyDescent="0.3">
      <c r="A144" s="1377" t="s">
        <v>1434</v>
      </c>
      <c r="B144" s="1340" t="s">
        <v>1435</v>
      </c>
      <c r="C144" s="1343" t="s">
        <v>14</v>
      </c>
      <c r="D144" s="1448">
        <v>74538</v>
      </c>
      <c r="E144" s="1449"/>
      <c r="F144" s="1450"/>
      <c r="G144" s="1451">
        <v>12</v>
      </c>
      <c r="H144" s="1427">
        <v>894456</v>
      </c>
      <c r="I144" s="1452">
        <v>12</v>
      </c>
      <c r="J144" s="1453">
        <v>894456</v>
      </c>
      <c r="K144" s="1348"/>
      <c r="L144" s="1454">
        <v>0</v>
      </c>
      <c r="O144" s="1410"/>
    </row>
    <row r="145" spans="1:15" x14ac:dyDescent="0.3">
      <c r="A145" s="1341"/>
      <c r="B145" s="1389" t="s">
        <v>1231</v>
      </c>
      <c r="C145" s="1343"/>
      <c r="D145" s="1386"/>
      <c r="E145" s="1455"/>
      <c r="F145" s="1456">
        <v>93679012</v>
      </c>
      <c r="G145" s="1402"/>
      <c r="H145" s="1456">
        <v>28663179</v>
      </c>
      <c r="I145" s="1457"/>
      <c r="J145" s="1458">
        <v>122342191</v>
      </c>
      <c r="K145" s="1459"/>
      <c r="L145" s="1460">
        <v>66545061</v>
      </c>
      <c r="O145" s="1410"/>
    </row>
    <row r="146" spans="1:15" x14ac:dyDescent="0.3">
      <c r="A146" s="1341"/>
      <c r="B146" s="1389" t="s">
        <v>197</v>
      </c>
      <c r="C146" s="1394"/>
      <c r="D146" s="1395">
        <v>0.18</v>
      </c>
      <c r="E146" s="1455"/>
      <c r="F146" s="1456">
        <v>16862222</v>
      </c>
      <c r="G146" s="1402"/>
      <c r="H146" s="1456">
        <v>5159372</v>
      </c>
      <c r="I146" s="1457"/>
      <c r="J146" s="1456">
        <v>22021594</v>
      </c>
      <c r="K146" s="1459"/>
      <c r="L146" s="1456">
        <v>11978111</v>
      </c>
    </row>
    <row r="147" spans="1:15" x14ac:dyDescent="0.3">
      <c r="A147" s="1341"/>
      <c r="B147" s="1389" t="s">
        <v>198</v>
      </c>
      <c r="C147" s="1394"/>
      <c r="D147" s="1395">
        <v>0.02</v>
      </c>
      <c r="E147" s="1455"/>
      <c r="F147" s="1456">
        <v>1873580</v>
      </c>
      <c r="G147" s="1402"/>
      <c r="H147" s="1456">
        <v>573264</v>
      </c>
      <c r="I147" s="1457"/>
      <c r="J147" s="1456">
        <v>2446844</v>
      </c>
      <c r="K147" s="1459"/>
      <c r="L147" s="1456">
        <v>1330901</v>
      </c>
    </row>
    <row r="148" spans="1:15" x14ac:dyDescent="0.3">
      <c r="A148" s="1341"/>
      <c r="B148" s="1389" t="s">
        <v>199</v>
      </c>
      <c r="C148" s="1394"/>
      <c r="D148" s="1395">
        <v>0.05</v>
      </c>
      <c r="E148" s="1455"/>
      <c r="F148" s="1456">
        <v>4683951</v>
      </c>
      <c r="G148" s="1402"/>
      <c r="H148" s="1456">
        <v>1433159</v>
      </c>
      <c r="I148" s="1457"/>
      <c r="J148" s="1456">
        <v>6117110</v>
      </c>
      <c r="K148" s="1459"/>
      <c r="L148" s="1456">
        <v>3327253</v>
      </c>
    </row>
    <row r="149" spans="1:15" x14ac:dyDescent="0.3">
      <c r="A149" s="1341"/>
      <c r="B149" s="1389" t="s">
        <v>200</v>
      </c>
      <c r="C149" s="1394"/>
      <c r="D149" s="1395">
        <v>0.19</v>
      </c>
      <c r="E149" s="1455"/>
      <c r="F149" s="1456">
        <v>889951</v>
      </c>
      <c r="G149" s="1402"/>
      <c r="H149" s="1456">
        <v>272300</v>
      </c>
      <c r="I149" s="1457"/>
      <c r="J149" s="1456">
        <v>1162251</v>
      </c>
      <c r="K149" s="1459"/>
      <c r="L149" s="1456">
        <v>632178</v>
      </c>
    </row>
    <row r="150" spans="1:15" x14ac:dyDescent="0.3">
      <c r="A150" s="1461"/>
      <c r="B150" s="1389" t="s">
        <v>1239</v>
      </c>
      <c r="C150" s="1343"/>
      <c r="D150" s="1386"/>
      <c r="E150" s="1455"/>
      <c r="F150" s="1456">
        <v>117988716</v>
      </c>
      <c r="G150" s="1402"/>
      <c r="H150" s="1390">
        <v>36101274</v>
      </c>
      <c r="I150" s="1457"/>
      <c r="J150" s="1462">
        <v>154089990</v>
      </c>
      <c r="K150" s="1459"/>
      <c r="L150" s="1393">
        <v>83813504</v>
      </c>
      <c r="M150" s="1350"/>
    </row>
    <row r="151" spans="1:15" x14ac:dyDescent="0.3">
      <c r="A151" s="1463"/>
      <c r="B151" s="1464"/>
      <c r="C151" s="1465"/>
      <c r="D151" s="1328"/>
      <c r="E151" s="1455"/>
      <c r="F151" s="1456"/>
      <c r="G151" s="1402"/>
      <c r="H151" s="1402"/>
      <c r="I151" s="1402"/>
      <c r="J151" s="1402"/>
    </row>
    <row r="152" spans="1:15" ht="29.25" customHeight="1" x14ac:dyDescent="0.3">
      <c r="A152" s="2118" t="s">
        <v>1241</v>
      </c>
      <c r="B152" s="2119"/>
      <c r="C152" s="2120" t="s">
        <v>1376</v>
      </c>
      <c r="D152" s="2121"/>
      <c r="E152" s="2121"/>
      <c r="F152" s="2122"/>
      <c r="G152" s="2123" t="s">
        <v>1377</v>
      </c>
      <c r="H152" s="2124"/>
      <c r="I152" s="2125" t="s">
        <v>1378</v>
      </c>
      <c r="J152" s="2126"/>
      <c r="K152" s="2127" t="s">
        <v>1379</v>
      </c>
      <c r="L152" s="2128"/>
    </row>
    <row r="153" spans="1:15" ht="47.25" customHeight="1" x14ac:dyDescent="0.3">
      <c r="A153" s="1331" t="s">
        <v>4</v>
      </c>
      <c r="B153" s="1466" t="s">
        <v>5</v>
      </c>
      <c r="C153" s="1467" t="s">
        <v>6</v>
      </c>
      <c r="D153" s="1468" t="s">
        <v>1207</v>
      </c>
      <c r="E153" s="1335" t="s">
        <v>830</v>
      </c>
      <c r="F153" s="1336" t="s">
        <v>1208</v>
      </c>
      <c r="G153" s="1337" t="s">
        <v>1380</v>
      </c>
      <c r="H153" s="1336" t="s">
        <v>1208</v>
      </c>
      <c r="I153" s="1335" t="s">
        <v>830</v>
      </c>
      <c r="J153" s="1336" t="s">
        <v>1208</v>
      </c>
      <c r="K153" s="1335" t="s">
        <v>830</v>
      </c>
      <c r="L153" s="1405" t="s">
        <v>1208</v>
      </c>
    </row>
    <row r="154" spans="1:15" ht="27" x14ac:dyDescent="0.3">
      <c r="A154" s="1339">
        <v>1</v>
      </c>
      <c r="B154" s="1340" t="s">
        <v>1242</v>
      </c>
      <c r="C154" s="1469" t="s">
        <v>14</v>
      </c>
      <c r="D154" s="1342">
        <v>21950</v>
      </c>
      <c r="E154" s="1343">
        <v>100</v>
      </c>
      <c r="F154" s="1470">
        <v>2195000</v>
      </c>
      <c r="G154" s="1406">
        <v>15</v>
      </c>
      <c r="H154" s="1470">
        <v>329250</v>
      </c>
      <c r="I154" s="1406">
        <v>115</v>
      </c>
      <c r="J154" s="1471">
        <v>2524250</v>
      </c>
      <c r="K154" s="1352">
        <v>0</v>
      </c>
      <c r="L154" s="1409">
        <v>0</v>
      </c>
      <c r="O154" s="1410"/>
    </row>
    <row r="155" spans="1:15" ht="40.5" x14ac:dyDescent="0.3">
      <c r="A155" s="1339">
        <v>2</v>
      </c>
      <c r="B155" s="1340" t="s">
        <v>1243</v>
      </c>
      <c r="C155" s="1472" t="s">
        <v>14</v>
      </c>
      <c r="D155" s="1342">
        <v>19786</v>
      </c>
      <c r="E155" s="1343">
        <v>674</v>
      </c>
      <c r="F155" s="1470">
        <v>13335764</v>
      </c>
      <c r="G155" s="1406">
        <v>-644</v>
      </c>
      <c r="H155" s="1470">
        <v>-12742184</v>
      </c>
      <c r="I155" s="1406">
        <v>30</v>
      </c>
      <c r="J155" s="1471">
        <v>593580</v>
      </c>
      <c r="K155" s="1352">
        <v>0</v>
      </c>
      <c r="L155" s="1409">
        <v>0</v>
      </c>
      <c r="O155" s="1410"/>
    </row>
    <row r="156" spans="1:15" ht="30" customHeight="1" x14ac:dyDescent="0.3">
      <c r="A156" s="1339">
        <v>3</v>
      </c>
      <c r="B156" s="1340" t="s">
        <v>1118</v>
      </c>
      <c r="C156" s="1472" t="s">
        <v>14</v>
      </c>
      <c r="D156" s="1342">
        <v>26433</v>
      </c>
      <c r="E156" s="1343">
        <v>40</v>
      </c>
      <c r="F156" s="1470">
        <v>1057320</v>
      </c>
      <c r="G156" s="1406">
        <v>-40</v>
      </c>
      <c r="H156" s="1470">
        <v>-1057320</v>
      </c>
      <c r="I156" s="1406">
        <v>0</v>
      </c>
      <c r="J156" s="1471">
        <v>0</v>
      </c>
      <c r="K156" s="1352">
        <v>0</v>
      </c>
      <c r="L156" s="1409">
        <v>0</v>
      </c>
      <c r="O156" s="1410"/>
    </row>
    <row r="157" spans="1:15" ht="27" x14ac:dyDescent="0.3">
      <c r="A157" s="1339">
        <v>4</v>
      </c>
      <c r="B157" s="1340" t="s">
        <v>86</v>
      </c>
      <c r="C157" s="1473" t="s">
        <v>19</v>
      </c>
      <c r="D157" s="1342">
        <v>39910</v>
      </c>
      <c r="E157" s="1343">
        <v>30</v>
      </c>
      <c r="F157" s="1470">
        <v>1197300</v>
      </c>
      <c r="G157" s="1406">
        <v>-18</v>
      </c>
      <c r="H157" s="1470">
        <v>-718380</v>
      </c>
      <c r="I157" s="1406">
        <v>12</v>
      </c>
      <c r="J157" s="1471">
        <v>478920</v>
      </c>
      <c r="K157" s="1352">
        <v>11.8035</v>
      </c>
      <c r="L157" s="1409">
        <v>471078</v>
      </c>
      <c r="O157" s="1410"/>
    </row>
    <row r="158" spans="1:15" ht="27" x14ac:dyDescent="0.3">
      <c r="A158" s="1339">
        <v>5</v>
      </c>
      <c r="B158" s="1340" t="s">
        <v>1244</v>
      </c>
      <c r="C158" s="1473" t="s">
        <v>19</v>
      </c>
      <c r="D158" s="1342">
        <v>27501</v>
      </c>
      <c r="E158" s="1343">
        <v>30</v>
      </c>
      <c r="F158" s="1470">
        <v>825030</v>
      </c>
      <c r="G158" s="1406">
        <v>-20</v>
      </c>
      <c r="H158" s="1470">
        <v>-550020</v>
      </c>
      <c r="I158" s="1406">
        <v>10</v>
      </c>
      <c r="J158" s="1471">
        <v>275010</v>
      </c>
      <c r="K158" s="1352">
        <v>8.1579999999999995</v>
      </c>
      <c r="L158" s="1409">
        <v>224353</v>
      </c>
      <c r="O158" s="1410"/>
    </row>
    <row r="159" spans="1:15" x14ac:dyDescent="0.3">
      <c r="A159" s="1339">
        <v>6</v>
      </c>
      <c r="B159" s="1340" t="s">
        <v>878</v>
      </c>
      <c r="C159" s="1341" t="s">
        <v>14</v>
      </c>
      <c r="D159" s="1342">
        <v>9711</v>
      </c>
      <c r="E159" s="1343">
        <v>34</v>
      </c>
      <c r="F159" s="1470">
        <v>330174</v>
      </c>
      <c r="G159" s="1406">
        <v>-34</v>
      </c>
      <c r="H159" s="1470">
        <v>-330174</v>
      </c>
      <c r="I159" s="1406">
        <v>0</v>
      </c>
      <c r="J159" s="1471">
        <v>0</v>
      </c>
      <c r="K159" s="1352">
        <v>0</v>
      </c>
      <c r="L159" s="1409">
        <v>0</v>
      </c>
      <c r="O159" s="1410"/>
    </row>
    <row r="160" spans="1:15" x14ac:dyDescent="0.3">
      <c r="A160" s="1343">
        <v>7</v>
      </c>
      <c r="B160" s="1356" t="s">
        <v>1245</v>
      </c>
      <c r="C160" s="1341" t="s">
        <v>14</v>
      </c>
      <c r="D160" s="1342">
        <v>24962</v>
      </c>
      <c r="E160" s="1343">
        <v>25</v>
      </c>
      <c r="F160" s="1470">
        <v>624050</v>
      </c>
      <c r="G160" s="1406">
        <v>0</v>
      </c>
      <c r="H160" s="1470">
        <v>0</v>
      </c>
      <c r="I160" s="1406">
        <v>25</v>
      </c>
      <c r="J160" s="1471">
        <v>624050</v>
      </c>
      <c r="K160" s="1352">
        <v>0</v>
      </c>
      <c r="L160" s="1409">
        <v>0</v>
      </c>
      <c r="O160" s="1410"/>
    </row>
    <row r="161" spans="1:15" x14ac:dyDescent="0.3">
      <c r="A161" s="1339">
        <v>8</v>
      </c>
      <c r="B161" s="1340" t="s">
        <v>874</v>
      </c>
      <c r="C161" s="1473" t="s">
        <v>19</v>
      </c>
      <c r="D161" s="1342">
        <v>9398</v>
      </c>
      <c r="E161" s="1343">
        <v>30</v>
      </c>
      <c r="F161" s="1470">
        <v>281940</v>
      </c>
      <c r="G161" s="1406">
        <v>0</v>
      </c>
      <c r="H161" s="1470">
        <v>0</v>
      </c>
      <c r="I161" s="1406">
        <v>30</v>
      </c>
      <c r="J161" s="1471">
        <v>281940</v>
      </c>
      <c r="K161" s="1352">
        <v>0</v>
      </c>
      <c r="L161" s="1409">
        <v>0</v>
      </c>
      <c r="O161" s="1410"/>
    </row>
    <row r="162" spans="1:15" x14ac:dyDescent="0.3">
      <c r="A162" s="1339">
        <v>9</v>
      </c>
      <c r="B162" s="1340" t="s">
        <v>1246</v>
      </c>
      <c r="C162" s="1473" t="s">
        <v>19</v>
      </c>
      <c r="D162" s="1342">
        <v>11155</v>
      </c>
      <c r="E162" s="1343">
        <v>40</v>
      </c>
      <c r="F162" s="1470">
        <v>446200</v>
      </c>
      <c r="G162" s="1406">
        <v>0</v>
      </c>
      <c r="H162" s="1470">
        <v>0</v>
      </c>
      <c r="I162" s="1406">
        <v>40</v>
      </c>
      <c r="J162" s="1471">
        <v>446200</v>
      </c>
      <c r="K162" s="1352">
        <v>0</v>
      </c>
      <c r="L162" s="1409">
        <v>0</v>
      </c>
      <c r="O162" s="1410"/>
    </row>
    <row r="163" spans="1:15" x14ac:dyDescent="0.3">
      <c r="A163" s="1339">
        <v>10</v>
      </c>
      <c r="B163" s="1340" t="s">
        <v>1247</v>
      </c>
      <c r="C163" s="1343" t="s">
        <v>19</v>
      </c>
      <c r="D163" s="1342">
        <v>21340</v>
      </c>
      <c r="E163" s="1343">
        <v>20</v>
      </c>
      <c r="F163" s="1470">
        <v>426800</v>
      </c>
      <c r="G163" s="1406">
        <v>-20</v>
      </c>
      <c r="H163" s="1470">
        <v>-426800</v>
      </c>
      <c r="I163" s="1406">
        <v>0</v>
      </c>
      <c r="J163" s="1471">
        <v>0</v>
      </c>
      <c r="K163" s="1352">
        <v>0</v>
      </c>
      <c r="L163" s="1409">
        <v>0</v>
      </c>
      <c r="O163" s="1410"/>
    </row>
    <row r="164" spans="1:15" x14ac:dyDescent="0.3">
      <c r="A164" s="1339">
        <v>11</v>
      </c>
      <c r="B164" s="1340" t="s">
        <v>1248</v>
      </c>
      <c r="C164" s="1473" t="s">
        <v>6</v>
      </c>
      <c r="D164" s="1342">
        <v>10476</v>
      </c>
      <c r="E164" s="1343">
        <v>7</v>
      </c>
      <c r="F164" s="1470">
        <v>73332</v>
      </c>
      <c r="G164" s="1406">
        <v>0</v>
      </c>
      <c r="H164" s="1470">
        <v>0</v>
      </c>
      <c r="I164" s="1406">
        <v>7</v>
      </c>
      <c r="J164" s="1471">
        <v>73332</v>
      </c>
      <c r="K164" s="1352">
        <v>0</v>
      </c>
      <c r="L164" s="1409">
        <v>0</v>
      </c>
      <c r="O164" s="1410"/>
    </row>
    <row r="165" spans="1:15" x14ac:dyDescent="0.3">
      <c r="A165" s="1339">
        <v>12</v>
      </c>
      <c r="B165" s="1340" t="s">
        <v>1249</v>
      </c>
      <c r="C165" s="1473" t="s">
        <v>14</v>
      </c>
      <c r="D165" s="1342">
        <v>6548</v>
      </c>
      <c r="E165" s="1343">
        <v>18</v>
      </c>
      <c r="F165" s="1470">
        <v>117864</v>
      </c>
      <c r="G165" s="1406">
        <v>0</v>
      </c>
      <c r="H165" s="1470">
        <v>0</v>
      </c>
      <c r="I165" s="1406">
        <v>18</v>
      </c>
      <c r="J165" s="1471">
        <v>117864</v>
      </c>
      <c r="K165" s="1352">
        <v>0</v>
      </c>
      <c r="L165" s="1409">
        <v>0</v>
      </c>
      <c r="O165" s="1410"/>
    </row>
    <row r="166" spans="1:15" x14ac:dyDescent="0.3">
      <c r="A166" s="1339">
        <v>13</v>
      </c>
      <c r="B166" s="1340" t="s">
        <v>1250</v>
      </c>
      <c r="C166" s="1473" t="s">
        <v>6</v>
      </c>
      <c r="D166" s="1342">
        <v>29488</v>
      </c>
      <c r="E166" s="1343">
        <v>7</v>
      </c>
      <c r="F166" s="1470">
        <v>206416</v>
      </c>
      <c r="G166" s="1406">
        <v>0</v>
      </c>
      <c r="H166" s="1470">
        <v>0</v>
      </c>
      <c r="I166" s="1406">
        <v>7</v>
      </c>
      <c r="J166" s="1471">
        <v>206416</v>
      </c>
      <c r="K166" s="1352">
        <v>0</v>
      </c>
      <c r="L166" s="1409">
        <v>0</v>
      </c>
      <c r="O166" s="1410"/>
    </row>
    <row r="167" spans="1:15" x14ac:dyDescent="0.3">
      <c r="A167" s="1339">
        <v>14</v>
      </c>
      <c r="B167" s="1340" t="s">
        <v>211</v>
      </c>
      <c r="C167" s="1473" t="s">
        <v>19</v>
      </c>
      <c r="D167" s="1342">
        <v>7728</v>
      </c>
      <c r="E167" s="1343">
        <v>140</v>
      </c>
      <c r="F167" s="1470">
        <v>1081920</v>
      </c>
      <c r="G167" s="1406">
        <v>-80</v>
      </c>
      <c r="H167" s="1470">
        <v>-618240</v>
      </c>
      <c r="I167" s="1406">
        <v>60</v>
      </c>
      <c r="J167" s="1471">
        <v>463680</v>
      </c>
      <c r="K167" s="1352">
        <v>14.673500000000001</v>
      </c>
      <c r="L167" s="1409">
        <v>113397</v>
      </c>
      <c r="O167" s="1410"/>
    </row>
    <row r="168" spans="1:15" x14ac:dyDescent="0.3">
      <c r="A168" s="1339">
        <v>15</v>
      </c>
      <c r="B168" s="1340" t="s">
        <v>84</v>
      </c>
      <c r="C168" s="1341" t="s">
        <v>19</v>
      </c>
      <c r="D168" s="1342">
        <v>6305</v>
      </c>
      <c r="E168" s="1343">
        <v>80</v>
      </c>
      <c r="F168" s="1470">
        <v>504400</v>
      </c>
      <c r="G168" s="1406">
        <v>-20</v>
      </c>
      <c r="H168" s="1470">
        <v>-126100</v>
      </c>
      <c r="I168" s="1406">
        <v>60</v>
      </c>
      <c r="J168" s="1471">
        <v>378300</v>
      </c>
      <c r="K168" s="1352">
        <v>0</v>
      </c>
      <c r="L168" s="1409">
        <v>0</v>
      </c>
      <c r="O168" s="1410"/>
    </row>
    <row r="169" spans="1:15" x14ac:dyDescent="0.3">
      <c r="A169" s="1339">
        <v>16</v>
      </c>
      <c r="B169" s="1340" t="s">
        <v>88</v>
      </c>
      <c r="C169" s="1341" t="s">
        <v>19</v>
      </c>
      <c r="D169" s="1342">
        <v>22520</v>
      </c>
      <c r="E169" s="1343">
        <v>110</v>
      </c>
      <c r="F169" s="1470">
        <v>2477200</v>
      </c>
      <c r="G169" s="1406">
        <v>0</v>
      </c>
      <c r="H169" s="1470">
        <v>0</v>
      </c>
      <c r="I169" s="1406">
        <v>110</v>
      </c>
      <c r="J169" s="1471">
        <v>2477200</v>
      </c>
      <c r="K169" s="1352">
        <v>19.655099999999997</v>
      </c>
      <c r="L169" s="1409">
        <v>442633</v>
      </c>
      <c r="O169" s="1410"/>
    </row>
    <row r="170" spans="1:15" x14ac:dyDescent="0.3">
      <c r="A170" s="1339">
        <v>17</v>
      </c>
      <c r="B170" s="1340" t="s">
        <v>639</v>
      </c>
      <c r="C170" s="1341" t="s">
        <v>19</v>
      </c>
      <c r="D170" s="1342">
        <v>17033</v>
      </c>
      <c r="E170" s="1343">
        <v>220</v>
      </c>
      <c r="F170" s="1470">
        <v>3747260</v>
      </c>
      <c r="G170" s="1406">
        <v>-20</v>
      </c>
      <c r="H170" s="1470">
        <v>-340660</v>
      </c>
      <c r="I170" s="1406">
        <v>200</v>
      </c>
      <c r="J170" s="1471">
        <v>3406600</v>
      </c>
      <c r="K170" s="1352">
        <v>42.860200000000006</v>
      </c>
      <c r="L170" s="1409">
        <v>730038</v>
      </c>
      <c r="O170" s="1410"/>
    </row>
    <row r="171" spans="1:15" x14ac:dyDescent="0.3">
      <c r="A171" s="1339">
        <v>18</v>
      </c>
      <c r="B171" s="1340" t="s">
        <v>852</v>
      </c>
      <c r="C171" s="1341" t="s">
        <v>6</v>
      </c>
      <c r="D171" s="1342">
        <v>162835</v>
      </c>
      <c r="E171" s="1343">
        <v>7</v>
      </c>
      <c r="F171" s="1470">
        <v>1139845</v>
      </c>
      <c r="G171" s="1406">
        <v>0</v>
      </c>
      <c r="H171" s="1470">
        <v>0</v>
      </c>
      <c r="I171" s="1406">
        <v>7</v>
      </c>
      <c r="J171" s="1471">
        <v>1139845</v>
      </c>
      <c r="K171" s="1352">
        <v>0</v>
      </c>
      <c r="L171" s="1409">
        <v>0</v>
      </c>
      <c r="O171" s="1410"/>
    </row>
    <row r="172" spans="1:15" x14ac:dyDescent="0.3">
      <c r="A172" s="1339">
        <v>19</v>
      </c>
      <c r="B172" s="1340" t="s">
        <v>1251</v>
      </c>
      <c r="C172" s="1341" t="s">
        <v>19</v>
      </c>
      <c r="D172" s="1342">
        <v>32328</v>
      </c>
      <c r="E172" s="1343">
        <v>20</v>
      </c>
      <c r="F172" s="1470">
        <v>646560</v>
      </c>
      <c r="G172" s="1406">
        <v>-20</v>
      </c>
      <c r="H172" s="1470">
        <v>-646560</v>
      </c>
      <c r="I172" s="1406">
        <v>0</v>
      </c>
      <c r="J172" s="1471">
        <v>0</v>
      </c>
      <c r="K172" s="1352">
        <v>0</v>
      </c>
      <c r="L172" s="1409">
        <v>0</v>
      </c>
      <c r="O172" s="1410"/>
    </row>
    <row r="173" spans="1:15" x14ac:dyDescent="0.3">
      <c r="A173" s="1339">
        <v>20</v>
      </c>
      <c r="B173" s="1340" t="s">
        <v>873</v>
      </c>
      <c r="C173" s="1341" t="s">
        <v>19</v>
      </c>
      <c r="D173" s="1342">
        <v>15561</v>
      </c>
      <c r="E173" s="1343">
        <v>19</v>
      </c>
      <c r="F173" s="1470">
        <v>295659</v>
      </c>
      <c r="G173" s="1406">
        <v>1</v>
      </c>
      <c r="H173" s="1470">
        <v>15561</v>
      </c>
      <c r="I173" s="1406">
        <v>20</v>
      </c>
      <c r="J173" s="1471">
        <v>311220</v>
      </c>
      <c r="K173" s="1352">
        <v>3.05</v>
      </c>
      <c r="L173" s="1409">
        <v>47461</v>
      </c>
      <c r="O173" s="1410"/>
    </row>
    <row r="174" spans="1:15" ht="27" customHeight="1" x14ac:dyDescent="0.3">
      <c r="A174" s="1339">
        <v>21</v>
      </c>
      <c r="B174" s="1340" t="s">
        <v>1252</v>
      </c>
      <c r="C174" s="1341" t="s">
        <v>19</v>
      </c>
      <c r="D174" s="1342">
        <v>66930</v>
      </c>
      <c r="E174" s="1343">
        <v>30</v>
      </c>
      <c r="F174" s="1344">
        <v>2007900</v>
      </c>
      <c r="G174" s="1406">
        <v>0</v>
      </c>
      <c r="H174" s="1470">
        <v>0</v>
      </c>
      <c r="I174" s="1406">
        <v>30</v>
      </c>
      <c r="J174" s="1471">
        <v>2007900</v>
      </c>
      <c r="K174" s="1352">
        <v>0.97520000000000007</v>
      </c>
      <c r="L174" s="1409">
        <v>65270</v>
      </c>
      <c r="O174" s="1410"/>
    </row>
    <row r="175" spans="1:15" ht="27" x14ac:dyDescent="0.3">
      <c r="A175" s="1339">
        <v>22</v>
      </c>
      <c r="B175" s="1340" t="s">
        <v>484</v>
      </c>
      <c r="C175" s="1341" t="s">
        <v>14</v>
      </c>
      <c r="D175" s="1342">
        <v>51702</v>
      </c>
      <c r="E175" s="1343">
        <v>2</v>
      </c>
      <c r="F175" s="1344">
        <v>103404</v>
      </c>
      <c r="G175" s="1406">
        <v>0</v>
      </c>
      <c r="H175" s="1470">
        <v>0</v>
      </c>
      <c r="I175" s="1406">
        <v>2</v>
      </c>
      <c r="J175" s="1471">
        <v>103404</v>
      </c>
      <c r="K175" s="1352">
        <v>0</v>
      </c>
      <c r="L175" s="1409">
        <v>0</v>
      </c>
      <c r="O175" s="1410"/>
    </row>
    <row r="176" spans="1:15" ht="27" x14ac:dyDescent="0.3">
      <c r="A176" s="1339">
        <v>23</v>
      </c>
      <c r="B176" s="1415" t="s">
        <v>1436</v>
      </c>
      <c r="C176" s="1364" t="s">
        <v>14</v>
      </c>
      <c r="D176" s="1363">
        <v>51019</v>
      </c>
      <c r="E176" s="1364">
        <v>927</v>
      </c>
      <c r="F176" s="1416">
        <v>47294613</v>
      </c>
      <c r="G176" s="1414">
        <v>593</v>
      </c>
      <c r="H176" s="1474">
        <v>30254267</v>
      </c>
      <c r="I176" s="1414">
        <v>1520</v>
      </c>
      <c r="J176" s="1475">
        <v>77548880</v>
      </c>
      <c r="K176" s="1476">
        <v>900</v>
      </c>
      <c r="L176" s="1454">
        <v>45917100</v>
      </c>
      <c r="O176" s="1410"/>
    </row>
    <row r="177" spans="1:15" x14ac:dyDescent="0.3">
      <c r="A177" s="1339">
        <v>24</v>
      </c>
      <c r="B177" s="1340" t="s">
        <v>959</v>
      </c>
      <c r="C177" s="1341" t="s">
        <v>6</v>
      </c>
      <c r="D177" s="1342">
        <v>42139</v>
      </c>
      <c r="E177" s="1341">
        <v>1</v>
      </c>
      <c r="F177" s="1470">
        <v>42139</v>
      </c>
      <c r="G177" s="1406">
        <v>0</v>
      </c>
      <c r="H177" s="1470">
        <v>0</v>
      </c>
      <c r="I177" s="1406">
        <v>1</v>
      </c>
      <c r="J177" s="1471">
        <v>42139</v>
      </c>
      <c r="K177" s="1352">
        <v>0</v>
      </c>
      <c r="L177" s="1409">
        <v>0</v>
      </c>
      <c r="O177" s="1410"/>
    </row>
    <row r="178" spans="1:15" ht="17.25" customHeight="1" x14ac:dyDescent="0.3">
      <c r="A178" s="1339">
        <v>25</v>
      </c>
      <c r="B178" s="1340" t="s">
        <v>1254</v>
      </c>
      <c r="C178" s="1341" t="s">
        <v>14</v>
      </c>
      <c r="D178" s="1342">
        <v>26142</v>
      </c>
      <c r="E178" s="1341">
        <v>40</v>
      </c>
      <c r="F178" s="1470">
        <v>1045680</v>
      </c>
      <c r="G178" s="1406">
        <v>-15</v>
      </c>
      <c r="H178" s="1470">
        <v>-392130</v>
      </c>
      <c r="I178" s="1406">
        <v>25</v>
      </c>
      <c r="J178" s="1471">
        <v>653550</v>
      </c>
      <c r="K178" s="1352">
        <v>0</v>
      </c>
      <c r="L178" s="1409">
        <v>0</v>
      </c>
      <c r="O178" s="1410"/>
    </row>
    <row r="179" spans="1:15" ht="27" x14ac:dyDescent="0.3">
      <c r="A179" s="1339">
        <v>26</v>
      </c>
      <c r="B179" s="1340" t="s">
        <v>1255</v>
      </c>
      <c r="C179" s="1341" t="s">
        <v>6</v>
      </c>
      <c r="D179" s="1342">
        <v>1818750</v>
      </c>
      <c r="E179" s="1341">
        <v>3</v>
      </c>
      <c r="F179" s="1470">
        <v>5456250</v>
      </c>
      <c r="G179" s="1406">
        <v>0</v>
      </c>
      <c r="H179" s="1470">
        <v>0</v>
      </c>
      <c r="I179" s="1406">
        <v>3</v>
      </c>
      <c r="J179" s="1471">
        <v>5456250</v>
      </c>
      <c r="K179" s="1352">
        <v>3</v>
      </c>
      <c r="L179" s="1409">
        <v>5456250</v>
      </c>
      <c r="O179" s="1410"/>
    </row>
    <row r="180" spans="1:15" ht="24" customHeight="1" x14ac:dyDescent="0.3">
      <c r="A180" s="1339">
        <v>27</v>
      </c>
      <c r="B180" s="1340" t="s">
        <v>1256</v>
      </c>
      <c r="C180" s="1341" t="s">
        <v>14</v>
      </c>
      <c r="D180" s="1342">
        <v>23765</v>
      </c>
      <c r="E180" s="1341">
        <v>80</v>
      </c>
      <c r="F180" s="1470">
        <v>1901200</v>
      </c>
      <c r="G180" s="1406">
        <v>160</v>
      </c>
      <c r="H180" s="1470">
        <v>3802400</v>
      </c>
      <c r="I180" s="1406">
        <v>240</v>
      </c>
      <c r="J180" s="1471">
        <v>5703600</v>
      </c>
      <c r="K180" s="1354">
        <v>220.36000000000004</v>
      </c>
      <c r="L180" s="1409">
        <v>5236855</v>
      </c>
      <c r="O180" s="1410"/>
    </row>
    <row r="181" spans="1:15" ht="27" x14ac:dyDescent="0.3">
      <c r="A181" s="1339">
        <v>28</v>
      </c>
      <c r="B181" s="1340" t="s">
        <v>1257</v>
      </c>
      <c r="C181" s="1341" t="s">
        <v>6</v>
      </c>
      <c r="D181" s="1342">
        <v>123675</v>
      </c>
      <c r="E181" s="1341">
        <v>20</v>
      </c>
      <c r="F181" s="1470">
        <v>2473500</v>
      </c>
      <c r="G181" s="1406">
        <v>-20</v>
      </c>
      <c r="H181" s="1470">
        <v>-2473500</v>
      </c>
      <c r="I181" s="1406">
        <v>0</v>
      </c>
      <c r="J181" s="1471">
        <v>0</v>
      </c>
      <c r="K181" s="1352">
        <v>0</v>
      </c>
      <c r="L181" s="1409">
        <v>0</v>
      </c>
      <c r="O181" s="1410"/>
    </row>
    <row r="182" spans="1:15" x14ac:dyDescent="0.3">
      <c r="A182" s="1339">
        <v>30</v>
      </c>
      <c r="B182" s="1340" t="s">
        <v>1259</v>
      </c>
      <c r="C182" s="1341" t="s">
        <v>6</v>
      </c>
      <c r="D182" s="1342">
        <v>55775</v>
      </c>
      <c r="E182" s="1341">
        <v>2</v>
      </c>
      <c r="F182" s="1470">
        <v>111550</v>
      </c>
      <c r="G182" s="1412">
        <v>-2</v>
      </c>
      <c r="H182" s="1470">
        <v>-111550</v>
      </c>
      <c r="I182" s="1406">
        <v>0</v>
      </c>
      <c r="J182" s="1471">
        <v>0</v>
      </c>
      <c r="K182" s="1352">
        <v>0</v>
      </c>
      <c r="L182" s="1409">
        <v>0</v>
      </c>
      <c r="O182" s="1410"/>
    </row>
    <row r="183" spans="1:15" x14ac:dyDescent="0.3">
      <c r="A183" s="1339">
        <v>31</v>
      </c>
      <c r="B183" s="1340" t="s">
        <v>1260</v>
      </c>
      <c r="C183" s="1341" t="s">
        <v>6</v>
      </c>
      <c r="D183" s="1342">
        <v>596550</v>
      </c>
      <c r="E183" s="1341">
        <v>2</v>
      </c>
      <c r="F183" s="1470">
        <v>1193100</v>
      </c>
      <c r="G183" s="1412">
        <v>-2</v>
      </c>
      <c r="H183" s="1470">
        <v>-1193100</v>
      </c>
      <c r="I183" s="1406">
        <v>0</v>
      </c>
      <c r="J183" s="1471">
        <v>0</v>
      </c>
      <c r="K183" s="1352">
        <v>0</v>
      </c>
      <c r="L183" s="1409">
        <v>0</v>
      </c>
      <c r="O183" s="1410"/>
    </row>
    <row r="184" spans="1:15" ht="18.75" customHeight="1" x14ac:dyDescent="0.3">
      <c r="A184" s="1339">
        <v>32</v>
      </c>
      <c r="B184" s="1477" t="s">
        <v>195</v>
      </c>
      <c r="C184" s="1341" t="s">
        <v>19</v>
      </c>
      <c r="D184" s="1342">
        <v>4850</v>
      </c>
      <c r="E184" s="1341">
        <v>1600</v>
      </c>
      <c r="F184" s="1470">
        <v>7760000</v>
      </c>
      <c r="G184" s="1406">
        <v>200</v>
      </c>
      <c r="H184" s="1470">
        <v>970000</v>
      </c>
      <c r="I184" s="1406">
        <v>1800</v>
      </c>
      <c r="J184" s="1471">
        <v>8730000</v>
      </c>
      <c r="K184" s="1478">
        <v>800</v>
      </c>
      <c r="L184" s="1409">
        <v>3880000</v>
      </c>
      <c r="O184" s="1410"/>
    </row>
    <row r="185" spans="1:15" x14ac:dyDescent="0.3">
      <c r="A185" s="1479" t="s">
        <v>1437</v>
      </c>
      <c r="B185" s="1421" t="s">
        <v>1236</v>
      </c>
      <c r="C185" s="1422" t="s">
        <v>14</v>
      </c>
      <c r="D185" s="1423">
        <v>10534</v>
      </c>
      <c r="E185" s="1480"/>
      <c r="F185" s="1481"/>
      <c r="G185" s="1426">
        <v>6</v>
      </c>
      <c r="H185" s="1482">
        <v>63204</v>
      </c>
      <c r="I185" s="1426">
        <v>6</v>
      </c>
      <c r="J185" s="1483">
        <v>63204</v>
      </c>
      <c r="K185" s="1354">
        <v>5.2</v>
      </c>
      <c r="L185" s="1409">
        <v>54777</v>
      </c>
      <c r="O185" s="1410"/>
    </row>
    <row r="186" spans="1:15" x14ac:dyDescent="0.3">
      <c r="A186" s="1373" t="s">
        <v>1384</v>
      </c>
      <c r="B186" s="1431" t="s">
        <v>1237</v>
      </c>
      <c r="C186" s="1484" t="s">
        <v>14</v>
      </c>
      <c r="D186" s="1433">
        <v>13282</v>
      </c>
      <c r="E186" s="1485"/>
      <c r="F186" s="1486"/>
      <c r="G186" s="1436">
        <v>6</v>
      </c>
      <c r="H186" s="1482">
        <v>79692</v>
      </c>
      <c r="I186" s="1436">
        <v>6</v>
      </c>
      <c r="J186" s="1487">
        <v>79692</v>
      </c>
      <c r="K186" s="1354">
        <v>5.2</v>
      </c>
      <c r="L186" s="1409">
        <v>69066</v>
      </c>
      <c r="O186" s="1410"/>
    </row>
    <row r="187" spans="1:15" ht="24.75" customHeight="1" x14ac:dyDescent="0.3">
      <c r="A187" s="1377" t="s">
        <v>1438</v>
      </c>
      <c r="B187" s="1356" t="s">
        <v>1439</v>
      </c>
      <c r="C187" s="1341" t="s">
        <v>14</v>
      </c>
      <c r="D187" s="1386">
        <v>67579</v>
      </c>
      <c r="E187" s="1374"/>
      <c r="F187" s="1488"/>
      <c r="G187" s="1406">
        <v>10</v>
      </c>
      <c r="H187" s="1482">
        <v>675790</v>
      </c>
      <c r="I187" s="1406">
        <v>10</v>
      </c>
      <c r="J187" s="1471">
        <v>675790</v>
      </c>
      <c r="K187" s="1388"/>
      <c r="L187" s="1409">
        <v>0</v>
      </c>
      <c r="O187" s="1410"/>
    </row>
    <row r="188" spans="1:15" ht="24.75" customHeight="1" x14ac:dyDescent="0.3">
      <c r="A188" s="1377" t="s">
        <v>1440</v>
      </c>
      <c r="B188" s="1356" t="s">
        <v>1441</v>
      </c>
      <c r="C188" s="1341" t="s">
        <v>14</v>
      </c>
      <c r="D188" s="1386">
        <v>30550</v>
      </c>
      <c r="E188" s="1374"/>
      <c r="F188" s="1488"/>
      <c r="G188" s="1406">
        <v>50</v>
      </c>
      <c r="H188" s="1482">
        <v>1527500</v>
      </c>
      <c r="I188" s="1406">
        <v>50</v>
      </c>
      <c r="J188" s="1471">
        <v>1527500</v>
      </c>
      <c r="K188" s="1388"/>
      <c r="L188" s="1409">
        <v>0</v>
      </c>
      <c r="O188" s="1410"/>
    </row>
    <row r="189" spans="1:15" x14ac:dyDescent="0.3">
      <c r="A189" s="1377" t="s">
        <v>1431</v>
      </c>
      <c r="B189" s="1356" t="s">
        <v>639</v>
      </c>
      <c r="C189" s="1341" t="s">
        <v>14</v>
      </c>
      <c r="D189" s="1386">
        <v>10218</v>
      </c>
      <c r="E189" s="1374"/>
      <c r="F189" s="1488"/>
      <c r="G189" s="1443">
        <v>100</v>
      </c>
      <c r="H189" s="1482">
        <v>1021800</v>
      </c>
      <c r="I189" s="1443">
        <v>100</v>
      </c>
      <c r="J189" s="1489">
        <v>1021800</v>
      </c>
      <c r="K189" s="1388"/>
      <c r="L189" s="1409">
        <v>0</v>
      </c>
      <c r="O189" s="1410"/>
    </row>
    <row r="190" spans="1:15" x14ac:dyDescent="0.3">
      <c r="A190" s="1377" t="s">
        <v>1442</v>
      </c>
      <c r="B190" s="1356" t="s">
        <v>1443</v>
      </c>
      <c r="C190" s="1341" t="s">
        <v>14</v>
      </c>
      <c r="D190" s="1386">
        <v>4455</v>
      </c>
      <c r="E190" s="1374"/>
      <c r="F190" s="1490"/>
      <c r="G190" s="1352">
        <v>40</v>
      </c>
      <c r="H190" s="1491">
        <v>178200</v>
      </c>
      <c r="I190" s="1451">
        <v>40</v>
      </c>
      <c r="J190" s="1492">
        <v>178200</v>
      </c>
      <c r="K190" s="1388"/>
      <c r="L190" s="1409">
        <v>0</v>
      </c>
      <c r="O190" s="1410"/>
    </row>
    <row r="191" spans="1:15" x14ac:dyDescent="0.3">
      <c r="A191" s="1377" t="s">
        <v>1444</v>
      </c>
      <c r="B191" s="1340" t="s">
        <v>88</v>
      </c>
      <c r="C191" s="1341" t="s">
        <v>14</v>
      </c>
      <c r="D191" s="1386">
        <v>12295</v>
      </c>
      <c r="E191" s="1374"/>
      <c r="F191" s="1490"/>
      <c r="G191" s="1352">
        <v>50</v>
      </c>
      <c r="H191" s="1491">
        <v>614750</v>
      </c>
      <c r="I191" s="1451">
        <v>50</v>
      </c>
      <c r="J191" s="1492">
        <v>614750</v>
      </c>
      <c r="K191" s="1388"/>
      <c r="L191" s="1409">
        <v>0</v>
      </c>
      <c r="O191" s="1410"/>
    </row>
    <row r="192" spans="1:15" ht="15" customHeight="1" x14ac:dyDescent="0.3">
      <c r="A192" s="1377" t="s">
        <v>1445</v>
      </c>
      <c r="B192" s="1340" t="s">
        <v>632</v>
      </c>
      <c r="C192" s="1341" t="s">
        <v>14</v>
      </c>
      <c r="D192" s="1386">
        <v>11118</v>
      </c>
      <c r="E192" s="1374"/>
      <c r="F192" s="1490"/>
      <c r="G192" s="1352">
        <v>105</v>
      </c>
      <c r="H192" s="1491">
        <v>1167390</v>
      </c>
      <c r="I192" s="1451">
        <v>105</v>
      </c>
      <c r="J192" s="1492">
        <v>1167390</v>
      </c>
      <c r="K192" s="1388"/>
      <c r="L192" s="1409"/>
      <c r="O192" s="1410"/>
    </row>
    <row r="193" spans="1:15" ht="15" customHeight="1" x14ac:dyDescent="0.3">
      <c r="A193" s="1341"/>
      <c r="B193" s="1389" t="s">
        <v>1231</v>
      </c>
      <c r="C193" s="1343"/>
      <c r="D193" s="1386"/>
      <c r="E193" s="1374"/>
      <c r="F193" s="1488">
        <v>100399370</v>
      </c>
      <c r="G193" s="1493"/>
      <c r="H193" s="1488">
        <v>18973086</v>
      </c>
      <c r="I193" s="1494"/>
      <c r="J193" s="1486">
        <v>119372456</v>
      </c>
      <c r="L193" s="1393">
        <v>62708278</v>
      </c>
      <c r="O193" s="1410"/>
    </row>
    <row r="194" spans="1:15" x14ac:dyDescent="0.3">
      <c r="A194" s="1341"/>
      <c r="B194" s="1389" t="s">
        <v>197</v>
      </c>
      <c r="C194" s="1394"/>
      <c r="D194" s="1386"/>
      <c r="E194" s="1395">
        <v>0.18</v>
      </c>
      <c r="F194" s="1488">
        <v>18071887</v>
      </c>
      <c r="G194" s="1493"/>
      <c r="H194" s="1488">
        <v>3415155</v>
      </c>
      <c r="I194" s="1455"/>
      <c r="J194" s="1488">
        <v>21487042</v>
      </c>
      <c r="L194" s="1488">
        <v>11287490</v>
      </c>
    </row>
    <row r="195" spans="1:15" x14ac:dyDescent="0.3">
      <c r="A195" s="1341"/>
      <c r="B195" s="1389" t="s">
        <v>198</v>
      </c>
      <c r="C195" s="1394"/>
      <c r="D195" s="1386"/>
      <c r="E195" s="1395">
        <v>0.02</v>
      </c>
      <c r="F195" s="1488">
        <v>2007987</v>
      </c>
      <c r="G195" s="1493"/>
      <c r="H195" s="1488">
        <v>379462</v>
      </c>
      <c r="I195" s="1455"/>
      <c r="J195" s="1488">
        <v>2387449</v>
      </c>
      <c r="L195" s="1488">
        <v>1254166</v>
      </c>
    </row>
    <row r="196" spans="1:15" x14ac:dyDescent="0.3">
      <c r="A196" s="1341"/>
      <c r="B196" s="1389" t="s">
        <v>199</v>
      </c>
      <c r="C196" s="1394"/>
      <c r="D196" s="1386"/>
      <c r="E196" s="1395">
        <v>0.05</v>
      </c>
      <c r="F196" s="1488">
        <v>5019969</v>
      </c>
      <c r="G196" s="1493"/>
      <c r="H196" s="1488">
        <v>948654</v>
      </c>
      <c r="I196" s="1455"/>
      <c r="J196" s="1488">
        <v>5968623</v>
      </c>
      <c r="L196" s="1488">
        <v>3135414</v>
      </c>
    </row>
    <row r="197" spans="1:15" x14ac:dyDescent="0.3">
      <c r="A197" s="1341"/>
      <c r="B197" s="1389" t="s">
        <v>200</v>
      </c>
      <c r="C197" s="1394"/>
      <c r="D197" s="1386"/>
      <c r="E197" s="1395">
        <v>0.19</v>
      </c>
      <c r="F197" s="1488">
        <v>953794</v>
      </c>
      <c r="G197" s="1493"/>
      <c r="H197" s="1488">
        <v>180244</v>
      </c>
      <c r="I197" s="1455"/>
      <c r="J197" s="1488">
        <v>1134038</v>
      </c>
      <c r="L197" s="1488">
        <v>595729</v>
      </c>
    </row>
    <row r="198" spans="1:15" x14ac:dyDescent="0.3">
      <c r="A198" s="1341"/>
      <c r="B198" s="1389" t="s">
        <v>1262</v>
      </c>
      <c r="C198" s="1343"/>
      <c r="D198" s="1386"/>
      <c r="E198" s="1455"/>
      <c r="F198" s="1488">
        <v>126453007</v>
      </c>
      <c r="G198" s="1493"/>
      <c r="H198" s="1488">
        <v>23896601</v>
      </c>
      <c r="I198" s="1455"/>
      <c r="J198" s="1488">
        <v>150349608</v>
      </c>
      <c r="L198" s="1393">
        <v>78981077</v>
      </c>
      <c r="M198" s="1350"/>
    </row>
    <row r="199" spans="1:15" ht="9" customHeight="1" x14ac:dyDescent="0.3">
      <c r="D199" s="1328"/>
      <c r="E199" s="1455"/>
      <c r="F199" s="1495"/>
      <c r="G199" s="1455"/>
      <c r="H199" s="1495"/>
      <c r="I199" s="1455"/>
      <c r="J199" s="1495"/>
    </row>
    <row r="200" spans="1:15" ht="21.75" customHeight="1" x14ac:dyDescent="0.3">
      <c r="A200" s="2129" t="s">
        <v>1264</v>
      </c>
      <c r="B200" s="2130"/>
      <c r="C200" s="2130"/>
      <c r="D200" s="2130"/>
      <c r="E200" s="1455"/>
      <c r="F200" s="1496">
        <v>546410447</v>
      </c>
      <c r="G200" s="1455"/>
      <c r="H200" s="1497">
        <v>252164436</v>
      </c>
      <c r="I200" s="1455"/>
      <c r="J200" s="1498">
        <v>798574883</v>
      </c>
      <c r="L200" s="1499">
        <v>252587121</v>
      </c>
      <c r="M200" s="1500"/>
    </row>
    <row r="201" spans="1:15" ht="21.75" customHeight="1" x14ac:dyDescent="0.3">
      <c r="A201" s="1501"/>
      <c r="B201" s="1502"/>
      <c r="C201" s="1502"/>
      <c r="D201" s="1502"/>
      <c r="E201" s="1503" t="s">
        <v>1446</v>
      </c>
      <c r="F201" s="1504">
        <v>546435190</v>
      </c>
      <c r="G201" s="2115" t="s">
        <v>1447</v>
      </c>
      <c r="H201" s="1505">
        <v>252139693</v>
      </c>
      <c r="I201" s="1455"/>
      <c r="J201" s="1506">
        <v>798574883</v>
      </c>
      <c r="L201" s="1507"/>
      <c r="M201" s="1500"/>
    </row>
    <row r="202" spans="1:15" ht="21.75" customHeight="1" x14ac:dyDescent="0.3">
      <c r="E202" s="1508" t="s">
        <v>1448</v>
      </c>
      <c r="F202" s="1509">
        <v>24743</v>
      </c>
      <c r="G202" s="2115"/>
      <c r="H202" s="1510"/>
      <c r="I202" s="1511"/>
      <c r="J202" s="1508" t="s">
        <v>1449</v>
      </c>
      <c r="K202" s="1512"/>
      <c r="L202" s="1513">
        <v>252586345</v>
      </c>
      <c r="M202" s="1350"/>
    </row>
    <row r="203" spans="1:15" ht="21.75" customHeight="1" x14ac:dyDescent="0.3">
      <c r="E203" s="1357"/>
      <c r="F203" s="1514"/>
      <c r="G203" s="1515"/>
      <c r="H203" s="1516"/>
      <c r="I203" s="1511"/>
      <c r="J203" s="1517"/>
      <c r="K203" s="1465"/>
      <c r="L203" s="1518"/>
      <c r="M203" s="1350"/>
    </row>
    <row r="204" spans="1:15" ht="21.75" customHeight="1" x14ac:dyDescent="0.3">
      <c r="E204" s="1357"/>
      <c r="F204" s="1514"/>
      <c r="G204" s="1515"/>
      <c r="H204" s="1516"/>
      <c r="I204" s="1511"/>
      <c r="J204" s="1517"/>
      <c r="K204" s="1465"/>
      <c r="L204" s="1518"/>
      <c r="M204" s="1350"/>
    </row>
    <row r="205" spans="1:15" ht="21.75" customHeight="1" x14ac:dyDescent="0.3">
      <c r="E205" s="1357"/>
      <c r="F205" s="1514"/>
      <c r="G205" s="1515"/>
      <c r="H205" s="1516"/>
      <c r="I205" s="1511"/>
      <c r="J205" s="1517"/>
      <c r="K205" s="1465"/>
      <c r="L205" s="1518"/>
      <c r="M205" s="1350"/>
    </row>
    <row r="206" spans="1:15" ht="96.75" customHeight="1" x14ac:dyDescent="0.3">
      <c r="B206" s="1463" t="s">
        <v>1450</v>
      </c>
      <c r="C206" s="2116" t="s">
        <v>1267</v>
      </c>
      <c r="D206" s="2116"/>
      <c r="E206" s="2116"/>
      <c r="F206" s="2116"/>
      <c r="G206" s="2116" t="s">
        <v>1268</v>
      </c>
      <c r="H206" s="2117"/>
      <c r="I206" s="2117"/>
      <c r="J206" s="2117"/>
      <c r="K206" s="2117"/>
    </row>
    <row r="207" spans="1:15" x14ac:dyDescent="0.3">
      <c r="E207" s="1455"/>
      <c r="F207" s="1495"/>
      <c r="G207" s="1455"/>
      <c r="H207" s="1455"/>
      <c r="I207" s="1455"/>
      <c r="J207" s="1455"/>
    </row>
    <row r="208" spans="1:15" x14ac:dyDescent="0.3">
      <c r="E208" s="1455"/>
      <c r="F208" s="1495"/>
      <c r="G208" s="1455"/>
      <c r="H208" s="1455"/>
      <c r="I208" s="1455"/>
      <c r="J208" s="1455"/>
    </row>
    <row r="209" spans="5:10" x14ac:dyDescent="0.3">
      <c r="E209" s="1455"/>
      <c r="F209" s="1495"/>
      <c r="G209" s="1519"/>
      <c r="H209" s="1520"/>
      <c r="I209" s="1455"/>
      <c r="J209" s="1455"/>
    </row>
    <row r="210" spans="5:10" x14ac:dyDescent="0.3">
      <c r="E210" s="1455"/>
      <c r="F210" s="1495"/>
      <c r="G210" s="1455"/>
      <c r="H210" s="1455"/>
      <c r="I210" s="1455"/>
      <c r="J210" s="1455"/>
    </row>
    <row r="211" spans="5:10" x14ac:dyDescent="0.3">
      <c r="E211" s="1455"/>
      <c r="F211" s="1495"/>
      <c r="G211" s="1455"/>
      <c r="H211" s="1455"/>
      <c r="I211" s="1455"/>
      <c r="J211" s="1455"/>
    </row>
    <row r="212" spans="5:10" x14ac:dyDescent="0.3">
      <c r="E212" s="1455"/>
      <c r="F212" s="1495"/>
      <c r="G212" s="1455"/>
      <c r="H212" s="1455"/>
      <c r="I212" s="1455"/>
      <c r="J212" s="1455"/>
    </row>
    <row r="213" spans="5:10" x14ac:dyDescent="0.3">
      <c r="E213" s="1455"/>
      <c r="F213" s="1495"/>
      <c r="G213" s="1455"/>
      <c r="H213" s="1455"/>
      <c r="I213" s="1455"/>
      <c r="J213" s="1455"/>
    </row>
    <row r="214" spans="5:10" x14ac:dyDescent="0.3">
      <c r="E214" s="1455"/>
      <c r="F214" s="1495"/>
      <c r="G214" s="1455"/>
      <c r="H214" s="1455"/>
      <c r="I214" s="1455"/>
      <c r="J214" s="1455"/>
    </row>
    <row r="215" spans="5:10" x14ac:dyDescent="0.3">
      <c r="E215" s="1455"/>
      <c r="F215" s="1495"/>
      <c r="G215" s="1455"/>
      <c r="H215" s="1455"/>
      <c r="I215" s="1455"/>
      <c r="J215" s="1455"/>
    </row>
    <row r="216" spans="5:10" x14ac:dyDescent="0.3">
      <c r="E216" s="1455"/>
      <c r="F216" s="1495"/>
      <c r="G216" s="1455"/>
      <c r="H216" s="1455"/>
      <c r="I216" s="1455"/>
      <c r="J216" s="1455"/>
    </row>
    <row r="217" spans="5:10" x14ac:dyDescent="0.3">
      <c r="E217" s="1455"/>
      <c r="F217" s="1495"/>
      <c r="G217" s="1455"/>
      <c r="H217" s="1455"/>
      <c r="I217" s="1455"/>
      <c r="J217" s="1455"/>
    </row>
    <row r="218" spans="5:10" x14ac:dyDescent="0.3">
      <c r="E218" s="1455"/>
      <c r="F218" s="1495"/>
      <c r="G218" s="1455"/>
      <c r="H218" s="1455"/>
      <c r="I218" s="1455"/>
      <c r="J218" s="1455"/>
    </row>
    <row r="219" spans="5:10" x14ac:dyDescent="0.3">
      <c r="E219" s="1455"/>
      <c r="F219" s="1495"/>
      <c r="G219" s="1455"/>
      <c r="H219" s="1455"/>
      <c r="I219" s="1455"/>
      <c r="J219" s="1455"/>
    </row>
    <row r="220" spans="5:10" x14ac:dyDescent="0.3">
      <c r="E220" s="1455"/>
      <c r="F220" s="1495"/>
      <c r="G220" s="1455"/>
      <c r="H220" s="1455"/>
      <c r="I220" s="1455"/>
      <c r="J220" s="1455"/>
    </row>
    <row r="221" spans="5:10" x14ac:dyDescent="0.3">
      <c r="E221" s="1455"/>
      <c r="F221" s="1495"/>
      <c r="G221" s="1455"/>
      <c r="H221" s="1455"/>
      <c r="I221" s="1455"/>
      <c r="J221" s="1455"/>
    </row>
    <row r="222" spans="5:10" x14ac:dyDescent="0.3">
      <c r="E222" s="1455"/>
      <c r="F222" s="1495"/>
      <c r="G222" s="1455"/>
      <c r="H222" s="1455"/>
      <c r="I222" s="1455"/>
      <c r="J222" s="1455"/>
    </row>
    <row r="223" spans="5:10" x14ac:dyDescent="0.3">
      <c r="E223" s="1455"/>
      <c r="F223" s="1495"/>
      <c r="G223" s="1455"/>
      <c r="H223" s="1455"/>
      <c r="I223" s="1455"/>
      <c r="J223" s="1455"/>
    </row>
    <row r="224" spans="5:10" x14ac:dyDescent="0.3">
      <c r="E224" s="1455"/>
      <c r="F224" s="1495"/>
      <c r="G224" s="1455"/>
      <c r="H224" s="1455"/>
      <c r="I224" s="1455"/>
      <c r="J224" s="1455"/>
    </row>
    <row r="225" spans="5:10" x14ac:dyDescent="0.3">
      <c r="E225" s="1455"/>
      <c r="F225" s="1495"/>
      <c r="G225" s="1455"/>
      <c r="H225" s="1455"/>
      <c r="I225" s="1455"/>
      <c r="J225" s="1455"/>
    </row>
    <row r="226" spans="5:10" x14ac:dyDescent="0.3">
      <c r="E226" s="1455"/>
      <c r="F226" s="1495"/>
      <c r="G226" s="1455"/>
      <c r="H226" s="1455"/>
      <c r="I226" s="1455"/>
      <c r="J226" s="1455"/>
    </row>
    <row r="227" spans="5:10" x14ac:dyDescent="0.3">
      <c r="E227" s="1455"/>
      <c r="F227" s="1495"/>
      <c r="G227" s="1455"/>
      <c r="H227" s="1455"/>
      <c r="I227" s="1455"/>
      <c r="J227" s="1455"/>
    </row>
    <row r="228" spans="5:10" x14ac:dyDescent="0.3">
      <c r="E228" s="1455"/>
      <c r="F228" s="1495"/>
      <c r="G228" s="1455"/>
      <c r="H228" s="1455"/>
      <c r="I228" s="1455"/>
      <c r="J228" s="1455"/>
    </row>
    <row r="229" spans="5:10" x14ac:dyDescent="0.3">
      <c r="E229" s="1455"/>
      <c r="F229" s="1495"/>
      <c r="G229" s="1455"/>
      <c r="H229" s="1455"/>
      <c r="I229" s="1455"/>
      <c r="J229" s="1455"/>
    </row>
    <row r="230" spans="5:10" x14ac:dyDescent="0.3">
      <c r="E230" s="1455"/>
      <c r="F230" s="1495"/>
      <c r="G230" s="1455"/>
      <c r="H230" s="1455"/>
      <c r="I230" s="1455"/>
      <c r="J230" s="1455"/>
    </row>
    <row r="231" spans="5:10" x14ac:dyDescent="0.3">
      <c r="E231" s="1455"/>
      <c r="F231" s="1495"/>
      <c r="G231" s="1455"/>
      <c r="H231" s="1455"/>
      <c r="I231" s="1455"/>
      <c r="J231" s="1455"/>
    </row>
    <row r="232" spans="5:10" x14ac:dyDescent="0.3">
      <c r="E232" s="1455"/>
      <c r="F232" s="1495"/>
      <c r="G232" s="1455"/>
      <c r="H232" s="1455"/>
      <c r="I232" s="1455"/>
      <c r="J232" s="1455"/>
    </row>
    <row r="233" spans="5:10" x14ac:dyDescent="0.3">
      <c r="E233" s="1455"/>
      <c r="F233" s="1495"/>
      <c r="G233" s="1455"/>
      <c r="H233" s="1455"/>
      <c r="I233" s="1455"/>
      <c r="J233" s="1455"/>
    </row>
    <row r="234" spans="5:10" x14ac:dyDescent="0.3">
      <c r="E234" s="1455"/>
      <c r="F234" s="1495"/>
      <c r="G234" s="1455"/>
      <c r="H234" s="1455"/>
      <c r="I234" s="1455"/>
      <c r="J234" s="1455"/>
    </row>
    <row r="235" spans="5:10" x14ac:dyDescent="0.3">
      <c r="E235" s="1455"/>
      <c r="F235" s="1495"/>
      <c r="G235" s="1455"/>
      <c r="H235" s="1455"/>
      <c r="I235" s="1455"/>
      <c r="J235" s="1455"/>
    </row>
    <row r="236" spans="5:10" x14ac:dyDescent="0.3">
      <c r="E236" s="1455"/>
      <c r="F236" s="1495"/>
      <c r="G236" s="1455"/>
      <c r="H236" s="1455"/>
      <c r="I236" s="1455"/>
      <c r="J236" s="1455"/>
    </row>
    <row r="237" spans="5:10" x14ac:dyDescent="0.3">
      <c r="E237" s="1455"/>
      <c r="F237" s="1495"/>
      <c r="G237" s="1455"/>
      <c r="H237" s="1455"/>
      <c r="I237" s="1455"/>
      <c r="J237" s="1455"/>
    </row>
    <row r="238" spans="5:10" x14ac:dyDescent="0.3">
      <c r="E238" s="1455"/>
      <c r="F238" s="1495"/>
      <c r="G238" s="1455"/>
      <c r="H238" s="1455"/>
      <c r="I238" s="1455"/>
      <c r="J238" s="1455"/>
    </row>
    <row r="239" spans="5:10" x14ac:dyDescent="0.3">
      <c r="E239" s="1455"/>
      <c r="F239" s="1495"/>
      <c r="G239" s="1455"/>
      <c r="H239" s="1455"/>
      <c r="I239" s="1455"/>
      <c r="J239" s="1455"/>
    </row>
    <row r="240" spans="5:10" x14ac:dyDescent="0.3">
      <c r="E240" s="1455"/>
      <c r="F240" s="1495"/>
      <c r="G240" s="1455"/>
      <c r="H240" s="1455"/>
      <c r="I240" s="1455"/>
      <c r="J240" s="1455"/>
    </row>
    <row r="241" spans="5:10" x14ac:dyDescent="0.3">
      <c r="E241" s="1455"/>
      <c r="F241" s="1495"/>
      <c r="G241" s="1455"/>
      <c r="H241" s="1455"/>
      <c r="I241" s="1455"/>
      <c r="J241" s="1455"/>
    </row>
    <row r="242" spans="5:10" x14ac:dyDescent="0.3">
      <c r="E242" s="1455"/>
      <c r="F242" s="1495"/>
      <c r="G242" s="1455"/>
      <c r="H242" s="1455"/>
      <c r="I242" s="1455"/>
      <c r="J242" s="1455"/>
    </row>
    <row r="243" spans="5:10" x14ac:dyDescent="0.3">
      <c r="E243" s="1455"/>
      <c r="F243" s="1495"/>
      <c r="G243" s="1455"/>
      <c r="H243" s="1455"/>
      <c r="I243" s="1455"/>
      <c r="J243" s="1455"/>
    </row>
    <row r="244" spans="5:10" x14ac:dyDescent="0.3">
      <c r="E244" s="1455"/>
      <c r="F244" s="1495"/>
      <c r="G244" s="1455"/>
      <c r="H244" s="1455"/>
      <c r="I244" s="1455"/>
      <c r="J244" s="1455"/>
    </row>
    <row r="245" spans="5:10" x14ac:dyDescent="0.3">
      <c r="E245" s="1455"/>
      <c r="F245" s="1495"/>
      <c r="G245" s="1455"/>
      <c r="H245" s="1455"/>
      <c r="I245" s="1455"/>
      <c r="J245" s="1455"/>
    </row>
    <row r="246" spans="5:10" x14ac:dyDescent="0.3">
      <c r="E246" s="1455"/>
      <c r="F246" s="1495"/>
      <c r="G246" s="1455"/>
      <c r="H246" s="1455"/>
      <c r="I246" s="1455"/>
      <c r="J246" s="1455"/>
    </row>
    <row r="247" spans="5:10" x14ac:dyDescent="0.3">
      <c r="E247" s="1455"/>
      <c r="F247" s="1495"/>
      <c r="G247" s="1455"/>
      <c r="H247" s="1455"/>
      <c r="I247" s="1455"/>
      <c r="J247" s="1455"/>
    </row>
    <row r="248" spans="5:10" x14ac:dyDescent="0.3">
      <c r="E248" s="1455"/>
      <c r="F248" s="1495"/>
      <c r="G248" s="1455"/>
      <c r="H248" s="1455"/>
      <c r="I248" s="1455"/>
      <c r="J248" s="1455"/>
    </row>
    <row r="249" spans="5:10" x14ac:dyDescent="0.3">
      <c r="E249" s="1455"/>
      <c r="F249" s="1495"/>
      <c r="G249" s="1455"/>
      <c r="H249" s="1455"/>
      <c r="I249" s="1455"/>
      <c r="J249" s="1455"/>
    </row>
    <row r="250" spans="5:10" x14ac:dyDescent="0.3">
      <c r="E250" s="1455"/>
      <c r="F250" s="1495"/>
      <c r="G250" s="1455"/>
      <c r="H250" s="1455"/>
      <c r="I250" s="1455"/>
      <c r="J250" s="1455"/>
    </row>
    <row r="251" spans="5:10" x14ac:dyDescent="0.3">
      <c r="E251" s="1455"/>
      <c r="F251" s="1495"/>
      <c r="G251" s="1455"/>
      <c r="H251" s="1455"/>
      <c r="I251" s="1455"/>
      <c r="J251" s="1455"/>
    </row>
    <row r="252" spans="5:10" x14ac:dyDescent="0.3">
      <c r="E252" s="1455"/>
      <c r="F252" s="1495"/>
      <c r="G252" s="1455"/>
      <c r="H252" s="1455"/>
      <c r="I252" s="1455"/>
      <c r="J252" s="1455"/>
    </row>
    <row r="253" spans="5:10" x14ac:dyDescent="0.3">
      <c r="E253" s="1455"/>
      <c r="F253" s="1495"/>
      <c r="G253" s="1455"/>
      <c r="H253" s="1455"/>
      <c r="I253" s="1455"/>
      <c r="J253" s="1455"/>
    </row>
    <row r="254" spans="5:10" x14ac:dyDescent="0.3">
      <c r="E254" s="1455"/>
      <c r="F254" s="1495"/>
      <c r="G254" s="1455"/>
      <c r="H254" s="1455"/>
      <c r="I254" s="1455"/>
      <c r="J254" s="1455"/>
    </row>
    <row r="255" spans="5:10" x14ac:dyDescent="0.3">
      <c r="E255" s="1455"/>
      <c r="F255" s="1495"/>
      <c r="G255" s="1455"/>
      <c r="H255" s="1455"/>
      <c r="I255" s="1455"/>
      <c r="J255" s="1455"/>
    </row>
    <row r="256" spans="5:10" x14ac:dyDescent="0.3">
      <c r="E256" s="1455"/>
      <c r="F256" s="1495"/>
      <c r="G256" s="1455"/>
      <c r="H256" s="1455"/>
      <c r="I256" s="1455"/>
      <c r="J256" s="1455"/>
    </row>
    <row r="257" spans="5:10" x14ac:dyDescent="0.3">
      <c r="E257" s="1455"/>
      <c r="F257" s="1495"/>
      <c r="G257" s="1455"/>
      <c r="H257" s="1455"/>
      <c r="I257" s="1455"/>
      <c r="J257" s="1455"/>
    </row>
    <row r="258" spans="5:10" x14ac:dyDescent="0.3">
      <c r="E258" s="1455"/>
      <c r="F258" s="1495"/>
      <c r="G258" s="1455"/>
      <c r="H258" s="1455"/>
      <c r="I258" s="1455"/>
      <c r="J258" s="1455"/>
    </row>
    <row r="259" spans="5:10" x14ac:dyDescent="0.3">
      <c r="E259" s="1455"/>
      <c r="F259" s="1495"/>
      <c r="G259" s="1455"/>
      <c r="H259" s="1455"/>
      <c r="I259" s="1455"/>
      <c r="J259" s="1455"/>
    </row>
    <row r="260" spans="5:10" x14ac:dyDescent="0.3">
      <c r="E260" s="1455"/>
      <c r="F260" s="1495"/>
      <c r="G260" s="1455"/>
      <c r="H260" s="1455"/>
      <c r="I260" s="1455"/>
      <c r="J260" s="1455"/>
    </row>
    <row r="261" spans="5:10" x14ac:dyDescent="0.3">
      <c r="E261" s="1455"/>
      <c r="F261" s="1495"/>
      <c r="G261" s="1455"/>
      <c r="H261" s="1455"/>
      <c r="I261" s="1455"/>
      <c r="J261" s="1455"/>
    </row>
    <row r="262" spans="5:10" x14ac:dyDescent="0.3">
      <c r="E262" s="1455"/>
      <c r="F262" s="1495"/>
      <c r="G262" s="1455"/>
      <c r="H262" s="1455"/>
      <c r="I262" s="1455"/>
      <c r="J262" s="1455"/>
    </row>
    <row r="263" spans="5:10" x14ac:dyDescent="0.3">
      <c r="E263" s="1455"/>
      <c r="F263" s="1495"/>
      <c r="G263" s="1455"/>
      <c r="H263" s="1455"/>
      <c r="I263" s="1455"/>
      <c r="J263" s="1455"/>
    </row>
    <row r="264" spans="5:10" x14ac:dyDescent="0.3">
      <c r="E264" s="1455"/>
      <c r="F264" s="1495"/>
      <c r="G264" s="1455"/>
      <c r="H264" s="1455"/>
      <c r="I264" s="1455"/>
      <c r="J264" s="1455"/>
    </row>
    <row r="265" spans="5:10" x14ac:dyDescent="0.3">
      <c r="E265" s="1455"/>
      <c r="F265" s="1495"/>
      <c r="G265" s="1455"/>
      <c r="H265" s="1455"/>
      <c r="I265" s="1455"/>
      <c r="J265" s="1455"/>
    </row>
    <row r="266" spans="5:10" x14ac:dyDescent="0.3">
      <c r="E266" s="1455"/>
      <c r="F266" s="1495"/>
      <c r="G266" s="1455"/>
      <c r="H266" s="1455"/>
      <c r="I266" s="1455"/>
      <c r="J266" s="1455"/>
    </row>
    <row r="267" spans="5:10" x14ac:dyDescent="0.3">
      <c r="E267" s="1455"/>
      <c r="F267" s="1495"/>
      <c r="G267" s="1455"/>
      <c r="H267" s="1455"/>
      <c r="I267" s="1455"/>
      <c r="J267" s="1455"/>
    </row>
    <row r="268" spans="5:10" x14ac:dyDescent="0.3">
      <c r="E268" s="1455"/>
      <c r="F268" s="1495"/>
      <c r="G268" s="1455"/>
      <c r="H268" s="1455"/>
      <c r="I268" s="1455"/>
      <c r="J268" s="1455"/>
    </row>
    <row r="269" spans="5:10" x14ac:dyDescent="0.3">
      <c r="E269" s="1455"/>
      <c r="F269" s="1495"/>
      <c r="G269" s="1455"/>
      <c r="H269" s="1455"/>
      <c r="I269" s="1455"/>
      <c r="J269" s="1455"/>
    </row>
    <row r="270" spans="5:10" x14ac:dyDescent="0.3">
      <c r="E270" s="1455"/>
      <c r="F270" s="1495"/>
      <c r="G270" s="1455"/>
      <c r="H270" s="1455"/>
      <c r="I270" s="1455"/>
      <c r="J270" s="1455"/>
    </row>
    <row r="271" spans="5:10" x14ac:dyDescent="0.3">
      <c r="E271" s="1455"/>
      <c r="F271" s="1495"/>
      <c r="G271" s="1455"/>
      <c r="H271" s="1455"/>
      <c r="I271" s="1455"/>
      <c r="J271" s="1455"/>
    </row>
    <row r="272" spans="5:10" x14ac:dyDescent="0.3">
      <c r="E272" s="1455"/>
      <c r="F272" s="1495"/>
      <c r="G272" s="1455"/>
      <c r="H272" s="1455"/>
      <c r="I272" s="1455"/>
      <c r="J272" s="1455"/>
    </row>
    <row r="273" spans="5:10" x14ac:dyDescent="0.3">
      <c r="E273" s="1455"/>
      <c r="F273" s="1495"/>
      <c r="G273" s="1455"/>
      <c r="H273" s="1455"/>
      <c r="I273" s="1455"/>
      <c r="J273" s="1455"/>
    </row>
    <row r="274" spans="5:10" x14ac:dyDescent="0.3">
      <c r="E274" s="1455"/>
      <c r="F274" s="1495"/>
      <c r="G274" s="1455"/>
      <c r="H274" s="1455"/>
      <c r="I274" s="1455"/>
      <c r="J274" s="1455"/>
    </row>
    <row r="275" spans="5:10" x14ac:dyDescent="0.3">
      <c r="E275" s="1455"/>
      <c r="F275" s="1495"/>
      <c r="G275" s="1455"/>
      <c r="H275" s="1455"/>
      <c r="I275" s="1455"/>
      <c r="J275" s="1455"/>
    </row>
    <row r="276" spans="5:10" x14ac:dyDescent="0.3">
      <c r="E276" s="1455"/>
      <c r="F276" s="1495"/>
      <c r="G276" s="1455"/>
      <c r="H276" s="1455"/>
      <c r="I276" s="1455"/>
      <c r="J276" s="1455"/>
    </row>
    <row r="277" spans="5:10" x14ac:dyDescent="0.3">
      <c r="E277" s="1455"/>
      <c r="F277" s="1495"/>
      <c r="G277" s="1455"/>
      <c r="H277" s="1455"/>
      <c r="I277" s="1455"/>
      <c r="J277" s="1455"/>
    </row>
    <row r="278" spans="5:10" x14ac:dyDescent="0.3">
      <c r="E278" s="1455"/>
      <c r="F278" s="1495"/>
      <c r="G278" s="1455"/>
      <c r="H278" s="1455"/>
      <c r="I278" s="1455"/>
      <c r="J278" s="1455"/>
    </row>
    <row r="279" spans="5:10" x14ac:dyDescent="0.3">
      <c r="E279" s="1455"/>
      <c r="F279" s="1495"/>
      <c r="G279" s="1455"/>
      <c r="H279" s="1455"/>
      <c r="I279" s="1455"/>
      <c r="J279" s="1455"/>
    </row>
    <row r="280" spans="5:10" x14ac:dyDescent="0.3">
      <c r="E280" s="1455"/>
      <c r="F280" s="1495"/>
      <c r="G280" s="1455"/>
      <c r="H280" s="1455"/>
      <c r="I280" s="1455"/>
      <c r="J280" s="1455"/>
    </row>
    <row r="281" spans="5:10" x14ac:dyDescent="0.3">
      <c r="E281" s="1455"/>
      <c r="F281" s="1495"/>
      <c r="G281" s="1455"/>
      <c r="H281" s="1455"/>
      <c r="I281" s="1455"/>
      <c r="J281" s="1455"/>
    </row>
    <row r="282" spans="5:10" x14ac:dyDescent="0.3">
      <c r="E282" s="1455"/>
      <c r="F282" s="1495"/>
      <c r="G282" s="1455"/>
      <c r="H282" s="1455"/>
      <c r="I282" s="1455"/>
      <c r="J282" s="1455"/>
    </row>
    <row r="283" spans="5:10" x14ac:dyDescent="0.3">
      <c r="E283" s="1455"/>
      <c r="F283" s="1495"/>
      <c r="G283" s="1455"/>
      <c r="H283" s="1455"/>
      <c r="I283" s="1455"/>
      <c r="J283" s="1455"/>
    </row>
    <row r="284" spans="5:10" x14ac:dyDescent="0.3">
      <c r="E284" s="1455"/>
      <c r="F284" s="1495"/>
      <c r="G284" s="1455"/>
      <c r="H284" s="1455"/>
      <c r="I284" s="1455"/>
      <c r="J284" s="1455"/>
    </row>
    <row r="285" spans="5:10" x14ac:dyDescent="0.3">
      <c r="E285" s="1455"/>
      <c r="F285" s="1495"/>
      <c r="G285" s="1455"/>
      <c r="H285" s="1455"/>
      <c r="I285" s="1455"/>
      <c r="J285" s="1455"/>
    </row>
    <row r="286" spans="5:10" x14ac:dyDescent="0.3">
      <c r="E286" s="1455"/>
      <c r="F286" s="1495"/>
      <c r="G286" s="1455"/>
      <c r="H286" s="1455"/>
      <c r="I286" s="1455"/>
      <c r="J286" s="1455"/>
    </row>
    <row r="287" spans="5:10" x14ac:dyDescent="0.3">
      <c r="E287" s="1455"/>
      <c r="F287" s="1495"/>
      <c r="G287" s="1455"/>
      <c r="H287" s="1455"/>
      <c r="I287" s="1455"/>
      <c r="J287" s="1455"/>
    </row>
    <row r="288" spans="5:10" x14ac:dyDescent="0.3">
      <c r="E288" s="1455"/>
      <c r="F288" s="1495"/>
      <c r="G288" s="1455"/>
      <c r="H288" s="1455"/>
      <c r="I288" s="1455"/>
      <c r="J288" s="1455"/>
    </row>
    <row r="289" spans="5:10" x14ac:dyDescent="0.3">
      <c r="E289" s="1455"/>
      <c r="F289" s="1495"/>
      <c r="G289" s="1455"/>
      <c r="H289" s="1455"/>
      <c r="I289" s="1455"/>
      <c r="J289" s="1455"/>
    </row>
    <row r="290" spans="5:10" x14ac:dyDescent="0.3">
      <c r="E290" s="1455"/>
      <c r="F290" s="1495"/>
      <c r="G290" s="1455"/>
      <c r="H290" s="1455"/>
      <c r="I290" s="1455"/>
      <c r="J290" s="1455"/>
    </row>
    <row r="291" spans="5:10" x14ac:dyDescent="0.3">
      <c r="E291" s="1455"/>
      <c r="F291" s="1495"/>
      <c r="G291" s="1455"/>
      <c r="H291" s="1455"/>
      <c r="I291" s="1455"/>
      <c r="J291" s="1455"/>
    </row>
    <row r="292" spans="5:10" x14ac:dyDescent="0.3">
      <c r="E292" s="1455"/>
      <c r="F292" s="1495"/>
      <c r="G292" s="1455"/>
      <c r="H292" s="1455"/>
      <c r="I292" s="1455"/>
      <c r="J292" s="1455"/>
    </row>
    <row r="293" spans="5:10" x14ac:dyDescent="0.3">
      <c r="E293" s="1455"/>
      <c r="F293" s="1495"/>
      <c r="G293" s="1455"/>
      <c r="H293" s="1455"/>
      <c r="I293" s="1455"/>
      <c r="J293" s="1455"/>
    </row>
    <row r="294" spans="5:10" x14ac:dyDescent="0.3">
      <c r="E294" s="1455"/>
      <c r="F294" s="1495"/>
      <c r="G294" s="1455"/>
      <c r="H294" s="1455"/>
      <c r="I294" s="1455"/>
      <c r="J294" s="1455"/>
    </row>
    <row r="295" spans="5:10" x14ac:dyDescent="0.3">
      <c r="E295" s="1455"/>
      <c r="F295" s="1495"/>
      <c r="G295" s="1455"/>
      <c r="H295" s="1455"/>
      <c r="I295" s="1455"/>
      <c r="J295" s="1455"/>
    </row>
    <row r="296" spans="5:10" x14ac:dyDescent="0.3">
      <c r="E296" s="1455"/>
      <c r="F296" s="1495"/>
      <c r="G296" s="1455"/>
      <c r="H296" s="1455"/>
      <c r="I296" s="1455"/>
      <c r="J296" s="1455"/>
    </row>
    <row r="297" spans="5:10" x14ac:dyDescent="0.3">
      <c r="E297" s="1455"/>
      <c r="F297" s="1495"/>
      <c r="G297" s="1455"/>
      <c r="H297" s="1455"/>
      <c r="I297" s="1455"/>
      <c r="J297" s="1455"/>
    </row>
    <row r="298" spans="5:10" x14ac:dyDescent="0.3">
      <c r="E298" s="1455"/>
      <c r="F298" s="1495"/>
      <c r="G298" s="1455"/>
      <c r="H298" s="1455"/>
      <c r="I298" s="1455"/>
      <c r="J298" s="1455"/>
    </row>
    <row r="299" spans="5:10" x14ac:dyDescent="0.3">
      <c r="E299" s="1455"/>
      <c r="F299" s="1495"/>
      <c r="G299" s="1455"/>
      <c r="H299" s="1455"/>
      <c r="I299" s="1455"/>
      <c r="J299" s="1455"/>
    </row>
    <row r="300" spans="5:10" x14ac:dyDescent="0.3">
      <c r="E300" s="1455"/>
      <c r="F300" s="1495"/>
      <c r="G300" s="1455"/>
      <c r="H300" s="1455"/>
      <c r="I300" s="1455"/>
      <c r="J300" s="1455"/>
    </row>
    <row r="301" spans="5:10" x14ac:dyDescent="0.3">
      <c r="E301" s="1455"/>
      <c r="F301" s="1495"/>
      <c r="G301" s="1455"/>
      <c r="H301" s="1455"/>
      <c r="I301" s="1455"/>
      <c r="J301" s="1455"/>
    </row>
    <row r="302" spans="5:10" x14ac:dyDescent="0.3">
      <c r="E302" s="1455"/>
      <c r="F302" s="1495"/>
      <c r="G302" s="1455"/>
      <c r="H302" s="1455"/>
      <c r="I302" s="1455"/>
      <c r="J302" s="1455"/>
    </row>
    <row r="303" spans="5:10" x14ac:dyDescent="0.3">
      <c r="E303" s="1455"/>
      <c r="F303" s="1495"/>
      <c r="G303" s="1455"/>
      <c r="H303" s="1455"/>
      <c r="I303" s="1455"/>
      <c r="J303" s="1455"/>
    </row>
    <row r="304" spans="5:10" x14ac:dyDescent="0.3">
      <c r="E304" s="1455"/>
      <c r="F304" s="1495"/>
      <c r="G304" s="1455"/>
      <c r="H304" s="1455"/>
      <c r="I304" s="1455"/>
      <c r="J304" s="1455"/>
    </row>
    <row r="305" spans="5:10" x14ac:dyDescent="0.3">
      <c r="E305" s="1455"/>
      <c r="F305" s="1495"/>
      <c r="G305" s="1455"/>
      <c r="H305" s="1455"/>
      <c r="I305" s="1455"/>
      <c r="J305" s="1455"/>
    </row>
    <row r="306" spans="5:10" x14ac:dyDescent="0.3">
      <c r="E306" s="1455"/>
      <c r="F306" s="1495"/>
      <c r="G306" s="1455"/>
      <c r="H306" s="1455"/>
      <c r="I306" s="1455"/>
      <c r="J306" s="1455"/>
    </row>
    <row r="307" spans="5:10" x14ac:dyDescent="0.3">
      <c r="E307" s="1455"/>
      <c r="F307" s="1495"/>
      <c r="G307" s="1455"/>
      <c r="H307" s="1455"/>
      <c r="I307" s="1455"/>
      <c r="J307" s="1455"/>
    </row>
    <row r="308" spans="5:10" x14ac:dyDescent="0.3">
      <c r="E308" s="1455"/>
      <c r="F308" s="1495"/>
      <c r="G308" s="1455"/>
      <c r="H308" s="1455"/>
      <c r="I308" s="1455"/>
      <c r="J308" s="1455"/>
    </row>
    <row r="309" spans="5:10" x14ac:dyDescent="0.3">
      <c r="E309" s="1455"/>
      <c r="F309" s="1495"/>
      <c r="G309" s="1455"/>
      <c r="H309" s="1455"/>
      <c r="I309" s="1455"/>
      <c r="J309" s="1455"/>
    </row>
    <row r="310" spans="5:10" x14ac:dyDescent="0.3">
      <c r="E310" s="1455"/>
      <c r="F310" s="1495"/>
      <c r="G310" s="1455"/>
      <c r="H310" s="1455"/>
      <c r="I310" s="1455"/>
      <c r="J310" s="1455"/>
    </row>
    <row r="311" spans="5:10" x14ac:dyDescent="0.3">
      <c r="E311" s="1455"/>
      <c r="F311" s="1495"/>
      <c r="G311" s="1455"/>
      <c r="H311" s="1455"/>
      <c r="I311" s="1455"/>
      <c r="J311" s="1455"/>
    </row>
    <row r="312" spans="5:10" x14ac:dyDescent="0.3">
      <c r="E312" s="1455"/>
      <c r="F312" s="1495"/>
      <c r="G312" s="1455"/>
      <c r="H312" s="1455"/>
      <c r="I312" s="1455"/>
      <c r="J312" s="1455"/>
    </row>
    <row r="313" spans="5:10" x14ac:dyDescent="0.3">
      <c r="E313" s="1455"/>
      <c r="F313" s="1495"/>
      <c r="G313" s="1455"/>
      <c r="H313" s="1455"/>
      <c r="I313" s="1455"/>
      <c r="J313" s="1455"/>
    </row>
    <row r="314" spans="5:10" x14ac:dyDescent="0.3">
      <c r="E314" s="1455"/>
      <c r="F314" s="1495"/>
      <c r="G314" s="1455"/>
      <c r="H314" s="1455"/>
      <c r="I314" s="1455"/>
      <c r="J314" s="1455"/>
    </row>
    <row r="315" spans="5:10" x14ac:dyDescent="0.3">
      <c r="E315" s="1455"/>
      <c r="F315" s="1495"/>
      <c r="G315" s="1455"/>
      <c r="H315" s="1455"/>
      <c r="I315" s="1455"/>
      <c r="J315" s="1455"/>
    </row>
    <row r="316" spans="5:10" x14ac:dyDescent="0.3">
      <c r="E316" s="1455"/>
      <c r="F316" s="1495"/>
      <c r="G316" s="1455"/>
      <c r="H316" s="1455"/>
      <c r="I316" s="1455"/>
      <c r="J316" s="1455"/>
    </row>
    <row r="317" spans="5:10" x14ac:dyDescent="0.3">
      <c r="E317" s="1455"/>
      <c r="F317" s="1495"/>
      <c r="G317" s="1455"/>
      <c r="H317" s="1455"/>
      <c r="I317" s="1455"/>
      <c r="J317" s="1455"/>
    </row>
    <row r="318" spans="5:10" x14ac:dyDescent="0.3">
      <c r="E318" s="1455"/>
      <c r="F318" s="1495"/>
      <c r="G318" s="1455"/>
      <c r="H318" s="1455"/>
      <c r="I318" s="1455"/>
      <c r="J318" s="1455"/>
    </row>
    <row r="319" spans="5:10" x14ac:dyDescent="0.3">
      <c r="E319" s="1455"/>
      <c r="F319" s="1495"/>
      <c r="G319" s="1455"/>
      <c r="H319" s="1455"/>
      <c r="I319" s="1455"/>
      <c r="J319" s="1455"/>
    </row>
    <row r="320" spans="5:10" x14ac:dyDescent="0.3">
      <c r="E320" s="1455"/>
      <c r="F320" s="1495"/>
      <c r="G320" s="1455"/>
      <c r="H320" s="1455"/>
      <c r="I320" s="1455"/>
      <c r="J320" s="1455"/>
    </row>
    <row r="321" spans="5:10" x14ac:dyDescent="0.3">
      <c r="E321" s="1455"/>
      <c r="F321" s="1495"/>
      <c r="G321" s="1455"/>
      <c r="H321" s="1455"/>
      <c r="I321" s="1455"/>
      <c r="J321" s="1455"/>
    </row>
    <row r="322" spans="5:10" x14ac:dyDescent="0.3">
      <c r="E322" s="1455"/>
      <c r="F322" s="1495"/>
      <c r="G322" s="1455"/>
      <c r="H322" s="1455"/>
      <c r="I322" s="1455"/>
      <c r="J322" s="1455"/>
    </row>
    <row r="323" spans="5:10" x14ac:dyDescent="0.3">
      <c r="E323" s="1455"/>
      <c r="F323" s="1495"/>
      <c r="G323" s="1455"/>
      <c r="H323" s="1455"/>
      <c r="I323" s="1455"/>
      <c r="J323" s="1455"/>
    </row>
    <row r="324" spans="5:10" x14ac:dyDescent="0.3">
      <c r="E324" s="1455"/>
      <c r="F324" s="1495"/>
      <c r="G324" s="1455"/>
      <c r="H324" s="1455"/>
      <c r="I324" s="1455"/>
      <c r="J324" s="1455"/>
    </row>
    <row r="325" spans="5:10" x14ac:dyDescent="0.3">
      <c r="E325" s="1455"/>
      <c r="F325" s="1495"/>
      <c r="G325" s="1455"/>
      <c r="H325" s="1455"/>
      <c r="I325" s="1455"/>
      <c r="J325" s="1455"/>
    </row>
    <row r="326" spans="5:10" x14ac:dyDescent="0.3">
      <c r="E326" s="1455"/>
      <c r="F326" s="1495"/>
      <c r="G326" s="1455"/>
      <c r="H326" s="1455"/>
      <c r="I326" s="1455"/>
      <c r="J326" s="1455"/>
    </row>
    <row r="327" spans="5:10" x14ac:dyDescent="0.3">
      <c r="E327" s="1455"/>
      <c r="F327" s="1495"/>
      <c r="G327" s="1455"/>
      <c r="H327" s="1455"/>
      <c r="I327" s="1455"/>
      <c r="J327" s="1455"/>
    </row>
    <row r="328" spans="5:10" x14ac:dyDescent="0.3">
      <c r="E328" s="1455"/>
      <c r="F328" s="1495"/>
      <c r="G328" s="1455"/>
      <c r="H328" s="1455"/>
      <c r="I328" s="1455"/>
      <c r="J328" s="1455"/>
    </row>
    <row r="329" spans="5:10" x14ac:dyDescent="0.3">
      <c r="E329" s="1455"/>
      <c r="F329" s="1495"/>
      <c r="G329" s="1455"/>
      <c r="H329" s="1455"/>
      <c r="I329" s="1455"/>
      <c r="J329" s="1455"/>
    </row>
    <row r="330" spans="5:10" x14ac:dyDescent="0.3">
      <c r="E330" s="1455"/>
      <c r="F330" s="1495"/>
      <c r="G330" s="1455"/>
      <c r="H330" s="1455"/>
      <c r="I330" s="1455"/>
      <c r="J330" s="1455"/>
    </row>
    <row r="331" spans="5:10" x14ac:dyDescent="0.3">
      <c r="E331" s="1455"/>
      <c r="F331" s="1495"/>
      <c r="G331" s="1455"/>
      <c r="H331" s="1455"/>
      <c r="I331" s="1455"/>
      <c r="J331" s="1455"/>
    </row>
    <row r="332" spans="5:10" x14ac:dyDescent="0.3">
      <c r="E332" s="1455"/>
      <c r="F332" s="1495"/>
      <c r="G332" s="1455"/>
      <c r="H332" s="1455"/>
      <c r="I332" s="1455"/>
      <c r="J332" s="1455"/>
    </row>
    <row r="333" spans="5:10" x14ac:dyDescent="0.3">
      <c r="E333" s="1455"/>
      <c r="F333" s="1495"/>
      <c r="G333" s="1455"/>
      <c r="H333" s="1455"/>
      <c r="I333" s="1455"/>
      <c r="J333" s="1455"/>
    </row>
    <row r="334" spans="5:10" x14ac:dyDescent="0.3">
      <c r="E334" s="1455"/>
      <c r="F334" s="1495"/>
      <c r="G334" s="1455"/>
      <c r="H334" s="1455"/>
      <c r="I334" s="1455"/>
      <c r="J334" s="1455"/>
    </row>
    <row r="335" spans="5:10" x14ac:dyDescent="0.3">
      <c r="E335" s="1455"/>
      <c r="F335" s="1495"/>
      <c r="G335" s="1455"/>
      <c r="H335" s="1455"/>
      <c r="I335" s="1455"/>
      <c r="J335" s="1455"/>
    </row>
    <row r="336" spans="5:10" x14ac:dyDescent="0.3">
      <c r="E336" s="1455"/>
      <c r="F336" s="1495"/>
      <c r="G336" s="1455"/>
      <c r="H336" s="1455"/>
      <c r="I336" s="1455"/>
      <c r="J336" s="1455"/>
    </row>
    <row r="337" spans="5:10" x14ac:dyDescent="0.3">
      <c r="E337" s="1455"/>
      <c r="F337" s="1495"/>
      <c r="G337" s="1455"/>
      <c r="H337" s="1455"/>
      <c r="I337" s="1455"/>
      <c r="J337" s="1455"/>
    </row>
    <row r="338" spans="5:10" x14ac:dyDescent="0.3">
      <c r="E338" s="1455"/>
      <c r="F338" s="1495"/>
      <c r="G338" s="1455"/>
      <c r="H338" s="1455"/>
      <c r="I338" s="1455"/>
      <c r="J338" s="1455"/>
    </row>
    <row r="339" spans="5:10" x14ac:dyDescent="0.3">
      <c r="E339" s="1455"/>
      <c r="F339" s="1495"/>
      <c r="G339" s="1455"/>
      <c r="H339" s="1455"/>
      <c r="I339" s="1455"/>
      <c r="J339" s="1455"/>
    </row>
    <row r="340" spans="5:10" x14ac:dyDescent="0.3">
      <c r="E340" s="1455"/>
      <c r="F340" s="1495"/>
      <c r="G340" s="1455"/>
      <c r="H340" s="1455"/>
      <c r="I340" s="1455"/>
      <c r="J340" s="1455"/>
    </row>
    <row r="341" spans="5:10" x14ac:dyDescent="0.3">
      <c r="E341" s="1455"/>
      <c r="F341" s="1495"/>
      <c r="G341" s="1455"/>
      <c r="H341" s="1455"/>
      <c r="I341" s="1455"/>
      <c r="J341" s="1455"/>
    </row>
    <row r="342" spans="5:10" x14ac:dyDescent="0.3">
      <c r="E342" s="1455"/>
      <c r="F342" s="1495"/>
      <c r="G342" s="1455"/>
      <c r="H342" s="1455"/>
      <c r="I342" s="1455"/>
      <c r="J342" s="1455"/>
    </row>
    <row r="343" spans="5:10" x14ac:dyDescent="0.3">
      <c r="E343" s="1455"/>
      <c r="F343" s="1495"/>
      <c r="G343" s="1455"/>
      <c r="H343" s="1455"/>
      <c r="I343" s="1455"/>
      <c r="J343" s="1455"/>
    </row>
    <row r="344" spans="5:10" x14ac:dyDescent="0.3">
      <c r="E344" s="1455"/>
      <c r="F344" s="1495"/>
      <c r="G344" s="1455"/>
      <c r="H344" s="1455"/>
      <c r="I344" s="1455"/>
      <c r="J344" s="1455"/>
    </row>
    <row r="345" spans="5:10" x14ac:dyDescent="0.3">
      <c r="E345" s="1455"/>
      <c r="F345" s="1495"/>
      <c r="G345" s="1455"/>
      <c r="H345" s="1455"/>
      <c r="I345" s="1455"/>
      <c r="J345" s="1455"/>
    </row>
    <row r="346" spans="5:10" x14ac:dyDescent="0.3">
      <c r="E346" s="1455"/>
      <c r="F346" s="1495"/>
      <c r="G346" s="1455"/>
      <c r="H346" s="1455"/>
      <c r="I346" s="1455"/>
      <c r="J346" s="1455"/>
    </row>
    <row r="347" spans="5:10" x14ac:dyDescent="0.3">
      <c r="E347" s="1455"/>
      <c r="F347" s="1495"/>
      <c r="G347" s="1455"/>
      <c r="H347" s="1455"/>
      <c r="I347" s="1455"/>
      <c r="J347" s="1455"/>
    </row>
    <row r="348" spans="5:10" x14ac:dyDescent="0.3">
      <c r="E348" s="1455"/>
      <c r="F348" s="1495"/>
      <c r="G348" s="1455"/>
      <c r="H348" s="1455"/>
      <c r="I348" s="1455"/>
      <c r="J348" s="1455"/>
    </row>
    <row r="349" spans="5:10" x14ac:dyDescent="0.3">
      <c r="E349" s="1455"/>
      <c r="F349" s="1495"/>
      <c r="G349" s="1455"/>
      <c r="H349" s="1455"/>
      <c r="I349" s="1455"/>
      <c r="J349" s="1455"/>
    </row>
    <row r="350" spans="5:10" x14ac:dyDescent="0.3">
      <c r="E350" s="1455"/>
      <c r="F350" s="1495"/>
      <c r="G350" s="1455"/>
      <c r="H350" s="1455"/>
      <c r="I350" s="1455"/>
      <c r="J350" s="1455"/>
    </row>
    <row r="351" spans="5:10" x14ac:dyDescent="0.3">
      <c r="E351" s="1455"/>
      <c r="F351" s="1495"/>
      <c r="G351" s="1455"/>
      <c r="H351" s="1455"/>
      <c r="I351" s="1455"/>
      <c r="J351" s="1455"/>
    </row>
    <row r="352" spans="5:10" x14ac:dyDescent="0.3">
      <c r="E352" s="1455"/>
      <c r="F352" s="1495"/>
      <c r="G352" s="1455"/>
      <c r="H352" s="1455"/>
      <c r="I352" s="1455"/>
      <c r="J352" s="1455"/>
    </row>
    <row r="353" spans="5:10" x14ac:dyDescent="0.3">
      <c r="E353" s="1455"/>
      <c r="F353" s="1495"/>
      <c r="G353" s="1455"/>
      <c r="H353" s="1455"/>
      <c r="I353" s="1455"/>
      <c r="J353" s="1455"/>
    </row>
    <row r="354" spans="5:10" x14ac:dyDescent="0.3">
      <c r="E354" s="1455"/>
      <c r="F354" s="1495"/>
      <c r="G354" s="1455"/>
      <c r="H354" s="1455"/>
      <c r="I354" s="1455"/>
      <c r="J354" s="1455"/>
    </row>
    <row r="355" spans="5:10" x14ac:dyDescent="0.3">
      <c r="E355" s="1455"/>
      <c r="F355" s="1495"/>
      <c r="G355" s="1455"/>
      <c r="H355" s="1455"/>
      <c r="I355" s="1455"/>
      <c r="J355" s="1455"/>
    </row>
    <row r="356" spans="5:10" x14ac:dyDescent="0.3">
      <c r="E356" s="1455"/>
      <c r="F356" s="1495"/>
      <c r="G356" s="1455"/>
      <c r="H356" s="1455"/>
      <c r="I356" s="1455"/>
      <c r="J356" s="1455"/>
    </row>
    <row r="357" spans="5:10" x14ac:dyDescent="0.3">
      <c r="E357" s="1455"/>
      <c r="F357" s="1495"/>
      <c r="G357" s="1455"/>
      <c r="H357" s="1455"/>
      <c r="I357" s="1455"/>
      <c r="J357" s="1455"/>
    </row>
    <row r="358" spans="5:10" x14ac:dyDescent="0.3">
      <c r="E358" s="1455"/>
      <c r="F358" s="1495"/>
      <c r="G358" s="1455"/>
      <c r="H358" s="1455"/>
      <c r="I358" s="1455"/>
      <c r="J358" s="1455"/>
    </row>
    <row r="359" spans="5:10" x14ac:dyDescent="0.3">
      <c r="E359" s="1455"/>
      <c r="F359" s="1495"/>
      <c r="G359" s="1455"/>
      <c r="H359" s="1455"/>
      <c r="I359" s="1455"/>
      <c r="J359" s="1455"/>
    </row>
    <row r="360" spans="5:10" x14ac:dyDescent="0.3">
      <c r="E360" s="1455"/>
      <c r="F360" s="1495"/>
      <c r="G360" s="1455"/>
      <c r="H360" s="1455"/>
      <c r="I360" s="1455"/>
      <c r="J360" s="1455"/>
    </row>
    <row r="361" spans="5:10" x14ac:dyDescent="0.3">
      <c r="E361" s="1455"/>
      <c r="F361" s="1495"/>
      <c r="G361" s="1455"/>
      <c r="H361" s="1455"/>
      <c r="I361" s="1455"/>
      <c r="J361" s="1455"/>
    </row>
    <row r="362" spans="5:10" x14ac:dyDescent="0.3">
      <c r="E362" s="1455"/>
      <c r="F362" s="1495"/>
      <c r="G362" s="1455"/>
      <c r="H362" s="1455"/>
      <c r="I362" s="1455"/>
      <c r="J362" s="1455"/>
    </row>
    <row r="363" spans="5:10" x14ac:dyDescent="0.3">
      <c r="E363" s="1455"/>
      <c r="F363" s="1495"/>
      <c r="G363" s="1455"/>
      <c r="H363" s="1455"/>
      <c r="I363" s="1455"/>
      <c r="J363" s="1455"/>
    </row>
    <row r="364" spans="5:10" x14ac:dyDescent="0.3">
      <c r="E364" s="1455"/>
      <c r="F364" s="1495"/>
      <c r="G364" s="1455"/>
      <c r="H364" s="1455"/>
      <c r="I364" s="1455"/>
      <c r="J364" s="1455"/>
    </row>
    <row r="365" spans="5:10" x14ac:dyDescent="0.3">
      <c r="E365" s="1455"/>
      <c r="F365" s="1495"/>
      <c r="G365" s="1455"/>
      <c r="H365" s="1455"/>
      <c r="I365" s="1455"/>
      <c r="J365" s="1455"/>
    </row>
    <row r="366" spans="5:10" x14ac:dyDescent="0.3">
      <c r="E366" s="1455"/>
      <c r="F366" s="1495"/>
      <c r="G366" s="1455"/>
      <c r="H366" s="1455"/>
      <c r="I366" s="1455"/>
      <c r="J366" s="1455"/>
    </row>
    <row r="367" spans="5:10" x14ac:dyDescent="0.3">
      <c r="E367" s="1455"/>
      <c r="F367" s="1495"/>
      <c r="G367" s="1455"/>
      <c r="H367" s="1455"/>
      <c r="I367" s="1455"/>
      <c r="J367" s="1455"/>
    </row>
    <row r="368" spans="5:10" x14ac:dyDescent="0.3">
      <c r="E368" s="1455"/>
      <c r="F368" s="1495"/>
      <c r="G368" s="1455"/>
      <c r="H368" s="1455"/>
      <c r="I368" s="1455"/>
      <c r="J368" s="1455"/>
    </row>
    <row r="369" spans="5:10" x14ac:dyDescent="0.3">
      <c r="E369" s="1455"/>
      <c r="F369" s="1495"/>
      <c r="G369" s="1455"/>
      <c r="H369" s="1455"/>
      <c r="I369" s="1455"/>
      <c r="J369" s="1455"/>
    </row>
    <row r="370" spans="5:10" x14ac:dyDescent="0.3">
      <c r="E370" s="1455"/>
      <c r="F370" s="1495"/>
      <c r="G370" s="1455"/>
      <c r="H370" s="1455"/>
      <c r="I370" s="1455"/>
      <c r="J370" s="1455"/>
    </row>
    <row r="371" spans="5:10" x14ac:dyDescent="0.3">
      <c r="E371" s="1455"/>
      <c r="F371" s="1495"/>
      <c r="G371" s="1455"/>
      <c r="H371" s="1455"/>
      <c r="I371" s="1455"/>
      <c r="J371" s="1455"/>
    </row>
    <row r="372" spans="5:10" x14ac:dyDescent="0.3">
      <c r="E372" s="1455"/>
      <c r="F372" s="1495"/>
      <c r="G372" s="1455"/>
      <c r="H372" s="1455"/>
      <c r="I372" s="1455"/>
      <c r="J372" s="1455"/>
    </row>
    <row r="373" spans="5:10" x14ac:dyDescent="0.3">
      <c r="E373" s="1455"/>
      <c r="F373" s="1495"/>
      <c r="G373" s="1455"/>
      <c r="H373" s="1455"/>
      <c r="I373" s="1455"/>
      <c r="J373" s="1455"/>
    </row>
    <row r="374" spans="5:10" x14ac:dyDescent="0.3">
      <c r="E374" s="1455"/>
      <c r="F374" s="1495"/>
      <c r="G374" s="1455"/>
      <c r="H374" s="1455"/>
      <c r="I374" s="1455"/>
      <c r="J374" s="1455"/>
    </row>
    <row r="375" spans="5:10" x14ac:dyDescent="0.3">
      <c r="E375" s="1455"/>
      <c r="F375" s="1495"/>
      <c r="G375" s="1455"/>
      <c r="H375" s="1455"/>
      <c r="I375" s="1455"/>
      <c r="J375" s="1455"/>
    </row>
    <row r="376" spans="5:10" x14ac:dyDescent="0.3">
      <c r="E376" s="1455"/>
      <c r="F376" s="1495"/>
      <c r="G376" s="1455"/>
      <c r="H376" s="1455"/>
      <c r="I376" s="1455"/>
      <c r="J376" s="1455"/>
    </row>
    <row r="377" spans="5:10" x14ac:dyDescent="0.3">
      <c r="E377" s="1455"/>
      <c r="F377" s="1495"/>
      <c r="G377" s="1455"/>
      <c r="H377" s="1455"/>
      <c r="I377" s="1455"/>
      <c r="J377" s="1455"/>
    </row>
    <row r="378" spans="5:10" x14ac:dyDescent="0.3">
      <c r="E378" s="1455"/>
      <c r="F378" s="1495"/>
      <c r="G378" s="1455"/>
      <c r="H378" s="1455"/>
      <c r="I378" s="1455"/>
      <c r="J378" s="1455"/>
    </row>
    <row r="379" spans="5:10" x14ac:dyDescent="0.3">
      <c r="E379" s="1455"/>
      <c r="F379" s="1495"/>
      <c r="G379" s="1455"/>
      <c r="H379" s="1455"/>
      <c r="I379" s="1455"/>
      <c r="J379" s="1455"/>
    </row>
    <row r="380" spans="5:10" x14ac:dyDescent="0.3">
      <c r="E380" s="1455"/>
      <c r="F380" s="1495"/>
      <c r="G380" s="1455"/>
      <c r="H380" s="1455"/>
      <c r="I380" s="1455"/>
      <c r="J380" s="1455"/>
    </row>
    <row r="381" spans="5:10" x14ac:dyDescent="0.3">
      <c r="E381" s="1455"/>
      <c r="F381" s="1495"/>
      <c r="G381" s="1455"/>
      <c r="H381" s="1455"/>
      <c r="I381" s="1455"/>
      <c r="J381" s="1455"/>
    </row>
    <row r="382" spans="5:10" x14ac:dyDescent="0.3">
      <c r="E382" s="1455"/>
      <c r="F382" s="1495"/>
      <c r="G382" s="1455"/>
      <c r="H382" s="1455"/>
      <c r="I382" s="1455"/>
      <c r="J382" s="1455"/>
    </row>
    <row r="383" spans="5:10" x14ac:dyDescent="0.3">
      <c r="E383" s="1455"/>
      <c r="F383" s="1495"/>
      <c r="G383" s="1455"/>
      <c r="H383" s="1455"/>
      <c r="I383" s="1455"/>
      <c r="J383" s="1455"/>
    </row>
    <row r="384" spans="5:10" x14ac:dyDescent="0.3">
      <c r="E384" s="1455"/>
      <c r="F384" s="1495"/>
      <c r="G384" s="1455"/>
      <c r="H384" s="1455"/>
      <c r="I384" s="1455"/>
      <c r="J384" s="1455"/>
    </row>
    <row r="385" spans="5:10" x14ac:dyDescent="0.3">
      <c r="E385" s="1455"/>
      <c r="F385" s="1495"/>
      <c r="G385" s="1455"/>
      <c r="H385" s="1455"/>
      <c r="I385" s="1455"/>
      <c r="J385" s="1455"/>
    </row>
    <row r="386" spans="5:10" x14ac:dyDescent="0.3">
      <c r="E386" s="1455"/>
      <c r="F386" s="1495"/>
      <c r="G386" s="1455"/>
      <c r="H386" s="1455"/>
      <c r="I386" s="1455"/>
      <c r="J386" s="1455"/>
    </row>
    <row r="387" spans="5:10" x14ac:dyDescent="0.3">
      <c r="E387" s="1455"/>
      <c r="F387" s="1495"/>
      <c r="G387" s="1455"/>
      <c r="H387" s="1455"/>
      <c r="I387" s="1455"/>
      <c r="J387" s="1455"/>
    </row>
    <row r="388" spans="5:10" x14ac:dyDescent="0.3">
      <c r="E388" s="1455"/>
      <c r="F388" s="1495"/>
      <c r="G388" s="1455"/>
      <c r="H388" s="1455"/>
      <c r="I388" s="1455"/>
      <c r="J388" s="1455"/>
    </row>
    <row r="389" spans="5:10" x14ac:dyDescent="0.3">
      <c r="E389" s="1455"/>
      <c r="F389" s="1495"/>
      <c r="G389" s="1455"/>
      <c r="H389" s="1455"/>
      <c r="I389" s="1455"/>
      <c r="J389" s="1455"/>
    </row>
    <row r="390" spans="5:10" x14ac:dyDescent="0.3">
      <c r="E390" s="1455"/>
      <c r="F390" s="1495"/>
      <c r="G390" s="1455"/>
      <c r="H390" s="1455"/>
      <c r="I390" s="1455"/>
      <c r="J390" s="1455"/>
    </row>
    <row r="391" spans="5:10" x14ac:dyDescent="0.3">
      <c r="E391" s="1455"/>
      <c r="F391" s="1495"/>
      <c r="G391" s="1455"/>
      <c r="H391" s="1455"/>
      <c r="I391" s="1455"/>
      <c r="J391" s="1455"/>
    </row>
    <row r="392" spans="5:10" x14ac:dyDescent="0.3">
      <c r="E392" s="1455"/>
      <c r="F392" s="1495"/>
      <c r="G392" s="1455"/>
      <c r="H392" s="1455"/>
      <c r="I392" s="1455"/>
      <c r="J392" s="1455"/>
    </row>
    <row r="393" spans="5:10" x14ac:dyDescent="0.3">
      <c r="E393" s="1455"/>
      <c r="F393" s="1495"/>
      <c r="G393" s="1455"/>
      <c r="H393" s="1455"/>
      <c r="I393" s="1455"/>
      <c r="J393" s="1455"/>
    </row>
    <row r="394" spans="5:10" x14ac:dyDescent="0.3">
      <c r="E394" s="1455"/>
      <c r="F394" s="1495"/>
      <c r="G394" s="1455"/>
      <c r="H394" s="1455"/>
      <c r="I394" s="1455"/>
      <c r="J394" s="1455"/>
    </row>
    <row r="395" spans="5:10" x14ac:dyDescent="0.3">
      <c r="E395" s="1455"/>
      <c r="F395" s="1495"/>
      <c r="G395" s="1455"/>
      <c r="H395" s="1455"/>
      <c r="I395" s="1455"/>
      <c r="J395" s="1455"/>
    </row>
    <row r="396" spans="5:10" x14ac:dyDescent="0.3">
      <c r="E396" s="1455"/>
      <c r="F396" s="1495"/>
      <c r="G396" s="1455"/>
      <c r="H396" s="1455"/>
      <c r="I396" s="1455"/>
      <c r="J396" s="1455"/>
    </row>
    <row r="397" spans="5:10" x14ac:dyDescent="0.3">
      <c r="E397" s="1455"/>
      <c r="F397" s="1495"/>
      <c r="G397" s="1455"/>
      <c r="H397" s="1455"/>
      <c r="I397" s="1455"/>
      <c r="J397" s="1455"/>
    </row>
    <row r="398" spans="5:10" x14ac:dyDescent="0.3">
      <c r="E398" s="1455"/>
      <c r="F398" s="1495"/>
      <c r="G398" s="1455"/>
      <c r="H398" s="1455"/>
      <c r="I398" s="1455"/>
      <c r="J398" s="1455"/>
    </row>
    <row r="399" spans="5:10" x14ac:dyDescent="0.3">
      <c r="E399" s="1455"/>
      <c r="F399" s="1495"/>
      <c r="G399" s="1455"/>
      <c r="H399" s="1455"/>
      <c r="I399" s="1455"/>
      <c r="J399" s="1455"/>
    </row>
    <row r="400" spans="5:10" x14ac:dyDescent="0.3">
      <c r="E400" s="1455"/>
      <c r="F400" s="1495"/>
      <c r="G400" s="1455"/>
      <c r="H400" s="1455"/>
      <c r="I400" s="1455"/>
      <c r="J400" s="1455"/>
    </row>
    <row r="401" spans="5:10" x14ac:dyDescent="0.3">
      <c r="E401" s="1455"/>
      <c r="F401" s="1495"/>
      <c r="G401" s="1455"/>
      <c r="H401" s="1455"/>
      <c r="I401" s="1455"/>
      <c r="J401" s="1455"/>
    </row>
    <row r="402" spans="5:10" x14ac:dyDescent="0.3">
      <c r="E402" s="1455"/>
      <c r="F402" s="1495"/>
      <c r="G402" s="1455"/>
      <c r="H402" s="1455"/>
      <c r="I402" s="1455"/>
      <c r="J402" s="1455"/>
    </row>
    <row r="403" spans="5:10" x14ac:dyDescent="0.3">
      <c r="E403" s="1455"/>
      <c r="F403" s="1495"/>
      <c r="G403" s="1455"/>
      <c r="H403" s="1455"/>
      <c r="I403" s="1455"/>
      <c r="J403" s="1455"/>
    </row>
    <row r="404" spans="5:10" x14ac:dyDescent="0.3">
      <c r="E404" s="1455"/>
      <c r="F404" s="1495"/>
      <c r="G404" s="1455"/>
      <c r="H404" s="1455"/>
      <c r="I404" s="1455"/>
      <c r="J404" s="1455"/>
    </row>
    <row r="405" spans="5:10" x14ac:dyDescent="0.3">
      <c r="E405" s="1455"/>
      <c r="F405" s="1495"/>
      <c r="G405" s="1455"/>
      <c r="H405" s="1455"/>
      <c r="I405" s="1455"/>
      <c r="J405" s="1455"/>
    </row>
    <row r="406" spans="5:10" x14ac:dyDescent="0.3">
      <c r="E406" s="1455"/>
      <c r="F406" s="1495"/>
      <c r="G406" s="1455"/>
      <c r="H406" s="1455"/>
      <c r="I406" s="1455"/>
      <c r="J406" s="1455"/>
    </row>
    <row r="407" spans="5:10" x14ac:dyDescent="0.3">
      <c r="E407" s="1455"/>
      <c r="F407" s="1495"/>
      <c r="G407" s="1455"/>
      <c r="H407" s="1455"/>
      <c r="I407" s="1455"/>
      <c r="J407" s="1455"/>
    </row>
    <row r="408" spans="5:10" x14ac:dyDescent="0.3">
      <c r="E408" s="1455"/>
      <c r="F408" s="1495"/>
      <c r="G408" s="1455"/>
      <c r="H408" s="1455"/>
      <c r="I408" s="1455"/>
      <c r="J408" s="1455"/>
    </row>
    <row r="409" spans="5:10" x14ac:dyDescent="0.3">
      <c r="E409" s="1455"/>
      <c r="F409" s="1495"/>
      <c r="G409" s="1455"/>
      <c r="H409" s="1455"/>
      <c r="I409" s="1455"/>
      <c r="J409" s="1455"/>
    </row>
    <row r="410" spans="5:10" x14ac:dyDescent="0.3">
      <c r="E410" s="1455"/>
      <c r="F410" s="1495"/>
      <c r="G410" s="1455"/>
      <c r="H410" s="1455"/>
      <c r="I410" s="1455"/>
      <c r="J410" s="1455"/>
    </row>
    <row r="411" spans="5:10" x14ac:dyDescent="0.3">
      <c r="E411" s="1455"/>
      <c r="F411" s="1495"/>
      <c r="G411" s="1455"/>
      <c r="H411" s="1455"/>
      <c r="I411" s="1455"/>
      <c r="J411" s="1455"/>
    </row>
    <row r="412" spans="5:10" x14ac:dyDescent="0.3">
      <c r="E412" s="1455"/>
      <c r="F412" s="1495"/>
      <c r="G412" s="1455"/>
      <c r="H412" s="1455"/>
      <c r="I412" s="1455"/>
      <c r="J412" s="1455"/>
    </row>
    <row r="413" spans="5:10" x14ac:dyDescent="0.3">
      <c r="E413" s="1455"/>
      <c r="F413" s="1495"/>
      <c r="G413" s="1455"/>
      <c r="H413" s="1455"/>
      <c r="I413" s="1455"/>
      <c r="J413" s="1455"/>
    </row>
    <row r="414" spans="5:10" x14ac:dyDescent="0.3">
      <c r="E414" s="1455"/>
      <c r="F414" s="1495"/>
      <c r="G414" s="1455"/>
      <c r="H414" s="1455"/>
      <c r="I414" s="1455"/>
      <c r="J414" s="1455"/>
    </row>
    <row r="415" spans="5:10" x14ac:dyDescent="0.3">
      <c r="E415" s="1455"/>
      <c r="F415" s="1495"/>
      <c r="G415" s="1455"/>
      <c r="H415" s="1455"/>
      <c r="I415" s="1455"/>
      <c r="J415" s="1455"/>
    </row>
    <row r="416" spans="5:10" x14ac:dyDescent="0.3">
      <c r="E416" s="1455"/>
      <c r="F416" s="1495"/>
      <c r="G416" s="1455"/>
      <c r="H416" s="1455"/>
      <c r="I416" s="1455"/>
      <c r="J416" s="1455"/>
    </row>
    <row r="417" spans="5:10" x14ac:dyDescent="0.3">
      <c r="E417" s="1455"/>
      <c r="F417" s="1495"/>
      <c r="G417" s="1455"/>
      <c r="H417" s="1455"/>
      <c r="I417" s="1455"/>
      <c r="J417" s="1455"/>
    </row>
    <row r="418" spans="5:10" x14ac:dyDescent="0.3">
      <c r="E418" s="1455"/>
      <c r="F418" s="1495"/>
      <c r="G418" s="1455"/>
      <c r="H418" s="1455"/>
      <c r="I418" s="1455"/>
      <c r="J418" s="1455"/>
    </row>
    <row r="419" spans="5:10" x14ac:dyDescent="0.3">
      <c r="E419" s="1455"/>
      <c r="F419" s="1495"/>
      <c r="G419" s="1455"/>
      <c r="H419" s="1455"/>
      <c r="I419" s="1455"/>
      <c r="J419" s="1455"/>
    </row>
    <row r="420" spans="5:10" x14ac:dyDescent="0.3">
      <c r="E420" s="1455"/>
      <c r="F420" s="1495"/>
      <c r="G420" s="1455"/>
      <c r="H420" s="1455"/>
      <c r="I420" s="1455"/>
      <c r="J420" s="1455"/>
    </row>
    <row r="421" spans="5:10" x14ac:dyDescent="0.3">
      <c r="E421" s="1455"/>
      <c r="F421" s="1495"/>
      <c r="G421" s="1455"/>
      <c r="H421" s="1455"/>
      <c r="I421" s="1455"/>
      <c r="J421" s="1455"/>
    </row>
    <row r="422" spans="5:10" x14ac:dyDescent="0.3">
      <c r="E422" s="1455"/>
      <c r="F422" s="1495"/>
      <c r="G422" s="1455"/>
      <c r="H422" s="1455"/>
      <c r="I422" s="1455"/>
      <c r="J422" s="1455"/>
    </row>
    <row r="423" spans="5:10" x14ac:dyDescent="0.3">
      <c r="E423" s="1455"/>
      <c r="F423" s="1495"/>
      <c r="G423" s="1455"/>
      <c r="H423" s="1455"/>
      <c r="I423" s="1455"/>
      <c r="J423" s="1455"/>
    </row>
    <row r="424" spans="5:10" x14ac:dyDescent="0.3">
      <c r="E424" s="1455"/>
      <c r="F424" s="1495"/>
      <c r="G424" s="1455"/>
      <c r="H424" s="1455"/>
      <c r="I424" s="1455"/>
      <c r="J424" s="1455"/>
    </row>
    <row r="425" spans="5:10" x14ac:dyDescent="0.3">
      <c r="E425" s="1455"/>
      <c r="F425" s="1495"/>
      <c r="G425" s="1455"/>
      <c r="H425" s="1455"/>
      <c r="I425" s="1455"/>
      <c r="J425" s="1455"/>
    </row>
    <row r="426" spans="5:10" x14ac:dyDescent="0.3">
      <c r="E426" s="1455"/>
      <c r="F426" s="1495"/>
      <c r="G426" s="1455"/>
      <c r="H426" s="1455"/>
      <c r="I426" s="1455"/>
      <c r="J426" s="1455"/>
    </row>
    <row r="427" spans="5:10" x14ac:dyDescent="0.3">
      <c r="E427" s="1455"/>
      <c r="F427" s="1495"/>
      <c r="G427" s="1455"/>
      <c r="H427" s="1455"/>
      <c r="I427" s="1455"/>
      <c r="J427" s="1455"/>
    </row>
    <row r="428" spans="5:10" x14ac:dyDescent="0.3">
      <c r="E428" s="1455"/>
      <c r="F428" s="1495"/>
      <c r="G428" s="1455"/>
      <c r="H428" s="1455"/>
      <c r="I428" s="1455"/>
      <c r="J428" s="1455"/>
    </row>
    <row r="429" spans="5:10" x14ac:dyDescent="0.3">
      <c r="E429" s="1455"/>
      <c r="F429" s="1495"/>
      <c r="G429" s="1455"/>
      <c r="H429" s="1455"/>
      <c r="I429" s="1455"/>
      <c r="J429" s="1455"/>
    </row>
    <row r="430" spans="5:10" x14ac:dyDescent="0.3">
      <c r="E430" s="1455"/>
      <c r="F430" s="1495"/>
      <c r="G430" s="1455"/>
      <c r="H430" s="1455"/>
      <c r="I430" s="1455"/>
      <c r="J430" s="1455"/>
    </row>
    <row r="431" spans="5:10" x14ac:dyDescent="0.3">
      <c r="E431" s="1455"/>
      <c r="F431" s="1495"/>
      <c r="G431" s="1455"/>
      <c r="H431" s="1455"/>
      <c r="I431" s="1455"/>
      <c r="J431" s="1455"/>
    </row>
    <row r="432" spans="5:10" x14ac:dyDescent="0.3">
      <c r="E432" s="1455"/>
      <c r="F432" s="1495"/>
      <c r="G432" s="1455"/>
      <c r="H432" s="1455"/>
      <c r="I432" s="1455"/>
      <c r="J432" s="1455"/>
    </row>
    <row r="433" spans="5:10" x14ac:dyDescent="0.3">
      <c r="E433" s="1455"/>
      <c r="F433" s="1495"/>
      <c r="G433" s="1455"/>
      <c r="H433" s="1455"/>
      <c r="I433" s="1455"/>
      <c r="J433" s="1455"/>
    </row>
    <row r="434" spans="5:10" x14ac:dyDescent="0.3">
      <c r="E434" s="1455"/>
      <c r="F434" s="1495"/>
      <c r="G434" s="1455"/>
      <c r="H434" s="1455"/>
      <c r="I434" s="1455"/>
      <c r="J434" s="1455"/>
    </row>
    <row r="435" spans="5:10" x14ac:dyDescent="0.3">
      <c r="E435" s="1455"/>
      <c r="F435" s="1495"/>
      <c r="G435" s="1455"/>
      <c r="H435" s="1455"/>
      <c r="I435" s="1455"/>
      <c r="J435" s="1455"/>
    </row>
    <row r="436" spans="5:10" x14ac:dyDescent="0.3">
      <c r="E436" s="1455"/>
      <c r="F436" s="1495"/>
      <c r="G436" s="1455"/>
      <c r="H436" s="1455"/>
      <c r="I436" s="1455"/>
      <c r="J436" s="1455"/>
    </row>
    <row r="437" spans="5:10" x14ac:dyDescent="0.3">
      <c r="E437" s="1455"/>
      <c r="F437" s="1495"/>
      <c r="G437" s="1455"/>
      <c r="H437" s="1455"/>
      <c r="I437" s="1455"/>
      <c r="J437" s="1455"/>
    </row>
    <row r="438" spans="5:10" x14ac:dyDescent="0.3">
      <c r="E438" s="1455"/>
      <c r="F438" s="1495"/>
      <c r="G438" s="1455"/>
      <c r="H438" s="1455"/>
      <c r="I438" s="1455"/>
      <c r="J438" s="1455"/>
    </row>
    <row r="439" spans="5:10" x14ac:dyDescent="0.3">
      <c r="E439" s="1455"/>
      <c r="F439" s="1495"/>
      <c r="G439" s="1455"/>
      <c r="H439" s="1455"/>
      <c r="I439" s="1455"/>
      <c r="J439" s="1455"/>
    </row>
    <row r="440" spans="5:10" x14ac:dyDescent="0.3">
      <c r="E440" s="1455"/>
      <c r="F440" s="1495"/>
      <c r="G440" s="1455"/>
      <c r="H440" s="1455"/>
      <c r="I440" s="1455"/>
      <c r="J440" s="1455"/>
    </row>
    <row r="441" spans="5:10" x14ac:dyDescent="0.3">
      <c r="E441" s="1455"/>
      <c r="F441" s="1495"/>
      <c r="G441" s="1455"/>
      <c r="H441" s="1455"/>
      <c r="I441" s="1455"/>
      <c r="J441" s="1455"/>
    </row>
    <row r="442" spans="5:10" x14ac:dyDescent="0.3">
      <c r="E442" s="1455"/>
      <c r="F442" s="1495"/>
      <c r="G442" s="1455"/>
      <c r="H442" s="1455"/>
      <c r="I442" s="1455"/>
      <c r="J442" s="1455"/>
    </row>
    <row r="443" spans="5:10" x14ac:dyDescent="0.3">
      <c r="E443" s="1455"/>
      <c r="F443" s="1495"/>
      <c r="G443" s="1455"/>
      <c r="H443" s="1455"/>
      <c r="I443" s="1455"/>
      <c r="J443" s="1455"/>
    </row>
    <row r="444" spans="5:10" x14ac:dyDescent="0.3">
      <c r="E444" s="1455"/>
      <c r="F444" s="1495"/>
      <c r="G444" s="1455"/>
      <c r="H444" s="1455"/>
      <c r="I444" s="1455"/>
      <c r="J444" s="1455"/>
    </row>
    <row r="445" spans="5:10" x14ac:dyDescent="0.3">
      <c r="E445" s="1455"/>
      <c r="F445" s="1495"/>
      <c r="G445" s="1455"/>
      <c r="H445" s="1455"/>
      <c r="I445" s="1455"/>
      <c r="J445" s="1455"/>
    </row>
    <row r="446" spans="5:10" x14ac:dyDescent="0.3">
      <c r="E446" s="1455"/>
      <c r="F446" s="1495"/>
      <c r="G446" s="1455"/>
      <c r="H446" s="1455"/>
      <c r="I446" s="1455"/>
      <c r="J446" s="1455"/>
    </row>
    <row r="447" spans="5:10" x14ac:dyDescent="0.3">
      <c r="E447" s="1455"/>
      <c r="F447" s="1495"/>
      <c r="G447" s="1455"/>
      <c r="H447" s="1455"/>
      <c r="I447" s="1455"/>
      <c r="J447" s="1455"/>
    </row>
    <row r="448" spans="5:10" x14ac:dyDescent="0.3">
      <c r="E448" s="1455"/>
      <c r="F448" s="1495"/>
      <c r="G448" s="1455"/>
      <c r="H448" s="1455"/>
      <c r="I448" s="1455"/>
      <c r="J448" s="1455"/>
    </row>
    <row r="449" spans="5:10" x14ac:dyDescent="0.3">
      <c r="E449" s="1455"/>
      <c r="F449" s="1495"/>
      <c r="G449" s="1455"/>
      <c r="H449" s="1455"/>
      <c r="I449" s="1455"/>
      <c r="J449" s="1455"/>
    </row>
    <row r="450" spans="5:10" x14ac:dyDescent="0.3">
      <c r="E450" s="1455"/>
      <c r="F450" s="1495"/>
      <c r="G450" s="1455"/>
      <c r="H450" s="1455"/>
      <c r="I450" s="1455"/>
      <c r="J450" s="1455"/>
    </row>
    <row r="451" spans="5:10" x14ac:dyDescent="0.3">
      <c r="E451" s="1455"/>
      <c r="F451" s="1495"/>
      <c r="G451" s="1455"/>
      <c r="H451" s="1455"/>
      <c r="I451" s="1455"/>
      <c r="J451" s="1455"/>
    </row>
    <row r="452" spans="5:10" x14ac:dyDescent="0.3">
      <c r="E452" s="1455"/>
      <c r="F452" s="1495"/>
      <c r="G452" s="1455"/>
      <c r="H452" s="1455"/>
      <c r="I452" s="1455"/>
      <c r="J452" s="1455"/>
    </row>
    <row r="453" spans="5:10" x14ac:dyDescent="0.3">
      <c r="E453" s="1455"/>
      <c r="F453" s="1495"/>
      <c r="G453" s="1455"/>
      <c r="H453" s="1455"/>
      <c r="I453" s="1455"/>
      <c r="J453" s="1455"/>
    </row>
    <row r="454" spans="5:10" x14ac:dyDescent="0.3">
      <c r="E454" s="1455"/>
      <c r="F454" s="1495"/>
      <c r="G454" s="1455"/>
      <c r="H454" s="1455"/>
      <c r="I454" s="1455"/>
      <c r="J454" s="1455"/>
    </row>
    <row r="455" spans="5:10" x14ac:dyDescent="0.3">
      <c r="E455" s="1455"/>
      <c r="F455" s="1495"/>
      <c r="G455" s="1455"/>
      <c r="H455" s="1455"/>
      <c r="I455" s="1455"/>
      <c r="J455" s="1455"/>
    </row>
    <row r="456" spans="5:10" x14ac:dyDescent="0.3">
      <c r="E456" s="1455"/>
      <c r="F456" s="1495"/>
      <c r="G456" s="1455"/>
      <c r="H456" s="1455"/>
      <c r="I456" s="1455"/>
      <c r="J456" s="1455"/>
    </row>
    <row r="457" spans="5:10" x14ac:dyDescent="0.3">
      <c r="E457" s="1455"/>
      <c r="F457" s="1495"/>
      <c r="G457" s="1455"/>
      <c r="H457" s="1455"/>
      <c r="I457" s="1455"/>
      <c r="J457" s="1455"/>
    </row>
    <row r="458" spans="5:10" x14ac:dyDescent="0.3">
      <c r="E458" s="1455"/>
      <c r="F458" s="1495"/>
      <c r="G458" s="1455"/>
      <c r="H458" s="1455"/>
      <c r="I458" s="1455"/>
      <c r="J458" s="1455"/>
    </row>
    <row r="459" spans="5:10" x14ac:dyDescent="0.3">
      <c r="E459" s="1455"/>
      <c r="F459" s="1495"/>
      <c r="G459" s="1455"/>
      <c r="H459" s="1455"/>
      <c r="I459" s="1455"/>
      <c r="J459" s="1455"/>
    </row>
    <row r="460" spans="5:10" x14ac:dyDescent="0.3">
      <c r="E460" s="1455"/>
      <c r="F460" s="1495"/>
      <c r="G460" s="1455"/>
      <c r="H460" s="1455"/>
      <c r="I460" s="1455"/>
      <c r="J460" s="1455"/>
    </row>
    <row r="461" spans="5:10" x14ac:dyDescent="0.3">
      <c r="E461" s="1455"/>
      <c r="F461" s="1495"/>
      <c r="G461" s="1455"/>
      <c r="H461" s="1455"/>
      <c r="I461" s="1455"/>
      <c r="J461" s="1455"/>
    </row>
    <row r="462" spans="5:10" x14ac:dyDescent="0.3">
      <c r="E462" s="1455"/>
      <c r="F462" s="1495"/>
      <c r="G462" s="1455"/>
      <c r="H462" s="1455"/>
      <c r="I462" s="1455"/>
      <c r="J462" s="1455"/>
    </row>
    <row r="463" spans="5:10" x14ac:dyDescent="0.3">
      <c r="E463" s="1455"/>
      <c r="F463" s="1495"/>
      <c r="G463" s="1455"/>
      <c r="H463" s="1455"/>
      <c r="I463" s="1455"/>
      <c r="J463" s="1455"/>
    </row>
    <row r="464" spans="5:10" x14ac:dyDescent="0.3">
      <c r="E464" s="1455"/>
      <c r="F464" s="1495"/>
      <c r="G464" s="1455"/>
      <c r="H464" s="1455"/>
      <c r="I464" s="1455"/>
      <c r="J464" s="1455"/>
    </row>
    <row r="465" spans="5:10" x14ac:dyDescent="0.3">
      <c r="E465" s="1455"/>
      <c r="F465" s="1495"/>
      <c r="G465" s="1455"/>
      <c r="H465" s="1455"/>
      <c r="I465" s="1455"/>
      <c r="J465" s="1455"/>
    </row>
    <row r="466" spans="5:10" x14ac:dyDescent="0.3">
      <c r="E466" s="1455"/>
      <c r="F466" s="1495"/>
      <c r="G466" s="1455"/>
      <c r="H466" s="1455"/>
      <c r="I466" s="1455"/>
      <c r="J466" s="1455"/>
    </row>
    <row r="467" spans="5:10" x14ac:dyDescent="0.3">
      <c r="E467" s="1455"/>
      <c r="F467" s="1495"/>
      <c r="G467" s="1455"/>
      <c r="H467" s="1455"/>
      <c r="I467" s="1455"/>
      <c r="J467" s="1455"/>
    </row>
    <row r="468" spans="5:10" x14ac:dyDescent="0.3">
      <c r="E468" s="1455"/>
      <c r="F468" s="1495"/>
      <c r="G468" s="1455"/>
      <c r="H468" s="1455"/>
      <c r="I468" s="1455"/>
      <c r="J468" s="1455"/>
    </row>
    <row r="469" spans="5:10" x14ac:dyDescent="0.3">
      <c r="E469" s="1455"/>
      <c r="F469" s="1495"/>
      <c r="G469" s="1455"/>
      <c r="H469" s="1455"/>
      <c r="I469" s="1455"/>
      <c r="J469" s="1455"/>
    </row>
    <row r="470" spans="5:10" x14ac:dyDescent="0.3">
      <c r="E470" s="1455"/>
      <c r="F470" s="1495"/>
      <c r="G470" s="1455"/>
      <c r="H470" s="1455"/>
      <c r="I470" s="1455"/>
      <c r="J470" s="1455"/>
    </row>
    <row r="471" spans="5:10" x14ac:dyDescent="0.3">
      <c r="E471" s="1455"/>
      <c r="F471" s="1495"/>
      <c r="G471" s="1455"/>
      <c r="H471" s="1455"/>
      <c r="I471" s="1455"/>
      <c r="J471" s="1455"/>
    </row>
    <row r="472" spans="5:10" x14ac:dyDescent="0.3">
      <c r="E472" s="1455"/>
      <c r="F472" s="1495"/>
      <c r="G472" s="1455"/>
      <c r="H472" s="1455"/>
      <c r="I472" s="1455"/>
      <c r="J472" s="1455"/>
    </row>
    <row r="473" spans="5:10" x14ac:dyDescent="0.3">
      <c r="E473" s="1455"/>
      <c r="F473" s="1495"/>
      <c r="G473" s="1455"/>
      <c r="H473" s="1455"/>
      <c r="I473" s="1455"/>
      <c r="J473" s="1455"/>
    </row>
    <row r="474" spans="5:10" x14ac:dyDescent="0.3">
      <c r="E474" s="1455"/>
      <c r="F474" s="1495"/>
      <c r="G474" s="1455"/>
      <c r="H474" s="1455"/>
      <c r="I474" s="1455"/>
      <c r="J474" s="1455"/>
    </row>
    <row r="475" spans="5:10" x14ac:dyDescent="0.3">
      <c r="E475" s="1455"/>
      <c r="F475" s="1495"/>
      <c r="G475" s="1455"/>
      <c r="H475" s="1455"/>
      <c r="I475" s="1455"/>
      <c r="J475" s="1455"/>
    </row>
    <row r="476" spans="5:10" x14ac:dyDescent="0.3">
      <c r="E476" s="1455"/>
      <c r="F476" s="1495"/>
      <c r="G476" s="1455"/>
      <c r="H476" s="1455"/>
      <c r="I476" s="1455"/>
      <c r="J476" s="1455"/>
    </row>
    <row r="477" spans="5:10" x14ac:dyDescent="0.3">
      <c r="E477" s="1455"/>
      <c r="F477" s="1495"/>
      <c r="G477" s="1455"/>
      <c r="H477" s="1455"/>
      <c r="I477" s="1455"/>
      <c r="J477" s="1455"/>
    </row>
    <row r="478" spans="5:10" x14ac:dyDescent="0.3">
      <c r="E478" s="1455"/>
      <c r="F478" s="1495"/>
      <c r="G478" s="1455"/>
      <c r="H478" s="1455"/>
      <c r="I478" s="1455"/>
      <c r="J478" s="1455"/>
    </row>
    <row r="479" spans="5:10" x14ac:dyDescent="0.3">
      <c r="E479" s="1455"/>
      <c r="F479" s="1495"/>
      <c r="G479" s="1455"/>
      <c r="H479" s="1455"/>
      <c r="I479" s="1455"/>
      <c r="J479" s="1455"/>
    </row>
    <row r="480" spans="5:10" x14ac:dyDescent="0.3">
      <c r="E480" s="1455"/>
      <c r="F480" s="1495"/>
      <c r="G480" s="1455"/>
      <c r="H480" s="1455"/>
      <c r="I480" s="1455"/>
      <c r="J480" s="1455"/>
    </row>
    <row r="481" spans="5:10" x14ac:dyDescent="0.3">
      <c r="E481" s="1455"/>
      <c r="F481" s="1495"/>
      <c r="G481" s="1455"/>
      <c r="H481" s="1455"/>
      <c r="I481" s="1455"/>
      <c r="J481" s="1455"/>
    </row>
    <row r="482" spans="5:10" x14ac:dyDescent="0.3">
      <c r="E482" s="1455"/>
      <c r="F482" s="1495"/>
      <c r="G482" s="1455"/>
      <c r="H482" s="1455"/>
      <c r="I482" s="1455"/>
      <c r="J482" s="1455"/>
    </row>
    <row r="483" spans="5:10" x14ac:dyDescent="0.3">
      <c r="E483" s="1455"/>
      <c r="F483" s="1495"/>
      <c r="G483" s="1455"/>
      <c r="H483" s="1455"/>
      <c r="I483" s="1455"/>
      <c r="J483" s="1455"/>
    </row>
    <row r="484" spans="5:10" x14ac:dyDescent="0.3">
      <c r="E484" s="1455"/>
      <c r="F484" s="1495"/>
      <c r="G484" s="1455"/>
      <c r="H484" s="1455"/>
      <c r="I484" s="1455"/>
      <c r="J484" s="1455"/>
    </row>
    <row r="485" spans="5:10" x14ac:dyDescent="0.3">
      <c r="E485" s="1455"/>
      <c r="F485" s="1495"/>
      <c r="G485" s="1455"/>
      <c r="H485" s="1455"/>
      <c r="I485" s="1455"/>
      <c r="J485" s="1455"/>
    </row>
    <row r="486" spans="5:10" x14ac:dyDescent="0.3">
      <c r="E486" s="1455"/>
      <c r="F486" s="1495"/>
      <c r="G486" s="1455"/>
      <c r="H486" s="1455"/>
      <c r="I486" s="1455"/>
      <c r="J486" s="1455"/>
    </row>
    <row r="487" spans="5:10" x14ac:dyDescent="0.3">
      <c r="E487" s="1455"/>
      <c r="F487" s="1495"/>
      <c r="G487" s="1455"/>
      <c r="H487" s="1455"/>
      <c r="I487" s="1455"/>
      <c r="J487" s="1455"/>
    </row>
    <row r="488" spans="5:10" x14ac:dyDescent="0.3">
      <c r="E488" s="1455"/>
      <c r="F488" s="1495"/>
      <c r="G488" s="1455"/>
      <c r="H488" s="1455"/>
      <c r="I488" s="1455"/>
      <c r="J488" s="1455"/>
    </row>
    <row r="489" spans="5:10" x14ac:dyDescent="0.3">
      <c r="E489" s="1455"/>
      <c r="F489" s="1495"/>
      <c r="G489" s="1455"/>
      <c r="H489" s="1455"/>
      <c r="I489" s="1455"/>
      <c r="J489" s="1455"/>
    </row>
    <row r="490" spans="5:10" x14ac:dyDescent="0.3">
      <c r="E490" s="1455"/>
      <c r="F490" s="1495"/>
      <c r="G490" s="1455"/>
      <c r="H490" s="1455"/>
      <c r="I490" s="1455"/>
      <c r="J490" s="1455"/>
    </row>
    <row r="491" spans="5:10" x14ac:dyDescent="0.3">
      <c r="E491" s="1455"/>
      <c r="F491" s="1495"/>
      <c r="G491" s="1455"/>
      <c r="H491" s="1455"/>
      <c r="I491" s="1455"/>
      <c r="J491" s="1455"/>
    </row>
    <row r="492" spans="5:10" x14ac:dyDescent="0.3">
      <c r="E492" s="1455"/>
      <c r="F492" s="1495"/>
      <c r="G492" s="1455"/>
      <c r="H492" s="1455"/>
      <c r="I492" s="1455"/>
      <c r="J492" s="1455"/>
    </row>
    <row r="493" spans="5:10" x14ac:dyDescent="0.3">
      <c r="E493" s="1455"/>
      <c r="F493" s="1495"/>
      <c r="G493" s="1455"/>
      <c r="H493" s="1455"/>
      <c r="I493" s="1455"/>
      <c r="J493" s="1455"/>
    </row>
    <row r="494" spans="5:10" x14ac:dyDescent="0.3">
      <c r="E494" s="1455"/>
      <c r="F494" s="1495"/>
      <c r="G494" s="1455"/>
      <c r="H494" s="1455"/>
      <c r="I494" s="1455"/>
      <c r="J494" s="1455"/>
    </row>
    <row r="495" spans="5:10" x14ac:dyDescent="0.3">
      <c r="E495" s="1455"/>
      <c r="F495" s="1495"/>
      <c r="G495" s="1455"/>
      <c r="H495" s="1455"/>
      <c r="I495" s="1455"/>
      <c r="J495" s="1455"/>
    </row>
    <row r="496" spans="5:10" x14ac:dyDescent="0.3">
      <c r="E496" s="1455"/>
      <c r="F496" s="1495"/>
      <c r="G496" s="1455"/>
      <c r="H496" s="1455"/>
      <c r="I496" s="1455"/>
      <c r="J496" s="1455"/>
    </row>
    <row r="497" spans="5:10" x14ac:dyDescent="0.3">
      <c r="E497" s="1455"/>
      <c r="F497" s="1495"/>
      <c r="G497" s="1455"/>
      <c r="H497" s="1455"/>
      <c r="I497" s="1455"/>
      <c r="J497" s="1455"/>
    </row>
    <row r="498" spans="5:10" x14ac:dyDescent="0.3">
      <c r="E498" s="1455"/>
      <c r="F498" s="1495"/>
      <c r="G498" s="1455"/>
      <c r="H498" s="1455"/>
      <c r="I498" s="1455"/>
      <c r="J498" s="1455"/>
    </row>
    <row r="499" spans="5:10" x14ac:dyDescent="0.3">
      <c r="E499" s="1455"/>
      <c r="F499" s="1495"/>
      <c r="G499" s="1455"/>
      <c r="H499" s="1455"/>
      <c r="I499" s="1455"/>
      <c r="J499" s="1455"/>
    </row>
    <row r="500" spans="5:10" x14ac:dyDescent="0.3">
      <c r="E500" s="1455"/>
      <c r="F500" s="1495"/>
      <c r="G500" s="1455"/>
      <c r="H500" s="1455"/>
      <c r="I500" s="1455"/>
      <c r="J500" s="1455"/>
    </row>
    <row r="501" spans="5:10" x14ac:dyDescent="0.3">
      <c r="E501" s="1455"/>
      <c r="F501" s="1495"/>
      <c r="G501" s="1455"/>
      <c r="H501" s="1455"/>
      <c r="I501" s="1455"/>
      <c r="J501" s="1455"/>
    </row>
    <row r="502" spans="5:10" x14ac:dyDescent="0.3">
      <c r="E502" s="1455"/>
      <c r="F502" s="1495"/>
      <c r="G502" s="1455"/>
      <c r="H502" s="1455"/>
      <c r="I502" s="1455"/>
      <c r="J502" s="1455"/>
    </row>
    <row r="503" spans="5:10" x14ac:dyDescent="0.3">
      <c r="E503" s="1455"/>
      <c r="F503" s="1495"/>
      <c r="G503" s="1455"/>
      <c r="H503" s="1455"/>
      <c r="I503" s="1455"/>
      <c r="J503" s="1455"/>
    </row>
    <row r="504" spans="5:10" x14ac:dyDescent="0.3">
      <c r="E504" s="1455"/>
      <c r="F504" s="1495"/>
      <c r="G504" s="1455"/>
      <c r="H504" s="1455"/>
      <c r="I504" s="1455"/>
      <c r="J504" s="1455"/>
    </row>
    <row r="505" spans="5:10" x14ac:dyDescent="0.3">
      <c r="E505" s="1455"/>
      <c r="F505" s="1495"/>
      <c r="G505" s="1455"/>
      <c r="H505" s="1455"/>
      <c r="I505" s="1455"/>
      <c r="J505" s="1455"/>
    </row>
    <row r="506" spans="5:10" x14ac:dyDescent="0.3">
      <c r="E506" s="1455"/>
      <c r="F506" s="1495"/>
      <c r="G506" s="1455"/>
      <c r="H506" s="1455"/>
      <c r="I506" s="1455"/>
      <c r="J506" s="1455"/>
    </row>
    <row r="507" spans="5:10" x14ac:dyDescent="0.3">
      <c r="E507" s="1455"/>
      <c r="F507" s="1495"/>
      <c r="G507" s="1455"/>
      <c r="H507" s="1455"/>
      <c r="I507" s="1455"/>
      <c r="J507" s="1455"/>
    </row>
    <row r="508" spans="5:10" x14ac:dyDescent="0.3">
      <c r="E508" s="1455"/>
      <c r="F508" s="1495"/>
      <c r="G508" s="1455"/>
      <c r="H508" s="1455"/>
      <c r="I508" s="1455"/>
      <c r="J508" s="1455"/>
    </row>
    <row r="509" spans="5:10" x14ac:dyDescent="0.3">
      <c r="E509" s="1455"/>
      <c r="F509" s="1495"/>
      <c r="G509" s="1455"/>
      <c r="H509" s="1455"/>
      <c r="I509" s="1455"/>
      <c r="J509" s="1455"/>
    </row>
    <row r="510" spans="5:10" x14ac:dyDescent="0.3">
      <c r="E510" s="1455"/>
      <c r="F510" s="1495"/>
      <c r="G510" s="1455"/>
      <c r="H510" s="1455"/>
      <c r="I510" s="1455"/>
      <c r="J510" s="1455"/>
    </row>
    <row r="511" spans="5:10" x14ac:dyDescent="0.3">
      <c r="E511" s="1455"/>
      <c r="F511" s="1495"/>
      <c r="G511" s="1455"/>
      <c r="H511" s="1455"/>
      <c r="I511" s="1455"/>
      <c r="J511" s="1455"/>
    </row>
    <row r="512" spans="5:10" x14ac:dyDescent="0.3">
      <c r="E512" s="1455"/>
      <c r="F512" s="1495"/>
      <c r="G512" s="1455"/>
      <c r="H512" s="1455"/>
      <c r="I512" s="1455"/>
      <c r="J512" s="1455"/>
    </row>
    <row r="513" spans="5:10" x14ac:dyDescent="0.3">
      <c r="E513" s="1455"/>
      <c r="F513" s="1495"/>
      <c r="G513" s="1455"/>
      <c r="H513" s="1455"/>
      <c r="I513" s="1455"/>
      <c r="J513" s="1455"/>
    </row>
    <row r="514" spans="5:10" x14ac:dyDescent="0.3">
      <c r="E514" s="1455"/>
      <c r="F514" s="1495"/>
      <c r="G514" s="1455"/>
      <c r="H514" s="1455"/>
      <c r="I514" s="1455"/>
      <c r="J514" s="1455"/>
    </row>
    <row r="515" spans="5:10" x14ac:dyDescent="0.3">
      <c r="E515" s="1455"/>
      <c r="F515" s="1495"/>
      <c r="G515" s="1455"/>
      <c r="H515" s="1455"/>
      <c r="I515" s="1455"/>
      <c r="J515" s="1455"/>
    </row>
    <row r="516" spans="5:10" x14ac:dyDescent="0.3">
      <c r="E516" s="1455"/>
      <c r="F516" s="1495"/>
      <c r="G516" s="1455"/>
      <c r="H516" s="1455"/>
      <c r="I516" s="1455"/>
      <c r="J516" s="1455"/>
    </row>
    <row r="517" spans="5:10" x14ac:dyDescent="0.3">
      <c r="E517" s="1455"/>
      <c r="F517" s="1495"/>
      <c r="G517" s="1455"/>
      <c r="H517" s="1455"/>
      <c r="I517" s="1455"/>
      <c r="J517" s="1455"/>
    </row>
    <row r="518" spans="5:10" x14ac:dyDescent="0.3">
      <c r="E518" s="1455"/>
      <c r="F518" s="1495"/>
      <c r="G518" s="1455"/>
      <c r="H518" s="1455"/>
      <c r="I518" s="1455"/>
      <c r="J518" s="1455"/>
    </row>
    <row r="519" spans="5:10" x14ac:dyDescent="0.3">
      <c r="E519" s="1455"/>
      <c r="F519" s="1495"/>
      <c r="G519" s="1455"/>
      <c r="H519" s="1455"/>
      <c r="I519" s="1455"/>
      <c r="J519" s="1455"/>
    </row>
    <row r="520" spans="5:10" x14ac:dyDescent="0.3">
      <c r="E520" s="1455"/>
      <c r="F520" s="1495"/>
      <c r="G520" s="1455"/>
      <c r="H520" s="1455"/>
      <c r="I520" s="1455"/>
      <c r="J520" s="1455"/>
    </row>
    <row r="521" spans="5:10" x14ac:dyDescent="0.3">
      <c r="E521" s="1455"/>
      <c r="F521" s="1495"/>
      <c r="G521" s="1455"/>
      <c r="H521" s="1455"/>
      <c r="I521" s="1455"/>
      <c r="J521" s="1455"/>
    </row>
    <row r="522" spans="5:10" x14ac:dyDescent="0.3">
      <c r="E522" s="1455"/>
      <c r="F522" s="1495"/>
      <c r="G522" s="1455"/>
      <c r="H522" s="1455"/>
      <c r="I522" s="1455"/>
      <c r="J522" s="1455"/>
    </row>
    <row r="523" spans="5:10" x14ac:dyDescent="0.3">
      <c r="E523" s="1455"/>
      <c r="F523" s="1495"/>
      <c r="G523" s="1455"/>
      <c r="H523" s="1455"/>
      <c r="I523" s="1455"/>
      <c r="J523" s="1455"/>
    </row>
    <row r="524" spans="5:10" x14ac:dyDescent="0.3">
      <c r="E524" s="1455"/>
      <c r="F524" s="1495"/>
      <c r="G524" s="1455"/>
      <c r="H524" s="1455"/>
      <c r="I524" s="1455"/>
      <c r="J524" s="1455"/>
    </row>
    <row r="525" spans="5:10" x14ac:dyDescent="0.3">
      <c r="E525" s="1455"/>
      <c r="F525" s="1495"/>
      <c r="G525" s="1455"/>
      <c r="H525" s="1455"/>
      <c r="I525" s="1455"/>
      <c r="J525" s="1455"/>
    </row>
    <row r="526" spans="5:10" x14ac:dyDescent="0.3">
      <c r="E526" s="1455"/>
      <c r="F526" s="1495"/>
      <c r="G526" s="1455"/>
      <c r="H526" s="1455"/>
      <c r="I526" s="1455"/>
      <c r="J526" s="1455"/>
    </row>
    <row r="527" spans="5:10" x14ac:dyDescent="0.3">
      <c r="E527" s="1455"/>
      <c r="F527" s="1495"/>
      <c r="G527" s="1455"/>
      <c r="H527" s="1455"/>
      <c r="I527" s="1455"/>
      <c r="J527" s="1455"/>
    </row>
    <row r="528" spans="5:10" x14ac:dyDescent="0.3">
      <c r="E528" s="1455"/>
      <c r="F528" s="1495"/>
      <c r="G528" s="1455"/>
      <c r="H528" s="1455"/>
      <c r="I528" s="1455"/>
      <c r="J528" s="1455"/>
    </row>
    <row r="529" spans="5:10" x14ac:dyDescent="0.3">
      <c r="E529" s="1455"/>
      <c r="F529" s="1495"/>
      <c r="G529" s="1455"/>
      <c r="H529" s="1455"/>
      <c r="I529" s="1455"/>
      <c r="J529" s="1455"/>
    </row>
    <row r="530" spans="5:10" x14ac:dyDescent="0.3">
      <c r="E530" s="1455"/>
      <c r="F530" s="1495"/>
      <c r="G530" s="1455"/>
      <c r="H530" s="1455"/>
      <c r="I530" s="1455"/>
      <c r="J530" s="1455"/>
    </row>
    <row r="531" spans="5:10" x14ac:dyDescent="0.3">
      <c r="E531" s="1455"/>
      <c r="F531" s="1495"/>
      <c r="G531" s="1455"/>
      <c r="H531" s="1455"/>
      <c r="I531" s="1455"/>
      <c r="J531" s="1455"/>
    </row>
    <row r="532" spans="5:10" x14ac:dyDescent="0.3">
      <c r="E532" s="1455"/>
      <c r="F532" s="1495"/>
      <c r="G532" s="1455"/>
      <c r="H532" s="1455"/>
      <c r="I532" s="1455"/>
      <c r="J532" s="1455"/>
    </row>
    <row r="533" spans="5:10" x14ac:dyDescent="0.3">
      <c r="E533" s="1455"/>
      <c r="F533" s="1495"/>
      <c r="G533" s="1455"/>
      <c r="H533" s="1455"/>
      <c r="I533" s="1455"/>
      <c r="J533" s="1455"/>
    </row>
    <row r="534" spans="5:10" x14ac:dyDescent="0.3">
      <c r="E534" s="1455"/>
      <c r="F534" s="1495"/>
      <c r="G534" s="1455"/>
      <c r="H534" s="1455"/>
      <c r="I534" s="1455"/>
      <c r="J534" s="1455"/>
    </row>
    <row r="535" spans="5:10" x14ac:dyDescent="0.3">
      <c r="E535" s="1455"/>
      <c r="F535" s="1495"/>
      <c r="G535" s="1455"/>
      <c r="H535" s="1455"/>
      <c r="I535" s="1455"/>
      <c r="J535" s="1455"/>
    </row>
    <row r="536" spans="5:10" x14ac:dyDescent="0.3">
      <c r="E536" s="1455"/>
      <c r="F536" s="1495"/>
      <c r="G536" s="1455"/>
      <c r="H536" s="1455"/>
      <c r="I536" s="1455"/>
      <c r="J536" s="1455"/>
    </row>
    <row r="537" spans="5:10" x14ac:dyDescent="0.3">
      <c r="E537" s="1455"/>
      <c r="F537" s="1495"/>
      <c r="G537" s="1455"/>
      <c r="H537" s="1455"/>
      <c r="I537" s="1455"/>
      <c r="J537" s="1455"/>
    </row>
    <row r="538" spans="5:10" x14ac:dyDescent="0.3">
      <c r="E538" s="1455"/>
      <c r="F538" s="1495"/>
      <c r="G538" s="1455"/>
      <c r="H538" s="1455"/>
      <c r="I538" s="1455"/>
      <c r="J538" s="1455"/>
    </row>
    <row r="539" spans="5:10" x14ac:dyDescent="0.3">
      <c r="E539" s="1455"/>
      <c r="F539" s="1495"/>
      <c r="G539" s="1455"/>
      <c r="H539" s="1455"/>
      <c r="I539" s="1455"/>
      <c r="J539" s="1455"/>
    </row>
    <row r="540" spans="5:10" x14ac:dyDescent="0.3">
      <c r="E540" s="1455"/>
      <c r="F540" s="1495"/>
      <c r="G540" s="1455"/>
      <c r="H540" s="1455"/>
      <c r="I540" s="1455"/>
      <c r="J540" s="1455"/>
    </row>
    <row r="541" spans="5:10" x14ac:dyDescent="0.3">
      <c r="E541" s="1455"/>
      <c r="F541" s="1495"/>
      <c r="G541" s="1455"/>
      <c r="H541" s="1455"/>
      <c r="I541" s="1455"/>
      <c r="J541" s="1455"/>
    </row>
    <row r="542" spans="5:10" x14ac:dyDescent="0.3">
      <c r="E542" s="1455"/>
      <c r="F542" s="1495"/>
      <c r="G542" s="1455"/>
      <c r="H542" s="1455"/>
      <c r="I542" s="1455"/>
      <c r="J542" s="1455"/>
    </row>
    <row r="543" spans="5:10" x14ac:dyDescent="0.3">
      <c r="E543" s="1455"/>
      <c r="F543" s="1495"/>
      <c r="G543" s="1455"/>
      <c r="H543" s="1455"/>
      <c r="I543" s="1455"/>
      <c r="J543" s="1455"/>
    </row>
    <row r="544" spans="5:10" x14ac:dyDescent="0.3">
      <c r="E544" s="1455"/>
      <c r="F544" s="1495"/>
      <c r="G544" s="1455"/>
      <c r="H544" s="1455"/>
      <c r="I544" s="1455"/>
      <c r="J544" s="1455"/>
    </row>
    <row r="545" spans="5:10" x14ac:dyDescent="0.3">
      <c r="E545" s="1455"/>
      <c r="F545" s="1495"/>
      <c r="G545" s="1455"/>
      <c r="H545" s="1455"/>
      <c r="I545" s="1455"/>
      <c r="J545" s="1455"/>
    </row>
    <row r="546" spans="5:10" x14ac:dyDescent="0.3">
      <c r="E546" s="1455"/>
      <c r="F546" s="1495"/>
      <c r="G546" s="1455"/>
      <c r="H546" s="1455"/>
      <c r="I546" s="1455"/>
      <c r="J546" s="1455"/>
    </row>
    <row r="547" spans="5:10" x14ac:dyDescent="0.3">
      <c r="E547" s="1455"/>
      <c r="F547" s="1495"/>
      <c r="G547" s="1455"/>
      <c r="H547" s="1455"/>
      <c r="I547" s="1455"/>
      <c r="J547" s="1455"/>
    </row>
    <row r="548" spans="5:10" x14ac:dyDescent="0.3">
      <c r="E548" s="1455"/>
      <c r="F548" s="1495"/>
      <c r="G548" s="1455"/>
      <c r="H548" s="1455"/>
      <c r="I548" s="1455"/>
      <c r="J548" s="1455"/>
    </row>
    <row r="549" spans="5:10" x14ac:dyDescent="0.3">
      <c r="E549" s="1455"/>
      <c r="F549" s="1495"/>
      <c r="G549" s="1455"/>
      <c r="H549" s="1455"/>
      <c r="I549" s="1455"/>
      <c r="J549" s="1455"/>
    </row>
    <row r="550" spans="5:10" x14ac:dyDescent="0.3">
      <c r="E550" s="1455"/>
      <c r="F550" s="1495"/>
      <c r="G550" s="1455"/>
      <c r="H550" s="1455"/>
      <c r="I550" s="1455"/>
      <c r="J550" s="1455"/>
    </row>
    <row r="551" spans="5:10" x14ac:dyDescent="0.3">
      <c r="E551" s="1455"/>
      <c r="F551" s="1495"/>
      <c r="G551" s="1455"/>
      <c r="H551" s="1455"/>
      <c r="I551" s="1455"/>
      <c r="J551" s="1455"/>
    </row>
    <row r="552" spans="5:10" x14ac:dyDescent="0.3">
      <c r="E552" s="1455"/>
      <c r="F552" s="1495"/>
      <c r="G552" s="1455"/>
      <c r="H552" s="1455"/>
      <c r="I552" s="1455"/>
      <c r="J552" s="1455"/>
    </row>
    <row r="553" spans="5:10" x14ac:dyDescent="0.3">
      <c r="E553" s="1455"/>
      <c r="F553" s="1495"/>
      <c r="G553" s="1455"/>
      <c r="H553" s="1455"/>
      <c r="I553" s="1455"/>
      <c r="J553" s="1455"/>
    </row>
    <row r="554" spans="5:10" x14ac:dyDescent="0.3">
      <c r="E554" s="1455"/>
      <c r="F554" s="1495"/>
      <c r="G554" s="1455"/>
      <c r="H554" s="1455"/>
      <c r="I554" s="1455"/>
      <c r="J554" s="1455"/>
    </row>
    <row r="555" spans="5:10" x14ac:dyDescent="0.3">
      <c r="E555" s="1455"/>
      <c r="F555" s="1495"/>
      <c r="G555" s="1455"/>
      <c r="H555" s="1455"/>
      <c r="I555" s="1455"/>
      <c r="J555" s="1455"/>
    </row>
    <row r="556" spans="5:10" x14ac:dyDescent="0.3">
      <c r="E556" s="1455"/>
      <c r="F556" s="1495"/>
      <c r="G556" s="1455"/>
      <c r="H556" s="1455"/>
      <c r="I556" s="1455"/>
      <c r="J556" s="1455"/>
    </row>
    <row r="557" spans="5:10" x14ac:dyDescent="0.3">
      <c r="E557" s="1455"/>
      <c r="F557" s="1495"/>
      <c r="G557" s="1455"/>
      <c r="H557" s="1455"/>
      <c r="I557" s="1455"/>
      <c r="J557" s="1455"/>
    </row>
    <row r="558" spans="5:10" x14ac:dyDescent="0.3">
      <c r="E558" s="1455"/>
      <c r="F558" s="1495"/>
      <c r="G558" s="1455"/>
      <c r="H558" s="1455"/>
      <c r="I558" s="1455"/>
      <c r="J558" s="1455"/>
    </row>
    <row r="559" spans="5:10" x14ac:dyDescent="0.3">
      <c r="E559" s="1455"/>
      <c r="F559" s="1495"/>
      <c r="G559" s="1455"/>
      <c r="H559" s="1455"/>
      <c r="I559" s="1455"/>
      <c r="J559" s="1455"/>
    </row>
    <row r="560" spans="5:10" x14ac:dyDescent="0.3">
      <c r="E560" s="1455"/>
      <c r="F560" s="1495"/>
      <c r="G560" s="1455"/>
      <c r="H560" s="1455"/>
      <c r="I560" s="1455"/>
      <c r="J560" s="1455"/>
    </row>
    <row r="561" spans="5:10" x14ac:dyDescent="0.3">
      <c r="E561" s="1455"/>
      <c r="F561" s="1495"/>
      <c r="G561" s="1455"/>
      <c r="H561" s="1455"/>
      <c r="I561" s="1455"/>
      <c r="J561" s="1455"/>
    </row>
    <row r="562" spans="5:10" x14ac:dyDescent="0.3">
      <c r="E562" s="1455"/>
      <c r="F562" s="1495"/>
      <c r="G562" s="1455"/>
      <c r="H562" s="1455"/>
      <c r="I562" s="1455"/>
      <c r="J562" s="1455"/>
    </row>
    <row r="563" spans="5:10" x14ac:dyDescent="0.3">
      <c r="E563" s="1455"/>
      <c r="F563" s="1495"/>
      <c r="G563" s="1455"/>
      <c r="H563" s="1455"/>
      <c r="I563" s="1455"/>
      <c r="J563" s="1455"/>
    </row>
    <row r="564" spans="5:10" x14ac:dyDescent="0.3">
      <c r="E564" s="1455"/>
      <c r="F564" s="1495"/>
      <c r="G564" s="1455"/>
      <c r="H564" s="1455"/>
      <c r="I564" s="1455"/>
      <c r="J564" s="1455"/>
    </row>
    <row r="565" spans="5:10" x14ac:dyDescent="0.3">
      <c r="E565" s="1455"/>
      <c r="F565" s="1495"/>
      <c r="G565" s="1455"/>
      <c r="H565" s="1455"/>
      <c r="I565" s="1455"/>
      <c r="J565" s="1455"/>
    </row>
    <row r="566" spans="5:10" x14ac:dyDescent="0.3">
      <c r="E566" s="1455"/>
      <c r="F566" s="1495"/>
      <c r="G566" s="1455"/>
      <c r="H566" s="1455"/>
      <c r="I566" s="1455"/>
      <c r="J566" s="1455"/>
    </row>
    <row r="567" spans="5:10" x14ac:dyDescent="0.3">
      <c r="E567" s="1455"/>
      <c r="F567" s="1495"/>
      <c r="G567" s="1455"/>
      <c r="H567" s="1455"/>
      <c r="I567" s="1455"/>
      <c r="J567" s="1455"/>
    </row>
    <row r="568" spans="5:10" x14ac:dyDescent="0.3">
      <c r="E568" s="1455"/>
      <c r="F568" s="1495"/>
      <c r="G568" s="1455"/>
      <c r="H568" s="1455"/>
      <c r="I568" s="1455"/>
      <c r="J568" s="1455"/>
    </row>
    <row r="569" spans="5:10" x14ac:dyDescent="0.3">
      <c r="E569" s="1455"/>
      <c r="F569" s="1495"/>
      <c r="G569" s="1455"/>
      <c r="H569" s="1455"/>
      <c r="I569" s="1455"/>
      <c r="J569" s="1455"/>
    </row>
    <row r="570" spans="5:10" x14ac:dyDescent="0.3">
      <c r="E570" s="1455"/>
      <c r="F570" s="1495"/>
      <c r="G570" s="1455"/>
      <c r="H570" s="1455"/>
      <c r="I570" s="1455"/>
      <c r="J570" s="1455"/>
    </row>
    <row r="571" spans="5:10" x14ac:dyDescent="0.3">
      <c r="E571" s="1455"/>
      <c r="F571" s="1495"/>
      <c r="G571" s="1455"/>
      <c r="H571" s="1455"/>
      <c r="I571" s="1455"/>
      <c r="J571" s="1455"/>
    </row>
    <row r="572" spans="5:10" x14ac:dyDescent="0.3">
      <c r="E572" s="1455"/>
      <c r="F572" s="1495"/>
      <c r="G572" s="1455"/>
      <c r="H572" s="1455"/>
      <c r="I572" s="1455"/>
      <c r="J572" s="1455"/>
    </row>
    <row r="573" spans="5:10" x14ac:dyDescent="0.3">
      <c r="E573" s="1455"/>
      <c r="F573" s="1495"/>
      <c r="G573" s="1455"/>
      <c r="H573" s="1455"/>
      <c r="I573" s="1455"/>
      <c r="J573" s="1455"/>
    </row>
    <row r="574" spans="5:10" x14ac:dyDescent="0.3">
      <c r="E574" s="1455"/>
      <c r="F574" s="1495"/>
      <c r="G574" s="1455"/>
      <c r="H574" s="1455"/>
      <c r="I574" s="1455"/>
      <c r="J574" s="1455"/>
    </row>
    <row r="575" spans="5:10" x14ac:dyDescent="0.3">
      <c r="E575" s="1455"/>
      <c r="F575" s="1495"/>
      <c r="G575" s="1455"/>
      <c r="H575" s="1455"/>
      <c r="I575" s="1455"/>
      <c r="J575" s="1455"/>
    </row>
    <row r="576" spans="5:10" x14ac:dyDescent="0.3">
      <c r="E576" s="1455"/>
      <c r="F576" s="1495"/>
      <c r="G576" s="1455"/>
      <c r="H576" s="1455"/>
      <c r="I576" s="1455"/>
      <c r="J576" s="1455"/>
    </row>
    <row r="577" spans="5:10" x14ac:dyDescent="0.3">
      <c r="E577" s="1455"/>
      <c r="F577" s="1495"/>
      <c r="G577" s="1455"/>
      <c r="H577" s="1455"/>
      <c r="I577" s="1455"/>
      <c r="J577" s="1455"/>
    </row>
    <row r="578" spans="5:10" x14ac:dyDescent="0.3">
      <c r="E578" s="1455"/>
      <c r="F578" s="1495"/>
      <c r="G578" s="1455"/>
      <c r="H578" s="1455"/>
      <c r="I578" s="1455"/>
      <c r="J578" s="1455"/>
    </row>
    <row r="579" spans="5:10" x14ac:dyDescent="0.3">
      <c r="E579" s="1455"/>
      <c r="F579" s="1495"/>
      <c r="G579" s="1455"/>
      <c r="H579" s="1455"/>
      <c r="I579" s="1455"/>
      <c r="J579" s="1455"/>
    </row>
    <row r="580" spans="5:10" x14ac:dyDescent="0.3">
      <c r="E580" s="1455"/>
      <c r="F580" s="1495"/>
      <c r="G580" s="1455"/>
      <c r="H580" s="1455"/>
      <c r="I580" s="1455"/>
      <c r="J580" s="1455"/>
    </row>
    <row r="581" spans="5:10" x14ac:dyDescent="0.3">
      <c r="E581" s="1455"/>
      <c r="F581" s="1495"/>
      <c r="G581" s="1455"/>
      <c r="H581" s="1455"/>
      <c r="I581" s="1455"/>
      <c r="J581" s="1455"/>
    </row>
    <row r="582" spans="5:10" x14ac:dyDescent="0.3">
      <c r="E582" s="1455"/>
      <c r="F582" s="1495"/>
      <c r="G582" s="1455"/>
      <c r="H582" s="1455"/>
      <c r="I582" s="1455"/>
      <c r="J582" s="1455"/>
    </row>
    <row r="583" spans="5:10" x14ac:dyDescent="0.3">
      <c r="E583" s="1455"/>
      <c r="F583" s="1495"/>
      <c r="G583" s="1455"/>
      <c r="H583" s="1455"/>
      <c r="I583" s="1455"/>
      <c r="J583" s="1455"/>
    </row>
    <row r="584" spans="5:10" x14ac:dyDescent="0.3">
      <c r="E584" s="1455"/>
      <c r="F584" s="1495"/>
      <c r="G584" s="1455"/>
      <c r="H584" s="1455"/>
      <c r="I584" s="1455"/>
      <c r="J584" s="1455"/>
    </row>
    <row r="585" spans="5:10" x14ac:dyDescent="0.3">
      <c r="E585" s="1455"/>
      <c r="F585" s="1495"/>
      <c r="G585" s="1455"/>
      <c r="H585" s="1455"/>
      <c r="I585" s="1455"/>
      <c r="J585" s="1455"/>
    </row>
    <row r="586" spans="5:10" x14ac:dyDescent="0.3">
      <c r="E586" s="1455"/>
      <c r="F586" s="1495"/>
      <c r="G586" s="1455"/>
      <c r="H586" s="1455"/>
      <c r="I586" s="1455"/>
      <c r="J586" s="1455"/>
    </row>
    <row r="587" spans="5:10" x14ac:dyDescent="0.3">
      <c r="E587" s="1455"/>
      <c r="F587" s="1495"/>
      <c r="G587" s="1455"/>
      <c r="H587" s="1455"/>
      <c r="I587" s="1455"/>
      <c r="J587" s="1455"/>
    </row>
    <row r="588" spans="5:10" x14ac:dyDescent="0.3">
      <c r="E588" s="1455"/>
      <c r="F588" s="1495"/>
      <c r="G588" s="1455"/>
      <c r="H588" s="1455"/>
      <c r="I588" s="1455"/>
      <c r="J588" s="1455"/>
    </row>
    <row r="589" spans="5:10" x14ac:dyDescent="0.3">
      <c r="E589" s="1455"/>
      <c r="F589" s="1495"/>
      <c r="G589" s="1455"/>
      <c r="H589" s="1455"/>
      <c r="I589" s="1455"/>
      <c r="J589" s="1455"/>
    </row>
    <row r="590" spans="5:10" x14ac:dyDescent="0.3">
      <c r="E590" s="1455"/>
      <c r="F590" s="1495"/>
      <c r="G590" s="1455"/>
      <c r="H590" s="1455"/>
      <c r="I590" s="1455"/>
      <c r="J590" s="1455"/>
    </row>
    <row r="591" spans="5:10" x14ac:dyDescent="0.3">
      <c r="E591" s="1455"/>
      <c r="F591" s="1495"/>
      <c r="G591" s="1455"/>
      <c r="H591" s="1455"/>
      <c r="I591" s="1455"/>
      <c r="J591" s="1455"/>
    </row>
    <row r="592" spans="5:10" x14ac:dyDescent="0.3">
      <c r="E592" s="1455"/>
      <c r="F592" s="1495"/>
      <c r="G592" s="1455"/>
      <c r="H592" s="1455"/>
      <c r="I592" s="1455"/>
      <c r="J592" s="1455"/>
    </row>
    <row r="593" spans="5:10" x14ac:dyDescent="0.3">
      <c r="E593" s="1455"/>
      <c r="F593" s="1495"/>
      <c r="G593" s="1455"/>
      <c r="H593" s="1455"/>
      <c r="I593" s="1455"/>
      <c r="J593" s="1455"/>
    </row>
    <row r="594" spans="5:10" x14ac:dyDescent="0.3">
      <c r="E594" s="1455"/>
      <c r="F594" s="1495"/>
      <c r="G594" s="1455"/>
      <c r="H594" s="1455"/>
      <c r="I594" s="1455"/>
      <c r="J594" s="1455"/>
    </row>
    <row r="595" spans="5:10" x14ac:dyDescent="0.3">
      <c r="E595" s="1455"/>
      <c r="F595" s="1495"/>
      <c r="G595" s="1455"/>
      <c r="H595" s="1455"/>
      <c r="I595" s="1455"/>
      <c r="J595" s="1455"/>
    </row>
    <row r="596" spans="5:10" x14ac:dyDescent="0.3">
      <c r="E596" s="1455"/>
      <c r="F596" s="1495"/>
      <c r="G596" s="1455"/>
      <c r="H596" s="1455"/>
      <c r="I596" s="1455"/>
      <c r="J596" s="1455"/>
    </row>
    <row r="597" spans="5:10" x14ac:dyDescent="0.3">
      <c r="E597" s="1455"/>
      <c r="F597" s="1495"/>
      <c r="G597" s="1455"/>
      <c r="H597" s="1455"/>
      <c r="I597" s="1455"/>
      <c r="J597" s="1455"/>
    </row>
    <row r="598" spans="5:10" x14ac:dyDescent="0.3">
      <c r="E598" s="1455"/>
      <c r="F598" s="1495"/>
      <c r="G598" s="1455"/>
      <c r="H598" s="1455"/>
      <c r="I598" s="1455"/>
      <c r="J598" s="1455"/>
    </row>
    <row r="599" spans="5:10" x14ac:dyDescent="0.3">
      <c r="E599" s="1455"/>
      <c r="F599" s="1495"/>
      <c r="G599" s="1455"/>
      <c r="H599" s="1455"/>
      <c r="I599" s="1455"/>
      <c r="J599" s="1455"/>
    </row>
    <row r="600" spans="5:10" x14ac:dyDescent="0.3">
      <c r="E600" s="1455"/>
      <c r="F600" s="1495"/>
      <c r="G600" s="1455"/>
      <c r="H600" s="1455"/>
      <c r="I600" s="1455"/>
      <c r="J600" s="1455"/>
    </row>
    <row r="601" spans="5:10" x14ac:dyDescent="0.3">
      <c r="E601" s="1455"/>
      <c r="F601" s="1495"/>
      <c r="G601" s="1455"/>
      <c r="H601" s="1455"/>
      <c r="I601" s="1455"/>
      <c r="J601" s="1455"/>
    </row>
    <row r="602" spans="5:10" x14ac:dyDescent="0.3">
      <c r="E602" s="1455"/>
      <c r="F602" s="1495"/>
      <c r="G602" s="1455"/>
      <c r="H602" s="1455"/>
      <c r="I602" s="1455"/>
      <c r="J602" s="1455"/>
    </row>
    <row r="603" spans="5:10" x14ac:dyDescent="0.3">
      <c r="E603" s="1455"/>
      <c r="F603" s="1495"/>
      <c r="G603" s="1455"/>
      <c r="H603" s="1455"/>
      <c r="I603" s="1455"/>
      <c r="J603" s="1455"/>
    </row>
    <row r="604" spans="5:10" x14ac:dyDescent="0.3">
      <c r="E604" s="1455"/>
      <c r="F604" s="1495"/>
      <c r="G604" s="1455"/>
      <c r="H604" s="1455"/>
      <c r="I604" s="1455"/>
      <c r="J604" s="1455"/>
    </row>
    <row r="605" spans="5:10" x14ac:dyDescent="0.3">
      <c r="E605" s="1455"/>
      <c r="F605" s="1495"/>
      <c r="G605" s="1455"/>
      <c r="H605" s="1455"/>
      <c r="I605" s="1455"/>
      <c r="J605" s="1455"/>
    </row>
    <row r="606" spans="5:10" x14ac:dyDescent="0.3">
      <c r="E606" s="1455"/>
      <c r="F606" s="1495"/>
      <c r="G606" s="1455"/>
      <c r="H606" s="1455"/>
      <c r="I606" s="1455"/>
      <c r="J606" s="1455"/>
    </row>
    <row r="607" spans="5:10" x14ac:dyDescent="0.3">
      <c r="E607" s="1455"/>
      <c r="F607" s="1495"/>
      <c r="G607" s="1455"/>
      <c r="H607" s="1455"/>
      <c r="I607" s="1455"/>
      <c r="J607" s="1455"/>
    </row>
    <row r="608" spans="5:10" x14ac:dyDescent="0.3">
      <c r="E608" s="1455"/>
      <c r="F608" s="1495"/>
      <c r="G608" s="1455"/>
      <c r="H608" s="1455"/>
      <c r="I608" s="1455"/>
      <c r="J608" s="1455"/>
    </row>
    <row r="609" spans="5:10" x14ac:dyDescent="0.3">
      <c r="E609" s="1455"/>
      <c r="F609" s="1495"/>
      <c r="G609" s="1455"/>
      <c r="H609" s="1455"/>
      <c r="I609" s="1455"/>
      <c r="J609" s="1455"/>
    </row>
    <row r="610" spans="5:10" x14ac:dyDescent="0.3">
      <c r="E610" s="1455"/>
      <c r="F610" s="1495"/>
      <c r="G610" s="1455"/>
      <c r="H610" s="1455"/>
      <c r="I610" s="1455"/>
      <c r="J610" s="1455"/>
    </row>
    <row r="611" spans="5:10" x14ac:dyDescent="0.3">
      <c r="E611" s="1455"/>
      <c r="F611" s="1495"/>
      <c r="G611" s="1455"/>
      <c r="H611" s="1455"/>
      <c r="I611" s="1455"/>
      <c r="J611" s="1455"/>
    </row>
    <row r="612" spans="5:10" x14ac:dyDescent="0.3">
      <c r="E612" s="1455"/>
      <c r="F612" s="1495"/>
      <c r="G612" s="1455"/>
      <c r="H612" s="1455"/>
      <c r="I612" s="1455"/>
      <c r="J612" s="1455"/>
    </row>
    <row r="613" spans="5:10" x14ac:dyDescent="0.3">
      <c r="E613" s="1455"/>
      <c r="F613" s="1495"/>
      <c r="G613" s="1455"/>
      <c r="H613" s="1455"/>
      <c r="I613" s="1455"/>
      <c r="J613" s="1455"/>
    </row>
    <row r="614" spans="5:10" x14ac:dyDescent="0.3">
      <c r="E614" s="1455"/>
      <c r="F614" s="1495"/>
      <c r="G614" s="1455"/>
      <c r="H614" s="1455"/>
      <c r="I614" s="1455"/>
      <c r="J614" s="1455"/>
    </row>
    <row r="615" spans="5:10" x14ac:dyDescent="0.3">
      <c r="E615" s="1455"/>
      <c r="F615" s="1495"/>
      <c r="G615" s="1455"/>
      <c r="H615" s="1455"/>
      <c r="I615" s="1455"/>
      <c r="J615" s="1455"/>
    </row>
    <row r="616" spans="5:10" x14ac:dyDescent="0.3">
      <c r="E616" s="1455"/>
      <c r="F616" s="1495"/>
      <c r="G616" s="1455"/>
      <c r="H616" s="1455"/>
      <c r="I616" s="1455"/>
      <c r="J616" s="1455"/>
    </row>
    <row r="617" spans="5:10" x14ac:dyDescent="0.3">
      <c r="E617" s="1455"/>
      <c r="F617" s="1495"/>
      <c r="G617" s="1455"/>
      <c r="H617" s="1455"/>
      <c r="I617" s="1455"/>
      <c r="J617" s="1455"/>
    </row>
    <row r="618" spans="5:10" x14ac:dyDescent="0.3">
      <c r="E618" s="1455"/>
      <c r="F618" s="1495"/>
      <c r="G618" s="1455"/>
      <c r="H618" s="1455"/>
      <c r="I618" s="1455"/>
      <c r="J618" s="1455"/>
    </row>
    <row r="619" spans="5:10" x14ac:dyDescent="0.3">
      <c r="E619" s="1455"/>
      <c r="F619" s="1495"/>
      <c r="G619" s="1455"/>
      <c r="H619" s="1455"/>
      <c r="I619" s="1455"/>
      <c r="J619" s="1455"/>
    </row>
    <row r="620" spans="5:10" x14ac:dyDescent="0.3">
      <c r="E620" s="1455"/>
      <c r="F620" s="1495"/>
      <c r="G620" s="1455"/>
      <c r="H620" s="1455"/>
      <c r="I620" s="1455"/>
      <c r="J620" s="1455"/>
    </row>
    <row r="621" spans="5:10" x14ac:dyDescent="0.3">
      <c r="E621" s="1455"/>
      <c r="F621" s="1495"/>
      <c r="G621" s="1455"/>
      <c r="H621" s="1455"/>
      <c r="I621" s="1455"/>
      <c r="J621" s="1455"/>
    </row>
    <row r="622" spans="5:10" x14ac:dyDescent="0.3">
      <c r="E622" s="1455"/>
      <c r="F622" s="1495"/>
      <c r="G622" s="1455"/>
      <c r="H622" s="1455"/>
      <c r="I622" s="1455"/>
      <c r="J622" s="1455"/>
    </row>
    <row r="623" spans="5:10" x14ac:dyDescent="0.3">
      <c r="E623" s="1455"/>
      <c r="F623" s="1495"/>
      <c r="G623" s="1455"/>
      <c r="H623" s="1455"/>
      <c r="I623" s="1455"/>
      <c r="J623" s="1455"/>
    </row>
    <row r="624" spans="5:10" x14ac:dyDescent="0.3">
      <c r="E624" s="1455"/>
      <c r="F624" s="1495"/>
      <c r="G624" s="1455"/>
      <c r="H624" s="1455"/>
      <c r="I624" s="1455"/>
      <c r="J624" s="1455"/>
    </row>
    <row r="625" spans="5:10" x14ac:dyDescent="0.3">
      <c r="E625" s="1455"/>
      <c r="F625" s="1495"/>
      <c r="G625" s="1455"/>
      <c r="H625" s="1455"/>
      <c r="I625" s="1455"/>
      <c r="J625" s="1455"/>
    </row>
    <row r="626" spans="5:10" x14ac:dyDescent="0.3">
      <c r="E626" s="1455"/>
      <c r="F626" s="1495"/>
      <c r="G626" s="1455"/>
      <c r="H626" s="1455"/>
      <c r="I626" s="1455"/>
      <c r="J626" s="1455"/>
    </row>
    <row r="627" spans="5:10" x14ac:dyDescent="0.3">
      <c r="E627" s="1455"/>
      <c r="F627" s="1495"/>
      <c r="G627" s="1455"/>
      <c r="H627" s="1455"/>
      <c r="I627" s="1455"/>
      <c r="J627" s="1455"/>
    </row>
    <row r="628" spans="5:10" x14ac:dyDescent="0.3">
      <c r="E628" s="1455"/>
      <c r="F628" s="1495"/>
      <c r="G628" s="1455"/>
      <c r="H628" s="1455"/>
      <c r="I628" s="1455"/>
      <c r="J628" s="1455"/>
    </row>
    <row r="629" spans="5:10" x14ac:dyDescent="0.3">
      <c r="E629" s="1455"/>
      <c r="F629" s="1495"/>
      <c r="G629" s="1455"/>
      <c r="H629" s="1455"/>
      <c r="I629" s="1455"/>
      <c r="J629" s="1455"/>
    </row>
    <row r="630" spans="5:10" x14ac:dyDescent="0.3">
      <c r="E630" s="1455"/>
      <c r="F630" s="1495"/>
      <c r="G630" s="1455"/>
      <c r="H630" s="1455"/>
      <c r="I630" s="1455"/>
      <c r="J630" s="1455"/>
    </row>
    <row r="631" spans="5:10" x14ac:dyDescent="0.3">
      <c r="E631" s="1455"/>
      <c r="F631" s="1495"/>
      <c r="G631" s="1455"/>
      <c r="H631" s="1455"/>
      <c r="I631" s="1455"/>
      <c r="J631" s="1455"/>
    </row>
    <row r="632" spans="5:10" x14ac:dyDescent="0.3">
      <c r="E632" s="1455"/>
      <c r="F632" s="1495"/>
      <c r="G632" s="1455"/>
      <c r="H632" s="1455"/>
      <c r="I632" s="1455"/>
      <c r="J632" s="1455"/>
    </row>
    <row r="633" spans="5:10" x14ac:dyDescent="0.3">
      <c r="E633" s="1455"/>
      <c r="F633" s="1495"/>
      <c r="G633" s="1455"/>
      <c r="H633" s="1455"/>
      <c r="I633" s="1455"/>
      <c r="J633" s="1455"/>
    </row>
    <row r="634" spans="5:10" x14ac:dyDescent="0.3">
      <c r="E634" s="1455"/>
      <c r="F634" s="1495"/>
      <c r="G634" s="1455"/>
      <c r="H634" s="1455"/>
      <c r="I634" s="1455"/>
      <c r="J634" s="1455"/>
    </row>
    <row r="635" spans="5:10" x14ac:dyDescent="0.3">
      <c r="E635" s="1455"/>
      <c r="F635" s="1495"/>
      <c r="G635" s="1455"/>
      <c r="H635" s="1455"/>
      <c r="I635" s="1455"/>
      <c r="J635" s="1455"/>
    </row>
    <row r="636" spans="5:10" x14ac:dyDescent="0.3">
      <c r="E636" s="1455"/>
      <c r="F636" s="1495"/>
      <c r="G636" s="1455"/>
      <c r="H636" s="1455"/>
      <c r="I636" s="1455"/>
      <c r="J636" s="1455"/>
    </row>
    <row r="637" spans="5:10" x14ac:dyDescent="0.3">
      <c r="E637" s="1455"/>
      <c r="F637" s="1495"/>
      <c r="G637" s="1455"/>
      <c r="H637" s="1455"/>
      <c r="I637" s="1455"/>
      <c r="J637" s="1455"/>
    </row>
    <row r="638" spans="5:10" x14ac:dyDescent="0.3">
      <c r="E638" s="1455"/>
      <c r="F638" s="1495"/>
      <c r="G638" s="1455"/>
      <c r="H638" s="1455"/>
      <c r="I638" s="1455"/>
      <c r="J638" s="1455"/>
    </row>
    <row r="639" spans="5:10" x14ac:dyDescent="0.3">
      <c r="E639" s="1455"/>
      <c r="F639" s="1495"/>
      <c r="G639" s="1455"/>
      <c r="H639" s="1455"/>
      <c r="I639" s="1455"/>
      <c r="J639" s="1455"/>
    </row>
    <row r="640" spans="5:10" x14ac:dyDescent="0.3">
      <c r="E640" s="1455"/>
      <c r="F640" s="1495"/>
      <c r="G640" s="1455"/>
      <c r="H640" s="1455"/>
      <c r="I640" s="1455"/>
      <c r="J640" s="1455"/>
    </row>
    <row r="641" spans="5:10" x14ac:dyDescent="0.3">
      <c r="E641" s="1455"/>
      <c r="F641" s="1495"/>
      <c r="G641" s="1455"/>
      <c r="H641" s="1455"/>
      <c r="I641" s="1455"/>
      <c r="J641" s="1455"/>
    </row>
    <row r="642" spans="5:10" x14ac:dyDescent="0.3">
      <c r="E642" s="1455"/>
      <c r="F642" s="1495"/>
      <c r="G642" s="1455"/>
      <c r="H642" s="1455"/>
      <c r="I642" s="1455"/>
      <c r="J642" s="1455"/>
    </row>
    <row r="643" spans="5:10" x14ac:dyDescent="0.3">
      <c r="E643" s="1455"/>
      <c r="F643" s="1495"/>
      <c r="G643" s="1455"/>
      <c r="H643" s="1455"/>
      <c r="I643" s="1455"/>
      <c r="J643" s="1455"/>
    </row>
    <row r="644" spans="5:10" x14ac:dyDescent="0.3">
      <c r="E644" s="1455"/>
      <c r="F644" s="1495"/>
      <c r="G644" s="1455"/>
      <c r="H644" s="1455"/>
      <c r="I644" s="1455"/>
      <c r="J644" s="1455"/>
    </row>
    <row r="645" spans="5:10" x14ac:dyDescent="0.3">
      <c r="E645" s="1455"/>
      <c r="F645" s="1495"/>
      <c r="G645" s="1455"/>
      <c r="H645" s="1455"/>
      <c r="I645" s="1455"/>
      <c r="J645" s="1455"/>
    </row>
    <row r="646" spans="5:10" x14ac:dyDescent="0.3">
      <c r="E646" s="1455"/>
      <c r="F646" s="1495"/>
      <c r="G646" s="1455"/>
      <c r="H646" s="1455"/>
      <c r="I646" s="1455"/>
      <c r="J646" s="1455"/>
    </row>
    <row r="647" spans="5:10" x14ac:dyDescent="0.3">
      <c r="E647" s="1455"/>
      <c r="F647" s="1495"/>
      <c r="G647" s="1455"/>
      <c r="H647" s="1455"/>
      <c r="I647" s="1455"/>
      <c r="J647" s="1455"/>
    </row>
    <row r="648" spans="5:10" x14ac:dyDescent="0.3">
      <c r="E648" s="1455"/>
      <c r="F648" s="1495"/>
      <c r="G648" s="1455"/>
      <c r="H648" s="1455"/>
      <c r="I648" s="1455"/>
      <c r="J648" s="1455"/>
    </row>
    <row r="649" spans="5:10" x14ac:dyDescent="0.3">
      <c r="E649" s="1455"/>
      <c r="F649" s="1495"/>
      <c r="G649" s="1455"/>
      <c r="H649" s="1455"/>
      <c r="I649" s="1455"/>
      <c r="J649" s="1455"/>
    </row>
    <row r="650" spans="5:10" x14ac:dyDescent="0.3">
      <c r="E650" s="1455"/>
      <c r="F650" s="1495"/>
      <c r="G650" s="1455"/>
      <c r="H650" s="1455"/>
      <c r="I650" s="1455"/>
      <c r="J650" s="1455"/>
    </row>
    <row r="651" spans="5:10" x14ac:dyDescent="0.3">
      <c r="E651" s="1455"/>
      <c r="F651" s="1495"/>
      <c r="G651" s="1455"/>
      <c r="H651" s="1455"/>
      <c r="I651" s="1455"/>
      <c r="J651" s="1455"/>
    </row>
    <row r="652" spans="5:10" x14ac:dyDescent="0.3">
      <c r="E652" s="1455"/>
      <c r="F652" s="1495"/>
      <c r="G652" s="1455"/>
      <c r="H652" s="1455"/>
      <c r="I652" s="1455"/>
      <c r="J652" s="1455"/>
    </row>
    <row r="653" spans="5:10" x14ac:dyDescent="0.3">
      <c r="E653" s="1455"/>
      <c r="F653" s="1495"/>
      <c r="G653" s="1455"/>
      <c r="H653" s="1455"/>
      <c r="I653" s="1455"/>
      <c r="J653" s="1455"/>
    </row>
    <row r="654" spans="5:10" x14ac:dyDescent="0.3">
      <c r="E654" s="1455"/>
      <c r="F654" s="1495"/>
      <c r="G654" s="1455"/>
      <c r="H654" s="1455"/>
      <c r="I654" s="1455"/>
      <c r="J654" s="1455"/>
    </row>
    <row r="655" spans="5:10" x14ac:dyDescent="0.3">
      <c r="E655" s="1455"/>
      <c r="F655" s="1495"/>
      <c r="G655" s="1455"/>
      <c r="H655" s="1455"/>
      <c r="I655" s="1455"/>
      <c r="J655" s="1455"/>
    </row>
    <row r="656" spans="5:10" x14ac:dyDescent="0.3">
      <c r="E656" s="1455"/>
      <c r="F656" s="1495"/>
      <c r="G656" s="1455"/>
      <c r="H656" s="1455"/>
      <c r="I656" s="1455"/>
      <c r="J656" s="1455"/>
    </row>
    <row r="657" spans="5:10" x14ac:dyDescent="0.3">
      <c r="E657" s="1455"/>
      <c r="F657" s="1495"/>
      <c r="G657" s="1455"/>
      <c r="H657" s="1455"/>
      <c r="I657" s="1455"/>
      <c r="J657" s="1455"/>
    </row>
    <row r="658" spans="5:10" x14ac:dyDescent="0.3">
      <c r="E658" s="1455"/>
      <c r="F658" s="1495"/>
      <c r="G658" s="1455"/>
      <c r="H658" s="1455"/>
      <c r="I658" s="1455"/>
      <c r="J658" s="1455"/>
    </row>
    <row r="659" spans="5:10" x14ac:dyDescent="0.3">
      <c r="E659" s="1455"/>
      <c r="F659" s="1495"/>
      <c r="G659" s="1455"/>
      <c r="H659" s="1455"/>
      <c r="I659" s="1455"/>
      <c r="J659" s="1455"/>
    </row>
    <row r="660" spans="5:10" x14ac:dyDescent="0.3">
      <c r="E660" s="1455"/>
      <c r="F660" s="1495"/>
      <c r="G660" s="1455"/>
      <c r="H660" s="1455"/>
      <c r="I660" s="1455"/>
      <c r="J660" s="1455"/>
    </row>
    <row r="661" spans="5:10" x14ac:dyDescent="0.3">
      <c r="E661" s="1455"/>
      <c r="F661" s="1495"/>
      <c r="G661" s="1455"/>
      <c r="H661" s="1455"/>
      <c r="I661" s="1455"/>
      <c r="J661" s="1455"/>
    </row>
    <row r="662" spans="5:10" x14ac:dyDescent="0.3">
      <c r="E662" s="1455"/>
      <c r="F662" s="1495"/>
      <c r="G662" s="1455"/>
      <c r="H662" s="1455"/>
      <c r="I662" s="1455"/>
      <c r="J662" s="1455"/>
    </row>
    <row r="663" spans="5:10" x14ac:dyDescent="0.3">
      <c r="E663" s="1455"/>
      <c r="F663" s="1495"/>
      <c r="G663" s="1455"/>
      <c r="H663" s="1455"/>
      <c r="I663" s="1455"/>
      <c r="J663" s="1455"/>
    </row>
    <row r="664" spans="5:10" x14ac:dyDescent="0.3">
      <c r="E664" s="1455"/>
      <c r="F664" s="1495"/>
      <c r="G664" s="1455"/>
      <c r="H664" s="1455"/>
      <c r="I664" s="1455"/>
      <c r="J664" s="1455"/>
    </row>
    <row r="665" spans="5:10" x14ac:dyDescent="0.3">
      <c r="E665" s="1455"/>
      <c r="F665" s="1495"/>
      <c r="G665" s="1455"/>
      <c r="H665" s="1455"/>
      <c r="I665" s="1455"/>
      <c r="J665" s="1455"/>
    </row>
    <row r="666" spans="5:10" x14ac:dyDescent="0.3">
      <c r="E666" s="1455"/>
      <c r="F666" s="1495"/>
      <c r="G666" s="1455"/>
      <c r="H666" s="1455"/>
      <c r="I666" s="1455"/>
      <c r="J666" s="1455"/>
    </row>
    <row r="667" spans="5:10" x14ac:dyDescent="0.3">
      <c r="E667" s="1455"/>
      <c r="F667" s="1495"/>
      <c r="G667" s="1455"/>
      <c r="H667" s="1455"/>
      <c r="I667" s="1455"/>
      <c r="J667" s="1455"/>
    </row>
    <row r="668" spans="5:10" x14ac:dyDescent="0.3">
      <c r="E668" s="1455"/>
      <c r="F668" s="1495"/>
      <c r="G668" s="1455"/>
      <c r="H668" s="1455"/>
      <c r="I668" s="1455"/>
      <c r="J668" s="1455"/>
    </row>
    <row r="669" spans="5:10" x14ac:dyDescent="0.3">
      <c r="E669" s="1455"/>
      <c r="F669" s="1495"/>
      <c r="G669" s="1455"/>
      <c r="H669" s="1455"/>
      <c r="I669" s="1455"/>
      <c r="J669" s="1455"/>
    </row>
    <row r="670" spans="5:10" x14ac:dyDescent="0.3">
      <c r="E670" s="1455"/>
      <c r="F670" s="1495"/>
      <c r="G670" s="1455"/>
      <c r="H670" s="1455"/>
      <c r="I670" s="1455"/>
      <c r="J670" s="1455"/>
    </row>
    <row r="671" spans="5:10" x14ac:dyDescent="0.3">
      <c r="E671" s="1455"/>
      <c r="F671" s="1495"/>
      <c r="G671" s="1455"/>
      <c r="H671" s="1455"/>
      <c r="I671" s="1455"/>
      <c r="J671" s="1455"/>
    </row>
    <row r="672" spans="5:10" x14ac:dyDescent="0.3">
      <c r="E672" s="1455"/>
      <c r="F672" s="1495"/>
      <c r="G672" s="1455"/>
      <c r="H672" s="1455"/>
      <c r="I672" s="1455"/>
      <c r="J672" s="1455"/>
    </row>
    <row r="673" spans="5:10" x14ac:dyDescent="0.3">
      <c r="E673" s="1455"/>
      <c r="F673" s="1495"/>
      <c r="G673" s="1455"/>
      <c r="H673" s="1455"/>
      <c r="I673" s="1455"/>
      <c r="J673" s="1455"/>
    </row>
    <row r="674" spans="5:10" x14ac:dyDescent="0.3">
      <c r="E674" s="1455"/>
      <c r="F674" s="1495"/>
      <c r="G674" s="1455"/>
      <c r="H674" s="1455"/>
      <c r="I674" s="1455"/>
      <c r="J674" s="1455"/>
    </row>
    <row r="675" spans="5:10" x14ac:dyDescent="0.3">
      <c r="E675" s="1455"/>
      <c r="F675" s="1495"/>
      <c r="G675" s="1455"/>
      <c r="H675" s="1455"/>
      <c r="I675" s="1455"/>
      <c r="J675" s="1455"/>
    </row>
    <row r="676" spans="5:10" x14ac:dyDescent="0.3">
      <c r="E676" s="1455"/>
      <c r="F676" s="1495"/>
      <c r="G676" s="1455"/>
      <c r="H676" s="1455"/>
      <c r="I676" s="1455"/>
      <c r="J676" s="1455"/>
    </row>
    <row r="677" spans="5:10" x14ac:dyDescent="0.3">
      <c r="E677" s="1455"/>
      <c r="F677" s="1495"/>
      <c r="G677" s="1455"/>
      <c r="H677" s="1455"/>
      <c r="I677" s="1455"/>
      <c r="J677" s="1455"/>
    </row>
    <row r="678" spans="5:10" x14ac:dyDescent="0.3">
      <c r="E678" s="1455"/>
      <c r="F678" s="1495"/>
      <c r="G678" s="1455"/>
      <c r="H678" s="1455"/>
      <c r="I678" s="1455"/>
      <c r="J678" s="1455"/>
    </row>
    <row r="679" spans="5:10" x14ac:dyDescent="0.3">
      <c r="E679" s="1455"/>
      <c r="F679" s="1495"/>
      <c r="G679" s="1455"/>
      <c r="H679" s="1455"/>
      <c r="I679" s="1455"/>
      <c r="J679" s="1455"/>
    </row>
    <row r="680" spans="5:10" x14ac:dyDescent="0.3">
      <c r="E680" s="1455"/>
      <c r="F680" s="1495"/>
      <c r="G680" s="1455"/>
      <c r="H680" s="1455"/>
      <c r="I680" s="1455"/>
      <c r="J680" s="1455"/>
    </row>
    <row r="681" spans="5:10" x14ac:dyDescent="0.3">
      <c r="E681" s="1455"/>
      <c r="F681" s="1495"/>
      <c r="G681" s="1455"/>
      <c r="H681" s="1455"/>
      <c r="I681" s="1455"/>
      <c r="J681" s="1455"/>
    </row>
    <row r="682" spans="5:10" x14ac:dyDescent="0.3">
      <c r="E682" s="1455"/>
      <c r="F682" s="1495"/>
      <c r="G682" s="1455"/>
      <c r="H682" s="1455"/>
      <c r="I682" s="1455"/>
      <c r="J682" s="1455"/>
    </row>
    <row r="683" spans="5:10" x14ac:dyDescent="0.3">
      <c r="E683" s="1455"/>
      <c r="F683" s="1495"/>
      <c r="G683" s="1455"/>
      <c r="H683" s="1455"/>
      <c r="I683" s="1455"/>
      <c r="J683" s="1455"/>
    </row>
    <row r="684" spans="5:10" x14ac:dyDescent="0.3">
      <c r="E684" s="1455"/>
      <c r="F684" s="1495"/>
      <c r="G684" s="1455"/>
      <c r="H684" s="1455"/>
      <c r="I684" s="1455"/>
      <c r="J684" s="1455"/>
    </row>
    <row r="685" spans="5:10" x14ac:dyDescent="0.3">
      <c r="E685" s="1455"/>
      <c r="F685" s="1495"/>
      <c r="G685" s="1455"/>
      <c r="H685" s="1455"/>
      <c r="I685" s="1455"/>
      <c r="J685" s="1455"/>
    </row>
    <row r="686" spans="5:10" x14ac:dyDescent="0.3">
      <c r="E686" s="1455"/>
      <c r="F686" s="1495"/>
      <c r="G686" s="1455"/>
      <c r="H686" s="1455"/>
      <c r="I686" s="1455"/>
      <c r="J686" s="1455"/>
    </row>
    <row r="687" spans="5:10" x14ac:dyDescent="0.3">
      <c r="E687" s="1455"/>
      <c r="F687" s="1495"/>
      <c r="G687" s="1455"/>
      <c r="H687" s="1455"/>
      <c r="I687" s="1455"/>
      <c r="J687" s="1455"/>
    </row>
    <row r="688" spans="5:10" x14ac:dyDescent="0.3">
      <c r="E688" s="1455"/>
      <c r="F688" s="1495"/>
      <c r="G688" s="1455"/>
      <c r="H688" s="1455"/>
      <c r="I688" s="1455"/>
      <c r="J688" s="1455"/>
    </row>
    <row r="689" spans="5:10" x14ac:dyDescent="0.3">
      <c r="E689" s="1455"/>
      <c r="F689" s="1495"/>
      <c r="G689" s="1455"/>
      <c r="H689" s="1455"/>
      <c r="I689" s="1455"/>
      <c r="J689" s="1455"/>
    </row>
    <row r="690" spans="5:10" x14ac:dyDescent="0.3">
      <c r="E690" s="1455"/>
      <c r="F690" s="1495"/>
      <c r="G690" s="1455"/>
      <c r="H690" s="1455"/>
      <c r="I690" s="1455"/>
      <c r="J690" s="1455"/>
    </row>
    <row r="691" spans="5:10" x14ac:dyDescent="0.3">
      <c r="E691" s="1455"/>
      <c r="F691" s="1495"/>
      <c r="G691" s="1455"/>
      <c r="H691" s="1455"/>
      <c r="I691" s="1455"/>
      <c r="J691" s="1455"/>
    </row>
    <row r="692" spans="5:10" x14ac:dyDescent="0.3">
      <c r="E692" s="1455"/>
      <c r="F692" s="1495"/>
      <c r="G692" s="1455"/>
      <c r="H692" s="1455"/>
      <c r="I692" s="1455"/>
      <c r="J692" s="1455"/>
    </row>
    <row r="693" spans="5:10" x14ac:dyDescent="0.3">
      <c r="E693" s="1455"/>
      <c r="F693" s="1495"/>
      <c r="G693" s="1455"/>
      <c r="H693" s="1455"/>
      <c r="I693" s="1455"/>
      <c r="J693" s="1455"/>
    </row>
    <row r="694" spans="5:10" x14ac:dyDescent="0.3">
      <c r="E694" s="1455"/>
      <c r="F694" s="1495"/>
      <c r="G694" s="1455"/>
      <c r="H694" s="1455"/>
      <c r="I694" s="1455"/>
      <c r="J694" s="1455"/>
    </row>
    <row r="695" spans="5:10" x14ac:dyDescent="0.3">
      <c r="E695" s="1455"/>
      <c r="F695" s="1495"/>
      <c r="G695" s="1455"/>
      <c r="H695" s="1455"/>
      <c r="I695" s="1455"/>
      <c r="J695" s="1455"/>
    </row>
    <row r="696" spans="5:10" x14ac:dyDescent="0.3">
      <c r="E696" s="1455"/>
      <c r="F696" s="1495"/>
      <c r="G696" s="1455"/>
      <c r="H696" s="1455"/>
      <c r="I696" s="1455"/>
      <c r="J696" s="1455"/>
    </row>
    <row r="697" spans="5:10" x14ac:dyDescent="0.3">
      <c r="E697" s="1455"/>
      <c r="F697" s="1495"/>
      <c r="G697" s="1455"/>
      <c r="H697" s="1455"/>
      <c r="I697" s="1455"/>
      <c r="J697" s="1455"/>
    </row>
    <row r="698" spans="5:10" x14ac:dyDescent="0.3">
      <c r="E698" s="1455"/>
      <c r="F698" s="1495"/>
      <c r="G698" s="1455"/>
      <c r="H698" s="1455"/>
      <c r="I698" s="1455"/>
      <c r="J698" s="1455"/>
    </row>
    <row r="699" spans="5:10" x14ac:dyDescent="0.3">
      <c r="E699" s="1455"/>
      <c r="F699" s="1495"/>
      <c r="G699" s="1455"/>
      <c r="H699" s="1455"/>
      <c r="I699" s="1455"/>
      <c r="J699" s="1455"/>
    </row>
    <row r="700" spans="5:10" x14ac:dyDescent="0.3">
      <c r="E700" s="1455"/>
      <c r="F700" s="1495"/>
      <c r="G700" s="1455"/>
      <c r="H700" s="1455"/>
      <c r="I700" s="1455"/>
      <c r="J700" s="1455"/>
    </row>
    <row r="701" spans="5:10" x14ac:dyDescent="0.3">
      <c r="E701" s="1455"/>
      <c r="F701" s="1495"/>
      <c r="G701" s="1455"/>
      <c r="H701" s="1455"/>
      <c r="I701" s="1455"/>
      <c r="J701" s="1455"/>
    </row>
    <row r="702" spans="5:10" x14ac:dyDescent="0.3">
      <c r="E702" s="1455"/>
      <c r="F702" s="1495"/>
      <c r="G702" s="1455"/>
      <c r="H702" s="1455"/>
      <c r="I702" s="1455"/>
      <c r="J702" s="1455"/>
    </row>
    <row r="703" spans="5:10" x14ac:dyDescent="0.3">
      <c r="E703" s="1455"/>
      <c r="F703" s="1495"/>
      <c r="G703" s="1455"/>
      <c r="H703" s="1455"/>
      <c r="I703" s="1455"/>
      <c r="J703" s="1455"/>
    </row>
    <row r="704" spans="5:10" x14ac:dyDescent="0.3">
      <c r="E704" s="1455"/>
      <c r="F704" s="1495"/>
      <c r="G704" s="1455"/>
      <c r="H704" s="1455"/>
      <c r="I704" s="1455"/>
      <c r="J704" s="1455"/>
    </row>
    <row r="705" spans="5:10" x14ac:dyDescent="0.3">
      <c r="E705" s="1455"/>
      <c r="F705" s="1495"/>
      <c r="G705" s="1455"/>
      <c r="H705" s="1455"/>
      <c r="I705" s="1455"/>
      <c r="J705" s="1455"/>
    </row>
    <row r="706" spans="5:10" x14ac:dyDescent="0.3">
      <c r="E706" s="1455"/>
      <c r="F706" s="1495"/>
      <c r="G706" s="1455"/>
      <c r="H706" s="1455"/>
      <c r="I706" s="1455"/>
      <c r="J706" s="1455"/>
    </row>
    <row r="707" spans="5:10" x14ac:dyDescent="0.3">
      <c r="E707" s="1455"/>
      <c r="F707" s="1495"/>
      <c r="G707" s="1455"/>
      <c r="H707" s="1455"/>
      <c r="I707" s="1455"/>
      <c r="J707" s="1455"/>
    </row>
    <row r="708" spans="5:10" x14ac:dyDescent="0.3">
      <c r="E708" s="1455"/>
      <c r="F708" s="1495"/>
      <c r="G708" s="1455"/>
      <c r="H708" s="1455"/>
      <c r="I708" s="1455"/>
      <c r="J708" s="1455"/>
    </row>
    <row r="709" spans="5:10" x14ac:dyDescent="0.3">
      <c r="E709" s="1455"/>
      <c r="F709" s="1495"/>
      <c r="G709" s="1455"/>
      <c r="H709" s="1455"/>
      <c r="I709" s="1455"/>
      <c r="J709" s="1455"/>
    </row>
    <row r="710" spans="5:10" x14ac:dyDescent="0.3">
      <c r="E710" s="1455"/>
      <c r="F710" s="1495"/>
      <c r="G710" s="1455"/>
      <c r="H710" s="1455"/>
      <c r="I710" s="1455"/>
      <c r="J710" s="1455"/>
    </row>
    <row r="711" spans="5:10" x14ac:dyDescent="0.3">
      <c r="E711" s="1455"/>
      <c r="F711" s="1495"/>
      <c r="G711" s="1455"/>
      <c r="H711" s="1455"/>
      <c r="I711" s="1455"/>
      <c r="J711" s="1455"/>
    </row>
    <row r="712" spans="5:10" x14ac:dyDescent="0.3">
      <c r="E712" s="1455"/>
      <c r="F712" s="1495"/>
      <c r="G712" s="1455"/>
      <c r="H712" s="1455"/>
      <c r="I712" s="1455"/>
      <c r="J712" s="1455"/>
    </row>
    <row r="713" spans="5:10" x14ac:dyDescent="0.3">
      <c r="E713" s="1455"/>
      <c r="F713" s="1495"/>
      <c r="G713" s="1455"/>
      <c r="H713" s="1455"/>
      <c r="I713" s="1455"/>
      <c r="J713" s="1455"/>
    </row>
    <row r="714" spans="5:10" x14ac:dyDescent="0.3">
      <c r="E714" s="1455"/>
      <c r="F714" s="1495"/>
      <c r="G714" s="1455"/>
      <c r="H714" s="1455"/>
      <c r="I714" s="1455"/>
      <c r="J714" s="1455"/>
    </row>
    <row r="715" spans="5:10" x14ac:dyDescent="0.3">
      <c r="E715" s="1455"/>
      <c r="F715" s="1495"/>
      <c r="G715" s="1455"/>
      <c r="H715" s="1455"/>
      <c r="I715" s="1455"/>
      <c r="J715" s="1455"/>
    </row>
    <row r="716" spans="5:10" x14ac:dyDescent="0.3">
      <c r="E716" s="1455"/>
      <c r="F716" s="1495"/>
      <c r="G716" s="1455"/>
      <c r="H716" s="1455"/>
      <c r="I716" s="1455"/>
      <c r="J716" s="1455"/>
    </row>
    <row r="717" spans="5:10" x14ac:dyDescent="0.3">
      <c r="E717" s="1455"/>
      <c r="F717" s="1495"/>
      <c r="G717" s="1455"/>
      <c r="H717" s="1455"/>
      <c r="I717" s="1455"/>
      <c r="J717" s="1455"/>
    </row>
    <row r="718" spans="5:10" x14ac:dyDescent="0.3">
      <c r="E718" s="1455"/>
      <c r="F718" s="1495"/>
      <c r="G718" s="1455"/>
      <c r="H718" s="1455"/>
      <c r="I718" s="1455"/>
      <c r="J718" s="1455"/>
    </row>
    <row r="719" spans="5:10" x14ac:dyDescent="0.3">
      <c r="E719" s="1455"/>
      <c r="F719" s="1495"/>
      <c r="G719" s="1455"/>
      <c r="H719" s="1455"/>
      <c r="I719" s="1455"/>
      <c r="J719" s="1455"/>
    </row>
    <row r="720" spans="5:10" x14ac:dyDescent="0.3">
      <c r="E720" s="1455"/>
      <c r="F720" s="1495"/>
      <c r="G720" s="1455"/>
      <c r="H720" s="1455"/>
      <c r="I720" s="1455"/>
      <c r="J720" s="1455"/>
    </row>
    <row r="721" spans="5:10" x14ac:dyDescent="0.3">
      <c r="E721" s="1455"/>
      <c r="F721" s="1495"/>
      <c r="G721" s="1455"/>
      <c r="H721" s="1455"/>
      <c r="I721" s="1455"/>
      <c r="J721" s="1455"/>
    </row>
    <row r="722" spans="5:10" x14ac:dyDescent="0.3">
      <c r="E722" s="1455"/>
      <c r="F722" s="1495"/>
      <c r="G722" s="1455"/>
      <c r="H722" s="1455"/>
      <c r="I722" s="1455"/>
      <c r="J722" s="1455"/>
    </row>
    <row r="723" spans="5:10" x14ac:dyDescent="0.3">
      <c r="E723" s="1455"/>
      <c r="F723" s="1495"/>
      <c r="G723" s="1455"/>
      <c r="H723" s="1455"/>
      <c r="I723" s="1455"/>
      <c r="J723" s="1455"/>
    </row>
    <row r="724" spans="5:10" x14ac:dyDescent="0.3">
      <c r="E724" s="1455"/>
      <c r="F724" s="1495"/>
      <c r="G724" s="1455"/>
      <c r="H724" s="1455"/>
      <c r="I724" s="1455"/>
      <c r="J724" s="1455"/>
    </row>
    <row r="725" spans="5:10" x14ac:dyDescent="0.3">
      <c r="E725" s="1455"/>
      <c r="F725" s="1495"/>
      <c r="G725" s="1455"/>
      <c r="H725" s="1455"/>
      <c r="I725" s="1455"/>
      <c r="J725" s="1455"/>
    </row>
    <row r="726" spans="5:10" x14ac:dyDescent="0.3">
      <c r="E726" s="1455"/>
      <c r="F726" s="1495"/>
      <c r="G726" s="1455"/>
      <c r="H726" s="1455"/>
      <c r="I726" s="1455"/>
      <c r="J726" s="1455"/>
    </row>
    <row r="727" spans="5:10" x14ac:dyDescent="0.3">
      <c r="E727" s="1455"/>
      <c r="F727" s="1495"/>
      <c r="G727" s="1455"/>
      <c r="H727" s="1455"/>
      <c r="I727" s="1455"/>
      <c r="J727" s="1455"/>
    </row>
    <row r="728" spans="5:10" x14ac:dyDescent="0.3">
      <c r="E728" s="1455"/>
      <c r="F728" s="1495"/>
      <c r="G728" s="1455"/>
      <c r="H728" s="1455"/>
      <c r="I728" s="1455"/>
      <c r="J728" s="1455"/>
    </row>
    <row r="729" spans="5:10" x14ac:dyDescent="0.3">
      <c r="E729" s="1455"/>
      <c r="F729" s="1495"/>
      <c r="G729" s="1455"/>
      <c r="H729" s="1455"/>
      <c r="I729" s="1455"/>
      <c r="J729" s="1455"/>
    </row>
    <row r="730" spans="5:10" x14ac:dyDescent="0.3">
      <c r="E730" s="1455"/>
      <c r="F730" s="1495"/>
      <c r="G730" s="1455"/>
      <c r="H730" s="1455"/>
      <c r="I730" s="1455"/>
      <c r="J730" s="1455"/>
    </row>
    <row r="731" spans="5:10" x14ac:dyDescent="0.3">
      <c r="E731" s="1455"/>
      <c r="F731" s="1495"/>
      <c r="G731" s="1455"/>
      <c r="H731" s="1455"/>
      <c r="I731" s="1455"/>
      <c r="J731" s="1455"/>
    </row>
    <row r="732" spans="5:10" x14ac:dyDescent="0.3">
      <c r="E732" s="1455"/>
      <c r="F732" s="1495"/>
      <c r="G732" s="1455"/>
      <c r="H732" s="1455"/>
      <c r="I732" s="1455"/>
      <c r="J732" s="1455"/>
    </row>
    <row r="733" spans="5:10" x14ac:dyDescent="0.3">
      <c r="E733" s="1455"/>
      <c r="F733" s="1495"/>
      <c r="G733" s="1455"/>
      <c r="H733" s="1455"/>
      <c r="I733" s="1455"/>
      <c r="J733" s="1455"/>
    </row>
    <row r="734" spans="5:10" x14ac:dyDescent="0.3">
      <c r="E734" s="1455"/>
      <c r="F734" s="1495"/>
      <c r="G734" s="1455"/>
      <c r="H734" s="1455"/>
      <c r="I734" s="1455"/>
      <c r="J734" s="1455"/>
    </row>
    <row r="735" spans="5:10" x14ac:dyDescent="0.3">
      <c r="E735" s="1455"/>
      <c r="F735" s="1495"/>
      <c r="G735" s="1455"/>
      <c r="H735" s="1455"/>
      <c r="I735" s="1455"/>
      <c r="J735" s="1455"/>
    </row>
    <row r="736" spans="5:10" x14ac:dyDescent="0.3">
      <c r="E736" s="1455"/>
      <c r="F736" s="1495"/>
      <c r="G736" s="1455"/>
      <c r="H736" s="1455"/>
      <c r="I736" s="1455"/>
      <c r="J736" s="1455"/>
    </row>
    <row r="737" spans="5:10" x14ac:dyDescent="0.3">
      <c r="E737" s="1455"/>
      <c r="F737" s="1495"/>
      <c r="G737" s="1455"/>
      <c r="H737" s="1455"/>
      <c r="I737" s="1455"/>
      <c r="J737" s="1455"/>
    </row>
    <row r="738" spans="5:10" x14ac:dyDescent="0.3">
      <c r="E738" s="1455"/>
      <c r="F738" s="1495"/>
      <c r="G738" s="1455"/>
      <c r="H738" s="1455"/>
      <c r="I738" s="1455"/>
      <c r="J738" s="1455"/>
    </row>
    <row r="739" spans="5:10" x14ac:dyDescent="0.3">
      <c r="E739" s="1455"/>
      <c r="F739" s="1495"/>
      <c r="G739" s="1455"/>
      <c r="H739" s="1455"/>
      <c r="I739" s="1455"/>
      <c r="J739" s="1455"/>
    </row>
    <row r="740" spans="5:10" x14ac:dyDescent="0.3">
      <c r="E740" s="1455"/>
      <c r="F740" s="1495"/>
      <c r="G740" s="1455"/>
      <c r="H740" s="1455"/>
      <c r="I740" s="1455"/>
      <c r="J740" s="1455"/>
    </row>
    <row r="741" spans="5:10" x14ac:dyDescent="0.3">
      <c r="E741" s="1455"/>
      <c r="F741" s="1495"/>
      <c r="G741" s="1455"/>
      <c r="H741" s="1455"/>
      <c r="I741" s="1455"/>
      <c r="J741" s="1455"/>
    </row>
    <row r="742" spans="5:10" x14ac:dyDescent="0.3">
      <c r="E742" s="1455"/>
      <c r="F742" s="1495"/>
      <c r="G742" s="1455"/>
      <c r="H742" s="1455"/>
      <c r="I742" s="1455"/>
      <c r="J742" s="1455"/>
    </row>
    <row r="743" spans="5:10" x14ac:dyDescent="0.3">
      <c r="E743" s="1455"/>
      <c r="F743" s="1495"/>
      <c r="G743" s="1455"/>
      <c r="H743" s="1455"/>
      <c r="I743" s="1455"/>
      <c r="J743" s="1455"/>
    </row>
    <row r="744" spans="5:10" x14ac:dyDescent="0.3">
      <c r="E744" s="1455"/>
      <c r="F744" s="1495"/>
      <c r="G744" s="1455"/>
      <c r="H744" s="1455"/>
      <c r="I744" s="1455"/>
      <c r="J744" s="1455"/>
    </row>
    <row r="745" spans="5:10" x14ac:dyDescent="0.3">
      <c r="E745" s="1455"/>
      <c r="F745" s="1495"/>
      <c r="G745" s="1455"/>
      <c r="H745" s="1455"/>
      <c r="I745" s="1455"/>
      <c r="J745" s="1455"/>
    </row>
    <row r="746" spans="5:10" x14ac:dyDescent="0.3">
      <c r="E746" s="1455"/>
      <c r="F746" s="1495"/>
      <c r="G746" s="1455"/>
      <c r="H746" s="1455"/>
      <c r="I746" s="1455"/>
      <c r="J746" s="1455"/>
    </row>
    <row r="747" spans="5:10" x14ac:dyDescent="0.3">
      <c r="E747" s="1455"/>
      <c r="F747" s="1495"/>
      <c r="G747" s="1455"/>
      <c r="H747" s="1455"/>
      <c r="I747" s="1455"/>
      <c r="J747" s="1455"/>
    </row>
    <row r="748" spans="5:10" x14ac:dyDescent="0.3">
      <c r="E748" s="1455"/>
      <c r="F748" s="1495"/>
      <c r="G748" s="1455"/>
      <c r="H748" s="1455"/>
      <c r="I748" s="1455"/>
      <c r="J748" s="1455"/>
    </row>
    <row r="749" spans="5:10" x14ac:dyDescent="0.3">
      <c r="E749" s="1455"/>
      <c r="F749" s="1495"/>
      <c r="G749" s="1455"/>
      <c r="H749" s="1455"/>
      <c r="I749" s="1455"/>
      <c r="J749" s="1455"/>
    </row>
    <row r="750" spans="5:10" x14ac:dyDescent="0.3">
      <c r="E750" s="1455"/>
      <c r="F750" s="1495"/>
      <c r="G750" s="1455"/>
      <c r="H750" s="1455"/>
      <c r="I750" s="1455"/>
      <c r="J750" s="1455"/>
    </row>
    <row r="751" spans="5:10" x14ac:dyDescent="0.3">
      <c r="E751" s="1455"/>
      <c r="F751" s="1495"/>
      <c r="G751" s="1455"/>
      <c r="H751" s="1455"/>
      <c r="I751" s="1455"/>
      <c r="J751" s="1455"/>
    </row>
    <row r="752" spans="5:10" x14ac:dyDescent="0.3">
      <c r="E752" s="1455"/>
      <c r="F752" s="1495"/>
      <c r="G752" s="1455"/>
      <c r="H752" s="1455"/>
      <c r="I752" s="1455"/>
      <c r="J752" s="1455"/>
    </row>
    <row r="753" spans="5:10" x14ac:dyDescent="0.3">
      <c r="E753" s="1455"/>
      <c r="F753" s="1495"/>
      <c r="G753" s="1455"/>
      <c r="H753" s="1455"/>
      <c r="I753" s="1455"/>
      <c r="J753" s="1455"/>
    </row>
    <row r="754" spans="5:10" x14ac:dyDescent="0.3">
      <c r="E754" s="1455"/>
      <c r="F754" s="1495"/>
      <c r="G754" s="1455"/>
      <c r="H754" s="1455"/>
      <c r="I754" s="1455"/>
      <c r="J754" s="1455"/>
    </row>
    <row r="755" spans="5:10" x14ac:dyDescent="0.3">
      <c r="E755" s="1455"/>
      <c r="F755" s="1495"/>
      <c r="G755" s="1455"/>
      <c r="H755" s="1455"/>
      <c r="I755" s="1455"/>
      <c r="J755" s="1455"/>
    </row>
    <row r="756" spans="5:10" x14ac:dyDescent="0.3">
      <c r="E756" s="1455"/>
      <c r="F756" s="1495"/>
      <c r="G756" s="1455"/>
      <c r="H756" s="1455"/>
      <c r="I756" s="1455"/>
      <c r="J756" s="1455"/>
    </row>
    <row r="757" spans="5:10" x14ac:dyDescent="0.3">
      <c r="E757" s="1455"/>
      <c r="F757" s="1495"/>
      <c r="G757" s="1455"/>
      <c r="H757" s="1455"/>
      <c r="I757" s="1455"/>
      <c r="J757" s="1455"/>
    </row>
    <row r="758" spans="5:10" x14ac:dyDescent="0.3">
      <c r="E758" s="1455"/>
      <c r="F758" s="1495"/>
      <c r="G758" s="1455"/>
      <c r="H758" s="1455"/>
      <c r="I758" s="1455"/>
      <c r="J758" s="1455"/>
    </row>
    <row r="759" spans="5:10" x14ac:dyDescent="0.3">
      <c r="E759" s="1455"/>
      <c r="F759" s="1495"/>
      <c r="G759" s="1455"/>
      <c r="H759" s="1455"/>
      <c r="I759" s="1455"/>
      <c r="J759" s="1455"/>
    </row>
    <row r="760" spans="5:10" x14ac:dyDescent="0.3">
      <c r="E760" s="1455"/>
      <c r="F760" s="1495"/>
      <c r="G760" s="1455"/>
      <c r="H760" s="1455"/>
      <c r="I760" s="1455"/>
      <c r="J760" s="1455"/>
    </row>
    <row r="761" spans="5:10" x14ac:dyDescent="0.3">
      <c r="E761" s="1455"/>
      <c r="F761" s="1495"/>
      <c r="G761" s="1455"/>
      <c r="H761" s="1455"/>
      <c r="I761" s="1455"/>
      <c r="J761" s="1455"/>
    </row>
    <row r="762" spans="5:10" x14ac:dyDescent="0.3">
      <c r="E762" s="1455"/>
      <c r="F762" s="1495"/>
      <c r="G762" s="1455"/>
      <c r="H762" s="1455"/>
      <c r="I762" s="1455"/>
      <c r="J762" s="1455"/>
    </row>
    <row r="763" spans="5:10" x14ac:dyDescent="0.3">
      <c r="E763" s="1455"/>
      <c r="F763" s="1495"/>
      <c r="G763" s="1455"/>
      <c r="H763" s="1455"/>
      <c r="I763" s="1455"/>
      <c r="J763" s="1455"/>
    </row>
    <row r="764" spans="5:10" x14ac:dyDescent="0.3">
      <c r="E764" s="1455"/>
      <c r="F764" s="1495"/>
      <c r="G764" s="1455"/>
      <c r="H764" s="1455"/>
      <c r="I764" s="1455"/>
      <c r="J764" s="1455"/>
    </row>
    <row r="765" spans="5:10" x14ac:dyDescent="0.3">
      <c r="E765" s="1455"/>
      <c r="F765" s="1495"/>
      <c r="G765" s="1455"/>
      <c r="H765" s="1455"/>
      <c r="I765" s="1455"/>
      <c r="J765" s="1455"/>
    </row>
    <row r="766" spans="5:10" x14ac:dyDescent="0.3">
      <c r="E766" s="1455"/>
      <c r="F766" s="1495"/>
      <c r="G766" s="1455"/>
      <c r="H766" s="1455"/>
      <c r="I766" s="1455"/>
      <c r="J766" s="1455"/>
    </row>
    <row r="767" spans="5:10" x14ac:dyDescent="0.3">
      <c r="E767" s="1455"/>
      <c r="F767" s="1495"/>
      <c r="G767" s="1455"/>
      <c r="H767" s="1455"/>
      <c r="I767" s="1455"/>
      <c r="J767" s="1455"/>
    </row>
    <row r="768" spans="5:10" x14ac:dyDescent="0.3">
      <c r="E768" s="1455"/>
      <c r="F768" s="1495"/>
      <c r="G768" s="1455"/>
      <c r="H768" s="1455"/>
      <c r="I768" s="1455"/>
      <c r="J768" s="1455"/>
    </row>
    <row r="769" spans="5:10" x14ac:dyDescent="0.3">
      <c r="E769" s="1455"/>
      <c r="F769" s="1495"/>
      <c r="G769" s="1455"/>
      <c r="H769" s="1455"/>
      <c r="I769" s="1455"/>
      <c r="J769" s="1455"/>
    </row>
    <row r="770" spans="5:10" x14ac:dyDescent="0.3">
      <c r="E770" s="1455"/>
      <c r="F770" s="1495"/>
      <c r="G770" s="1455"/>
      <c r="H770" s="1455"/>
      <c r="I770" s="1455"/>
      <c r="J770" s="1455"/>
    </row>
    <row r="771" spans="5:10" x14ac:dyDescent="0.3">
      <c r="E771" s="1455"/>
      <c r="F771" s="1495"/>
      <c r="G771" s="1455"/>
      <c r="H771" s="1455"/>
      <c r="I771" s="1455"/>
      <c r="J771" s="1455"/>
    </row>
    <row r="772" spans="5:10" x14ac:dyDescent="0.3">
      <c r="E772" s="1455"/>
      <c r="F772" s="1495"/>
      <c r="G772" s="1455"/>
      <c r="H772" s="1455"/>
      <c r="I772" s="1455"/>
      <c r="J772" s="1455"/>
    </row>
    <row r="773" spans="5:10" x14ac:dyDescent="0.3">
      <c r="E773" s="1455"/>
      <c r="F773" s="1495"/>
      <c r="G773" s="1455"/>
      <c r="H773" s="1455"/>
      <c r="I773" s="1455"/>
      <c r="J773" s="1455"/>
    </row>
    <row r="774" spans="5:10" x14ac:dyDescent="0.3">
      <c r="E774" s="1455"/>
      <c r="F774" s="1495"/>
      <c r="G774" s="1455"/>
      <c r="H774" s="1455"/>
      <c r="I774" s="1455"/>
      <c r="J774" s="1455"/>
    </row>
    <row r="775" spans="5:10" x14ac:dyDescent="0.3">
      <c r="E775" s="1455"/>
      <c r="F775" s="1495"/>
      <c r="G775" s="1455"/>
      <c r="H775" s="1455"/>
      <c r="I775" s="1455"/>
      <c r="J775" s="1455"/>
    </row>
    <row r="776" spans="5:10" x14ac:dyDescent="0.3">
      <c r="E776" s="1455"/>
      <c r="F776" s="1495"/>
      <c r="G776" s="1455"/>
      <c r="H776" s="1455"/>
      <c r="I776" s="1455"/>
      <c r="J776" s="1455"/>
    </row>
    <row r="777" spans="5:10" x14ac:dyDescent="0.3">
      <c r="E777" s="1455"/>
      <c r="F777" s="1495"/>
      <c r="G777" s="1455"/>
      <c r="H777" s="1455"/>
      <c r="I777" s="1455"/>
      <c r="J777" s="1455"/>
    </row>
    <row r="778" spans="5:10" x14ac:dyDescent="0.3">
      <c r="E778" s="1455"/>
      <c r="F778" s="1495"/>
      <c r="G778" s="1455"/>
      <c r="H778" s="1455"/>
      <c r="I778" s="1455"/>
      <c r="J778" s="1455"/>
    </row>
    <row r="779" spans="5:10" x14ac:dyDescent="0.3">
      <c r="E779" s="1455"/>
      <c r="F779" s="1495"/>
      <c r="G779" s="1455"/>
      <c r="H779" s="1455"/>
      <c r="I779" s="1455"/>
      <c r="J779" s="1455"/>
    </row>
    <row r="780" spans="5:10" x14ac:dyDescent="0.3">
      <c r="E780" s="1455"/>
      <c r="F780" s="1495"/>
      <c r="G780" s="1455"/>
      <c r="H780" s="1455"/>
      <c r="I780" s="1455"/>
      <c r="J780" s="1455"/>
    </row>
    <row r="781" spans="5:10" x14ac:dyDescent="0.3">
      <c r="E781" s="1455"/>
      <c r="F781" s="1495"/>
      <c r="G781" s="1455"/>
      <c r="H781" s="1455"/>
      <c r="I781" s="1455"/>
      <c r="J781" s="1455"/>
    </row>
    <row r="782" spans="5:10" x14ac:dyDescent="0.3">
      <c r="E782" s="1455"/>
      <c r="F782" s="1495"/>
      <c r="G782" s="1455"/>
      <c r="H782" s="1455"/>
      <c r="I782" s="1455"/>
      <c r="J782" s="1455"/>
    </row>
    <row r="783" spans="5:10" x14ac:dyDescent="0.3">
      <c r="E783" s="1455"/>
      <c r="F783" s="1495"/>
      <c r="G783" s="1455"/>
      <c r="H783" s="1455"/>
      <c r="I783" s="1455"/>
      <c r="J783" s="1455"/>
    </row>
    <row r="784" spans="5:10" x14ac:dyDescent="0.3">
      <c r="E784" s="1455"/>
      <c r="F784" s="1495"/>
      <c r="G784" s="1455"/>
      <c r="H784" s="1455"/>
      <c r="I784" s="1455"/>
      <c r="J784" s="1455"/>
    </row>
    <row r="785" spans="5:10" x14ac:dyDescent="0.3">
      <c r="E785" s="1455"/>
      <c r="F785" s="1495"/>
      <c r="G785" s="1455"/>
      <c r="H785" s="1455"/>
      <c r="I785" s="1455"/>
      <c r="J785" s="1455"/>
    </row>
    <row r="786" spans="5:10" x14ac:dyDescent="0.3">
      <c r="E786" s="1455"/>
      <c r="F786" s="1495"/>
      <c r="G786" s="1455"/>
      <c r="H786" s="1455"/>
      <c r="I786" s="1455"/>
      <c r="J786" s="1455"/>
    </row>
    <row r="787" spans="5:10" x14ac:dyDescent="0.3">
      <c r="E787" s="1455"/>
      <c r="F787" s="1495"/>
      <c r="G787" s="1455"/>
      <c r="H787" s="1455"/>
      <c r="I787" s="1455"/>
      <c r="J787" s="1455"/>
    </row>
    <row r="788" spans="5:10" x14ac:dyDescent="0.3">
      <c r="E788" s="1455"/>
      <c r="F788" s="1495"/>
      <c r="G788" s="1455"/>
      <c r="H788" s="1455"/>
      <c r="I788" s="1455"/>
      <c r="J788" s="1455"/>
    </row>
    <row r="789" spans="5:10" x14ac:dyDescent="0.3">
      <c r="E789" s="1455"/>
      <c r="F789" s="1495"/>
      <c r="G789" s="1455"/>
      <c r="H789" s="1455"/>
      <c r="I789" s="1455"/>
      <c r="J789" s="1455"/>
    </row>
    <row r="790" spans="5:10" x14ac:dyDescent="0.3">
      <c r="E790" s="1455"/>
      <c r="F790" s="1495"/>
      <c r="G790" s="1455"/>
      <c r="H790" s="1455"/>
      <c r="I790" s="1455"/>
      <c r="J790" s="1455"/>
    </row>
    <row r="791" spans="5:10" x14ac:dyDescent="0.3">
      <c r="E791" s="1455"/>
      <c r="F791" s="1495"/>
      <c r="G791" s="1455"/>
      <c r="H791" s="1455"/>
      <c r="I791" s="1455"/>
      <c r="J791" s="1455"/>
    </row>
    <row r="792" spans="5:10" x14ac:dyDescent="0.3">
      <c r="E792" s="1455"/>
      <c r="F792" s="1495"/>
      <c r="G792" s="1455"/>
      <c r="H792" s="1455"/>
      <c r="I792" s="1455"/>
      <c r="J792" s="1455"/>
    </row>
    <row r="793" spans="5:10" x14ac:dyDescent="0.3">
      <c r="E793" s="1455"/>
      <c r="F793" s="1495"/>
      <c r="G793" s="1455"/>
      <c r="H793" s="1455"/>
      <c r="I793" s="1455"/>
      <c r="J793" s="1455"/>
    </row>
    <row r="794" spans="5:10" x14ac:dyDescent="0.3">
      <c r="E794" s="1455"/>
      <c r="F794" s="1495"/>
      <c r="G794" s="1455"/>
      <c r="H794" s="1455"/>
      <c r="I794" s="1455"/>
      <c r="J794" s="1455"/>
    </row>
    <row r="795" spans="5:10" x14ac:dyDescent="0.3">
      <c r="E795" s="1455"/>
      <c r="F795" s="1495"/>
      <c r="G795" s="1455"/>
      <c r="H795" s="1455"/>
      <c r="I795" s="1455"/>
      <c r="J795" s="1455"/>
    </row>
    <row r="796" spans="5:10" x14ac:dyDescent="0.3">
      <c r="E796" s="1455"/>
      <c r="F796" s="1495"/>
      <c r="G796" s="1455"/>
      <c r="H796" s="1455"/>
      <c r="I796" s="1455"/>
      <c r="J796" s="1455"/>
    </row>
    <row r="797" spans="5:10" x14ac:dyDescent="0.3">
      <c r="E797" s="1455"/>
      <c r="F797" s="1495"/>
      <c r="G797" s="1455"/>
      <c r="H797" s="1455"/>
      <c r="I797" s="1455"/>
      <c r="J797" s="1455"/>
    </row>
    <row r="798" spans="5:10" x14ac:dyDescent="0.3">
      <c r="E798" s="1455"/>
      <c r="F798" s="1495"/>
      <c r="G798" s="1455"/>
      <c r="H798" s="1455"/>
      <c r="I798" s="1455"/>
      <c r="J798" s="1455"/>
    </row>
    <row r="799" spans="5:10" x14ac:dyDescent="0.3">
      <c r="E799" s="1455"/>
      <c r="F799" s="1495"/>
      <c r="G799" s="1455"/>
      <c r="H799" s="1455"/>
      <c r="I799" s="1455"/>
      <c r="J799" s="1455"/>
    </row>
    <row r="800" spans="5:10" x14ac:dyDescent="0.3">
      <c r="E800" s="1455"/>
      <c r="F800" s="1495"/>
      <c r="G800" s="1455"/>
      <c r="H800" s="1455"/>
      <c r="I800" s="1455"/>
      <c r="J800" s="1455"/>
    </row>
    <row r="801" spans="5:10" x14ac:dyDescent="0.3">
      <c r="E801" s="1455"/>
      <c r="F801" s="1495"/>
      <c r="G801" s="1455"/>
      <c r="H801" s="1455"/>
      <c r="I801" s="1455"/>
      <c r="J801" s="1455"/>
    </row>
    <row r="802" spans="5:10" x14ac:dyDescent="0.3">
      <c r="E802" s="1455"/>
      <c r="F802" s="1495"/>
      <c r="G802" s="1455"/>
      <c r="H802" s="1455"/>
      <c r="I802" s="1455"/>
      <c r="J802" s="1455"/>
    </row>
    <row r="803" spans="5:10" x14ac:dyDescent="0.3">
      <c r="E803" s="1455"/>
      <c r="F803" s="1495"/>
      <c r="G803" s="1455"/>
      <c r="H803" s="1455"/>
      <c r="I803" s="1455"/>
      <c r="J803" s="1455"/>
    </row>
    <row r="804" spans="5:10" x14ac:dyDescent="0.3">
      <c r="E804" s="1455"/>
      <c r="F804" s="1495"/>
      <c r="G804" s="1455"/>
      <c r="H804" s="1455"/>
      <c r="I804" s="1455"/>
      <c r="J804" s="1455"/>
    </row>
    <row r="805" spans="5:10" x14ac:dyDescent="0.3">
      <c r="E805" s="1455"/>
      <c r="F805" s="1495"/>
      <c r="G805" s="1455"/>
      <c r="H805" s="1455"/>
      <c r="I805" s="1455"/>
      <c r="J805" s="1455"/>
    </row>
    <row r="806" spans="5:10" x14ac:dyDescent="0.3">
      <c r="E806" s="1455"/>
      <c r="F806" s="1495"/>
      <c r="G806" s="1455"/>
      <c r="H806" s="1455"/>
      <c r="I806" s="1455"/>
      <c r="J806" s="1455"/>
    </row>
    <row r="807" spans="5:10" x14ac:dyDescent="0.3">
      <c r="E807" s="1455"/>
      <c r="F807" s="1495"/>
      <c r="G807" s="1455"/>
      <c r="H807" s="1455"/>
      <c r="I807" s="1455"/>
      <c r="J807" s="1455"/>
    </row>
    <row r="808" spans="5:10" x14ac:dyDescent="0.3">
      <c r="E808" s="1455"/>
      <c r="F808" s="1495"/>
      <c r="G808" s="1455"/>
      <c r="H808" s="1455"/>
      <c r="I808" s="1455"/>
      <c r="J808" s="1455"/>
    </row>
    <row r="809" spans="5:10" x14ac:dyDescent="0.3">
      <c r="E809" s="1455"/>
      <c r="F809" s="1495"/>
      <c r="G809" s="1455"/>
      <c r="H809" s="1455"/>
      <c r="I809" s="1455"/>
      <c r="J809" s="1455"/>
    </row>
    <row r="810" spans="5:10" x14ac:dyDescent="0.3">
      <c r="E810" s="1455"/>
      <c r="F810" s="1495"/>
      <c r="G810" s="1455"/>
      <c r="H810" s="1455"/>
      <c r="I810" s="1455"/>
      <c r="J810" s="1455"/>
    </row>
    <row r="811" spans="5:10" x14ac:dyDescent="0.3">
      <c r="E811" s="1455"/>
      <c r="F811" s="1495"/>
      <c r="G811" s="1455"/>
      <c r="H811" s="1455"/>
      <c r="I811" s="1455"/>
      <c r="J811" s="1455"/>
    </row>
    <row r="812" spans="5:10" x14ac:dyDescent="0.3">
      <c r="E812" s="1455"/>
      <c r="F812" s="1495"/>
      <c r="G812" s="1455"/>
      <c r="H812" s="1455"/>
      <c r="I812" s="1455"/>
      <c r="J812" s="1455"/>
    </row>
    <row r="813" spans="5:10" x14ac:dyDescent="0.3">
      <c r="E813" s="1455"/>
      <c r="F813" s="1495"/>
      <c r="G813" s="1455"/>
      <c r="H813" s="1455"/>
      <c r="I813" s="1455"/>
      <c r="J813" s="1455"/>
    </row>
    <row r="814" spans="5:10" x14ac:dyDescent="0.3">
      <c r="E814" s="1455"/>
      <c r="F814" s="1495"/>
      <c r="G814" s="1455"/>
      <c r="H814" s="1455"/>
      <c r="I814" s="1455"/>
      <c r="J814" s="1455"/>
    </row>
    <row r="815" spans="5:10" x14ac:dyDescent="0.3">
      <c r="E815" s="1455"/>
      <c r="F815" s="1495"/>
      <c r="G815" s="1455"/>
      <c r="H815" s="1455"/>
      <c r="I815" s="1455"/>
      <c r="J815" s="1455"/>
    </row>
    <row r="816" spans="5:10" x14ac:dyDescent="0.3">
      <c r="E816" s="1455"/>
      <c r="F816" s="1495"/>
      <c r="G816" s="1455"/>
      <c r="H816" s="1455"/>
      <c r="I816" s="1455"/>
      <c r="J816" s="1455"/>
    </row>
    <row r="817" spans="5:10" x14ac:dyDescent="0.3">
      <c r="E817" s="1455"/>
      <c r="F817" s="1495"/>
      <c r="G817" s="1455"/>
      <c r="H817" s="1455"/>
      <c r="I817" s="1455"/>
      <c r="J817" s="1455"/>
    </row>
    <row r="818" spans="5:10" x14ac:dyDescent="0.3">
      <c r="E818" s="1455"/>
      <c r="F818" s="1495"/>
      <c r="G818" s="1455"/>
      <c r="H818" s="1455"/>
      <c r="I818" s="1455"/>
      <c r="J818" s="1455"/>
    </row>
    <row r="819" spans="5:10" x14ac:dyDescent="0.3">
      <c r="E819" s="1455"/>
      <c r="F819" s="1495"/>
      <c r="G819" s="1455"/>
      <c r="H819" s="1455"/>
      <c r="I819" s="1455"/>
      <c r="J819" s="1455"/>
    </row>
    <row r="820" spans="5:10" x14ac:dyDescent="0.3">
      <c r="E820" s="1455"/>
      <c r="F820" s="1495"/>
      <c r="G820" s="1455"/>
      <c r="H820" s="1455"/>
      <c r="I820" s="1455"/>
      <c r="J820" s="1455"/>
    </row>
    <row r="821" spans="5:10" x14ac:dyDescent="0.3">
      <c r="E821" s="1455"/>
      <c r="F821" s="1495"/>
      <c r="G821" s="1455"/>
      <c r="H821" s="1455"/>
      <c r="I821" s="1455"/>
      <c r="J821" s="1455"/>
    </row>
    <row r="822" spans="5:10" x14ac:dyDescent="0.3">
      <c r="E822" s="1455"/>
      <c r="F822" s="1495"/>
      <c r="G822" s="1455"/>
      <c r="H822" s="1455"/>
      <c r="I822" s="1455"/>
      <c r="J822" s="1455"/>
    </row>
    <row r="823" spans="5:10" x14ac:dyDescent="0.3">
      <c r="E823" s="1455"/>
      <c r="F823" s="1495"/>
      <c r="G823" s="1455"/>
      <c r="H823" s="1455"/>
      <c r="I823" s="1455"/>
      <c r="J823" s="1455"/>
    </row>
    <row r="824" spans="5:10" x14ac:dyDescent="0.3">
      <c r="E824" s="1455"/>
      <c r="F824" s="1495"/>
      <c r="G824" s="1455"/>
      <c r="H824" s="1455"/>
      <c r="I824" s="1455"/>
      <c r="J824" s="1455"/>
    </row>
    <row r="825" spans="5:10" x14ac:dyDescent="0.3">
      <c r="E825" s="1455"/>
      <c r="F825" s="1495"/>
      <c r="G825" s="1455"/>
      <c r="H825" s="1455"/>
      <c r="I825" s="1455"/>
      <c r="J825" s="1455"/>
    </row>
    <row r="826" spans="5:10" x14ac:dyDescent="0.3">
      <c r="E826" s="1455"/>
      <c r="F826" s="1495"/>
      <c r="G826" s="1455"/>
      <c r="H826" s="1455"/>
      <c r="I826" s="1455"/>
      <c r="J826" s="1455"/>
    </row>
    <row r="827" spans="5:10" x14ac:dyDescent="0.3">
      <c r="E827" s="1455"/>
      <c r="F827" s="1495"/>
      <c r="G827" s="1455"/>
      <c r="H827" s="1455"/>
      <c r="I827" s="1455"/>
      <c r="J827" s="1455"/>
    </row>
    <row r="828" spans="5:10" x14ac:dyDescent="0.3">
      <c r="E828" s="1455"/>
      <c r="F828" s="1495"/>
      <c r="G828" s="1455"/>
      <c r="H828" s="1455"/>
      <c r="I828" s="1455"/>
      <c r="J828" s="1455"/>
    </row>
    <row r="829" spans="5:10" x14ac:dyDescent="0.3">
      <c r="E829" s="1455"/>
      <c r="F829" s="1495"/>
      <c r="G829" s="1455"/>
      <c r="H829" s="1455"/>
      <c r="I829" s="1455"/>
      <c r="J829" s="1455"/>
    </row>
    <row r="830" spans="5:10" x14ac:dyDescent="0.3">
      <c r="E830" s="1455"/>
      <c r="F830" s="1495"/>
      <c r="G830" s="1455"/>
      <c r="H830" s="1455"/>
      <c r="I830" s="1455"/>
      <c r="J830" s="1455"/>
    </row>
    <row r="831" spans="5:10" x14ac:dyDescent="0.3">
      <c r="E831" s="1455"/>
      <c r="F831" s="1495"/>
      <c r="G831" s="1455"/>
      <c r="H831" s="1455"/>
      <c r="I831" s="1455"/>
      <c r="J831" s="1455"/>
    </row>
    <row r="832" spans="5:10" x14ac:dyDescent="0.3">
      <c r="E832" s="1455"/>
      <c r="F832" s="1495"/>
      <c r="G832" s="1455"/>
      <c r="H832" s="1455"/>
      <c r="I832" s="1455"/>
      <c r="J832" s="1455"/>
    </row>
    <row r="833" spans="5:10" x14ac:dyDescent="0.3">
      <c r="E833" s="1455"/>
      <c r="F833" s="1495"/>
      <c r="G833" s="1455"/>
      <c r="H833" s="1455"/>
      <c r="I833" s="1455"/>
      <c r="J833" s="1455"/>
    </row>
    <row r="834" spans="5:10" x14ac:dyDescent="0.3">
      <c r="E834" s="1455"/>
      <c r="F834" s="1495"/>
      <c r="G834" s="1455"/>
      <c r="H834" s="1455"/>
      <c r="I834" s="1455"/>
      <c r="J834" s="1455"/>
    </row>
    <row r="835" spans="5:10" x14ac:dyDescent="0.3">
      <c r="E835" s="1455"/>
      <c r="F835" s="1495"/>
      <c r="G835" s="1455"/>
      <c r="H835" s="1455"/>
      <c r="I835" s="1455"/>
      <c r="J835" s="1455"/>
    </row>
    <row r="836" spans="5:10" x14ac:dyDescent="0.3">
      <c r="E836" s="1455"/>
      <c r="F836" s="1495"/>
      <c r="G836" s="1455"/>
      <c r="H836" s="1455"/>
      <c r="I836" s="1455"/>
      <c r="J836" s="1455"/>
    </row>
    <row r="837" spans="5:10" x14ac:dyDescent="0.3">
      <c r="E837" s="1455"/>
      <c r="F837" s="1495"/>
      <c r="G837" s="1455"/>
      <c r="H837" s="1455"/>
      <c r="I837" s="1455"/>
      <c r="J837" s="1455"/>
    </row>
    <row r="838" spans="5:10" x14ac:dyDescent="0.3">
      <c r="E838" s="1455"/>
      <c r="F838" s="1495"/>
      <c r="G838" s="1455"/>
      <c r="H838" s="1455"/>
      <c r="I838" s="1455"/>
      <c r="J838" s="1455"/>
    </row>
    <row r="839" spans="5:10" x14ac:dyDescent="0.3">
      <c r="E839" s="1455"/>
      <c r="F839" s="1495"/>
      <c r="G839" s="1455"/>
      <c r="H839" s="1455"/>
      <c r="I839" s="1455"/>
      <c r="J839" s="1455"/>
    </row>
    <row r="840" spans="5:10" x14ac:dyDescent="0.3">
      <c r="E840" s="1455"/>
      <c r="F840" s="1495"/>
      <c r="G840" s="1455"/>
      <c r="H840" s="1455"/>
      <c r="I840" s="1455"/>
      <c r="J840" s="1455"/>
    </row>
    <row r="841" spans="5:10" x14ac:dyDescent="0.3">
      <c r="E841" s="1455"/>
      <c r="F841" s="1495"/>
      <c r="G841" s="1455"/>
      <c r="H841" s="1455"/>
      <c r="I841" s="1455"/>
      <c r="J841" s="1455"/>
    </row>
    <row r="842" spans="5:10" x14ac:dyDescent="0.3">
      <c r="E842" s="1455"/>
      <c r="F842" s="1495"/>
      <c r="G842" s="1455"/>
      <c r="H842" s="1455"/>
      <c r="I842" s="1455"/>
      <c r="J842" s="1455"/>
    </row>
    <row r="843" spans="5:10" x14ac:dyDescent="0.3">
      <c r="E843" s="1455"/>
      <c r="F843" s="1495"/>
      <c r="G843" s="1455"/>
      <c r="H843" s="1455"/>
      <c r="I843" s="1455"/>
      <c r="J843" s="1455"/>
    </row>
    <row r="844" spans="5:10" x14ac:dyDescent="0.3">
      <c r="E844" s="1455"/>
      <c r="F844" s="1495"/>
      <c r="G844" s="1455"/>
      <c r="H844" s="1455"/>
      <c r="I844" s="1455"/>
      <c r="J844" s="1455"/>
    </row>
    <row r="845" spans="5:10" x14ac:dyDescent="0.3">
      <c r="E845" s="1455"/>
      <c r="F845" s="1495"/>
      <c r="G845" s="1455"/>
      <c r="H845" s="1455"/>
      <c r="I845" s="1455"/>
      <c r="J845" s="1455"/>
    </row>
    <row r="846" spans="5:10" x14ac:dyDescent="0.3">
      <c r="E846" s="1455"/>
      <c r="F846" s="1495"/>
      <c r="G846" s="1455"/>
      <c r="H846" s="1455"/>
      <c r="I846" s="1455"/>
      <c r="J846" s="1455"/>
    </row>
    <row r="847" spans="5:10" x14ac:dyDescent="0.3">
      <c r="E847" s="1455"/>
      <c r="F847" s="1495"/>
      <c r="G847" s="1455"/>
      <c r="H847" s="1455"/>
      <c r="I847" s="1455"/>
      <c r="J847" s="1455"/>
    </row>
    <row r="848" spans="5:10" x14ac:dyDescent="0.3">
      <c r="E848" s="1455"/>
      <c r="F848" s="1495"/>
      <c r="G848" s="1455"/>
      <c r="H848" s="1455"/>
      <c r="I848" s="1455"/>
      <c r="J848" s="1455"/>
    </row>
    <row r="849" spans="5:10" x14ac:dyDescent="0.3">
      <c r="E849" s="1455"/>
      <c r="F849" s="1495"/>
      <c r="G849" s="1455"/>
      <c r="H849" s="1455"/>
      <c r="I849" s="1455"/>
      <c r="J849" s="1455"/>
    </row>
    <row r="850" spans="5:10" x14ac:dyDescent="0.3">
      <c r="E850" s="1455"/>
      <c r="F850" s="1495"/>
      <c r="G850" s="1455"/>
      <c r="H850" s="1455"/>
      <c r="I850" s="1455"/>
      <c r="J850" s="1455"/>
    </row>
    <row r="851" spans="5:10" x14ac:dyDescent="0.3">
      <c r="E851" s="1455"/>
      <c r="F851" s="1495"/>
      <c r="G851" s="1455"/>
      <c r="H851" s="1455"/>
      <c r="I851" s="1455"/>
      <c r="J851" s="1455"/>
    </row>
    <row r="852" spans="5:10" x14ac:dyDescent="0.3">
      <c r="E852" s="1455"/>
      <c r="F852" s="1495"/>
      <c r="G852" s="1455"/>
      <c r="H852" s="1455"/>
      <c r="I852" s="1455"/>
      <c r="J852" s="1455"/>
    </row>
    <row r="853" spans="5:10" x14ac:dyDescent="0.3">
      <c r="E853" s="1455"/>
      <c r="F853" s="1495"/>
      <c r="G853" s="1455"/>
      <c r="H853" s="1455"/>
      <c r="I853" s="1455"/>
      <c r="J853" s="1455"/>
    </row>
    <row r="854" spans="5:10" x14ac:dyDescent="0.3">
      <c r="E854" s="1455"/>
      <c r="F854" s="1495"/>
      <c r="G854" s="1455"/>
      <c r="H854" s="1455"/>
      <c r="I854" s="1455"/>
      <c r="J854" s="1455"/>
    </row>
    <row r="855" spans="5:10" x14ac:dyDescent="0.3">
      <c r="E855" s="1455"/>
      <c r="F855" s="1495"/>
      <c r="G855" s="1455"/>
      <c r="H855" s="1455"/>
      <c r="I855" s="1455"/>
      <c r="J855" s="1455"/>
    </row>
    <row r="856" spans="5:10" x14ac:dyDescent="0.3">
      <c r="E856" s="1455"/>
      <c r="F856" s="1495"/>
      <c r="G856" s="1455"/>
      <c r="H856" s="1455"/>
      <c r="I856" s="1455"/>
      <c r="J856" s="1455"/>
    </row>
    <row r="857" spans="5:10" x14ac:dyDescent="0.3">
      <c r="E857" s="1455"/>
      <c r="F857" s="1495"/>
      <c r="G857" s="1455"/>
      <c r="H857" s="1455"/>
      <c r="I857" s="1455"/>
      <c r="J857" s="1455"/>
    </row>
    <row r="858" spans="5:10" x14ac:dyDescent="0.3">
      <c r="E858" s="1455"/>
      <c r="F858" s="1495"/>
      <c r="G858" s="1455"/>
      <c r="H858" s="1455"/>
      <c r="I858" s="1455"/>
      <c r="J858" s="1455"/>
    </row>
    <row r="859" spans="5:10" x14ac:dyDescent="0.3">
      <c r="E859" s="1455"/>
      <c r="F859" s="1495"/>
      <c r="G859" s="1455"/>
      <c r="H859" s="1455"/>
      <c r="I859" s="1455"/>
      <c r="J859" s="1455"/>
    </row>
    <row r="860" spans="5:10" x14ac:dyDescent="0.3">
      <c r="E860" s="1455"/>
      <c r="F860" s="1495"/>
      <c r="G860" s="1455"/>
      <c r="H860" s="1455"/>
      <c r="I860" s="1455"/>
      <c r="J860" s="1455"/>
    </row>
    <row r="861" spans="5:10" x14ac:dyDescent="0.3">
      <c r="E861" s="1455"/>
      <c r="F861" s="1495"/>
      <c r="G861" s="1455"/>
      <c r="H861" s="1455"/>
      <c r="I861" s="1455"/>
      <c r="J861" s="1455"/>
    </row>
    <row r="862" spans="5:10" x14ac:dyDescent="0.3">
      <c r="E862" s="1455"/>
      <c r="F862" s="1495"/>
      <c r="G862" s="1455"/>
      <c r="H862" s="1455"/>
      <c r="I862" s="1455"/>
      <c r="J862" s="1455"/>
    </row>
    <row r="863" spans="5:10" x14ac:dyDescent="0.3">
      <c r="E863" s="1455"/>
      <c r="F863" s="1495"/>
      <c r="G863" s="1455"/>
      <c r="H863" s="1455"/>
      <c r="I863" s="1455"/>
      <c r="J863" s="1455"/>
    </row>
    <row r="864" spans="5:10" x14ac:dyDescent="0.3">
      <c r="E864" s="1455"/>
      <c r="F864" s="1495"/>
      <c r="G864" s="1455"/>
      <c r="H864" s="1455"/>
      <c r="I864" s="1455"/>
      <c r="J864" s="1455"/>
    </row>
    <row r="865" spans="5:10" x14ac:dyDescent="0.3">
      <c r="E865" s="1455"/>
      <c r="F865" s="1495"/>
      <c r="G865" s="1455"/>
      <c r="H865" s="1455"/>
      <c r="I865" s="1455"/>
      <c r="J865" s="1455"/>
    </row>
    <row r="866" spans="5:10" x14ac:dyDescent="0.3">
      <c r="E866" s="1455"/>
      <c r="F866" s="1495"/>
      <c r="G866" s="1455"/>
      <c r="H866" s="1455"/>
      <c r="I866" s="1455"/>
      <c r="J866" s="1455"/>
    </row>
    <row r="867" spans="5:10" x14ac:dyDescent="0.3">
      <c r="E867" s="1455"/>
      <c r="F867" s="1495"/>
      <c r="G867" s="1455"/>
      <c r="H867" s="1455"/>
      <c r="I867" s="1455"/>
      <c r="J867" s="1455"/>
    </row>
    <row r="868" spans="5:10" x14ac:dyDescent="0.3">
      <c r="E868" s="1455"/>
      <c r="F868" s="1495"/>
      <c r="G868" s="1455"/>
      <c r="H868" s="1455"/>
      <c r="I868" s="1455"/>
      <c r="J868" s="1455"/>
    </row>
    <row r="869" spans="5:10" x14ac:dyDescent="0.3">
      <c r="E869" s="1455"/>
      <c r="F869" s="1495"/>
      <c r="G869" s="1455"/>
      <c r="H869" s="1455"/>
      <c r="I869" s="1455"/>
      <c r="J869" s="1455"/>
    </row>
    <row r="870" spans="5:10" x14ac:dyDescent="0.3">
      <c r="E870" s="1455"/>
      <c r="F870" s="1495"/>
      <c r="G870" s="1455"/>
      <c r="H870" s="1455"/>
      <c r="I870" s="1455"/>
      <c r="J870" s="1455"/>
    </row>
    <row r="871" spans="5:10" x14ac:dyDescent="0.3">
      <c r="E871" s="1455"/>
      <c r="F871" s="1495"/>
      <c r="G871" s="1455"/>
      <c r="H871" s="1455"/>
      <c r="I871" s="1455"/>
      <c r="J871" s="1455"/>
    </row>
    <row r="872" spans="5:10" x14ac:dyDescent="0.3">
      <c r="E872" s="1455"/>
      <c r="F872" s="1495"/>
      <c r="G872" s="1455"/>
      <c r="H872" s="1455"/>
      <c r="I872" s="1455"/>
      <c r="J872" s="1455"/>
    </row>
    <row r="873" spans="5:10" x14ac:dyDescent="0.3">
      <c r="E873" s="1455"/>
      <c r="F873" s="1495"/>
      <c r="G873" s="1455"/>
      <c r="H873" s="1455"/>
      <c r="I873" s="1455"/>
      <c r="J873" s="1455"/>
    </row>
    <row r="874" spans="5:10" x14ac:dyDescent="0.3">
      <c r="E874" s="1455"/>
      <c r="F874" s="1495"/>
      <c r="G874" s="1455"/>
      <c r="H874" s="1455"/>
      <c r="I874" s="1455"/>
      <c r="J874" s="1455"/>
    </row>
    <row r="875" spans="5:10" x14ac:dyDescent="0.3">
      <c r="E875" s="1455"/>
      <c r="F875" s="1495"/>
      <c r="G875" s="1455"/>
      <c r="H875" s="1455"/>
      <c r="I875" s="1455"/>
      <c r="J875" s="1455"/>
    </row>
    <row r="876" spans="5:10" x14ac:dyDescent="0.3">
      <c r="E876" s="1455"/>
      <c r="F876" s="1495"/>
      <c r="G876" s="1455"/>
      <c r="H876" s="1455"/>
      <c r="I876" s="1455"/>
      <c r="J876" s="1455"/>
    </row>
    <row r="877" spans="5:10" x14ac:dyDescent="0.3">
      <c r="E877" s="1455"/>
      <c r="F877" s="1495"/>
      <c r="G877" s="1455"/>
      <c r="H877" s="1455"/>
      <c r="I877" s="1455"/>
      <c r="J877" s="1455"/>
    </row>
    <row r="878" spans="5:10" x14ac:dyDescent="0.3">
      <c r="E878" s="1455"/>
      <c r="F878" s="1495"/>
      <c r="G878" s="1455"/>
      <c r="H878" s="1455"/>
      <c r="I878" s="1455"/>
      <c r="J878" s="1455"/>
    </row>
    <row r="879" spans="5:10" x14ac:dyDescent="0.3">
      <c r="E879" s="1455"/>
      <c r="F879" s="1495"/>
      <c r="G879" s="1455"/>
      <c r="H879" s="1455"/>
      <c r="I879" s="1455"/>
      <c r="J879" s="1455"/>
    </row>
    <row r="880" spans="5:10" x14ac:dyDescent="0.3">
      <c r="E880" s="1455"/>
      <c r="F880" s="1495"/>
      <c r="G880" s="1455"/>
      <c r="H880" s="1455"/>
      <c r="I880" s="1455"/>
      <c r="J880" s="1455"/>
    </row>
    <row r="881" spans="5:10" x14ac:dyDescent="0.3">
      <c r="E881" s="1455"/>
      <c r="F881" s="1495"/>
      <c r="G881" s="1455"/>
      <c r="H881" s="1455"/>
      <c r="I881" s="1455"/>
      <c r="J881" s="1455"/>
    </row>
    <row r="882" spans="5:10" x14ac:dyDescent="0.3">
      <c r="E882" s="1455"/>
      <c r="F882" s="1495"/>
      <c r="G882" s="1455"/>
      <c r="H882" s="1455"/>
      <c r="I882" s="1455"/>
      <c r="J882" s="1455"/>
    </row>
    <row r="883" spans="5:10" x14ac:dyDescent="0.3">
      <c r="E883" s="1455"/>
      <c r="F883" s="1495"/>
      <c r="G883" s="1455"/>
      <c r="H883" s="1455"/>
      <c r="I883" s="1455"/>
      <c r="J883" s="1455"/>
    </row>
    <row r="884" spans="5:10" x14ac:dyDescent="0.3">
      <c r="E884" s="1455"/>
      <c r="F884" s="1495"/>
      <c r="G884" s="1455"/>
      <c r="H884" s="1455"/>
      <c r="I884" s="1455"/>
      <c r="J884" s="1455"/>
    </row>
    <row r="885" spans="5:10" x14ac:dyDescent="0.3">
      <c r="E885" s="1455"/>
      <c r="F885" s="1495"/>
      <c r="G885" s="1455"/>
      <c r="H885" s="1455"/>
      <c r="I885" s="1455"/>
      <c r="J885" s="1455"/>
    </row>
    <row r="886" spans="5:10" x14ac:dyDescent="0.3">
      <c r="E886" s="1455"/>
      <c r="F886" s="1495"/>
      <c r="G886" s="1455"/>
      <c r="H886" s="1455"/>
      <c r="I886" s="1455"/>
      <c r="J886" s="1455"/>
    </row>
    <row r="887" spans="5:10" x14ac:dyDescent="0.3">
      <c r="E887" s="1455"/>
      <c r="F887" s="1495"/>
      <c r="G887" s="1455"/>
      <c r="H887" s="1455"/>
      <c r="I887" s="1455"/>
      <c r="J887" s="1455"/>
    </row>
    <row r="888" spans="5:10" x14ac:dyDescent="0.3">
      <c r="E888" s="1455"/>
      <c r="F888" s="1495"/>
      <c r="G888" s="1455"/>
      <c r="H888" s="1455"/>
      <c r="I888" s="1455"/>
      <c r="J888" s="1455"/>
    </row>
    <row r="889" spans="5:10" x14ac:dyDescent="0.3">
      <c r="E889" s="1455"/>
      <c r="F889" s="1495"/>
      <c r="G889" s="1455"/>
      <c r="H889" s="1455"/>
      <c r="I889" s="1455"/>
      <c r="J889" s="1455"/>
    </row>
    <row r="890" spans="5:10" x14ac:dyDescent="0.3">
      <c r="E890" s="1455"/>
      <c r="F890" s="1495"/>
      <c r="G890" s="1455"/>
      <c r="H890" s="1455"/>
      <c r="I890" s="1455"/>
      <c r="J890" s="1455"/>
    </row>
    <row r="891" spans="5:10" x14ac:dyDescent="0.3">
      <c r="E891" s="1455"/>
      <c r="F891" s="1495"/>
      <c r="G891" s="1455"/>
      <c r="H891" s="1455"/>
      <c r="I891" s="1455"/>
      <c r="J891" s="1455"/>
    </row>
    <row r="892" spans="5:10" x14ac:dyDescent="0.3">
      <c r="E892" s="1455"/>
      <c r="F892" s="1495"/>
      <c r="G892" s="1455"/>
      <c r="H892" s="1455"/>
      <c r="I892" s="1455"/>
      <c r="J892" s="1455"/>
    </row>
    <row r="893" spans="5:10" x14ac:dyDescent="0.3">
      <c r="E893" s="1455"/>
      <c r="F893" s="1495"/>
      <c r="G893" s="1455"/>
      <c r="H893" s="1455"/>
      <c r="I893" s="1455"/>
      <c r="J893" s="1455"/>
    </row>
    <row r="894" spans="5:10" x14ac:dyDescent="0.3">
      <c r="E894" s="1455"/>
      <c r="F894" s="1495"/>
      <c r="G894" s="1455"/>
      <c r="H894" s="1455"/>
      <c r="I894" s="1455"/>
      <c r="J894" s="1455"/>
    </row>
    <row r="895" spans="5:10" x14ac:dyDescent="0.3">
      <c r="E895" s="1455"/>
      <c r="F895" s="1495"/>
      <c r="G895" s="1455"/>
      <c r="H895" s="1455"/>
      <c r="I895" s="1455"/>
      <c r="J895" s="1455"/>
    </row>
    <row r="896" spans="5:10" x14ac:dyDescent="0.3">
      <c r="E896" s="1455"/>
      <c r="F896" s="1495"/>
      <c r="G896" s="1455"/>
      <c r="H896" s="1455"/>
      <c r="I896" s="1455"/>
      <c r="J896" s="1455"/>
    </row>
    <row r="897" spans="5:10" x14ac:dyDescent="0.3">
      <c r="E897" s="1455"/>
      <c r="F897" s="1495"/>
      <c r="G897" s="1455"/>
      <c r="H897" s="1455"/>
      <c r="I897" s="1455"/>
      <c r="J897" s="1455"/>
    </row>
    <row r="898" spans="5:10" x14ac:dyDescent="0.3">
      <c r="E898" s="1455"/>
      <c r="F898" s="1495"/>
      <c r="G898" s="1455"/>
      <c r="H898" s="1455"/>
      <c r="I898" s="1455"/>
      <c r="J898" s="1455"/>
    </row>
    <row r="899" spans="5:10" x14ac:dyDescent="0.3">
      <c r="E899" s="1455"/>
      <c r="F899" s="1495"/>
      <c r="G899" s="1455"/>
      <c r="H899" s="1455"/>
      <c r="I899" s="1455"/>
      <c r="J899" s="1455"/>
    </row>
    <row r="900" spans="5:10" x14ac:dyDescent="0.3">
      <c r="E900" s="1455"/>
      <c r="F900" s="1495"/>
      <c r="G900" s="1455"/>
      <c r="H900" s="1455"/>
      <c r="I900" s="1455"/>
      <c r="J900" s="1455"/>
    </row>
    <row r="901" spans="5:10" x14ac:dyDescent="0.3">
      <c r="E901" s="1455"/>
      <c r="F901" s="1495"/>
      <c r="G901" s="1455"/>
      <c r="H901" s="1455"/>
      <c r="I901" s="1455"/>
      <c r="J901" s="1455"/>
    </row>
    <row r="902" spans="5:10" x14ac:dyDescent="0.3">
      <c r="E902" s="1455"/>
      <c r="F902" s="1495"/>
      <c r="G902" s="1455"/>
      <c r="H902" s="1455"/>
      <c r="I902" s="1455"/>
      <c r="J902" s="1455"/>
    </row>
    <row r="903" spans="5:10" x14ac:dyDescent="0.3">
      <c r="E903" s="1455"/>
      <c r="F903" s="1495"/>
      <c r="G903" s="1455"/>
      <c r="H903" s="1455"/>
      <c r="I903" s="1455"/>
      <c r="J903" s="1455"/>
    </row>
    <row r="904" spans="5:10" x14ac:dyDescent="0.3">
      <c r="E904" s="1455"/>
      <c r="F904" s="1495"/>
      <c r="G904" s="1455"/>
      <c r="H904" s="1455"/>
      <c r="I904" s="1455"/>
      <c r="J904" s="1455"/>
    </row>
    <row r="905" spans="5:10" x14ac:dyDescent="0.3">
      <c r="E905" s="1455"/>
      <c r="F905" s="1495"/>
      <c r="G905" s="1455"/>
      <c r="H905" s="1455"/>
      <c r="I905" s="1455"/>
      <c r="J905" s="1455"/>
    </row>
    <row r="906" spans="5:10" x14ac:dyDescent="0.3">
      <c r="E906" s="1455"/>
      <c r="F906" s="1495"/>
      <c r="G906" s="1455"/>
      <c r="H906" s="1455"/>
      <c r="I906" s="1455"/>
      <c r="J906" s="1455"/>
    </row>
    <row r="907" spans="5:10" x14ac:dyDescent="0.3">
      <c r="E907" s="1455"/>
      <c r="F907" s="1495"/>
      <c r="G907" s="1455"/>
      <c r="H907" s="1455"/>
      <c r="I907" s="1455"/>
      <c r="J907" s="1455"/>
    </row>
    <row r="908" spans="5:10" x14ac:dyDescent="0.3">
      <c r="E908" s="1455"/>
      <c r="F908" s="1495"/>
      <c r="G908" s="1455"/>
      <c r="H908" s="1455"/>
      <c r="I908" s="1455"/>
      <c r="J908" s="1455"/>
    </row>
    <row r="909" spans="5:10" x14ac:dyDescent="0.3">
      <c r="E909" s="1455"/>
      <c r="F909" s="1495"/>
      <c r="G909" s="1455"/>
      <c r="H909" s="1455"/>
      <c r="I909" s="1455"/>
      <c r="J909" s="1455"/>
    </row>
    <row r="910" spans="5:10" x14ac:dyDescent="0.3">
      <c r="E910" s="1455"/>
      <c r="F910" s="1495"/>
      <c r="G910" s="1455"/>
      <c r="H910" s="1455"/>
      <c r="I910" s="1455"/>
      <c r="J910" s="1455"/>
    </row>
    <row r="911" spans="5:10" x14ac:dyDescent="0.3">
      <c r="E911" s="1455"/>
      <c r="F911" s="1495"/>
      <c r="G911" s="1455"/>
      <c r="H911" s="1455"/>
      <c r="I911" s="1455"/>
      <c r="J911" s="1455"/>
    </row>
    <row r="912" spans="5:10" x14ac:dyDescent="0.3">
      <c r="E912" s="1455"/>
      <c r="F912" s="1495"/>
      <c r="G912" s="1455"/>
      <c r="H912" s="1455"/>
      <c r="I912" s="1455"/>
      <c r="J912" s="1455"/>
    </row>
    <row r="913" spans="5:10" x14ac:dyDescent="0.3">
      <c r="E913" s="1455"/>
      <c r="F913" s="1495"/>
      <c r="G913" s="1455"/>
      <c r="H913" s="1455"/>
      <c r="I913" s="1455"/>
      <c r="J913" s="1455"/>
    </row>
    <row r="914" spans="5:10" x14ac:dyDescent="0.3">
      <c r="E914" s="1455"/>
      <c r="F914" s="1495"/>
      <c r="G914" s="1455"/>
      <c r="H914" s="1455"/>
      <c r="I914" s="1455"/>
      <c r="J914" s="1455"/>
    </row>
    <row r="915" spans="5:10" x14ac:dyDescent="0.3">
      <c r="E915" s="1455"/>
      <c r="F915" s="1495"/>
      <c r="G915" s="1455"/>
      <c r="H915" s="1455"/>
      <c r="I915" s="1455"/>
      <c r="J915" s="1455"/>
    </row>
    <row r="916" spans="5:10" x14ac:dyDescent="0.3">
      <c r="E916" s="1455"/>
      <c r="F916" s="1495"/>
      <c r="G916" s="1455"/>
      <c r="H916" s="1455"/>
      <c r="I916" s="1455"/>
      <c r="J916" s="1455"/>
    </row>
    <row r="917" spans="5:10" x14ac:dyDescent="0.3">
      <c r="E917" s="1455"/>
      <c r="F917" s="1495"/>
      <c r="G917" s="1455"/>
      <c r="H917" s="1455"/>
      <c r="I917" s="1455"/>
      <c r="J917" s="1455"/>
    </row>
    <row r="918" spans="5:10" x14ac:dyDescent="0.3">
      <c r="E918" s="1455"/>
      <c r="F918" s="1495"/>
      <c r="G918" s="1455"/>
      <c r="H918" s="1455"/>
      <c r="I918" s="1455"/>
      <c r="J918" s="1455"/>
    </row>
    <row r="919" spans="5:10" x14ac:dyDescent="0.3">
      <c r="E919" s="1455"/>
      <c r="F919" s="1495"/>
      <c r="G919" s="1455"/>
      <c r="H919" s="1455"/>
      <c r="I919" s="1455"/>
      <c r="J919" s="1455"/>
    </row>
    <row r="920" spans="5:10" x14ac:dyDescent="0.3">
      <c r="E920" s="1455"/>
      <c r="F920" s="1495"/>
      <c r="G920" s="1455"/>
      <c r="H920" s="1455"/>
      <c r="I920" s="1455"/>
      <c r="J920" s="1455"/>
    </row>
    <row r="921" spans="5:10" x14ac:dyDescent="0.3">
      <c r="E921" s="1455"/>
      <c r="F921" s="1495"/>
      <c r="G921" s="1455"/>
      <c r="H921" s="1455"/>
      <c r="I921" s="1455"/>
      <c r="J921" s="1455"/>
    </row>
    <row r="922" spans="5:10" x14ac:dyDescent="0.3">
      <c r="E922" s="1455"/>
      <c r="F922" s="1495"/>
      <c r="G922" s="1455"/>
      <c r="H922" s="1455"/>
      <c r="I922" s="1455"/>
      <c r="J922" s="1455"/>
    </row>
    <row r="923" spans="5:10" x14ac:dyDescent="0.3">
      <c r="E923" s="1455"/>
      <c r="F923" s="1495"/>
      <c r="G923" s="1455"/>
      <c r="H923" s="1455"/>
      <c r="I923" s="1455"/>
      <c r="J923" s="1455"/>
    </row>
    <row r="924" spans="5:10" x14ac:dyDescent="0.3">
      <c r="E924" s="1455"/>
      <c r="F924" s="1495"/>
      <c r="G924" s="1455"/>
      <c r="H924" s="1455"/>
      <c r="I924" s="1455"/>
      <c r="J924" s="1455"/>
    </row>
    <row r="925" spans="5:10" x14ac:dyDescent="0.3">
      <c r="E925" s="1455"/>
      <c r="F925" s="1495"/>
      <c r="G925" s="1455"/>
      <c r="H925" s="1455"/>
      <c r="I925" s="1455"/>
      <c r="J925" s="1455"/>
    </row>
    <row r="926" spans="5:10" x14ac:dyDescent="0.3">
      <c r="E926" s="1455"/>
      <c r="F926" s="1495"/>
      <c r="G926" s="1455"/>
      <c r="H926" s="1455"/>
      <c r="I926" s="1455"/>
      <c r="J926" s="1455"/>
    </row>
    <row r="927" spans="5:10" x14ac:dyDescent="0.3">
      <c r="E927" s="1455"/>
      <c r="F927" s="1495"/>
      <c r="G927" s="1455"/>
      <c r="H927" s="1455"/>
      <c r="I927" s="1455"/>
      <c r="J927" s="1455"/>
    </row>
    <row r="928" spans="5:10" x14ac:dyDescent="0.3">
      <c r="E928" s="1455"/>
      <c r="F928" s="1495"/>
      <c r="G928" s="1455"/>
      <c r="H928" s="1455"/>
      <c r="I928" s="1455"/>
      <c r="J928" s="1455"/>
    </row>
    <row r="929" spans="5:10" x14ac:dyDescent="0.3">
      <c r="E929" s="1455"/>
      <c r="F929" s="1495"/>
      <c r="G929" s="1455"/>
      <c r="H929" s="1455"/>
      <c r="I929" s="1455"/>
      <c r="J929" s="1455"/>
    </row>
    <row r="930" spans="5:10" x14ac:dyDescent="0.3">
      <c r="E930" s="1455"/>
      <c r="F930" s="1495"/>
      <c r="G930" s="1455"/>
      <c r="H930" s="1455"/>
      <c r="I930" s="1455"/>
      <c r="J930" s="1455"/>
    </row>
    <row r="931" spans="5:10" x14ac:dyDescent="0.3">
      <c r="E931" s="1455"/>
      <c r="F931" s="1495"/>
      <c r="G931" s="1455"/>
      <c r="H931" s="1455"/>
      <c r="I931" s="1455"/>
      <c r="J931" s="1455"/>
    </row>
    <row r="932" spans="5:10" x14ac:dyDescent="0.3">
      <c r="E932" s="1455"/>
      <c r="F932" s="1495"/>
      <c r="G932" s="1455"/>
      <c r="H932" s="1455"/>
      <c r="I932" s="1455"/>
      <c r="J932" s="1455"/>
    </row>
    <row r="933" spans="5:10" x14ac:dyDescent="0.3">
      <c r="E933" s="1455"/>
      <c r="F933" s="1495"/>
      <c r="G933" s="1455"/>
      <c r="H933" s="1455"/>
      <c r="I933" s="1455"/>
      <c r="J933" s="1455"/>
    </row>
    <row r="934" spans="5:10" x14ac:dyDescent="0.3">
      <c r="E934" s="1455"/>
      <c r="F934" s="1495"/>
      <c r="G934" s="1455"/>
      <c r="H934" s="1455"/>
      <c r="I934" s="1455"/>
      <c r="J934" s="1455"/>
    </row>
    <row r="935" spans="5:10" x14ac:dyDescent="0.3">
      <c r="E935" s="1455"/>
      <c r="F935" s="1495"/>
      <c r="G935" s="1455"/>
      <c r="H935" s="1455"/>
      <c r="I935" s="1455"/>
      <c r="J935" s="1455"/>
    </row>
    <row r="936" spans="5:10" x14ac:dyDescent="0.3">
      <c r="E936" s="1455"/>
      <c r="F936" s="1495"/>
      <c r="G936" s="1455"/>
      <c r="H936" s="1455"/>
      <c r="I936" s="1455"/>
      <c r="J936" s="1455"/>
    </row>
    <row r="937" spans="5:10" x14ac:dyDescent="0.3">
      <c r="E937" s="1455"/>
      <c r="F937" s="1495"/>
      <c r="G937" s="1455"/>
      <c r="H937" s="1455"/>
      <c r="I937" s="1455"/>
      <c r="J937" s="1455"/>
    </row>
    <row r="938" spans="5:10" x14ac:dyDescent="0.3">
      <c r="E938" s="1455"/>
      <c r="F938" s="1495"/>
      <c r="G938" s="1455"/>
      <c r="H938" s="1455"/>
      <c r="I938" s="1455"/>
      <c r="J938" s="1455"/>
    </row>
    <row r="939" spans="5:10" x14ac:dyDescent="0.3">
      <c r="E939" s="1455"/>
      <c r="F939" s="1495"/>
      <c r="G939" s="1455"/>
      <c r="H939" s="1455"/>
      <c r="I939" s="1455"/>
      <c r="J939" s="1455"/>
    </row>
    <row r="940" spans="5:10" x14ac:dyDescent="0.3">
      <c r="E940" s="1455"/>
      <c r="F940" s="1495"/>
      <c r="G940" s="1455"/>
      <c r="H940" s="1455"/>
      <c r="I940" s="1455"/>
      <c r="J940" s="1455"/>
    </row>
    <row r="941" spans="5:10" x14ac:dyDescent="0.3">
      <c r="E941" s="1455"/>
      <c r="F941" s="1495"/>
      <c r="G941" s="1455"/>
      <c r="H941" s="1455"/>
      <c r="I941" s="1455"/>
      <c r="J941" s="1455"/>
    </row>
    <row r="942" spans="5:10" x14ac:dyDescent="0.3">
      <c r="E942" s="1455"/>
      <c r="F942" s="1495"/>
      <c r="G942" s="1455"/>
      <c r="H942" s="1455"/>
      <c r="I942" s="1455"/>
      <c r="J942" s="1455"/>
    </row>
    <row r="943" spans="5:10" x14ac:dyDescent="0.3">
      <c r="E943" s="1455"/>
      <c r="F943" s="1495"/>
      <c r="G943" s="1455"/>
      <c r="H943" s="1455"/>
      <c r="I943" s="1455"/>
      <c r="J943" s="1455"/>
    </row>
    <row r="944" spans="5:10" x14ac:dyDescent="0.3">
      <c r="E944" s="1455"/>
      <c r="F944" s="1495"/>
      <c r="G944" s="1455"/>
      <c r="H944" s="1455"/>
      <c r="I944" s="1455"/>
      <c r="J944" s="1455"/>
    </row>
    <row r="945" spans="5:10" x14ac:dyDescent="0.3">
      <c r="E945" s="1455"/>
      <c r="F945" s="1495"/>
      <c r="G945" s="1455"/>
      <c r="H945" s="1455"/>
      <c r="I945" s="1455"/>
      <c r="J945" s="1455"/>
    </row>
    <row r="946" spans="5:10" x14ac:dyDescent="0.3">
      <c r="E946" s="1455"/>
      <c r="F946" s="1495"/>
      <c r="G946" s="1455"/>
      <c r="H946" s="1455"/>
      <c r="I946" s="1455"/>
      <c r="J946" s="1455"/>
    </row>
    <row r="947" spans="5:10" x14ac:dyDescent="0.3">
      <c r="E947" s="1455"/>
      <c r="F947" s="1495"/>
      <c r="G947" s="1455"/>
      <c r="H947" s="1455"/>
      <c r="I947" s="1455"/>
      <c r="J947" s="1455"/>
    </row>
    <row r="948" spans="5:10" x14ac:dyDescent="0.3">
      <c r="E948" s="1455"/>
      <c r="F948" s="1495"/>
      <c r="G948" s="1455"/>
      <c r="H948" s="1455"/>
      <c r="I948" s="1455"/>
      <c r="J948" s="1455"/>
    </row>
    <row r="949" spans="5:10" x14ac:dyDescent="0.3">
      <c r="E949" s="1455"/>
      <c r="F949" s="1495"/>
      <c r="G949" s="1455"/>
      <c r="H949" s="1455"/>
      <c r="I949" s="1455"/>
      <c r="J949" s="1455"/>
    </row>
    <row r="950" spans="5:10" x14ac:dyDescent="0.3">
      <c r="E950" s="1455"/>
      <c r="F950" s="1495"/>
      <c r="G950" s="1455"/>
      <c r="H950" s="1455"/>
      <c r="I950" s="1455"/>
      <c r="J950" s="1455"/>
    </row>
    <row r="951" spans="5:10" x14ac:dyDescent="0.3">
      <c r="E951" s="1455"/>
      <c r="F951" s="1495"/>
      <c r="G951" s="1455"/>
      <c r="H951" s="1455"/>
      <c r="I951" s="1455"/>
      <c r="J951" s="1455"/>
    </row>
    <row r="952" spans="5:10" x14ac:dyDescent="0.3">
      <c r="E952" s="1455"/>
      <c r="F952" s="1495"/>
      <c r="G952" s="1455"/>
      <c r="H952" s="1455"/>
      <c r="I952" s="1455"/>
      <c r="J952" s="1455"/>
    </row>
    <row r="953" spans="5:10" x14ac:dyDescent="0.3">
      <c r="E953" s="1455"/>
      <c r="F953" s="1495"/>
      <c r="G953" s="1455"/>
      <c r="H953" s="1455"/>
      <c r="I953" s="1455"/>
      <c r="J953" s="1455"/>
    </row>
    <row r="954" spans="5:10" x14ac:dyDescent="0.3">
      <c r="E954" s="1455"/>
      <c r="F954" s="1495"/>
      <c r="G954" s="1455"/>
      <c r="H954" s="1455"/>
      <c r="I954" s="1455"/>
      <c r="J954" s="1455"/>
    </row>
    <row r="955" spans="5:10" x14ac:dyDescent="0.3">
      <c r="E955" s="1455"/>
      <c r="F955" s="1495"/>
      <c r="G955" s="1455"/>
      <c r="H955" s="1455"/>
      <c r="I955" s="1455"/>
      <c r="J955" s="1455"/>
    </row>
    <row r="956" spans="5:10" x14ac:dyDescent="0.3">
      <c r="E956" s="1455"/>
      <c r="F956" s="1495"/>
      <c r="G956" s="1455"/>
      <c r="H956" s="1455"/>
      <c r="I956" s="1455"/>
      <c r="J956" s="1455"/>
    </row>
    <row r="957" spans="5:10" x14ac:dyDescent="0.3">
      <c r="E957" s="1455"/>
      <c r="F957" s="1495"/>
      <c r="G957" s="1455"/>
      <c r="H957" s="1455"/>
      <c r="I957" s="1455"/>
      <c r="J957" s="1455"/>
    </row>
    <row r="958" spans="5:10" x14ac:dyDescent="0.3">
      <c r="E958" s="1455"/>
      <c r="F958" s="1495"/>
      <c r="G958" s="1455"/>
      <c r="H958" s="1455"/>
      <c r="I958" s="1455"/>
      <c r="J958" s="1455"/>
    </row>
    <row r="959" spans="5:10" x14ac:dyDescent="0.3">
      <c r="E959" s="1455"/>
      <c r="F959" s="1495"/>
      <c r="G959" s="1455"/>
      <c r="H959" s="1455"/>
      <c r="I959" s="1455"/>
      <c r="J959" s="1455"/>
    </row>
    <row r="960" spans="5:10" x14ac:dyDescent="0.3">
      <c r="E960" s="1455"/>
      <c r="F960" s="1495"/>
      <c r="G960" s="1455"/>
      <c r="H960" s="1455"/>
      <c r="I960" s="1455"/>
      <c r="J960" s="1455"/>
    </row>
    <row r="961" spans="5:10" x14ac:dyDescent="0.3">
      <c r="E961" s="1455"/>
      <c r="F961" s="1495"/>
      <c r="G961" s="1455"/>
      <c r="H961" s="1455"/>
      <c r="I961" s="1455"/>
      <c r="J961" s="1455"/>
    </row>
    <row r="962" spans="5:10" x14ac:dyDescent="0.3">
      <c r="E962" s="1455"/>
      <c r="F962" s="1495"/>
      <c r="G962" s="1455"/>
      <c r="H962" s="1455"/>
      <c r="I962" s="1455"/>
      <c r="J962" s="1455"/>
    </row>
    <row r="963" spans="5:10" x14ac:dyDescent="0.3">
      <c r="E963" s="1455"/>
      <c r="F963" s="1495"/>
      <c r="G963" s="1455"/>
      <c r="H963" s="1455"/>
      <c r="I963" s="1455"/>
      <c r="J963" s="1455"/>
    </row>
    <row r="964" spans="5:10" x14ac:dyDescent="0.3">
      <c r="E964" s="1455"/>
      <c r="F964" s="1495"/>
      <c r="G964" s="1455"/>
      <c r="H964" s="1455"/>
      <c r="I964" s="1455"/>
      <c r="J964" s="1455"/>
    </row>
    <row r="965" spans="5:10" x14ac:dyDescent="0.3">
      <c r="E965" s="1455"/>
      <c r="F965" s="1495"/>
      <c r="G965" s="1455"/>
      <c r="H965" s="1455"/>
      <c r="I965" s="1455"/>
      <c r="J965" s="1455"/>
    </row>
    <row r="966" spans="5:10" x14ac:dyDescent="0.3">
      <c r="E966" s="1455"/>
      <c r="F966" s="1495"/>
      <c r="G966" s="1455"/>
      <c r="H966" s="1455"/>
      <c r="I966" s="1455"/>
      <c r="J966" s="1455"/>
    </row>
    <row r="967" spans="5:10" x14ac:dyDescent="0.3">
      <c r="E967" s="1455"/>
      <c r="F967" s="1495"/>
      <c r="G967" s="1455"/>
      <c r="H967" s="1455"/>
      <c r="I967" s="1455"/>
      <c r="J967" s="1455"/>
    </row>
    <row r="968" spans="5:10" x14ac:dyDescent="0.3">
      <c r="E968" s="1455"/>
      <c r="F968" s="1495"/>
      <c r="G968" s="1455"/>
      <c r="H968" s="1455"/>
      <c r="I968" s="1455"/>
      <c r="J968" s="1455"/>
    </row>
    <row r="969" spans="5:10" x14ac:dyDescent="0.3">
      <c r="E969" s="1455"/>
      <c r="F969" s="1495"/>
      <c r="G969" s="1455"/>
      <c r="H969" s="1455"/>
      <c r="I969" s="1455"/>
      <c r="J969" s="1455"/>
    </row>
    <row r="970" spans="5:10" x14ac:dyDescent="0.3">
      <c r="E970" s="1455"/>
      <c r="F970" s="1495"/>
      <c r="G970" s="1455"/>
      <c r="H970" s="1455"/>
      <c r="I970" s="1455"/>
      <c r="J970" s="1455"/>
    </row>
    <row r="971" spans="5:10" x14ac:dyDescent="0.3">
      <c r="E971" s="1455"/>
      <c r="F971" s="1495"/>
      <c r="G971" s="1455"/>
      <c r="H971" s="1455"/>
      <c r="I971" s="1455"/>
      <c r="J971" s="1455"/>
    </row>
    <row r="972" spans="5:10" x14ac:dyDescent="0.3">
      <c r="E972" s="1455"/>
      <c r="F972" s="1495"/>
      <c r="G972" s="1455"/>
      <c r="H972" s="1455"/>
      <c r="I972" s="1455"/>
      <c r="J972" s="1455"/>
    </row>
    <row r="973" spans="5:10" x14ac:dyDescent="0.3">
      <c r="E973" s="1455"/>
      <c r="F973" s="1495"/>
      <c r="G973" s="1455"/>
      <c r="H973" s="1455"/>
      <c r="I973" s="1455"/>
      <c r="J973" s="1455"/>
    </row>
    <row r="974" spans="5:10" x14ac:dyDescent="0.3">
      <c r="E974" s="1455"/>
      <c r="F974" s="1495"/>
      <c r="G974" s="1455"/>
      <c r="H974" s="1455"/>
      <c r="I974" s="1455"/>
      <c r="J974" s="1455"/>
    </row>
    <row r="975" spans="5:10" x14ac:dyDescent="0.3">
      <c r="E975" s="1455"/>
      <c r="F975" s="1495"/>
      <c r="G975" s="1455"/>
      <c r="H975" s="1455"/>
      <c r="I975" s="1455"/>
      <c r="J975" s="1455"/>
    </row>
    <row r="976" spans="5:10" x14ac:dyDescent="0.3">
      <c r="E976" s="1455"/>
      <c r="F976" s="1495"/>
      <c r="G976" s="1455"/>
      <c r="H976" s="1455"/>
      <c r="I976" s="1455"/>
      <c r="J976" s="1455"/>
    </row>
    <row r="977" spans="5:10" x14ac:dyDescent="0.3">
      <c r="E977" s="1455"/>
      <c r="F977" s="1495"/>
      <c r="G977" s="1455"/>
      <c r="H977" s="1455"/>
      <c r="I977" s="1455"/>
      <c r="J977" s="1455"/>
    </row>
    <row r="978" spans="5:10" x14ac:dyDescent="0.3">
      <c r="E978" s="1455"/>
      <c r="F978" s="1495"/>
      <c r="G978" s="1455"/>
      <c r="H978" s="1455"/>
      <c r="I978" s="1455"/>
      <c r="J978" s="1455"/>
    </row>
    <row r="979" spans="5:10" x14ac:dyDescent="0.3">
      <c r="E979" s="1455"/>
      <c r="F979" s="1495"/>
      <c r="G979" s="1455"/>
      <c r="H979" s="1455"/>
      <c r="I979" s="1455"/>
      <c r="J979" s="1455"/>
    </row>
    <row r="980" spans="5:10" x14ac:dyDescent="0.3">
      <c r="E980" s="1455"/>
      <c r="F980" s="1495"/>
      <c r="G980" s="1455"/>
      <c r="H980" s="1455"/>
      <c r="I980" s="1455"/>
      <c r="J980" s="1455"/>
    </row>
    <row r="981" spans="5:10" x14ac:dyDescent="0.3">
      <c r="E981" s="1455"/>
      <c r="F981" s="1495"/>
      <c r="G981" s="1455"/>
      <c r="H981" s="1455"/>
      <c r="I981" s="1455"/>
      <c r="J981" s="1455"/>
    </row>
    <row r="982" spans="5:10" x14ac:dyDescent="0.3">
      <c r="E982" s="1455"/>
      <c r="F982" s="1495"/>
      <c r="G982" s="1455"/>
      <c r="H982" s="1455"/>
      <c r="I982" s="1455"/>
      <c r="J982" s="1455"/>
    </row>
    <row r="983" spans="5:10" x14ac:dyDescent="0.3">
      <c r="E983" s="1455"/>
      <c r="F983" s="1495"/>
      <c r="G983" s="1455"/>
      <c r="H983" s="1455"/>
      <c r="I983" s="1455"/>
      <c r="J983" s="1455"/>
    </row>
    <row r="984" spans="5:10" x14ac:dyDescent="0.3">
      <c r="E984" s="1455"/>
      <c r="F984" s="1495"/>
      <c r="G984" s="1455"/>
      <c r="H984" s="1455"/>
      <c r="I984" s="1455"/>
      <c r="J984" s="1455"/>
    </row>
    <row r="985" spans="5:10" x14ac:dyDescent="0.3">
      <c r="E985" s="1455"/>
      <c r="F985" s="1495"/>
      <c r="G985" s="1455"/>
      <c r="H985" s="1455"/>
      <c r="I985" s="1455"/>
      <c r="J985" s="1455"/>
    </row>
    <row r="986" spans="5:10" x14ac:dyDescent="0.3">
      <c r="E986" s="1455"/>
      <c r="F986" s="1495"/>
      <c r="G986" s="1455"/>
      <c r="H986" s="1455"/>
      <c r="I986" s="1455"/>
      <c r="J986" s="1455"/>
    </row>
    <row r="987" spans="5:10" x14ac:dyDescent="0.3">
      <c r="E987" s="1455"/>
      <c r="F987" s="1495"/>
      <c r="G987" s="1455"/>
      <c r="H987" s="1455"/>
      <c r="I987" s="1455"/>
      <c r="J987" s="1455"/>
    </row>
    <row r="988" spans="5:10" x14ac:dyDescent="0.3">
      <c r="E988" s="1455"/>
      <c r="F988" s="1495"/>
      <c r="G988" s="1455"/>
      <c r="H988" s="1455"/>
      <c r="I988" s="1455"/>
      <c r="J988" s="1455"/>
    </row>
    <row r="989" spans="5:10" x14ac:dyDescent="0.3">
      <c r="E989" s="1455"/>
      <c r="F989" s="1495"/>
      <c r="G989" s="1455"/>
      <c r="H989" s="1455"/>
      <c r="I989" s="1455"/>
      <c r="J989" s="1455"/>
    </row>
    <row r="990" spans="5:10" x14ac:dyDescent="0.3">
      <c r="E990" s="1455"/>
      <c r="F990" s="1495"/>
      <c r="G990" s="1455"/>
      <c r="H990" s="1455"/>
      <c r="I990" s="1455"/>
      <c r="J990" s="1455"/>
    </row>
    <row r="991" spans="5:10" x14ac:dyDescent="0.3">
      <c r="E991" s="1455"/>
      <c r="F991" s="1495"/>
      <c r="G991" s="1455"/>
      <c r="H991" s="1455"/>
      <c r="I991" s="1455"/>
      <c r="J991" s="1455"/>
    </row>
    <row r="992" spans="5:10" x14ac:dyDescent="0.3">
      <c r="E992" s="1455"/>
      <c r="F992" s="1495"/>
      <c r="G992" s="1455"/>
      <c r="H992" s="1455"/>
      <c r="I992" s="1455"/>
      <c r="J992" s="1455"/>
    </row>
    <row r="993" spans="5:10" x14ac:dyDescent="0.3">
      <c r="E993" s="1455"/>
      <c r="F993" s="1495"/>
      <c r="G993" s="1455"/>
      <c r="H993" s="1455"/>
      <c r="I993" s="1455"/>
      <c r="J993" s="1455"/>
    </row>
    <row r="994" spans="5:10" x14ac:dyDescent="0.3">
      <c r="E994" s="1455"/>
      <c r="F994" s="1495"/>
      <c r="G994" s="1455"/>
      <c r="H994" s="1455"/>
      <c r="I994" s="1455"/>
      <c r="J994" s="1455"/>
    </row>
    <row r="995" spans="5:10" x14ac:dyDescent="0.3">
      <c r="E995" s="1455"/>
      <c r="F995" s="1495"/>
      <c r="G995" s="1455"/>
      <c r="H995" s="1455"/>
      <c r="I995" s="1455"/>
      <c r="J995" s="1455"/>
    </row>
    <row r="996" spans="5:10" x14ac:dyDescent="0.3">
      <c r="E996" s="1455"/>
      <c r="F996" s="1495"/>
      <c r="G996" s="1455"/>
      <c r="H996" s="1455"/>
      <c r="I996" s="1455"/>
      <c r="J996" s="1455"/>
    </row>
    <row r="997" spans="5:10" x14ac:dyDescent="0.3">
      <c r="E997" s="1455"/>
      <c r="F997" s="1495"/>
      <c r="G997" s="1455"/>
      <c r="H997" s="1455"/>
      <c r="I997" s="1455"/>
      <c r="J997" s="1455"/>
    </row>
    <row r="998" spans="5:10" x14ac:dyDescent="0.3">
      <c r="E998" s="1455"/>
      <c r="F998" s="1495"/>
      <c r="G998" s="1455"/>
      <c r="H998" s="1455"/>
      <c r="I998" s="1455"/>
      <c r="J998" s="1455"/>
    </row>
    <row r="999" spans="5:10" x14ac:dyDescent="0.3">
      <c r="E999" s="1455"/>
      <c r="F999" s="1495"/>
      <c r="G999" s="1455"/>
      <c r="H999" s="1455"/>
      <c r="I999" s="1455"/>
      <c r="J999" s="1455"/>
    </row>
    <row r="1000" spans="5:10" x14ac:dyDescent="0.3">
      <c r="E1000" s="1455"/>
      <c r="F1000" s="1495"/>
      <c r="G1000" s="1455"/>
      <c r="H1000" s="1455"/>
      <c r="I1000" s="1455"/>
      <c r="J1000" s="1455"/>
    </row>
    <row r="1001" spans="5:10" x14ac:dyDescent="0.3">
      <c r="E1001" s="1455"/>
      <c r="F1001" s="1495"/>
      <c r="G1001" s="1455"/>
      <c r="H1001" s="1455"/>
      <c r="I1001" s="1455"/>
      <c r="J1001" s="1455"/>
    </row>
    <row r="1002" spans="5:10" x14ac:dyDescent="0.3">
      <c r="E1002" s="1455"/>
      <c r="F1002" s="1495"/>
      <c r="G1002" s="1455"/>
      <c r="H1002" s="1455"/>
      <c r="I1002" s="1455"/>
      <c r="J1002" s="1455"/>
    </row>
    <row r="1003" spans="5:10" x14ac:dyDescent="0.3">
      <c r="E1003" s="1455"/>
      <c r="F1003" s="1495"/>
      <c r="G1003" s="1455"/>
      <c r="H1003" s="1455"/>
      <c r="I1003" s="1455"/>
      <c r="J1003" s="1455"/>
    </row>
    <row r="1004" spans="5:10" x14ac:dyDescent="0.3">
      <c r="E1004" s="1455"/>
      <c r="F1004" s="1495"/>
      <c r="G1004" s="1455"/>
      <c r="H1004" s="1455"/>
      <c r="I1004" s="1455"/>
      <c r="J1004" s="1455"/>
    </row>
    <row r="1005" spans="5:10" x14ac:dyDescent="0.3">
      <c r="E1005" s="1455"/>
      <c r="F1005" s="1495"/>
      <c r="G1005" s="1455"/>
      <c r="H1005" s="1455"/>
      <c r="I1005" s="1455"/>
      <c r="J1005" s="1455"/>
    </row>
    <row r="1006" spans="5:10" x14ac:dyDescent="0.3">
      <c r="E1006" s="1455"/>
      <c r="F1006" s="1495"/>
      <c r="G1006" s="1455"/>
      <c r="H1006" s="1455"/>
      <c r="I1006" s="1455"/>
      <c r="J1006" s="1455"/>
    </row>
    <row r="1007" spans="5:10" x14ac:dyDescent="0.3">
      <c r="E1007" s="1455"/>
      <c r="F1007" s="1495"/>
      <c r="G1007" s="1455"/>
      <c r="H1007" s="1455"/>
      <c r="I1007" s="1455"/>
      <c r="J1007" s="1455"/>
    </row>
    <row r="1008" spans="5:10" x14ac:dyDescent="0.3">
      <c r="E1008" s="1455"/>
      <c r="F1008" s="1495"/>
      <c r="G1008" s="1455"/>
      <c r="H1008" s="1455"/>
      <c r="I1008" s="1455"/>
      <c r="J1008" s="1455"/>
    </row>
    <row r="1009" spans="5:10" x14ac:dyDescent="0.3">
      <c r="E1009" s="1455"/>
      <c r="F1009" s="1495"/>
      <c r="G1009" s="1455"/>
      <c r="H1009" s="1455"/>
      <c r="I1009" s="1455"/>
      <c r="J1009" s="1455"/>
    </row>
    <row r="1010" spans="5:10" x14ac:dyDescent="0.3">
      <c r="E1010" s="1455"/>
      <c r="F1010" s="1495"/>
      <c r="G1010" s="1455"/>
      <c r="H1010" s="1455"/>
      <c r="I1010" s="1455"/>
      <c r="J1010" s="1455"/>
    </row>
    <row r="1011" spans="5:10" x14ac:dyDescent="0.3">
      <c r="E1011" s="1455"/>
      <c r="F1011" s="1495"/>
      <c r="G1011" s="1455"/>
      <c r="H1011" s="1455"/>
      <c r="I1011" s="1455"/>
      <c r="J1011" s="1455"/>
    </row>
    <row r="1012" spans="5:10" x14ac:dyDescent="0.3">
      <c r="E1012" s="1455"/>
      <c r="F1012" s="1495"/>
      <c r="G1012" s="1455"/>
      <c r="H1012" s="1455"/>
      <c r="I1012" s="1455"/>
      <c r="J1012" s="1455"/>
    </row>
    <row r="1013" spans="5:10" x14ac:dyDescent="0.3">
      <c r="E1013" s="1455"/>
      <c r="F1013" s="1495"/>
      <c r="G1013" s="1455"/>
      <c r="H1013" s="1455"/>
      <c r="I1013" s="1455"/>
      <c r="J1013" s="1455"/>
    </row>
    <row r="1014" spans="5:10" x14ac:dyDescent="0.3">
      <c r="E1014" s="1455"/>
      <c r="F1014" s="1495"/>
      <c r="G1014" s="1455"/>
      <c r="H1014" s="1455"/>
      <c r="I1014" s="1455"/>
      <c r="J1014" s="1455"/>
    </row>
    <row r="1015" spans="5:10" x14ac:dyDescent="0.3">
      <c r="E1015" s="1455"/>
      <c r="F1015" s="1495"/>
      <c r="G1015" s="1455"/>
      <c r="H1015" s="1455"/>
      <c r="I1015" s="1455"/>
      <c r="J1015" s="1455"/>
    </row>
    <row r="1016" spans="5:10" x14ac:dyDescent="0.3">
      <c r="E1016" s="1455"/>
      <c r="F1016" s="1495"/>
      <c r="G1016" s="1455"/>
      <c r="H1016" s="1455"/>
      <c r="I1016" s="1455"/>
      <c r="J1016" s="1455"/>
    </row>
    <row r="1017" spans="5:10" x14ac:dyDescent="0.3">
      <c r="E1017" s="1455"/>
      <c r="F1017" s="1495"/>
      <c r="G1017" s="1455"/>
      <c r="H1017" s="1455"/>
      <c r="I1017" s="1455"/>
      <c r="J1017" s="1455"/>
    </row>
    <row r="1018" spans="5:10" x14ac:dyDescent="0.3">
      <c r="E1018" s="1455"/>
      <c r="F1018" s="1495"/>
      <c r="G1018" s="1455"/>
      <c r="H1018" s="1455"/>
      <c r="I1018" s="1455"/>
      <c r="J1018" s="1455"/>
    </row>
    <row r="1019" spans="5:10" x14ac:dyDescent="0.3">
      <c r="E1019" s="1455"/>
      <c r="F1019" s="1495"/>
      <c r="G1019" s="1455"/>
      <c r="H1019" s="1455"/>
      <c r="I1019" s="1455"/>
      <c r="J1019" s="1455"/>
    </row>
    <row r="1020" spans="5:10" x14ac:dyDescent="0.3">
      <c r="E1020" s="1455"/>
      <c r="F1020" s="1495"/>
      <c r="G1020" s="1455"/>
      <c r="H1020" s="1455"/>
      <c r="I1020" s="1455"/>
      <c r="J1020" s="1455"/>
    </row>
    <row r="1021" spans="5:10" x14ac:dyDescent="0.3">
      <c r="E1021" s="1455"/>
      <c r="F1021" s="1495"/>
      <c r="G1021" s="1455"/>
      <c r="H1021" s="1455"/>
      <c r="I1021" s="1455"/>
      <c r="J1021" s="1455"/>
    </row>
    <row r="1022" spans="5:10" x14ac:dyDescent="0.3">
      <c r="E1022" s="1455"/>
      <c r="F1022" s="1495"/>
      <c r="G1022" s="1455"/>
      <c r="H1022" s="1455"/>
      <c r="I1022" s="1455"/>
      <c r="J1022" s="1455"/>
    </row>
    <row r="1023" spans="5:10" x14ac:dyDescent="0.3">
      <c r="E1023" s="1455"/>
      <c r="F1023" s="1495"/>
      <c r="G1023" s="1455"/>
      <c r="H1023" s="1455"/>
      <c r="I1023" s="1455"/>
      <c r="J1023" s="1455"/>
    </row>
    <row r="1024" spans="5:10" x14ac:dyDescent="0.3">
      <c r="E1024" s="1455"/>
      <c r="F1024" s="1495"/>
      <c r="G1024" s="1455"/>
      <c r="H1024" s="1455"/>
      <c r="I1024" s="1455"/>
      <c r="J1024" s="1455"/>
    </row>
    <row r="1025" spans="5:10" x14ac:dyDescent="0.3">
      <c r="E1025" s="1455"/>
      <c r="F1025" s="1495"/>
      <c r="G1025" s="1455"/>
      <c r="H1025" s="1455"/>
      <c r="I1025" s="1455"/>
      <c r="J1025" s="1455"/>
    </row>
    <row r="1026" spans="5:10" x14ac:dyDescent="0.3">
      <c r="E1026" s="1455"/>
      <c r="F1026" s="1495"/>
      <c r="G1026" s="1455"/>
      <c r="H1026" s="1455"/>
      <c r="I1026" s="1455"/>
      <c r="J1026" s="1455"/>
    </row>
    <row r="1027" spans="5:10" x14ac:dyDescent="0.3">
      <c r="E1027" s="1455"/>
      <c r="F1027" s="1495"/>
      <c r="G1027" s="1455"/>
      <c r="H1027" s="1455"/>
      <c r="I1027" s="1455"/>
      <c r="J1027" s="1455"/>
    </row>
    <row r="1028" spans="5:10" x14ac:dyDescent="0.3">
      <c r="E1028" s="1455"/>
      <c r="F1028" s="1495"/>
      <c r="G1028" s="1455"/>
      <c r="H1028" s="1455"/>
      <c r="I1028" s="1455"/>
      <c r="J1028" s="1455"/>
    </row>
    <row r="1029" spans="5:10" x14ac:dyDescent="0.3">
      <c r="E1029" s="1455"/>
      <c r="F1029" s="1495"/>
      <c r="G1029" s="1455"/>
      <c r="H1029" s="1455"/>
      <c r="I1029" s="1455"/>
      <c r="J1029" s="1455"/>
    </row>
    <row r="1030" spans="5:10" x14ac:dyDescent="0.3">
      <c r="E1030" s="1455"/>
      <c r="F1030" s="1495"/>
      <c r="G1030" s="1455"/>
      <c r="H1030" s="1455"/>
      <c r="I1030" s="1455"/>
      <c r="J1030" s="1455"/>
    </row>
    <row r="1031" spans="5:10" x14ac:dyDescent="0.3">
      <c r="E1031" s="1455"/>
      <c r="F1031" s="1495"/>
      <c r="G1031" s="1455"/>
      <c r="H1031" s="1455"/>
      <c r="I1031" s="1455"/>
      <c r="J1031" s="1455"/>
    </row>
    <row r="1032" spans="5:10" x14ac:dyDescent="0.3">
      <c r="E1032" s="1455"/>
      <c r="F1032" s="1495"/>
      <c r="G1032" s="1455"/>
      <c r="H1032" s="1455"/>
      <c r="I1032" s="1455"/>
      <c r="J1032" s="1455"/>
    </row>
    <row r="1033" spans="5:10" x14ac:dyDescent="0.3">
      <c r="E1033" s="1455"/>
      <c r="F1033" s="1495"/>
      <c r="G1033" s="1455"/>
      <c r="H1033" s="1455"/>
      <c r="I1033" s="1455"/>
      <c r="J1033" s="1455"/>
    </row>
    <row r="1034" spans="5:10" x14ac:dyDescent="0.3">
      <c r="E1034" s="1455"/>
      <c r="F1034" s="1495"/>
      <c r="G1034" s="1455"/>
      <c r="H1034" s="1455"/>
      <c r="I1034" s="1455"/>
      <c r="J1034" s="1455"/>
    </row>
    <row r="1035" spans="5:10" x14ac:dyDescent="0.3">
      <c r="E1035" s="1455"/>
      <c r="F1035" s="1495"/>
      <c r="G1035" s="1455"/>
      <c r="H1035" s="1455"/>
      <c r="I1035" s="1455"/>
      <c r="J1035" s="1455"/>
    </row>
    <row r="1036" spans="5:10" x14ac:dyDescent="0.3">
      <c r="E1036" s="1455"/>
      <c r="F1036" s="1495"/>
      <c r="G1036" s="1455"/>
      <c r="H1036" s="1455"/>
      <c r="I1036" s="1455"/>
      <c r="J1036" s="1455"/>
    </row>
    <row r="1037" spans="5:10" x14ac:dyDescent="0.3">
      <c r="E1037" s="1455"/>
      <c r="F1037" s="1495"/>
      <c r="G1037" s="1455"/>
      <c r="H1037" s="1455"/>
      <c r="I1037" s="1455"/>
      <c r="J1037" s="1455"/>
    </row>
    <row r="1038" spans="5:10" x14ac:dyDescent="0.3">
      <c r="E1038" s="1455"/>
      <c r="F1038" s="1495"/>
      <c r="G1038" s="1455"/>
      <c r="H1038" s="1455"/>
      <c r="I1038" s="1455"/>
      <c r="J1038" s="1455"/>
    </row>
    <row r="1039" spans="5:10" x14ac:dyDescent="0.3">
      <c r="E1039" s="1455"/>
      <c r="F1039" s="1495"/>
      <c r="G1039" s="1455"/>
      <c r="H1039" s="1455"/>
      <c r="I1039" s="1455"/>
      <c r="J1039" s="1455"/>
    </row>
    <row r="1040" spans="5:10" x14ac:dyDescent="0.3">
      <c r="E1040" s="1455"/>
      <c r="F1040" s="1495"/>
      <c r="G1040" s="1455"/>
      <c r="H1040" s="1455"/>
      <c r="I1040" s="1455"/>
      <c r="J1040" s="1455"/>
    </row>
    <row r="1041" spans="5:10" x14ac:dyDescent="0.3">
      <c r="E1041" s="1455"/>
      <c r="F1041" s="1495"/>
      <c r="G1041" s="1455"/>
      <c r="H1041" s="1455"/>
      <c r="I1041" s="1455"/>
      <c r="J1041" s="1455"/>
    </row>
    <row r="1042" spans="5:10" x14ac:dyDescent="0.3">
      <c r="E1042" s="1455"/>
      <c r="F1042" s="1495"/>
      <c r="G1042" s="1455"/>
      <c r="H1042" s="1455"/>
      <c r="I1042" s="1455"/>
      <c r="J1042" s="1455"/>
    </row>
    <row r="1043" spans="5:10" x14ac:dyDescent="0.3">
      <c r="E1043" s="1455"/>
      <c r="F1043" s="1495"/>
      <c r="G1043" s="1455"/>
      <c r="H1043" s="1455"/>
      <c r="I1043" s="1455"/>
      <c r="J1043" s="1455"/>
    </row>
    <row r="1044" spans="5:10" x14ac:dyDescent="0.3">
      <c r="E1044" s="1455"/>
      <c r="F1044" s="1495"/>
      <c r="G1044" s="1455"/>
      <c r="H1044" s="1455"/>
      <c r="I1044" s="1455"/>
      <c r="J1044" s="1455"/>
    </row>
    <row r="1045" spans="5:10" x14ac:dyDescent="0.3">
      <c r="E1045" s="1455"/>
      <c r="F1045" s="1495"/>
      <c r="G1045" s="1455"/>
      <c r="H1045" s="1455"/>
      <c r="I1045" s="1455"/>
      <c r="J1045" s="1455"/>
    </row>
    <row r="1046" spans="5:10" x14ac:dyDescent="0.3">
      <c r="E1046" s="1455"/>
      <c r="F1046" s="1495"/>
      <c r="G1046" s="1455"/>
      <c r="H1046" s="1455"/>
      <c r="I1046" s="1455"/>
      <c r="J1046" s="1455"/>
    </row>
    <row r="1047" spans="5:10" x14ac:dyDescent="0.3">
      <c r="E1047" s="1455"/>
      <c r="F1047" s="1495"/>
      <c r="G1047" s="1455"/>
      <c r="H1047" s="1455"/>
      <c r="I1047" s="1455"/>
      <c r="J1047" s="1455"/>
    </row>
    <row r="1048" spans="5:10" x14ac:dyDescent="0.3">
      <c r="E1048" s="1455"/>
      <c r="F1048" s="1495"/>
      <c r="G1048" s="1455"/>
      <c r="H1048" s="1455"/>
      <c r="I1048" s="1455"/>
      <c r="J1048" s="1455"/>
    </row>
    <row r="1049" spans="5:10" x14ac:dyDescent="0.3">
      <c r="E1049" s="1455"/>
      <c r="F1049" s="1495"/>
      <c r="G1049" s="1455"/>
      <c r="H1049" s="1455"/>
      <c r="I1049" s="1455"/>
      <c r="J1049" s="1455"/>
    </row>
    <row r="1050" spans="5:10" x14ac:dyDescent="0.3">
      <c r="E1050" s="1455"/>
      <c r="F1050" s="1495"/>
      <c r="G1050" s="1455"/>
      <c r="H1050" s="1455"/>
      <c r="I1050" s="1455"/>
      <c r="J1050" s="1455"/>
    </row>
    <row r="1051" spans="5:10" x14ac:dyDescent="0.3">
      <c r="E1051" s="1455"/>
      <c r="F1051" s="1495"/>
      <c r="G1051" s="1455"/>
      <c r="H1051" s="1455"/>
      <c r="I1051" s="1455"/>
      <c r="J1051" s="1455"/>
    </row>
  </sheetData>
  <mergeCells count="36">
    <mergeCell ref="C8:D8"/>
    <mergeCell ref="F8:G8"/>
    <mergeCell ref="I8:J8"/>
    <mergeCell ref="K8:L8"/>
    <mergeCell ref="B1:L1"/>
    <mergeCell ref="C2:E2"/>
    <mergeCell ref="F2:L2"/>
    <mergeCell ref="C3:E7"/>
    <mergeCell ref="F3:L7"/>
    <mergeCell ref="C9:D9"/>
    <mergeCell ref="F9:G9"/>
    <mergeCell ref="I9:J9"/>
    <mergeCell ref="K9:L9"/>
    <mergeCell ref="C10:D10"/>
    <mergeCell ref="F10:G10"/>
    <mergeCell ref="I10:J10"/>
    <mergeCell ref="K10:L10"/>
    <mergeCell ref="A96:B96"/>
    <mergeCell ref="C96:F96"/>
    <mergeCell ref="G96:H96"/>
    <mergeCell ref="I96:J96"/>
    <mergeCell ref="K96:L96"/>
    <mergeCell ref="A12:B12"/>
    <mergeCell ref="C12:F12"/>
    <mergeCell ref="G12:H12"/>
    <mergeCell ref="I12:J12"/>
    <mergeCell ref="K12:L12"/>
    <mergeCell ref="G201:G202"/>
    <mergeCell ref="C206:F206"/>
    <mergeCell ref="G206:K206"/>
    <mergeCell ref="A152:B152"/>
    <mergeCell ref="C152:F152"/>
    <mergeCell ref="G152:H152"/>
    <mergeCell ref="I152:J152"/>
    <mergeCell ref="K152:L152"/>
    <mergeCell ref="A200:D20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2"/>
  <dimension ref="A2:HZ547"/>
  <sheetViews>
    <sheetView topLeftCell="A44" workbookViewId="0">
      <selection activeCell="B40" sqref="B40"/>
    </sheetView>
  </sheetViews>
  <sheetFormatPr baseColWidth="10" defaultColWidth="25" defaultRowHeight="15" x14ac:dyDescent="0.25"/>
  <cols>
    <col min="1" max="1" width="3.85546875" style="627" customWidth="1"/>
    <col min="2" max="2" width="8.7109375" style="619" customWidth="1"/>
    <col min="3" max="3" width="70.7109375" style="619" customWidth="1"/>
    <col min="4" max="4" width="8.42578125" style="619" bestFit="1" customWidth="1"/>
    <col min="5" max="5" width="11.7109375" style="619" bestFit="1" customWidth="1"/>
    <col min="6" max="6" width="13.140625" style="619" bestFit="1" customWidth="1"/>
    <col min="7" max="7" width="22.42578125" style="946" bestFit="1" customWidth="1"/>
    <col min="8" max="8" width="15" style="619" customWidth="1"/>
    <col min="9" max="9" width="25.42578125" style="947" bestFit="1" customWidth="1"/>
    <col min="10" max="10" width="25.42578125" style="948" bestFit="1" customWidth="1"/>
    <col min="11" max="11" width="11.140625" style="619" customWidth="1"/>
    <col min="12" max="12" width="25" style="946" customWidth="1"/>
    <col min="13" max="13" width="24.28515625" style="619" hidden="1" customWidth="1"/>
    <col min="14" max="14" width="23.85546875" style="949" hidden="1" customWidth="1"/>
    <col min="15" max="15" width="21.85546875" style="567" hidden="1" customWidth="1"/>
    <col min="16" max="16" width="26" style="946" hidden="1" customWidth="1"/>
    <col min="17" max="17" width="21.85546875" style="567" hidden="1" customWidth="1"/>
    <col min="18" max="18" width="26" style="946" hidden="1" customWidth="1"/>
    <col min="19" max="19" width="5.28515625" style="619" customWidth="1"/>
    <col min="20" max="259" width="25" style="619"/>
    <col min="260" max="260" width="7.85546875" style="619" customWidth="1"/>
    <col min="261" max="261" width="8.7109375" style="619" customWidth="1"/>
    <col min="262" max="262" width="93.5703125" style="619" customWidth="1"/>
    <col min="263" max="263" width="6.85546875" style="619" customWidth="1"/>
    <col min="264" max="264" width="26.5703125" style="619" customWidth="1"/>
    <col min="265" max="265" width="15" style="619" customWidth="1"/>
    <col min="266" max="266" width="23.140625" style="619" customWidth="1"/>
    <col min="267" max="267" width="15.42578125" style="619" customWidth="1"/>
    <col min="268" max="268" width="12.7109375" style="619" customWidth="1"/>
    <col min="269" max="269" width="16" style="619" customWidth="1"/>
    <col min="270" max="270" width="24.28515625" style="619" customWidth="1"/>
    <col min="271" max="272" width="25" style="619" customWidth="1"/>
    <col min="273" max="273" width="5" style="619" customWidth="1"/>
    <col min="274" max="515" width="25" style="619"/>
    <col min="516" max="516" width="7.85546875" style="619" customWidth="1"/>
    <col min="517" max="517" width="8.7109375" style="619" customWidth="1"/>
    <col min="518" max="518" width="93.5703125" style="619" customWidth="1"/>
    <col min="519" max="519" width="6.85546875" style="619" customWidth="1"/>
    <col min="520" max="520" width="26.5703125" style="619" customWidth="1"/>
    <col min="521" max="521" width="15" style="619" customWidth="1"/>
    <col min="522" max="522" width="23.140625" style="619" customWidth="1"/>
    <col min="523" max="523" width="15.42578125" style="619" customWidth="1"/>
    <col min="524" max="524" width="12.7109375" style="619" customWidth="1"/>
    <col min="525" max="525" width="16" style="619" customWidth="1"/>
    <col min="526" max="526" width="24.28515625" style="619" customWidth="1"/>
    <col min="527" max="528" width="25" style="619" customWidth="1"/>
    <col min="529" max="529" width="5" style="619" customWidth="1"/>
    <col min="530" max="771" width="25" style="619"/>
    <col min="772" max="772" width="7.85546875" style="619" customWidth="1"/>
    <col min="773" max="773" width="8.7109375" style="619" customWidth="1"/>
    <col min="774" max="774" width="93.5703125" style="619" customWidth="1"/>
    <col min="775" max="775" width="6.85546875" style="619" customWidth="1"/>
    <col min="776" max="776" width="26.5703125" style="619" customWidth="1"/>
    <col min="777" max="777" width="15" style="619" customWidth="1"/>
    <col min="778" max="778" width="23.140625" style="619" customWidth="1"/>
    <col min="779" max="779" width="15.42578125" style="619" customWidth="1"/>
    <col min="780" max="780" width="12.7109375" style="619" customWidth="1"/>
    <col min="781" max="781" width="16" style="619" customWidth="1"/>
    <col min="782" max="782" width="24.28515625" style="619" customWidth="1"/>
    <col min="783" max="784" width="25" style="619" customWidth="1"/>
    <col min="785" max="785" width="5" style="619" customWidth="1"/>
    <col min="786" max="1027" width="25" style="619"/>
    <col min="1028" max="1028" width="7.85546875" style="619" customWidth="1"/>
    <col min="1029" max="1029" width="8.7109375" style="619" customWidth="1"/>
    <col min="1030" max="1030" width="93.5703125" style="619" customWidth="1"/>
    <col min="1031" max="1031" width="6.85546875" style="619" customWidth="1"/>
    <col min="1032" max="1032" width="26.5703125" style="619" customWidth="1"/>
    <col min="1033" max="1033" width="15" style="619" customWidth="1"/>
    <col min="1034" max="1034" width="23.140625" style="619" customWidth="1"/>
    <col min="1035" max="1035" width="15.42578125" style="619" customWidth="1"/>
    <col min="1036" max="1036" width="12.7109375" style="619" customWidth="1"/>
    <col min="1037" max="1037" width="16" style="619" customWidth="1"/>
    <col min="1038" max="1038" width="24.28515625" style="619" customWidth="1"/>
    <col min="1039" max="1040" width="25" style="619" customWidth="1"/>
    <col min="1041" max="1041" width="5" style="619" customWidth="1"/>
    <col min="1042" max="1283" width="25" style="619"/>
    <col min="1284" max="1284" width="7.85546875" style="619" customWidth="1"/>
    <col min="1285" max="1285" width="8.7109375" style="619" customWidth="1"/>
    <col min="1286" max="1286" width="93.5703125" style="619" customWidth="1"/>
    <col min="1287" max="1287" width="6.85546875" style="619" customWidth="1"/>
    <col min="1288" max="1288" width="26.5703125" style="619" customWidth="1"/>
    <col min="1289" max="1289" width="15" style="619" customWidth="1"/>
    <col min="1290" max="1290" width="23.140625" style="619" customWidth="1"/>
    <col min="1291" max="1291" width="15.42578125" style="619" customWidth="1"/>
    <col min="1292" max="1292" width="12.7109375" style="619" customWidth="1"/>
    <col min="1293" max="1293" width="16" style="619" customWidth="1"/>
    <col min="1294" max="1294" width="24.28515625" style="619" customWidth="1"/>
    <col min="1295" max="1296" width="25" style="619" customWidth="1"/>
    <col min="1297" max="1297" width="5" style="619" customWidth="1"/>
    <col min="1298" max="1539" width="25" style="619"/>
    <col min="1540" max="1540" width="7.85546875" style="619" customWidth="1"/>
    <col min="1541" max="1541" width="8.7109375" style="619" customWidth="1"/>
    <col min="1542" max="1542" width="93.5703125" style="619" customWidth="1"/>
    <col min="1543" max="1543" width="6.85546875" style="619" customWidth="1"/>
    <col min="1544" max="1544" width="26.5703125" style="619" customWidth="1"/>
    <col min="1545" max="1545" width="15" style="619" customWidth="1"/>
    <col min="1546" max="1546" width="23.140625" style="619" customWidth="1"/>
    <col min="1547" max="1547" width="15.42578125" style="619" customWidth="1"/>
    <col min="1548" max="1548" width="12.7109375" style="619" customWidth="1"/>
    <col min="1549" max="1549" width="16" style="619" customWidth="1"/>
    <col min="1550" max="1550" width="24.28515625" style="619" customWidth="1"/>
    <col min="1551" max="1552" width="25" style="619" customWidth="1"/>
    <col min="1553" max="1553" width="5" style="619" customWidth="1"/>
    <col min="1554" max="1795" width="25" style="619"/>
    <col min="1796" max="1796" width="7.85546875" style="619" customWidth="1"/>
    <col min="1797" max="1797" width="8.7109375" style="619" customWidth="1"/>
    <col min="1798" max="1798" width="93.5703125" style="619" customWidth="1"/>
    <col min="1799" max="1799" width="6.85546875" style="619" customWidth="1"/>
    <col min="1800" max="1800" width="26.5703125" style="619" customWidth="1"/>
    <col min="1801" max="1801" width="15" style="619" customWidth="1"/>
    <col min="1802" max="1802" width="23.140625" style="619" customWidth="1"/>
    <col min="1803" max="1803" width="15.42578125" style="619" customWidth="1"/>
    <col min="1804" max="1804" width="12.7109375" style="619" customWidth="1"/>
    <col min="1805" max="1805" width="16" style="619" customWidth="1"/>
    <col min="1806" max="1806" width="24.28515625" style="619" customWidth="1"/>
    <col min="1807" max="1808" width="25" style="619" customWidth="1"/>
    <col min="1809" max="1809" width="5" style="619" customWidth="1"/>
    <col min="1810" max="2051" width="25" style="619"/>
    <col min="2052" max="2052" width="7.85546875" style="619" customWidth="1"/>
    <col min="2053" max="2053" width="8.7109375" style="619" customWidth="1"/>
    <col min="2054" max="2054" width="93.5703125" style="619" customWidth="1"/>
    <col min="2055" max="2055" width="6.85546875" style="619" customWidth="1"/>
    <col min="2056" max="2056" width="26.5703125" style="619" customWidth="1"/>
    <col min="2057" max="2057" width="15" style="619" customWidth="1"/>
    <col min="2058" max="2058" width="23.140625" style="619" customWidth="1"/>
    <col min="2059" max="2059" width="15.42578125" style="619" customWidth="1"/>
    <col min="2060" max="2060" width="12.7109375" style="619" customWidth="1"/>
    <col min="2061" max="2061" width="16" style="619" customWidth="1"/>
    <col min="2062" max="2062" width="24.28515625" style="619" customWidth="1"/>
    <col min="2063" max="2064" width="25" style="619" customWidth="1"/>
    <col min="2065" max="2065" width="5" style="619" customWidth="1"/>
    <col min="2066" max="2307" width="25" style="619"/>
    <col min="2308" max="2308" width="7.85546875" style="619" customWidth="1"/>
    <col min="2309" max="2309" width="8.7109375" style="619" customWidth="1"/>
    <col min="2310" max="2310" width="93.5703125" style="619" customWidth="1"/>
    <col min="2311" max="2311" width="6.85546875" style="619" customWidth="1"/>
    <col min="2312" max="2312" width="26.5703125" style="619" customWidth="1"/>
    <col min="2313" max="2313" width="15" style="619" customWidth="1"/>
    <col min="2314" max="2314" width="23.140625" style="619" customWidth="1"/>
    <col min="2315" max="2315" width="15.42578125" style="619" customWidth="1"/>
    <col min="2316" max="2316" width="12.7109375" style="619" customWidth="1"/>
    <col min="2317" max="2317" width="16" style="619" customWidth="1"/>
    <col min="2318" max="2318" width="24.28515625" style="619" customWidth="1"/>
    <col min="2319" max="2320" width="25" style="619" customWidth="1"/>
    <col min="2321" max="2321" width="5" style="619" customWidth="1"/>
    <col min="2322" max="2563" width="25" style="619"/>
    <col min="2564" max="2564" width="7.85546875" style="619" customWidth="1"/>
    <col min="2565" max="2565" width="8.7109375" style="619" customWidth="1"/>
    <col min="2566" max="2566" width="93.5703125" style="619" customWidth="1"/>
    <col min="2567" max="2567" width="6.85546875" style="619" customWidth="1"/>
    <col min="2568" max="2568" width="26.5703125" style="619" customWidth="1"/>
    <col min="2569" max="2569" width="15" style="619" customWidth="1"/>
    <col min="2570" max="2570" width="23.140625" style="619" customWidth="1"/>
    <col min="2571" max="2571" width="15.42578125" style="619" customWidth="1"/>
    <col min="2572" max="2572" width="12.7109375" style="619" customWidth="1"/>
    <col min="2573" max="2573" width="16" style="619" customWidth="1"/>
    <col min="2574" max="2574" width="24.28515625" style="619" customWidth="1"/>
    <col min="2575" max="2576" width="25" style="619" customWidth="1"/>
    <col min="2577" max="2577" width="5" style="619" customWidth="1"/>
    <col min="2578" max="2819" width="25" style="619"/>
    <col min="2820" max="2820" width="7.85546875" style="619" customWidth="1"/>
    <col min="2821" max="2821" width="8.7109375" style="619" customWidth="1"/>
    <col min="2822" max="2822" width="93.5703125" style="619" customWidth="1"/>
    <col min="2823" max="2823" width="6.85546875" style="619" customWidth="1"/>
    <col min="2824" max="2824" width="26.5703125" style="619" customWidth="1"/>
    <col min="2825" max="2825" width="15" style="619" customWidth="1"/>
    <col min="2826" max="2826" width="23.140625" style="619" customWidth="1"/>
    <col min="2827" max="2827" width="15.42578125" style="619" customWidth="1"/>
    <col min="2828" max="2828" width="12.7109375" style="619" customWidth="1"/>
    <col min="2829" max="2829" width="16" style="619" customWidth="1"/>
    <col min="2830" max="2830" width="24.28515625" style="619" customWidth="1"/>
    <col min="2831" max="2832" width="25" style="619" customWidth="1"/>
    <col min="2833" max="2833" width="5" style="619" customWidth="1"/>
    <col min="2834" max="3075" width="25" style="619"/>
    <col min="3076" max="3076" width="7.85546875" style="619" customWidth="1"/>
    <col min="3077" max="3077" width="8.7109375" style="619" customWidth="1"/>
    <col min="3078" max="3078" width="93.5703125" style="619" customWidth="1"/>
    <col min="3079" max="3079" width="6.85546875" style="619" customWidth="1"/>
    <col min="3080" max="3080" width="26.5703125" style="619" customWidth="1"/>
    <col min="3081" max="3081" width="15" style="619" customWidth="1"/>
    <col min="3082" max="3082" width="23.140625" style="619" customWidth="1"/>
    <col min="3083" max="3083" width="15.42578125" style="619" customWidth="1"/>
    <col min="3084" max="3084" width="12.7109375" style="619" customWidth="1"/>
    <col min="3085" max="3085" width="16" style="619" customWidth="1"/>
    <col min="3086" max="3086" width="24.28515625" style="619" customWidth="1"/>
    <col min="3087" max="3088" width="25" style="619" customWidth="1"/>
    <col min="3089" max="3089" width="5" style="619" customWidth="1"/>
    <col min="3090" max="3331" width="25" style="619"/>
    <col min="3332" max="3332" width="7.85546875" style="619" customWidth="1"/>
    <col min="3333" max="3333" width="8.7109375" style="619" customWidth="1"/>
    <col min="3334" max="3334" width="93.5703125" style="619" customWidth="1"/>
    <col min="3335" max="3335" width="6.85546875" style="619" customWidth="1"/>
    <col min="3336" max="3336" width="26.5703125" style="619" customWidth="1"/>
    <col min="3337" max="3337" width="15" style="619" customWidth="1"/>
    <col min="3338" max="3338" width="23.140625" style="619" customWidth="1"/>
    <col min="3339" max="3339" width="15.42578125" style="619" customWidth="1"/>
    <col min="3340" max="3340" width="12.7109375" style="619" customWidth="1"/>
    <col min="3341" max="3341" width="16" style="619" customWidth="1"/>
    <col min="3342" max="3342" width="24.28515625" style="619" customWidth="1"/>
    <col min="3343" max="3344" width="25" style="619" customWidth="1"/>
    <col min="3345" max="3345" width="5" style="619" customWidth="1"/>
    <col min="3346" max="3587" width="25" style="619"/>
    <col min="3588" max="3588" width="7.85546875" style="619" customWidth="1"/>
    <col min="3589" max="3589" width="8.7109375" style="619" customWidth="1"/>
    <col min="3590" max="3590" width="93.5703125" style="619" customWidth="1"/>
    <col min="3591" max="3591" width="6.85546875" style="619" customWidth="1"/>
    <col min="3592" max="3592" width="26.5703125" style="619" customWidth="1"/>
    <col min="3593" max="3593" width="15" style="619" customWidth="1"/>
    <col min="3594" max="3594" width="23.140625" style="619" customWidth="1"/>
    <col min="3595" max="3595" width="15.42578125" style="619" customWidth="1"/>
    <col min="3596" max="3596" width="12.7109375" style="619" customWidth="1"/>
    <col min="3597" max="3597" width="16" style="619" customWidth="1"/>
    <col min="3598" max="3598" width="24.28515625" style="619" customWidth="1"/>
    <col min="3599" max="3600" width="25" style="619" customWidth="1"/>
    <col min="3601" max="3601" width="5" style="619" customWidth="1"/>
    <col min="3602" max="3843" width="25" style="619"/>
    <col min="3844" max="3844" width="7.85546875" style="619" customWidth="1"/>
    <col min="3845" max="3845" width="8.7109375" style="619" customWidth="1"/>
    <col min="3846" max="3846" width="93.5703125" style="619" customWidth="1"/>
    <col min="3847" max="3847" width="6.85546875" style="619" customWidth="1"/>
    <col min="3848" max="3848" width="26.5703125" style="619" customWidth="1"/>
    <col min="3849" max="3849" width="15" style="619" customWidth="1"/>
    <col min="3850" max="3850" width="23.140625" style="619" customWidth="1"/>
    <col min="3851" max="3851" width="15.42578125" style="619" customWidth="1"/>
    <col min="3852" max="3852" width="12.7109375" style="619" customWidth="1"/>
    <col min="3853" max="3853" width="16" style="619" customWidth="1"/>
    <col min="3854" max="3854" width="24.28515625" style="619" customWidth="1"/>
    <col min="3855" max="3856" width="25" style="619" customWidth="1"/>
    <col min="3857" max="3857" width="5" style="619" customWidth="1"/>
    <col min="3858" max="4099" width="25" style="619"/>
    <col min="4100" max="4100" width="7.85546875" style="619" customWidth="1"/>
    <col min="4101" max="4101" width="8.7109375" style="619" customWidth="1"/>
    <col min="4102" max="4102" width="93.5703125" style="619" customWidth="1"/>
    <col min="4103" max="4103" width="6.85546875" style="619" customWidth="1"/>
    <col min="4104" max="4104" width="26.5703125" style="619" customWidth="1"/>
    <col min="4105" max="4105" width="15" style="619" customWidth="1"/>
    <col min="4106" max="4106" width="23.140625" style="619" customWidth="1"/>
    <col min="4107" max="4107" width="15.42578125" style="619" customWidth="1"/>
    <col min="4108" max="4108" width="12.7109375" style="619" customWidth="1"/>
    <col min="4109" max="4109" width="16" style="619" customWidth="1"/>
    <col min="4110" max="4110" width="24.28515625" style="619" customWidth="1"/>
    <col min="4111" max="4112" width="25" style="619" customWidth="1"/>
    <col min="4113" max="4113" width="5" style="619" customWidth="1"/>
    <col min="4114" max="4355" width="25" style="619"/>
    <col min="4356" max="4356" width="7.85546875" style="619" customWidth="1"/>
    <col min="4357" max="4357" width="8.7109375" style="619" customWidth="1"/>
    <col min="4358" max="4358" width="93.5703125" style="619" customWidth="1"/>
    <col min="4359" max="4359" width="6.85546875" style="619" customWidth="1"/>
    <col min="4360" max="4360" width="26.5703125" style="619" customWidth="1"/>
    <col min="4361" max="4361" width="15" style="619" customWidth="1"/>
    <col min="4362" max="4362" width="23.140625" style="619" customWidth="1"/>
    <col min="4363" max="4363" width="15.42578125" style="619" customWidth="1"/>
    <col min="4364" max="4364" width="12.7109375" style="619" customWidth="1"/>
    <col min="4365" max="4365" width="16" style="619" customWidth="1"/>
    <col min="4366" max="4366" width="24.28515625" style="619" customWidth="1"/>
    <col min="4367" max="4368" width="25" style="619" customWidth="1"/>
    <col min="4369" max="4369" width="5" style="619" customWidth="1"/>
    <col min="4370" max="4611" width="25" style="619"/>
    <col min="4612" max="4612" width="7.85546875" style="619" customWidth="1"/>
    <col min="4613" max="4613" width="8.7109375" style="619" customWidth="1"/>
    <col min="4614" max="4614" width="93.5703125" style="619" customWidth="1"/>
    <col min="4615" max="4615" width="6.85546875" style="619" customWidth="1"/>
    <col min="4616" max="4616" width="26.5703125" style="619" customWidth="1"/>
    <col min="4617" max="4617" width="15" style="619" customWidth="1"/>
    <col min="4618" max="4618" width="23.140625" style="619" customWidth="1"/>
    <col min="4619" max="4619" width="15.42578125" style="619" customWidth="1"/>
    <col min="4620" max="4620" width="12.7109375" style="619" customWidth="1"/>
    <col min="4621" max="4621" width="16" style="619" customWidth="1"/>
    <col min="4622" max="4622" width="24.28515625" style="619" customWidth="1"/>
    <col min="4623" max="4624" width="25" style="619" customWidth="1"/>
    <col min="4625" max="4625" width="5" style="619" customWidth="1"/>
    <col min="4626" max="4867" width="25" style="619"/>
    <col min="4868" max="4868" width="7.85546875" style="619" customWidth="1"/>
    <col min="4869" max="4869" width="8.7109375" style="619" customWidth="1"/>
    <col min="4870" max="4870" width="93.5703125" style="619" customWidth="1"/>
    <col min="4871" max="4871" width="6.85546875" style="619" customWidth="1"/>
    <col min="4872" max="4872" width="26.5703125" style="619" customWidth="1"/>
    <col min="4873" max="4873" width="15" style="619" customWidth="1"/>
    <col min="4874" max="4874" width="23.140625" style="619" customWidth="1"/>
    <col min="4875" max="4875" width="15.42578125" style="619" customWidth="1"/>
    <col min="4876" max="4876" width="12.7109375" style="619" customWidth="1"/>
    <col min="4877" max="4877" width="16" style="619" customWidth="1"/>
    <col min="4878" max="4878" width="24.28515625" style="619" customWidth="1"/>
    <col min="4879" max="4880" width="25" style="619" customWidth="1"/>
    <col min="4881" max="4881" width="5" style="619" customWidth="1"/>
    <col min="4882" max="5123" width="25" style="619"/>
    <col min="5124" max="5124" width="7.85546875" style="619" customWidth="1"/>
    <col min="5125" max="5125" width="8.7109375" style="619" customWidth="1"/>
    <col min="5126" max="5126" width="93.5703125" style="619" customWidth="1"/>
    <col min="5127" max="5127" width="6.85546875" style="619" customWidth="1"/>
    <col min="5128" max="5128" width="26.5703125" style="619" customWidth="1"/>
    <col min="5129" max="5129" width="15" style="619" customWidth="1"/>
    <col min="5130" max="5130" width="23.140625" style="619" customWidth="1"/>
    <col min="5131" max="5131" width="15.42578125" style="619" customWidth="1"/>
    <col min="5132" max="5132" width="12.7109375" style="619" customWidth="1"/>
    <col min="5133" max="5133" width="16" style="619" customWidth="1"/>
    <col min="5134" max="5134" width="24.28515625" style="619" customWidth="1"/>
    <col min="5135" max="5136" width="25" style="619" customWidth="1"/>
    <col min="5137" max="5137" width="5" style="619" customWidth="1"/>
    <col min="5138" max="5379" width="25" style="619"/>
    <col min="5380" max="5380" width="7.85546875" style="619" customWidth="1"/>
    <col min="5381" max="5381" width="8.7109375" style="619" customWidth="1"/>
    <col min="5382" max="5382" width="93.5703125" style="619" customWidth="1"/>
    <col min="5383" max="5383" width="6.85546875" style="619" customWidth="1"/>
    <col min="5384" max="5384" width="26.5703125" style="619" customWidth="1"/>
    <col min="5385" max="5385" width="15" style="619" customWidth="1"/>
    <col min="5386" max="5386" width="23.140625" style="619" customWidth="1"/>
    <col min="5387" max="5387" width="15.42578125" style="619" customWidth="1"/>
    <col min="5388" max="5388" width="12.7109375" style="619" customWidth="1"/>
    <col min="5389" max="5389" width="16" style="619" customWidth="1"/>
    <col min="5390" max="5390" width="24.28515625" style="619" customWidth="1"/>
    <col min="5391" max="5392" width="25" style="619" customWidth="1"/>
    <col min="5393" max="5393" width="5" style="619" customWidth="1"/>
    <col min="5394" max="5635" width="25" style="619"/>
    <col min="5636" max="5636" width="7.85546875" style="619" customWidth="1"/>
    <col min="5637" max="5637" width="8.7109375" style="619" customWidth="1"/>
    <col min="5638" max="5638" width="93.5703125" style="619" customWidth="1"/>
    <col min="5639" max="5639" width="6.85546875" style="619" customWidth="1"/>
    <col min="5640" max="5640" width="26.5703125" style="619" customWidth="1"/>
    <col min="5641" max="5641" width="15" style="619" customWidth="1"/>
    <col min="5642" max="5642" width="23.140625" style="619" customWidth="1"/>
    <col min="5643" max="5643" width="15.42578125" style="619" customWidth="1"/>
    <col min="5644" max="5644" width="12.7109375" style="619" customWidth="1"/>
    <col min="5645" max="5645" width="16" style="619" customWidth="1"/>
    <col min="5646" max="5646" width="24.28515625" style="619" customWidth="1"/>
    <col min="5647" max="5648" width="25" style="619" customWidth="1"/>
    <col min="5649" max="5649" width="5" style="619" customWidth="1"/>
    <col min="5650" max="5891" width="25" style="619"/>
    <col min="5892" max="5892" width="7.85546875" style="619" customWidth="1"/>
    <col min="5893" max="5893" width="8.7109375" style="619" customWidth="1"/>
    <col min="5894" max="5894" width="93.5703125" style="619" customWidth="1"/>
    <col min="5895" max="5895" width="6.85546875" style="619" customWidth="1"/>
    <col min="5896" max="5896" width="26.5703125" style="619" customWidth="1"/>
    <col min="5897" max="5897" width="15" style="619" customWidth="1"/>
    <col min="5898" max="5898" width="23.140625" style="619" customWidth="1"/>
    <col min="5899" max="5899" width="15.42578125" style="619" customWidth="1"/>
    <col min="5900" max="5900" width="12.7109375" style="619" customWidth="1"/>
    <col min="5901" max="5901" width="16" style="619" customWidth="1"/>
    <col min="5902" max="5902" width="24.28515625" style="619" customWidth="1"/>
    <col min="5903" max="5904" width="25" style="619" customWidth="1"/>
    <col min="5905" max="5905" width="5" style="619" customWidth="1"/>
    <col min="5906" max="6147" width="25" style="619"/>
    <col min="6148" max="6148" width="7.85546875" style="619" customWidth="1"/>
    <col min="6149" max="6149" width="8.7109375" style="619" customWidth="1"/>
    <col min="6150" max="6150" width="93.5703125" style="619" customWidth="1"/>
    <col min="6151" max="6151" width="6.85546875" style="619" customWidth="1"/>
    <col min="6152" max="6152" width="26.5703125" style="619" customWidth="1"/>
    <col min="6153" max="6153" width="15" style="619" customWidth="1"/>
    <col min="6154" max="6154" width="23.140625" style="619" customWidth="1"/>
    <col min="6155" max="6155" width="15.42578125" style="619" customWidth="1"/>
    <col min="6156" max="6156" width="12.7109375" style="619" customWidth="1"/>
    <col min="6157" max="6157" width="16" style="619" customWidth="1"/>
    <col min="6158" max="6158" width="24.28515625" style="619" customWidth="1"/>
    <col min="6159" max="6160" width="25" style="619" customWidth="1"/>
    <col min="6161" max="6161" width="5" style="619" customWidth="1"/>
    <col min="6162" max="6403" width="25" style="619"/>
    <col min="6404" max="6404" width="7.85546875" style="619" customWidth="1"/>
    <col min="6405" max="6405" width="8.7109375" style="619" customWidth="1"/>
    <col min="6406" max="6406" width="93.5703125" style="619" customWidth="1"/>
    <col min="6407" max="6407" width="6.85546875" style="619" customWidth="1"/>
    <col min="6408" max="6408" width="26.5703125" style="619" customWidth="1"/>
    <col min="6409" max="6409" width="15" style="619" customWidth="1"/>
    <col min="6410" max="6410" width="23.140625" style="619" customWidth="1"/>
    <col min="6411" max="6411" width="15.42578125" style="619" customWidth="1"/>
    <col min="6412" max="6412" width="12.7109375" style="619" customWidth="1"/>
    <col min="6413" max="6413" width="16" style="619" customWidth="1"/>
    <col min="6414" max="6414" width="24.28515625" style="619" customWidth="1"/>
    <col min="6415" max="6416" width="25" style="619" customWidth="1"/>
    <col min="6417" max="6417" width="5" style="619" customWidth="1"/>
    <col min="6418" max="6659" width="25" style="619"/>
    <col min="6660" max="6660" width="7.85546875" style="619" customWidth="1"/>
    <col min="6661" max="6661" width="8.7109375" style="619" customWidth="1"/>
    <col min="6662" max="6662" width="93.5703125" style="619" customWidth="1"/>
    <col min="6663" max="6663" width="6.85546875" style="619" customWidth="1"/>
    <col min="6664" max="6664" width="26.5703125" style="619" customWidth="1"/>
    <col min="6665" max="6665" width="15" style="619" customWidth="1"/>
    <col min="6666" max="6666" width="23.140625" style="619" customWidth="1"/>
    <col min="6667" max="6667" width="15.42578125" style="619" customWidth="1"/>
    <col min="6668" max="6668" width="12.7109375" style="619" customWidth="1"/>
    <col min="6669" max="6669" width="16" style="619" customWidth="1"/>
    <col min="6670" max="6670" width="24.28515625" style="619" customWidth="1"/>
    <col min="6671" max="6672" width="25" style="619" customWidth="1"/>
    <col min="6673" max="6673" width="5" style="619" customWidth="1"/>
    <col min="6674" max="6915" width="25" style="619"/>
    <col min="6916" max="6916" width="7.85546875" style="619" customWidth="1"/>
    <col min="6917" max="6917" width="8.7109375" style="619" customWidth="1"/>
    <col min="6918" max="6918" width="93.5703125" style="619" customWidth="1"/>
    <col min="6919" max="6919" width="6.85546875" style="619" customWidth="1"/>
    <col min="6920" max="6920" width="26.5703125" style="619" customWidth="1"/>
    <col min="6921" max="6921" width="15" style="619" customWidth="1"/>
    <col min="6922" max="6922" width="23.140625" style="619" customWidth="1"/>
    <col min="6923" max="6923" width="15.42578125" style="619" customWidth="1"/>
    <col min="6924" max="6924" width="12.7109375" style="619" customWidth="1"/>
    <col min="6925" max="6925" width="16" style="619" customWidth="1"/>
    <col min="6926" max="6926" width="24.28515625" style="619" customWidth="1"/>
    <col min="6927" max="6928" width="25" style="619" customWidth="1"/>
    <col min="6929" max="6929" width="5" style="619" customWidth="1"/>
    <col min="6930" max="7171" width="25" style="619"/>
    <col min="7172" max="7172" width="7.85546875" style="619" customWidth="1"/>
    <col min="7173" max="7173" width="8.7109375" style="619" customWidth="1"/>
    <col min="7174" max="7174" width="93.5703125" style="619" customWidth="1"/>
    <col min="7175" max="7175" width="6.85546875" style="619" customWidth="1"/>
    <col min="7176" max="7176" width="26.5703125" style="619" customWidth="1"/>
    <col min="7177" max="7177" width="15" style="619" customWidth="1"/>
    <col min="7178" max="7178" width="23.140625" style="619" customWidth="1"/>
    <col min="7179" max="7179" width="15.42578125" style="619" customWidth="1"/>
    <col min="7180" max="7180" width="12.7109375" style="619" customWidth="1"/>
    <col min="7181" max="7181" width="16" style="619" customWidth="1"/>
    <col min="7182" max="7182" width="24.28515625" style="619" customWidth="1"/>
    <col min="7183" max="7184" width="25" style="619" customWidth="1"/>
    <col min="7185" max="7185" width="5" style="619" customWidth="1"/>
    <col min="7186" max="7427" width="25" style="619"/>
    <col min="7428" max="7428" width="7.85546875" style="619" customWidth="1"/>
    <col min="7429" max="7429" width="8.7109375" style="619" customWidth="1"/>
    <col min="7430" max="7430" width="93.5703125" style="619" customWidth="1"/>
    <col min="7431" max="7431" width="6.85546875" style="619" customWidth="1"/>
    <col min="7432" max="7432" width="26.5703125" style="619" customWidth="1"/>
    <col min="7433" max="7433" width="15" style="619" customWidth="1"/>
    <col min="7434" max="7434" width="23.140625" style="619" customWidth="1"/>
    <col min="7435" max="7435" width="15.42578125" style="619" customWidth="1"/>
    <col min="7436" max="7436" width="12.7109375" style="619" customWidth="1"/>
    <col min="7437" max="7437" width="16" style="619" customWidth="1"/>
    <col min="7438" max="7438" width="24.28515625" style="619" customWidth="1"/>
    <col min="7439" max="7440" width="25" style="619" customWidth="1"/>
    <col min="7441" max="7441" width="5" style="619" customWidth="1"/>
    <col min="7442" max="7683" width="25" style="619"/>
    <col min="7684" max="7684" width="7.85546875" style="619" customWidth="1"/>
    <col min="7685" max="7685" width="8.7109375" style="619" customWidth="1"/>
    <col min="7686" max="7686" width="93.5703125" style="619" customWidth="1"/>
    <col min="7687" max="7687" width="6.85546875" style="619" customWidth="1"/>
    <col min="7688" max="7688" width="26.5703125" style="619" customWidth="1"/>
    <col min="7689" max="7689" width="15" style="619" customWidth="1"/>
    <col min="7690" max="7690" width="23.140625" style="619" customWidth="1"/>
    <col min="7691" max="7691" width="15.42578125" style="619" customWidth="1"/>
    <col min="7692" max="7692" width="12.7109375" style="619" customWidth="1"/>
    <col min="7693" max="7693" width="16" style="619" customWidth="1"/>
    <col min="7694" max="7694" width="24.28515625" style="619" customWidth="1"/>
    <col min="7695" max="7696" width="25" style="619" customWidth="1"/>
    <col min="7697" max="7697" width="5" style="619" customWidth="1"/>
    <col min="7698" max="7939" width="25" style="619"/>
    <col min="7940" max="7940" width="7.85546875" style="619" customWidth="1"/>
    <col min="7941" max="7941" width="8.7109375" style="619" customWidth="1"/>
    <col min="7942" max="7942" width="93.5703125" style="619" customWidth="1"/>
    <col min="7943" max="7943" width="6.85546875" style="619" customWidth="1"/>
    <col min="7944" max="7944" width="26.5703125" style="619" customWidth="1"/>
    <col min="7945" max="7945" width="15" style="619" customWidth="1"/>
    <col min="7946" max="7946" width="23.140625" style="619" customWidth="1"/>
    <col min="7947" max="7947" width="15.42578125" style="619" customWidth="1"/>
    <col min="7948" max="7948" width="12.7109375" style="619" customWidth="1"/>
    <col min="7949" max="7949" width="16" style="619" customWidth="1"/>
    <col min="7950" max="7950" width="24.28515625" style="619" customWidth="1"/>
    <col min="7951" max="7952" width="25" style="619" customWidth="1"/>
    <col min="7953" max="7953" width="5" style="619" customWidth="1"/>
    <col min="7954" max="8195" width="25" style="619"/>
    <col min="8196" max="8196" width="7.85546875" style="619" customWidth="1"/>
    <col min="8197" max="8197" width="8.7109375" style="619" customWidth="1"/>
    <col min="8198" max="8198" width="93.5703125" style="619" customWidth="1"/>
    <col min="8199" max="8199" width="6.85546875" style="619" customWidth="1"/>
    <col min="8200" max="8200" width="26.5703125" style="619" customWidth="1"/>
    <col min="8201" max="8201" width="15" style="619" customWidth="1"/>
    <col min="8202" max="8202" width="23.140625" style="619" customWidth="1"/>
    <col min="8203" max="8203" width="15.42578125" style="619" customWidth="1"/>
    <col min="8204" max="8204" width="12.7109375" style="619" customWidth="1"/>
    <col min="8205" max="8205" width="16" style="619" customWidth="1"/>
    <col min="8206" max="8206" width="24.28515625" style="619" customWidth="1"/>
    <col min="8207" max="8208" width="25" style="619" customWidth="1"/>
    <col min="8209" max="8209" width="5" style="619" customWidth="1"/>
    <col min="8210" max="8451" width="25" style="619"/>
    <col min="8452" max="8452" width="7.85546875" style="619" customWidth="1"/>
    <col min="8453" max="8453" width="8.7109375" style="619" customWidth="1"/>
    <col min="8454" max="8454" width="93.5703125" style="619" customWidth="1"/>
    <col min="8455" max="8455" width="6.85546875" style="619" customWidth="1"/>
    <col min="8456" max="8456" width="26.5703125" style="619" customWidth="1"/>
    <col min="8457" max="8457" width="15" style="619" customWidth="1"/>
    <col min="8458" max="8458" width="23.140625" style="619" customWidth="1"/>
    <col min="8459" max="8459" width="15.42578125" style="619" customWidth="1"/>
    <col min="8460" max="8460" width="12.7109375" style="619" customWidth="1"/>
    <col min="8461" max="8461" width="16" style="619" customWidth="1"/>
    <col min="8462" max="8462" width="24.28515625" style="619" customWidth="1"/>
    <col min="8463" max="8464" width="25" style="619" customWidth="1"/>
    <col min="8465" max="8465" width="5" style="619" customWidth="1"/>
    <col min="8466" max="8707" width="25" style="619"/>
    <col min="8708" max="8708" width="7.85546875" style="619" customWidth="1"/>
    <col min="8709" max="8709" width="8.7109375" style="619" customWidth="1"/>
    <col min="8710" max="8710" width="93.5703125" style="619" customWidth="1"/>
    <col min="8711" max="8711" width="6.85546875" style="619" customWidth="1"/>
    <col min="8712" max="8712" width="26.5703125" style="619" customWidth="1"/>
    <col min="8713" max="8713" width="15" style="619" customWidth="1"/>
    <col min="8714" max="8714" width="23.140625" style="619" customWidth="1"/>
    <col min="8715" max="8715" width="15.42578125" style="619" customWidth="1"/>
    <col min="8716" max="8716" width="12.7109375" style="619" customWidth="1"/>
    <col min="8717" max="8717" width="16" style="619" customWidth="1"/>
    <col min="8718" max="8718" width="24.28515625" style="619" customWidth="1"/>
    <col min="8719" max="8720" width="25" style="619" customWidth="1"/>
    <col min="8721" max="8721" width="5" style="619" customWidth="1"/>
    <col min="8722" max="8963" width="25" style="619"/>
    <col min="8964" max="8964" width="7.85546875" style="619" customWidth="1"/>
    <col min="8965" max="8965" width="8.7109375" style="619" customWidth="1"/>
    <col min="8966" max="8966" width="93.5703125" style="619" customWidth="1"/>
    <col min="8967" max="8967" width="6.85546875" style="619" customWidth="1"/>
    <col min="8968" max="8968" width="26.5703125" style="619" customWidth="1"/>
    <col min="8969" max="8969" width="15" style="619" customWidth="1"/>
    <col min="8970" max="8970" width="23.140625" style="619" customWidth="1"/>
    <col min="8971" max="8971" width="15.42578125" style="619" customWidth="1"/>
    <col min="8972" max="8972" width="12.7109375" style="619" customWidth="1"/>
    <col min="8973" max="8973" width="16" style="619" customWidth="1"/>
    <col min="8974" max="8974" width="24.28515625" style="619" customWidth="1"/>
    <col min="8975" max="8976" width="25" style="619" customWidth="1"/>
    <col min="8977" max="8977" width="5" style="619" customWidth="1"/>
    <col min="8978" max="9219" width="25" style="619"/>
    <col min="9220" max="9220" width="7.85546875" style="619" customWidth="1"/>
    <col min="9221" max="9221" width="8.7109375" style="619" customWidth="1"/>
    <col min="9222" max="9222" width="93.5703125" style="619" customWidth="1"/>
    <col min="9223" max="9223" width="6.85546875" style="619" customWidth="1"/>
    <col min="9224" max="9224" width="26.5703125" style="619" customWidth="1"/>
    <col min="9225" max="9225" width="15" style="619" customWidth="1"/>
    <col min="9226" max="9226" width="23.140625" style="619" customWidth="1"/>
    <col min="9227" max="9227" width="15.42578125" style="619" customWidth="1"/>
    <col min="9228" max="9228" width="12.7109375" style="619" customWidth="1"/>
    <col min="9229" max="9229" width="16" style="619" customWidth="1"/>
    <col min="9230" max="9230" width="24.28515625" style="619" customWidth="1"/>
    <col min="9231" max="9232" width="25" style="619" customWidth="1"/>
    <col min="9233" max="9233" width="5" style="619" customWidth="1"/>
    <col min="9234" max="9475" width="25" style="619"/>
    <col min="9476" max="9476" width="7.85546875" style="619" customWidth="1"/>
    <col min="9477" max="9477" width="8.7109375" style="619" customWidth="1"/>
    <col min="9478" max="9478" width="93.5703125" style="619" customWidth="1"/>
    <col min="9479" max="9479" width="6.85546875" style="619" customWidth="1"/>
    <col min="9480" max="9480" width="26.5703125" style="619" customWidth="1"/>
    <col min="9481" max="9481" width="15" style="619" customWidth="1"/>
    <col min="9482" max="9482" width="23.140625" style="619" customWidth="1"/>
    <col min="9483" max="9483" width="15.42578125" style="619" customWidth="1"/>
    <col min="9484" max="9484" width="12.7109375" style="619" customWidth="1"/>
    <col min="9485" max="9485" width="16" style="619" customWidth="1"/>
    <col min="9486" max="9486" width="24.28515625" style="619" customWidth="1"/>
    <col min="9487" max="9488" width="25" style="619" customWidth="1"/>
    <col min="9489" max="9489" width="5" style="619" customWidth="1"/>
    <col min="9490" max="9731" width="25" style="619"/>
    <col min="9732" max="9732" width="7.85546875" style="619" customWidth="1"/>
    <col min="9733" max="9733" width="8.7109375" style="619" customWidth="1"/>
    <col min="9734" max="9734" width="93.5703125" style="619" customWidth="1"/>
    <col min="9735" max="9735" width="6.85546875" style="619" customWidth="1"/>
    <col min="9736" max="9736" width="26.5703125" style="619" customWidth="1"/>
    <col min="9737" max="9737" width="15" style="619" customWidth="1"/>
    <col min="9738" max="9738" width="23.140625" style="619" customWidth="1"/>
    <col min="9739" max="9739" width="15.42578125" style="619" customWidth="1"/>
    <col min="9740" max="9740" width="12.7109375" style="619" customWidth="1"/>
    <col min="9741" max="9741" width="16" style="619" customWidth="1"/>
    <col min="9742" max="9742" width="24.28515625" style="619" customWidth="1"/>
    <col min="9743" max="9744" width="25" style="619" customWidth="1"/>
    <col min="9745" max="9745" width="5" style="619" customWidth="1"/>
    <col min="9746" max="9987" width="25" style="619"/>
    <col min="9988" max="9988" width="7.85546875" style="619" customWidth="1"/>
    <col min="9989" max="9989" width="8.7109375" style="619" customWidth="1"/>
    <col min="9990" max="9990" width="93.5703125" style="619" customWidth="1"/>
    <col min="9991" max="9991" width="6.85546875" style="619" customWidth="1"/>
    <col min="9992" max="9992" width="26.5703125" style="619" customWidth="1"/>
    <col min="9993" max="9993" width="15" style="619" customWidth="1"/>
    <col min="9994" max="9994" width="23.140625" style="619" customWidth="1"/>
    <col min="9995" max="9995" width="15.42578125" style="619" customWidth="1"/>
    <col min="9996" max="9996" width="12.7109375" style="619" customWidth="1"/>
    <col min="9997" max="9997" width="16" style="619" customWidth="1"/>
    <col min="9998" max="9998" width="24.28515625" style="619" customWidth="1"/>
    <col min="9999" max="10000" width="25" style="619" customWidth="1"/>
    <col min="10001" max="10001" width="5" style="619" customWidth="1"/>
    <col min="10002" max="10243" width="25" style="619"/>
    <col min="10244" max="10244" width="7.85546875" style="619" customWidth="1"/>
    <col min="10245" max="10245" width="8.7109375" style="619" customWidth="1"/>
    <col min="10246" max="10246" width="93.5703125" style="619" customWidth="1"/>
    <col min="10247" max="10247" width="6.85546875" style="619" customWidth="1"/>
    <col min="10248" max="10248" width="26.5703125" style="619" customWidth="1"/>
    <col min="10249" max="10249" width="15" style="619" customWidth="1"/>
    <col min="10250" max="10250" width="23.140625" style="619" customWidth="1"/>
    <col min="10251" max="10251" width="15.42578125" style="619" customWidth="1"/>
    <col min="10252" max="10252" width="12.7109375" style="619" customWidth="1"/>
    <col min="10253" max="10253" width="16" style="619" customWidth="1"/>
    <col min="10254" max="10254" width="24.28515625" style="619" customWidth="1"/>
    <col min="10255" max="10256" width="25" style="619" customWidth="1"/>
    <col min="10257" max="10257" width="5" style="619" customWidth="1"/>
    <col min="10258" max="10499" width="25" style="619"/>
    <col min="10500" max="10500" width="7.85546875" style="619" customWidth="1"/>
    <col min="10501" max="10501" width="8.7109375" style="619" customWidth="1"/>
    <col min="10502" max="10502" width="93.5703125" style="619" customWidth="1"/>
    <col min="10503" max="10503" width="6.85546875" style="619" customWidth="1"/>
    <col min="10504" max="10504" width="26.5703125" style="619" customWidth="1"/>
    <col min="10505" max="10505" width="15" style="619" customWidth="1"/>
    <col min="10506" max="10506" width="23.140625" style="619" customWidth="1"/>
    <col min="10507" max="10507" width="15.42578125" style="619" customWidth="1"/>
    <col min="10508" max="10508" width="12.7109375" style="619" customWidth="1"/>
    <col min="10509" max="10509" width="16" style="619" customWidth="1"/>
    <col min="10510" max="10510" width="24.28515625" style="619" customWidth="1"/>
    <col min="10511" max="10512" width="25" style="619" customWidth="1"/>
    <col min="10513" max="10513" width="5" style="619" customWidth="1"/>
    <col min="10514" max="10755" width="25" style="619"/>
    <col min="10756" max="10756" width="7.85546875" style="619" customWidth="1"/>
    <col min="10757" max="10757" width="8.7109375" style="619" customWidth="1"/>
    <col min="10758" max="10758" width="93.5703125" style="619" customWidth="1"/>
    <col min="10759" max="10759" width="6.85546875" style="619" customWidth="1"/>
    <col min="10760" max="10760" width="26.5703125" style="619" customWidth="1"/>
    <col min="10761" max="10761" width="15" style="619" customWidth="1"/>
    <col min="10762" max="10762" width="23.140625" style="619" customWidth="1"/>
    <col min="10763" max="10763" width="15.42578125" style="619" customWidth="1"/>
    <col min="10764" max="10764" width="12.7109375" style="619" customWidth="1"/>
    <col min="10765" max="10765" width="16" style="619" customWidth="1"/>
    <col min="10766" max="10766" width="24.28515625" style="619" customWidth="1"/>
    <col min="10767" max="10768" width="25" style="619" customWidth="1"/>
    <col min="10769" max="10769" width="5" style="619" customWidth="1"/>
    <col min="10770" max="11011" width="25" style="619"/>
    <col min="11012" max="11012" width="7.85546875" style="619" customWidth="1"/>
    <col min="11013" max="11013" width="8.7109375" style="619" customWidth="1"/>
    <col min="11014" max="11014" width="93.5703125" style="619" customWidth="1"/>
    <col min="11015" max="11015" width="6.85546875" style="619" customWidth="1"/>
    <col min="11016" max="11016" width="26.5703125" style="619" customWidth="1"/>
    <col min="11017" max="11017" width="15" style="619" customWidth="1"/>
    <col min="11018" max="11018" width="23.140625" style="619" customWidth="1"/>
    <col min="11019" max="11019" width="15.42578125" style="619" customWidth="1"/>
    <col min="11020" max="11020" width="12.7109375" style="619" customWidth="1"/>
    <col min="11021" max="11021" width="16" style="619" customWidth="1"/>
    <col min="11022" max="11022" width="24.28515625" style="619" customWidth="1"/>
    <col min="11023" max="11024" width="25" style="619" customWidth="1"/>
    <col min="11025" max="11025" width="5" style="619" customWidth="1"/>
    <col min="11026" max="11267" width="25" style="619"/>
    <col min="11268" max="11268" width="7.85546875" style="619" customWidth="1"/>
    <col min="11269" max="11269" width="8.7109375" style="619" customWidth="1"/>
    <col min="11270" max="11270" width="93.5703125" style="619" customWidth="1"/>
    <col min="11271" max="11271" width="6.85546875" style="619" customWidth="1"/>
    <col min="11272" max="11272" width="26.5703125" style="619" customWidth="1"/>
    <col min="11273" max="11273" width="15" style="619" customWidth="1"/>
    <col min="11274" max="11274" width="23.140625" style="619" customWidth="1"/>
    <col min="11275" max="11275" width="15.42578125" style="619" customWidth="1"/>
    <col min="11276" max="11276" width="12.7109375" style="619" customWidth="1"/>
    <col min="11277" max="11277" width="16" style="619" customWidth="1"/>
    <col min="11278" max="11278" width="24.28515625" style="619" customWidth="1"/>
    <col min="11279" max="11280" width="25" style="619" customWidth="1"/>
    <col min="11281" max="11281" width="5" style="619" customWidth="1"/>
    <col min="11282" max="11523" width="25" style="619"/>
    <col min="11524" max="11524" width="7.85546875" style="619" customWidth="1"/>
    <col min="11525" max="11525" width="8.7109375" style="619" customWidth="1"/>
    <col min="11526" max="11526" width="93.5703125" style="619" customWidth="1"/>
    <col min="11527" max="11527" width="6.85546875" style="619" customWidth="1"/>
    <col min="11528" max="11528" width="26.5703125" style="619" customWidth="1"/>
    <col min="11529" max="11529" width="15" style="619" customWidth="1"/>
    <col min="11530" max="11530" width="23.140625" style="619" customWidth="1"/>
    <col min="11531" max="11531" width="15.42578125" style="619" customWidth="1"/>
    <col min="11532" max="11532" width="12.7109375" style="619" customWidth="1"/>
    <col min="11533" max="11533" width="16" style="619" customWidth="1"/>
    <col min="11534" max="11534" width="24.28515625" style="619" customWidth="1"/>
    <col min="11535" max="11536" width="25" style="619" customWidth="1"/>
    <col min="11537" max="11537" width="5" style="619" customWidth="1"/>
    <col min="11538" max="11779" width="25" style="619"/>
    <col min="11780" max="11780" width="7.85546875" style="619" customWidth="1"/>
    <col min="11781" max="11781" width="8.7109375" style="619" customWidth="1"/>
    <col min="11782" max="11782" width="93.5703125" style="619" customWidth="1"/>
    <col min="11783" max="11783" width="6.85546875" style="619" customWidth="1"/>
    <col min="11784" max="11784" width="26.5703125" style="619" customWidth="1"/>
    <col min="11785" max="11785" width="15" style="619" customWidth="1"/>
    <col min="11786" max="11786" width="23.140625" style="619" customWidth="1"/>
    <col min="11787" max="11787" width="15.42578125" style="619" customWidth="1"/>
    <col min="11788" max="11788" width="12.7109375" style="619" customWidth="1"/>
    <col min="11789" max="11789" width="16" style="619" customWidth="1"/>
    <col min="11790" max="11790" width="24.28515625" style="619" customWidth="1"/>
    <col min="11791" max="11792" width="25" style="619" customWidth="1"/>
    <col min="11793" max="11793" width="5" style="619" customWidth="1"/>
    <col min="11794" max="12035" width="25" style="619"/>
    <col min="12036" max="12036" width="7.85546875" style="619" customWidth="1"/>
    <col min="12037" max="12037" width="8.7109375" style="619" customWidth="1"/>
    <col min="12038" max="12038" width="93.5703125" style="619" customWidth="1"/>
    <col min="12039" max="12039" width="6.85546875" style="619" customWidth="1"/>
    <col min="12040" max="12040" width="26.5703125" style="619" customWidth="1"/>
    <col min="12041" max="12041" width="15" style="619" customWidth="1"/>
    <col min="12042" max="12042" width="23.140625" style="619" customWidth="1"/>
    <col min="12043" max="12043" width="15.42578125" style="619" customWidth="1"/>
    <col min="12044" max="12044" width="12.7109375" style="619" customWidth="1"/>
    <col min="12045" max="12045" width="16" style="619" customWidth="1"/>
    <col min="12046" max="12046" width="24.28515625" style="619" customWidth="1"/>
    <col min="12047" max="12048" width="25" style="619" customWidth="1"/>
    <col min="12049" max="12049" width="5" style="619" customWidth="1"/>
    <col min="12050" max="12291" width="25" style="619"/>
    <col min="12292" max="12292" width="7.85546875" style="619" customWidth="1"/>
    <col min="12293" max="12293" width="8.7109375" style="619" customWidth="1"/>
    <col min="12294" max="12294" width="93.5703125" style="619" customWidth="1"/>
    <col min="12295" max="12295" width="6.85546875" style="619" customWidth="1"/>
    <col min="12296" max="12296" width="26.5703125" style="619" customWidth="1"/>
    <col min="12297" max="12297" width="15" style="619" customWidth="1"/>
    <col min="12298" max="12298" width="23.140625" style="619" customWidth="1"/>
    <col min="12299" max="12299" width="15.42578125" style="619" customWidth="1"/>
    <col min="12300" max="12300" width="12.7109375" style="619" customWidth="1"/>
    <col min="12301" max="12301" width="16" style="619" customWidth="1"/>
    <col min="12302" max="12302" width="24.28515625" style="619" customWidth="1"/>
    <col min="12303" max="12304" width="25" style="619" customWidth="1"/>
    <col min="12305" max="12305" width="5" style="619" customWidth="1"/>
    <col min="12306" max="12547" width="25" style="619"/>
    <col min="12548" max="12548" width="7.85546875" style="619" customWidth="1"/>
    <col min="12549" max="12549" width="8.7109375" style="619" customWidth="1"/>
    <col min="12550" max="12550" width="93.5703125" style="619" customWidth="1"/>
    <col min="12551" max="12551" width="6.85546875" style="619" customWidth="1"/>
    <col min="12552" max="12552" width="26.5703125" style="619" customWidth="1"/>
    <col min="12553" max="12553" width="15" style="619" customWidth="1"/>
    <col min="12554" max="12554" width="23.140625" style="619" customWidth="1"/>
    <col min="12555" max="12555" width="15.42578125" style="619" customWidth="1"/>
    <col min="12556" max="12556" width="12.7109375" style="619" customWidth="1"/>
    <col min="12557" max="12557" width="16" style="619" customWidth="1"/>
    <col min="12558" max="12558" width="24.28515625" style="619" customWidth="1"/>
    <col min="12559" max="12560" width="25" style="619" customWidth="1"/>
    <col min="12561" max="12561" width="5" style="619" customWidth="1"/>
    <col min="12562" max="12803" width="25" style="619"/>
    <col min="12804" max="12804" width="7.85546875" style="619" customWidth="1"/>
    <col min="12805" max="12805" width="8.7109375" style="619" customWidth="1"/>
    <col min="12806" max="12806" width="93.5703125" style="619" customWidth="1"/>
    <col min="12807" max="12807" width="6.85546875" style="619" customWidth="1"/>
    <col min="12808" max="12808" width="26.5703125" style="619" customWidth="1"/>
    <col min="12809" max="12809" width="15" style="619" customWidth="1"/>
    <col min="12810" max="12810" width="23.140625" style="619" customWidth="1"/>
    <col min="12811" max="12811" width="15.42578125" style="619" customWidth="1"/>
    <col min="12812" max="12812" width="12.7109375" style="619" customWidth="1"/>
    <col min="12813" max="12813" width="16" style="619" customWidth="1"/>
    <col min="12814" max="12814" width="24.28515625" style="619" customWidth="1"/>
    <col min="12815" max="12816" width="25" style="619" customWidth="1"/>
    <col min="12817" max="12817" width="5" style="619" customWidth="1"/>
    <col min="12818" max="13059" width="25" style="619"/>
    <col min="13060" max="13060" width="7.85546875" style="619" customWidth="1"/>
    <col min="13061" max="13061" width="8.7109375" style="619" customWidth="1"/>
    <col min="13062" max="13062" width="93.5703125" style="619" customWidth="1"/>
    <col min="13063" max="13063" width="6.85546875" style="619" customWidth="1"/>
    <col min="13064" max="13064" width="26.5703125" style="619" customWidth="1"/>
    <col min="13065" max="13065" width="15" style="619" customWidth="1"/>
    <col min="13066" max="13066" width="23.140625" style="619" customWidth="1"/>
    <col min="13067" max="13067" width="15.42578125" style="619" customWidth="1"/>
    <col min="13068" max="13068" width="12.7109375" style="619" customWidth="1"/>
    <col min="13069" max="13069" width="16" style="619" customWidth="1"/>
    <col min="13070" max="13070" width="24.28515625" style="619" customWidth="1"/>
    <col min="13071" max="13072" width="25" style="619" customWidth="1"/>
    <col min="13073" max="13073" width="5" style="619" customWidth="1"/>
    <col min="13074" max="13315" width="25" style="619"/>
    <col min="13316" max="13316" width="7.85546875" style="619" customWidth="1"/>
    <col min="13317" max="13317" width="8.7109375" style="619" customWidth="1"/>
    <col min="13318" max="13318" width="93.5703125" style="619" customWidth="1"/>
    <col min="13319" max="13319" width="6.85546875" style="619" customWidth="1"/>
    <col min="13320" max="13320" width="26.5703125" style="619" customWidth="1"/>
    <col min="13321" max="13321" width="15" style="619" customWidth="1"/>
    <col min="13322" max="13322" width="23.140625" style="619" customWidth="1"/>
    <col min="13323" max="13323" width="15.42578125" style="619" customWidth="1"/>
    <col min="13324" max="13324" width="12.7109375" style="619" customWidth="1"/>
    <col min="13325" max="13325" width="16" style="619" customWidth="1"/>
    <col min="13326" max="13326" width="24.28515625" style="619" customWidth="1"/>
    <col min="13327" max="13328" width="25" style="619" customWidth="1"/>
    <col min="13329" max="13329" width="5" style="619" customWidth="1"/>
    <col min="13330" max="13571" width="25" style="619"/>
    <col min="13572" max="13572" width="7.85546875" style="619" customWidth="1"/>
    <col min="13573" max="13573" width="8.7109375" style="619" customWidth="1"/>
    <col min="13574" max="13574" width="93.5703125" style="619" customWidth="1"/>
    <col min="13575" max="13575" width="6.85546875" style="619" customWidth="1"/>
    <col min="13576" max="13576" width="26.5703125" style="619" customWidth="1"/>
    <col min="13577" max="13577" width="15" style="619" customWidth="1"/>
    <col min="13578" max="13578" width="23.140625" style="619" customWidth="1"/>
    <col min="13579" max="13579" width="15.42578125" style="619" customWidth="1"/>
    <col min="13580" max="13580" width="12.7109375" style="619" customWidth="1"/>
    <col min="13581" max="13581" width="16" style="619" customWidth="1"/>
    <col min="13582" max="13582" width="24.28515625" style="619" customWidth="1"/>
    <col min="13583" max="13584" width="25" style="619" customWidth="1"/>
    <col min="13585" max="13585" width="5" style="619" customWidth="1"/>
    <col min="13586" max="13827" width="25" style="619"/>
    <col min="13828" max="13828" width="7.85546875" style="619" customWidth="1"/>
    <col min="13829" max="13829" width="8.7109375" style="619" customWidth="1"/>
    <col min="13830" max="13830" width="93.5703125" style="619" customWidth="1"/>
    <col min="13831" max="13831" width="6.85546875" style="619" customWidth="1"/>
    <col min="13832" max="13832" width="26.5703125" style="619" customWidth="1"/>
    <col min="13833" max="13833" width="15" style="619" customWidth="1"/>
    <col min="13834" max="13834" width="23.140625" style="619" customWidth="1"/>
    <col min="13835" max="13835" width="15.42578125" style="619" customWidth="1"/>
    <col min="13836" max="13836" width="12.7109375" style="619" customWidth="1"/>
    <col min="13837" max="13837" width="16" style="619" customWidth="1"/>
    <col min="13838" max="13838" width="24.28515625" style="619" customWidth="1"/>
    <col min="13839" max="13840" width="25" style="619" customWidth="1"/>
    <col min="13841" max="13841" width="5" style="619" customWidth="1"/>
    <col min="13842" max="14083" width="25" style="619"/>
    <col min="14084" max="14084" width="7.85546875" style="619" customWidth="1"/>
    <col min="14085" max="14085" width="8.7109375" style="619" customWidth="1"/>
    <col min="14086" max="14086" width="93.5703125" style="619" customWidth="1"/>
    <col min="14087" max="14087" width="6.85546875" style="619" customWidth="1"/>
    <col min="14088" max="14088" width="26.5703125" style="619" customWidth="1"/>
    <col min="14089" max="14089" width="15" style="619" customWidth="1"/>
    <col min="14090" max="14090" width="23.140625" style="619" customWidth="1"/>
    <col min="14091" max="14091" width="15.42578125" style="619" customWidth="1"/>
    <col min="14092" max="14092" width="12.7109375" style="619" customWidth="1"/>
    <col min="14093" max="14093" width="16" style="619" customWidth="1"/>
    <col min="14094" max="14094" width="24.28515625" style="619" customWidth="1"/>
    <col min="14095" max="14096" width="25" style="619" customWidth="1"/>
    <col min="14097" max="14097" width="5" style="619" customWidth="1"/>
    <col min="14098" max="14339" width="25" style="619"/>
    <col min="14340" max="14340" width="7.85546875" style="619" customWidth="1"/>
    <col min="14341" max="14341" width="8.7109375" style="619" customWidth="1"/>
    <col min="14342" max="14342" width="93.5703125" style="619" customWidth="1"/>
    <col min="14343" max="14343" width="6.85546875" style="619" customWidth="1"/>
    <col min="14344" max="14344" width="26.5703125" style="619" customWidth="1"/>
    <col min="14345" max="14345" width="15" style="619" customWidth="1"/>
    <col min="14346" max="14346" width="23.140625" style="619" customWidth="1"/>
    <col min="14347" max="14347" width="15.42578125" style="619" customWidth="1"/>
    <col min="14348" max="14348" width="12.7109375" style="619" customWidth="1"/>
    <col min="14349" max="14349" width="16" style="619" customWidth="1"/>
    <col min="14350" max="14350" width="24.28515625" style="619" customWidth="1"/>
    <col min="14351" max="14352" width="25" style="619" customWidth="1"/>
    <col min="14353" max="14353" width="5" style="619" customWidth="1"/>
    <col min="14354" max="14595" width="25" style="619"/>
    <col min="14596" max="14596" width="7.85546875" style="619" customWidth="1"/>
    <col min="14597" max="14597" width="8.7109375" style="619" customWidth="1"/>
    <col min="14598" max="14598" width="93.5703125" style="619" customWidth="1"/>
    <col min="14599" max="14599" width="6.85546875" style="619" customWidth="1"/>
    <col min="14600" max="14600" width="26.5703125" style="619" customWidth="1"/>
    <col min="14601" max="14601" width="15" style="619" customWidth="1"/>
    <col min="14602" max="14602" width="23.140625" style="619" customWidth="1"/>
    <col min="14603" max="14603" width="15.42578125" style="619" customWidth="1"/>
    <col min="14604" max="14604" width="12.7109375" style="619" customWidth="1"/>
    <col min="14605" max="14605" width="16" style="619" customWidth="1"/>
    <col min="14606" max="14606" width="24.28515625" style="619" customWidth="1"/>
    <col min="14607" max="14608" width="25" style="619" customWidth="1"/>
    <col min="14609" max="14609" width="5" style="619" customWidth="1"/>
    <col min="14610" max="14851" width="25" style="619"/>
    <col min="14852" max="14852" width="7.85546875" style="619" customWidth="1"/>
    <col min="14853" max="14853" width="8.7109375" style="619" customWidth="1"/>
    <col min="14854" max="14854" width="93.5703125" style="619" customWidth="1"/>
    <col min="14855" max="14855" width="6.85546875" style="619" customWidth="1"/>
    <col min="14856" max="14856" width="26.5703125" style="619" customWidth="1"/>
    <col min="14857" max="14857" width="15" style="619" customWidth="1"/>
    <col min="14858" max="14858" width="23.140625" style="619" customWidth="1"/>
    <col min="14859" max="14859" width="15.42578125" style="619" customWidth="1"/>
    <col min="14860" max="14860" width="12.7109375" style="619" customWidth="1"/>
    <col min="14861" max="14861" width="16" style="619" customWidth="1"/>
    <col min="14862" max="14862" width="24.28515625" style="619" customWidth="1"/>
    <col min="14863" max="14864" width="25" style="619" customWidth="1"/>
    <col min="14865" max="14865" width="5" style="619" customWidth="1"/>
    <col min="14866" max="15107" width="25" style="619"/>
    <col min="15108" max="15108" width="7.85546875" style="619" customWidth="1"/>
    <col min="15109" max="15109" width="8.7109375" style="619" customWidth="1"/>
    <col min="15110" max="15110" width="93.5703125" style="619" customWidth="1"/>
    <col min="15111" max="15111" width="6.85546875" style="619" customWidth="1"/>
    <col min="15112" max="15112" width="26.5703125" style="619" customWidth="1"/>
    <col min="15113" max="15113" width="15" style="619" customWidth="1"/>
    <col min="15114" max="15114" width="23.140625" style="619" customWidth="1"/>
    <col min="15115" max="15115" width="15.42578125" style="619" customWidth="1"/>
    <col min="15116" max="15116" width="12.7109375" style="619" customWidth="1"/>
    <col min="15117" max="15117" width="16" style="619" customWidth="1"/>
    <col min="15118" max="15118" width="24.28515625" style="619" customWidth="1"/>
    <col min="15119" max="15120" width="25" style="619" customWidth="1"/>
    <col min="15121" max="15121" width="5" style="619" customWidth="1"/>
    <col min="15122" max="15363" width="25" style="619"/>
    <col min="15364" max="15364" width="7.85546875" style="619" customWidth="1"/>
    <col min="15365" max="15365" width="8.7109375" style="619" customWidth="1"/>
    <col min="15366" max="15366" width="93.5703125" style="619" customWidth="1"/>
    <col min="15367" max="15367" width="6.85546875" style="619" customWidth="1"/>
    <col min="15368" max="15368" width="26.5703125" style="619" customWidth="1"/>
    <col min="15369" max="15369" width="15" style="619" customWidth="1"/>
    <col min="15370" max="15370" width="23.140625" style="619" customWidth="1"/>
    <col min="15371" max="15371" width="15.42578125" style="619" customWidth="1"/>
    <col min="15372" max="15372" width="12.7109375" style="619" customWidth="1"/>
    <col min="15373" max="15373" width="16" style="619" customWidth="1"/>
    <col min="15374" max="15374" width="24.28515625" style="619" customWidth="1"/>
    <col min="15375" max="15376" width="25" style="619" customWidth="1"/>
    <col min="15377" max="15377" width="5" style="619" customWidth="1"/>
    <col min="15378" max="15619" width="25" style="619"/>
    <col min="15620" max="15620" width="7.85546875" style="619" customWidth="1"/>
    <col min="15621" max="15621" width="8.7109375" style="619" customWidth="1"/>
    <col min="15622" max="15622" width="93.5703125" style="619" customWidth="1"/>
    <col min="15623" max="15623" width="6.85546875" style="619" customWidth="1"/>
    <col min="15624" max="15624" width="26.5703125" style="619" customWidth="1"/>
    <col min="15625" max="15625" width="15" style="619" customWidth="1"/>
    <col min="15626" max="15626" width="23.140625" style="619" customWidth="1"/>
    <col min="15627" max="15627" width="15.42578125" style="619" customWidth="1"/>
    <col min="15628" max="15628" width="12.7109375" style="619" customWidth="1"/>
    <col min="15629" max="15629" width="16" style="619" customWidth="1"/>
    <col min="15630" max="15630" width="24.28515625" style="619" customWidth="1"/>
    <col min="15631" max="15632" width="25" style="619" customWidth="1"/>
    <col min="15633" max="15633" width="5" style="619" customWidth="1"/>
    <col min="15634" max="15875" width="25" style="619"/>
    <col min="15876" max="15876" width="7.85546875" style="619" customWidth="1"/>
    <col min="15877" max="15877" width="8.7109375" style="619" customWidth="1"/>
    <col min="15878" max="15878" width="93.5703125" style="619" customWidth="1"/>
    <col min="15879" max="15879" width="6.85546875" style="619" customWidth="1"/>
    <col min="15880" max="15880" width="26.5703125" style="619" customWidth="1"/>
    <col min="15881" max="15881" width="15" style="619" customWidth="1"/>
    <col min="15882" max="15882" width="23.140625" style="619" customWidth="1"/>
    <col min="15883" max="15883" width="15.42578125" style="619" customWidth="1"/>
    <col min="15884" max="15884" width="12.7109375" style="619" customWidth="1"/>
    <col min="15885" max="15885" width="16" style="619" customWidth="1"/>
    <col min="15886" max="15886" width="24.28515625" style="619" customWidth="1"/>
    <col min="15887" max="15888" width="25" style="619" customWidth="1"/>
    <col min="15889" max="15889" width="5" style="619" customWidth="1"/>
    <col min="15890" max="16131" width="25" style="619"/>
    <col min="16132" max="16132" width="7.85546875" style="619" customWidth="1"/>
    <col min="16133" max="16133" width="8.7109375" style="619" customWidth="1"/>
    <col min="16134" max="16134" width="93.5703125" style="619" customWidth="1"/>
    <col min="16135" max="16135" width="6.85546875" style="619" customWidth="1"/>
    <col min="16136" max="16136" width="26.5703125" style="619" customWidth="1"/>
    <col min="16137" max="16137" width="15" style="619" customWidth="1"/>
    <col min="16138" max="16138" width="23.140625" style="619" customWidth="1"/>
    <col min="16139" max="16139" width="15.42578125" style="619" customWidth="1"/>
    <col min="16140" max="16140" width="12.7109375" style="619" customWidth="1"/>
    <col min="16141" max="16141" width="16" style="619" customWidth="1"/>
    <col min="16142" max="16142" width="24.28515625" style="619" customWidth="1"/>
    <col min="16143" max="16144" width="25" style="619" customWidth="1"/>
    <col min="16145" max="16145" width="5" style="619" customWidth="1"/>
    <col min="16146" max="16384" width="25" style="619"/>
  </cols>
  <sheetData>
    <row r="2" spans="1:234" x14ac:dyDescent="0.25">
      <c r="C2" s="945" t="s">
        <v>810</v>
      </c>
      <c r="E2" s="945"/>
    </row>
    <row r="3" spans="1:234" x14ac:dyDescent="0.25">
      <c r="C3" s="945" t="s">
        <v>937</v>
      </c>
      <c r="D3" s="622"/>
      <c r="E3" s="622"/>
      <c r="F3" s="622"/>
      <c r="G3" s="949"/>
      <c r="H3" s="622"/>
      <c r="I3" s="950"/>
      <c r="J3" s="951"/>
    </row>
    <row r="4" spans="1:234" ht="15.75" thickBot="1" x14ac:dyDescent="0.3">
      <c r="C4" s="945" t="s">
        <v>938</v>
      </c>
      <c r="D4" s="625"/>
      <c r="E4" s="625"/>
      <c r="F4" s="625"/>
      <c r="G4" s="587"/>
      <c r="H4" s="625"/>
      <c r="I4" s="952"/>
      <c r="J4" s="953"/>
      <c r="N4" s="946"/>
    </row>
    <row r="5" spans="1:234" x14ac:dyDescent="0.25">
      <c r="B5" s="2172" t="s">
        <v>1269</v>
      </c>
      <c r="C5" s="2173"/>
      <c r="D5" s="2173"/>
      <c r="E5" s="2173"/>
      <c r="F5" s="2173"/>
      <c r="G5" s="2173"/>
      <c r="H5" s="2173"/>
      <c r="I5" s="2174" t="s">
        <v>812</v>
      </c>
      <c r="J5" s="2174"/>
      <c r="K5" s="2174"/>
      <c r="L5" s="2174"/>
      <c r="M5" s="2174"/>
      <c r="N5" s="2174"/>
      <c r="O5" s="2174"/>
      <c r="P5" s="2175"/>
      <c r="Q5" s="954"/>
      <c r="R5" s="954"/>
    </row>
    <row r="6" spans="1:234" x14ac:dyDescent="0.25">
      <c r="B6" s="1941"/>
      <c r="C6" s="1942"/>
      <c r="D6" s="1942"/>
      <c r="E6" s="1942"/>
      <c r="F6" s="1942"/>
      <c r="G6" s="1942"/>
      <c r="H6" s="1942"/>
      <c r="I6" s="955" t="s">
        <v>940</v>
      </c>
      <c r="J6" s="956"/>
      <c r="K6" s="2176" t="s">
        <v>1270</v>
      </c>
      <c r="L6" s="2177"/>
      <c r="M6" s="2177"/>
      <c r="N6" s="2177"/>
      <c r="O6" s="2177"/>
      <c r="P6" s="2178"/>
      <c r="Q6" s="957"/>
      <c r="R6" s="957"/>
    </row>
    <row r="7" spans="1:234" x14ac:dyDescent="0.25">
      <c r="B7" s="429"/>
      <c r="C7" s="430"/>
      <c r="D7" s="2182" t="s">
        <v>936</v>
      </c>
      <c r="E7" s="2182"/>
      <c r="F7" s="2182"/>
      <c r="G7" s="2182"/>
      <c r="H7" s="2182"/>
      <c r="I7" s="283"/>
      <c r="J7" s="958"/>
      <c r="K7" s="2179"/>
      <c r="L7" s="2180"/>
      <c r="M7" s="2180"/>
      <c r="N7" s="2180"/>
      <c r="O7" s="2180"/>
      <c r="P7" s="2181"/>
      <c r="Q7" s="957"/>
      <c r="R7" s="957"/>
    </row>
    <row r="8" spans="1:234" x14ac:dyDescent="0.25">
      <c r="B8" s="2183" t="s">
        <v>814</v>
      </c>
      <c r="C8" s="2184"/>
      <c r="D8" s="2182"/>
      <c r="E8" s="2182"/>
      <c r="F8" s="2182"/>
      <c r="G8" s="2182"/>
      <c r="H8" s="2182"/>
      <c r="I8" s="959" t="s">
        <v>943</v>
      </c>
      <c r="J8" s="960"/>
      <c r="K8" s="1943">
        <v>385625344</v>
      </c>
      <c r="L8" s="1943"/>
      <c r="M8" s="430"/>
      <c r="N8" s="433"/>
      <c r="O8" s="961"/>
      <c r="P8" s="435"/>
      <c r="Q8" s="961"/>
      <c r="R8" s="435"/>
    </row>
    <row r="9" spans="1:234" x14ac:dyDescent="0.25">
      <c r="B9" s="429"/>
      <c r="C9" s="430"/>
      <c r="D9" s="2182"/>
      <c r="E9" s="2182"/>
      <c r="F9" s="2182"/>
      <c r="G9" s="2182"/>
      <c r="H9" s="2182"/>
      <c r="I9" s="962" t="s">
        <v>1271</v>
      </c>
      <c r="J9" s="963"/>
      <c r="K9" s="2185"/>
      <c r="L9" s="2185"/>
      <c r="M9" s="964" t="s">
        <v>817</v>
      </c>
      <c r="N9" s="433"/>
      <c r="O9" s="961"/>
      <c r="P9" s="435"/>
      <c r="Q9" s="961"/>
      <c r="R9" s="435"/>
    </row>
    <row r="10" spans="1:234" x14ac:dyDescent="0.25">
      <c r="B10" s="2186" t="s">
        <v>1272</v>
      </c>
      <c r="C10" s="2187"/>
      <c r="D10" s="2182"/>
      <c r="E10" s="2182"/>
      <c r="F10" s="2182"/>
      <c r="G10" s="2182"/>
      <c r="H10" s="2182"/>
      <c r="I10" s="962" t="s">
        <v>819</v>
      </c>
      <c r="J10" s="963"/>
      <c r="K10" s="2185"/>
      <c r="L10" s="2185"/>
      <c r="M10" s="964" t="s">
        <v>946</v>
      </c>
      <c r="N10" s="433"/>
      <c r="O10" s="961"/>
      <c r="P10" s="435"/>
      <c r="Q10" s="961"/>
      <c r="R10" s="435"/>
    </row>
    <row r="11" spans="1:234" ht="15.75" x14ac:dyDescent="0.25">
      <c r="B11" s="2188"/>
      <c r="C11" s="2189"/>
      <c r="D11" s="2190" t="s">
        <v>1273</v>
      </c>
      <c r="E11" s="2190"/>
      <c r="F11" s="965">
        <v>44838</v>
      </c>
      <c r="G11" s="966" t="s">
        <v>1274</v>
      </c>
      <c r="H11" s="965">
        <v>44898</v>
      </c>
      <c r="I11" s="962" t="s">
        <v>949</v>
      </c>
      <c r="J11" s="963"/>
      <c r="K11" s="2184"/>
      <c r="L11" s="2184"/>
      <c r="M11" s="964" t="s">
        <v>822</v>
      </c>
      <c r="N11" s="433"/>
      <c r="O11" s="961"/>
      <c r="P11" s="435"/>
      <c r="Q11" s="961"/>
      <c r="R11" s="435"/>
    </row>
    <row r="12" spans="1:234" s="972" customFormat="1" ht="21" thickBot="1" x14ac:dyDescent="0.3">
      <c r="A12" s="627"/>
      <c r="B12" s="967"/>
      <c r="C12" s="968"/>
      <c r="D12" s="969" t="s">
        <v>823</v>
      </c>
      <c r="E12" s="970"/>
      <c r="F12" s="970"/>
      <c r="G12" s="971"/>
      <c r="H12" s="2191" t="s">
        <v>824</v>
      </c>
      <c r="I12" s="2192"/>
      <c r="J12" s="2193"/>
      <c r="K12" s="2194" t="s">
        <v>1206</v>
      </c>
      <c r="L12" s="2194"/>
      <c r="M12" s="2191" t="s">
        <v>826</v>
      </c>
      <c r="N12" s="2193"/>
      <c r="O12" s="2194" t="s">
        <v>827</v>
      </c>
      <c r="P12" s="2197"/>
      <c r="Q12" s="2194" t="s">
        <v>1275</v>
      </c>
      <c r="R12" s="2197"/>
    </row>
    <row r="13" spans="1:234" s="988" customFormat="1" x14ac:dyDescent="0.25">
      <c r="A13" s="973"/>
      <c r="B13" s="974" t="s">
        <v>4</v>
      </c>
      <c r="C13" s="975" t="s">
        <v>829</v>
      </c>
      <c r="D13" s="976" t="s">
        <v>6</v>
      </c>
      <c r="E13" s="977" t="s">
        <v>830</v>
      </c>
      <c r="F13" s="976" t="s">
        <v>831</v>
      </c>
      <c r="G13" s="978" t="s">
        <v>832</v>
      </c>
      <c r="H13" s="2198" t="s">
        <v>833</v>
      </c>
      <c r="I13" s="2199"/>
      <c r="J13" s="979" t="s">
        <v>834</v>
      </c>
      <c r="K13" s="980" t="s">
        <v>830</v>
      </c>
      <c r="L13" s="979" t="s">
        <v>832</v>
      </c>
      <c r="M13" s="981" t="s">
        <v>837</v>
      </c>
      <c r="N13" s="982" t="s">
        <v>836</v>
      </c>
      <c r="O13" s="983" t="s">
        <v>837</v>
      </c>
      <c r="P13" s="984" t="s">
        <v>836</v>
      </c>
      <c r="Q13" s="985" t="s">
        <v>837</v>
      </c>
      <c r="R13" s="986" t="s">
        <v>836</v>
      </c>
      <c r="S13" s="987"/>
      <c r="T13" s="987"/>
      <c r="U13" s="987"/>
      <c r="V13" s="987"/>
      <c r="W13" s="987"/>
      <c r="X13" s="987"/>
      <c r="Y13" s="987"/>
      <c r="Z13" s="987"/>
      <c r="AA13" s="987"/>
      <c r="AB13" s="987"/>
      <c r="AC13" s="987"/>
      <c r="AD13" s="987"/>
      <c r="AE13" s="987"/>
      <c r="AF13" s="987"/>
      <c r="AG13" s="987"/>
      <c r="AH13" s="987"/>
      <c r="AI13" s="987"/>
      <c r="AJ13" s="987"/>
      <c r="AK13" s="987"/>
      <c r="AL13" s="987"/>
      <c r="AM13" s="987"/>
      <c r="AN13" s="987"/>
      <c r="AO13" s="987"/>
      <c r="AP13" s="987"/>
      <c r="AQ13" s="987"/>
      <c r="AR13" s="987"/>
      <c r="AS13" s="987"/>
      <c r="AT13" s="987"/>
      <c r="AU13" s="987"/>
      <c r="AV13" s="987"/>
      <c r="AW13" s="987"/>
      <c r="AX13" s="987"/>
      <c r="AY13" s="987"/>
      <c r="AZ13" s="987"/>
      <c r="BA13" s="987"/>
      <c r="BB13" s="987"/>
      <c r="BC13" s="987"/>
      <c r="BD13" s="987"/>
      <c r="BE13" s="987"/>
      <c r="BF13" s="987"/>
      <c r="BG13" s="987"/>
      <c r="BH13" s="987"/>
      <c r="BI13" s="987"/>
      <c r="BJ13" s="987"/>
      <c r="BK13" s="987"/>
      <c r="BL13" s="987"/>
      <c r="BM13" s="987"/>
      <c r="BN13" s="987"/>
      <c r="BO13" s="987"/>
      <c r="BP13" s="987"/>
      <c r="BQ13" s="987"/>
      <c r="BR13" s="987"/>
      <c r="BS13" s="987"/>
      <c r="BT13" s="987"/>
      <c r="BU13" s="987"/>
      <c r="BV13" s="987"/>
      <c r="BW13" s="987"/>
      <c r="BX13" s="987"/>
      <c r="BY13" s="987"/>
      <c r="BZ13" s="987"/>
      <c r="CA13" s="987"/>
      <c r="CB13" s="987"/>
      <c r="CC13" s="987"/>
      <c r="CD13" s="987"/>
      <c r="CE13" s="987"/>
      <c r="CF13" s="987"/>
      <c r="CG13" s="987"/>
      <c r="CH13" s="987"/>
      <c r="CI13" s="987"/>
      <c r="CJ13" s="987"/>
      <c r="CK13" s="987"/>
      <c r="CL13" s="987"/>
      <c r="CM13" s="987"/>
      <c r="CN13" s="987"/>
      <c r="CO13" s="987"/>
      <c r="CP13" s="987"/>
      <c r="CQ13" s="987"/>
      <c r="CR13" s="987"/>
      <c r="CS13" s="987"/>
      <c r="CT13" s="987"/>
      <c r="CU13" s="987"/>
      <c r="CV13" s="987"/>
      <c r="CW13" s="987"/>
      <c r="CX13" s="987"/>
      <c r="CY13" s="987"/>
      <c r="CZ13" s="987"/>
      <c r="DA13" s="987"/>
      <c r="DB13" s="987"/>
      <c r="DC13" s="987"/>
      <c r="DD13" s="987"/>
      <c r="DE13" s="987"/>
      <c r="DF13" s="987"/>
      <c r="DG13" s="987"/>
      <c r="DH13" s="987"/>
      <c r="DI13" s="987"/>
      <c r="DJ13" s="987"/>
      <c r="DK13" s="987"/>
      <c r="DL13" s="987"/>
      <c r="DM13" s="987"/>
      <c r="DN13" s="987"/>
      <c r="DO13" s="987"/>
      <c r="DP13" s="987"/>
      <c r="DQ13" s="987"/>
      <c r="DR13" s="987"/>
      <c r="DS13" s="987"/>
      <c r="DT13" s="987"/>
      <c r="DU13" s="987"/>
      <c r="DV13" s="987"/>
      <c r="DW13" s="987"/>
      <c r="DX13" s="987"/>
      <c r="DY13" s="987"/>
      <c r="DZ13" s="987"/>
      <c r="EA13" s="987"/>
      <c r="EB13" s="987"/>
      <c r="EC13" s="987"/>
      <c r="ED13" s="987"/>
      <c r="EE13" s="987"/>
      <c r="EF13" s="987"/>
      <c r="EG13" s="987"/>
      <c r="EH13" s="987"/>
      <c r="EI13" s="987"/>
      <c r="EJ13" s="987"/>
      <c r="EK13" s="987"/>
      <c r="EL13" s="987"/>
      <c r="EM13" s="987"/>
      <c r="EN13" s="987"/>
      <c r="EO13" s="987"/>
      <c r="EP13" s="987"/>
      <c r="EQ13" s="987"/>
      <c r="ER13" s="987"/>
      <c r="ES13" s="987"/>
      <c r="ET13" s="987"/>
      <c r="EU13" s="987"/>
      <c r="EV13" s="987"/>
      <c r="EW13" s="987"/>
      <c r="EX13" s="987"/>
      <c r="EY13" s="987"/>
      <c r="EZ13" s="987"/>
      <c r="FA13" s="987"/>
      <c r="FB13" s="987"/>
      <c r="FC13" s="987"/>
      <c r="FD13" s="987"/>
      <c r="FE13" s="987"/>
      <c r="FF13" s="987"/>
      <c r="FG13" s="987"/>
      <c r="FH13" s="987"/>
      <c r="FI13" s="987"/>
      <c r="FJ13" s="987"/>
      <c r="FK13" s="987"/>
      <c r="FL13" s="987"/>
      <c r="FM13" s="987"/>
      <c r="FN13" s="987"/>
      <c r="FO13" s="987"/>
      <c r="FP13" s="987"/>
      <c r="FQ13" s="987"/>
      <c r="FR13" s="987"/>
      <c r="FS13" s="987"/>
      <c r="FT13" s="987"/>
      <c r="FU13" s="987"/>
      <c r="FV13" s="987"/>
      <c r="FW13" s="987"/>
      <c r="FX13" s="987"/>
      <c r="FY13" s="987"/>
      <c r="FZ13" s="987"/>
      <c r="GA13" s="987"/>
      <c r="GB13" s="987"/>
      <c r="GC13" s="987"/>
      <c r="GD13" s="987"/>
      <c r="GE13" s="987"/>
      <c r="GF13" s="987"/>
      <c r="GG13" s="987"/>
      <c r="GH13" s="987"/>
      <c r="GI13" s="987"/>
      <c r="GJ13" s="987"/>
      <c r="GK13" s="987"/>
      <c r="GL13" s="987"/>
      <c r="GM13" s="987"/>
      <c r="GN13" s="987"/>
      <c r="GO13" s="987"/>
      <c r="GP13" s="987"/>
      <c r="GQ13" s="987"/>
      <c r="GR13" s="987"/>
      <c r="GS13" s="987"/>
      <c r="GT13" s="987"/>
      <c r="GU13" s="987"/>
      <c r="GV13" s="987"/>
      <c r="GW13" s="987"/>
      <c r="GX13" s="987"/>
      <c r="GY13" s="987"/>
      <c r="GZ13" s="987"/>
      <c r="HA13" s="987"/>
      <c r="HB13" s="987"/>
      <c r="HC13" s="987"/>
      <c r="HD13" s="987"/>
      <c r="HE13" s="987"/>
      <c r="HF13" s="987"/>
      <c r="HG13" s="987"/>
      <c r="HH13" s="987"/>
      <c r="HI13" s="987"/>
      <c r="HJ13" s="987"/>
      <c r="HK13" s="987"/>
      <c r="HL13" s="987"/>
      <c r="HM13" s="987"/>
      <c r="HN13" s="987"/>
      <c r="HO13" s="987"/>
      <c r="HP13" s="987"/>
      <c r="HQ13" s="987"/>
      <c r="HR13" s="987"/>
      <c r="HS13" s="987"/>
      <c r="HT13" s="987"/>
      <c r="HU13" s="987"/>
      <c r="HV13" s="987"/>
      <c r="HW13" s="987"/>
    </row>
    <row r="14" spans="1:234" s="657" customFormat="1" ht="15.75" x14ac:dyDescent="0.25">
      <c r="A14" s="698"/>
      <c r="B14" s="989" t="s">
        <v>838</v>
      </c>
      <c r="C14" s="990" t="s">
        <v>1276</v>
      </c>
      <c r="D14" s="461"/>
      <c r="E14" s="462"/>
      <c r="F14" s="463"/>
      <c r="G14" s="991"/>
      <c r="H14" s="468"/>
      <c r="I14" s="466"/>
      <c r="J14" s="992"/>
      <c r="K14" s="465"/>
      <c r="L14" s="469"/>
      <c r="M14" s="993"/>
      <c r="N14" s="464"/>
      <c r="O14" s="994"/>
      <c r="P14" s="472"/>
      <c r="Q14" s="995"/>
      <c r="R14" s="474"/>
      <c r="S14" s="656"/>
      <c r="T14" s="656"/>
      <c r="U14" s="656"/>
      <c r="V14" s="656"/>
      <c r="W14" s="656"/>
      <c r="X14" s="656"/>
      <c r="Y14" s="656"/>
      <c r="Z14" s="656"/>
      <c r="AA14" s="656"/>
      <c r="AB14" s="656"/>
      <c r="AC14" s="656"/>
      <c r="AD14" s="656"/>
      <c r="AE14" s="656"/>
      <c r="AF14" s="656"/>
      <c r="AG14" s="656"/>
      <c r="AH14" s="656"/>
      <c r="AI14" s="656"/>
      <c r="AJ14" s="656"/>
      <c r="AK14" s="656"/>
      <c r="AL14" s="656"/>
      <c r="AM14" s="656"/>
      <c r="AN14" s="656"/>
      <c r="AO14" s="656"/>
      <c r="AP14" s="656"/>
      <c r="AQ14" s="656"/>
      <c r="AR14" s="656"/>
      <c r="AS14" s="656"/>
      <c r="AT14" s="656"/>
      <c r="AU14" s="656"/>
      <c r="AV14" s="656"/>
      <c r="AW14" s="656"/>
      <c r="AX14" s="656"/>
      <c r="AY14" s="656"/>
      <c r="AZ14" s="656"/>
      <c r="BA14" s="656"/>
      <c r="BB14" s="656"/>
      <c r="BC14" s="656"/>
      <c r="BD14" s="656"/>
      <c r="BE14" s="656"/>
      <c r="BF14" s="656"/>
      <c r="BG14" s="656"/>
      <c r="BH14" s="656"/>
      <c r="BI14" s="656"/>
      <c r="BJ14" s="656"/>
      <c r="BK14" s="656"/>
      <c r="BL14" s="656"/>
      <c r="BM14" s="656"/>
      <c r="BN14" s="656"/>
      <c r="BO14" s="656"/>
      <c r="BP14" s="656"/>
      <c r="BQ14" s="656"/>
      <c r="BR14" s="656"/>
      <c r="BS14" s="656"/>
      <c r="BT14" s="656"/>
      <c r="BU14" s="656"/>
      <c r="BV14" s="656"/>
      <c r="BW14" s="656"/>
      <c r="BX14" s="656"/>
      <c r="BY14" s="656"/>
      <c r="BZ14" s="656"/>
      <c r="CA14" s="656"/>
      <c r="CB14" s="656"/>
      <c r="CC14" s="656"/>
      <c r="CD14" s="656"/>
      <c r="CE14" s="656"/>
      <c r="CF14" s="656"/>
      <c r="CG14" s="656"/>
      <c r="CH14" s="656"/>
      <c r="CI14" s="656"/>
      <c r="CJ14" s="656"/>
      <c r="CK14" s="656"/>
      <c r="CL14" s="656"/>
      <c r="CM14" s="656"/>
      <c r="CN14" s="656"/>
      <c r="CO14" s="656"/>
      <c r="CP14" s="656"/>
      <c r="CQ14" s="656"/>
      <c r="CR14" s="656"/>
      <c r="CS14" s="656"/>
      <c r="CT14" s="656"/>
      <c r="CU14" s="656"/>
      <c r="CV14" s="656"/>
      <c r="CW14" s="656"/>
      <c r="CX14" s="656"/>
      <c r="CY14" s="656"/>
      <c r="CZ14" s="656"/>
      <c r="DA14" s="656"/>
      <c r="DB14" s="656"/>
      <c r="DC14" s="656"/>
      <c r="DD14" s="656"/>
      <c r="DE14" s="656"/>
      <c r="DF14" s="656"/>
      <c r="DG14" s="656"/>
      <c r="DH14" s="656"/>
      <c r="DI14" s="656"/>
      <c r="DJ14" s="656"/>
      <c r="DK14" s="656"/>
      <c r="DL14" s="656"/>
      <c r="DM14" s="656"/>
      <c r="DN14" s="656"/>
      <c r="DO14" s="656"/>
      <c r="DP14" s="656"/>
      <c r="DQ14" s="656"/>
      <c r="DR14" s="656"/>
      <c r="DS14" s="656"/>
      <c r="DT14" s="656"/>
      <c r="DU14" s="656"/>
      <c r="DV14" s="656"/>
      <c r="DW14" s="656"/>
      <c r="DX14" s="656"/>
      <c r="DY14" s="656"/>
      <c r="DZ14" s="656"/>
      <c r="EA14" s="656"/>
      <c r="EB14" s="656"/>
      <c r="EC14" s="656"/>
      <c r="ED14" s="656"/>
      <c r="EE14" s="656"/>
      <c r="EF14" s="656"/>
      <c r="EG14" s="656"/>
      <c r="EH14" s="656"/>
      <c r="EI14" s="656"/>
      <c r="EJ14" s="656"/>
      <c r="EK14" s="656"/>
      <c r="EL14" s="656"/>
      <c r="EM14" s="656"/>
      <c r="EN14" s="656"/>
      <c r="EO14" s="656"/>
      <c r="EP14" s="656"/>
      <c r="EQ14" s="656"/>
      <c r="ER14" s="656"/>
      <c r="ES14" s="656"/>
      <c r="ET14" s="656"/>
      <c r="EU14" s="656"/>
      <c r="EV14" s="656"/>
      <c r="EW14" s="656"/>
      <c r="EX14" s="656"/>
      <c r="EY14" s="656"/>
      <c r="EZ14" s="656"/>
      <c r="FA14" s="656"/>
      <c r="FB14" s="656"/>
      <c r="FC14" s="656"/>
      <c r="FD14" s="656"/>
      <c r="FE14" s="656"/>
      <c r="FF14" s="656"/>
      <c r="FG14" s="656"/>
      <c r="FH14" s="656"/>
      <c r="FI14" s="656"/>
      <c r="FJ14" s="656"/>
      <c r="FK14" s="656"/>
      <c r="FL14" s="656"/>
      <c r="FM14" s="656"/>
      <c r="FN14" s="656"/>
      <c r="FO14" s="656"/>
      <c r="FP14" s="656"/>
      <c r="FQ14" s="656"/>
      <c r="FR14" s="656"/>
      <c r="FS14" s="656"/>
      <c r="FT14" s="656"/>
      <c r="FU14" s="656"/>
      <c r="FV14" s="656"/>
      <c r="FW14" s="656"/>
      <c r="FX14" s="656"/>
      <c r="FY14" s="656"/>
      <c r="FZ14" s="656"/>
      <c r="GA14" s="656"/>
      <c r="GB14" s="656"/>
      <c r="GC14" s="656"/>
      <c r="GD14" s="656"/>
      <c r="GE14" s="656"/>
      <c r="GF14" s="656"/>
      <c r="GG14" s="656"/>
      <c r="GH14" s="656"/>
      <c r="GI14" s="656"/>
      <c r="GJ14" s="656"/>
      <c r="GK14" s="656"/>
      <c r="GL14" s="656"/>
      <c r="GM14" s="656"/>
      <c r="GN14" s="656"/>
      <c r="GO14" s="656"/>
      <c r="GP14" s="656"/>
      <c r="GQ14" s="656"/>
      <c r="GR14" s="656"/>
      <c r="GS14" s="656"/>
      <c r="GT14" s="656"/>
      <c r="GU14" s="656"/>
      <c r="GV14" s="656"/>
      <c r="GW14" s="656"/>
      <c r="GX14" s="656"/>
      <c r="GY14" s="656"/>
      <c r="GZ14" s="656"/>
      <c r="HA14" s="656"/>
      <c r="HB14" s="656"/>
      <c r="HC14" s="656"/>
      <c r="HD14" s="656"/>
      <c r="HE14" s="656"/>
      <c r="HF14" s="656"/>
      <c r="HG14" s="656"/>
      <c r="HH14" s="656"/>
      <c r="HI14" s="656"/>
      <c r="HJ14" s="656"/>
      <c r="HK14" s="656"/>
      <c r="HL14" s="656"/>
      <c r="HM14" s="656"/>
      <c r="HN14" s="656"/>
      <c r="HO14" s="656"/>
      <c r="HP14" s="656"/>
      <c r="HQ14" s="656"/>
      <c r="HR14" s="656"/>
      <c r="HS14" s="656"/>
      <c r="HT14" s="656"/>
      <c r="HU14" s="656"/>
      <c r="HV14" s="656"/>
      <c r="HW14" s="656"/>
      <c r="HX14" s="656"/>
      <c r="HY14" s="656"/>
      <c r="HZ14" s="656"/>
    </row>
    <row r="15" spans="1:234" s="657" customFormat="1" x14ac:dyDescent="0.25">
      <c r="A15" s="698"/>
      <c r="B15" s="996"/>
      <c r="C15" s="997" t="s">
        <v>1277</v>
      </c>
      <c r="D15" s="998"/>
      <c r="E15" s="999"/>
      <c r="F15" s="1000"/>
      <c r="G15" s="1001"/>
      <c r="H15" s="1002"/>
      <c r="I15" s="1003"/>
      <c r="J15" s="1004"/>
      <c r="K15" s="1005"/>
      <c r="L15" s="1006"/>
      <c r="M15" s="1007"/>
      <c r="N15" s="1008"/>
      <c r="O15" s="1009"/>
      <c r="P15" s="1010"/>
      <c r="Q15" s="1011"/>
      <c r="R15" s="1012"/>
      <c r="S15" s="656"/>
      <c r="T15" s="656"/>
      <c r="U15" s="656"/>
      <c r="V15" s="656"/>
      <c r="W15" s="656"/>
      <c r="X15" s="656"/>
      <c r="Y15" s="656"/>
      <c r="Z15" s="656"/>
      <c r="AA15" s="656"/>
      <c r="AB15" s="656"/>
      <c r="AC15" s="656"/>
      <c r="AD15" s="656"/>
      <c r="AE15" s="656"/>
      <c r="AF15" s="656"/>
      <c r="AG15" s="656"/>
      <c r="AH15" s="656"/>
      <c r="AI15" s="656"/>
      <c r="AJ15" s="656"/>
      <c r="AK15" s="656"/>
      <c r="AL15" s="656"/>
      <c r="AM15" s="656"/>
      <c r="AN15" s="656"/>
      <c r="AO15" s="656"/>
      <c r="AP15" s="656"/>
      <c r="AQ15" s="656"/>
      <c r="AR15" s="656"/>
      <c r="AS15" s="656"/>
      <c r="AT15" s="656"/>
      <c r="AU15" s="656"/>
      <c r="AV15" s="656"/>
      <c r="AW15" s="656"/>
      <c r="AX15" s="656"/>
      <c r="AY15" s="656"/>
      <c r="AZ15" s="656"/>
      <c r="BA15" s="656"/>
      <c r="BB15" s="656"/>
      <c r="BC15" s="656"/>
      <c r="BD15" s="656"/>
      <c r="BE15" s="656"/>
      <c r="BF15" s="656"/>
      <c r="BG15" s="656"/>
      <c r="BH15" s="656"/>
      <c r="BI15" s="656"/>
      <c r="BJ15" s="656"/>
      <c r="BK15" s="656"/>
      <c r="BL15" s="656"/>
      <c r="BM15" s="656"/>
      <c r="BN15" s="656"/>
      <c r="BO15" s="656"/>
      <c r="BP15" s="656"/>
      <c r="BQ15" s="656"/>
      <c r="BR15" s="656"/>
      <c r="BS15" s="656"/>
      <c r="BT15" s="656"/>
      <c r="BU15" s="656"/>
      <c r="BV15" s="656"/>
      <c r="BW15" s="656"/>
      <c r="BX15" s="656"/>
      <c r="BY15" s="656"/>
      <c r="BZ15" s="656"/>
      <c r="CA15" s="656"/>
      <c r="CB15" s="656"/>
      <c r="CC15" s="656"/>
      <c r="CD15" s="656"/>
      <c r="CE15" s="656"/>
      <c r="CF15" s="656"/>
      <c r="CG15" s="656"/>
      <c r="CH15" s="656"/>
      <c r="CI15" s="656"/>
      <c r="CJ15" s="656"/>
      <c r="CK15" s="656"/>
      <c r="CL15" s="656"/>
      <c r="CM15" s="656"/>
      <c r="CN15" s="656"/>
      <c r="CO15" s="656"/>
      <c r="CP15" s="656"/>
      <c r="CQ15" s="656"/>
      <c r="CR15" s="656"/>
      <c r="CS15" s="656"/>
      <c r="CT15" s="656"/>
      <c r="CU15" s="656"/>
      <c r="CV15" s="656"/>
      <c r="CW15" s="656"/>
      <c r="CX15" s="656"/>
      <c r="CY15" s="656"/>
      <c r="CZ15" s="656"/>
      <c r="DA15" s="656"/>
      <c r="DB15" s="656"/>
      <c r="DC15" s="656"/>
      <c r="DD15" s="656"/>
      <c r="DE15" s="656"/>
      <c r="DF15" s="656"/>
      <c r="DG15" s="656"/>
      <c r="DH15" s="656"/>
      <c r="DI15" s="656"/>
      <c r="DJ15" s="656"/>
      <c r="DK15" s="656"/>
      <c r="DL15" s="656"/>
      <c r="DM15" s="656"/>
      <c r="DN15" s="656"/>
      <c r="DO15" s="656"/>
      <c r="DP15" s="656"/>
      <c r="DQ15" s="656"/>
      <c r="DR15" s="656"/>
      <c r="DS15" s="656"/>
      <c r="DT15" s="656"/>
      <c r="DU15" s="656"/>
      <c r="DV15" s="656"/>
      <c r="DW15" s="656"/>
      <c r="DX15" s="656"/>
      <c r="DY15" s="656"/>
      <c r="DZ15" s="656"/>
      <c r="EA15" s="656"/>
      <c r="EB15" s="656"/>
      <c r="EC15" s="656"/>
      <c r="ED15" s="656"/>
      <c r="EE15" s="656"/>
      <c r="EF15" s="656"/>
      <c r="EG15" s="656"/>
      <c r="EH15" s="656"/>
      <c r="EI15" s="656"/>
      <c r="EJ15" s="656"/>
      <c r="EK15" s="656"/>
      <c r="EL15" s="656"/>
      <c r="EM15" s="656"/>
      <c r="EN15" s="656"/>
      <c r="EO15" s="656"/>
      <c r="EP15" s="656"/>
      <c r="EQ15" s="656"/>
      <c r="ER15" s="656"/>
      <c r="ES15" s="656"/>
      <c r="ET15" s="656"/>
      <c r="EU15" s="656"/>
      <c r="EV15" s="656"/>
      <c r="EW15" s="656"/>
      <c r="EX15" s="656"/>
      <c r="EY15" s="656"/>
      <c r="EZ15" s="656"/>
      <c r="FA15" s="656"/>
      <c r="FB15" s="656"/>
      <c r="FC15" s="656"/>
      <c r="FD15" s="656"/>
      <c r="FE15" s="656"/>
      <c r="FF15" s="656"/>
      <c r="FG15" s="656"/>
      <c r="FH15" s="656"/>
      <c r="FI15" s="656"/>
      <c r="FJ15" s="656"/>
      <c r="FK15" s="656"/>
      <c r="FL15" s="656"/>
      <c r="FM15" s="656"/>
      <c r="FN15" s="656"/>
      <c r="FO15" s="656"/>
      <c r="FP15" s="656"/>
      <c r="FQ15" s="656"/>
      <c r="FR15" s="656"/>
      <c r="FS15" s="656"/>
      <c r="FT15" s="656"/>
      <c r="FU15" s="656"/>
      <c r="FV15" s="656"/>
      <c r="FW15" s="656"/>
      <c r="FX15" s="656"/>
      <c r="FY15" s="656"/>
      <c r="FZ15" s="656"/>
      <c r="GA15" s="656"/>
      <c r="GB15" s="656"/>
      <c r="GC15" s="656"/>
      <c r="GD15" s="656"/>
      <c r="GE15" s="656"/>
      <c r="GF15" s="656"/>
      <c r="GG15" s="656"/>
      <c r="GH15" s="656"/>
      <c r="GI15" s="656"/>
      <c r="GJ15" s="656"/>
      <c r="GK15" s="656"/>
      <c r="GL15" s="656"/>
      <c r="GM15" s="656"/>
      <c r="GN15" s="656"/>
      <c r="GO15" s="656"/>
      <c r="GP15" s="656"/>
      <c r="GQ15" s="656"/>
      <c r="GR15" s="656"/>
      <c r="GS15" s="656"/>
      <c r="GT15" s="656"/>
      <c r="GU15" s="656"/>
      <c r="GV15" s="656"/>
      <c r="GW15" s="656"/>
      <c r="GX15" s="656"/>
      <c r="GY15" s="656"/>
      <c r="GZ15" s="656"/>
      <c r="HA15" s="656"/>
      <c r="HB15" s="656"/>
      <c r="HC15" s="656"/>
      <c r="HD15" s="656"/>
      <c r="HE15" s="656"/>
      <c r="HF15" s="656"/>
      <c r="HG15" s="656"/>
      <c r="HH15" s="656"/>
      <c r="HI15" s="656"/>
      <c r="HJ15" s="656"/>
      <c r="HK15" s="656"/>
      <c r="HL15" s="656"/>
      <c r="HM15" s="656"/>
      <c r="HN15" s="656"/>
      <c r="HO15" s="656"/>
      <c r="HP15" s="656"/>
      <c r="HQ15" s="656"/>
      <c r="HR15" s="656"/>
      <c r="HS15" s="656"/>
      <c r="HT15" s="656"/>
      <c r="HU15" s="656"/>
      <c r="HV15" s="656"/>
      <c r="HW15" s="656"/>
      <c r="HX15" s="656"/>
      <c r="HY15" s="656"/>
      <c r="HZ15" s="656"/>
    </row>
    <row r="16" spans="1:234" s="657" customFormat="1" ht="42.75" x14ac:dyDescent="0.25">
      <c r="A16" s="1013"/>
      <c r="B16" s="1014">
        <v>1</v>
      </c>
      <c r="C16" s="1015" t="s">
        <v>222</v>
      </c>
      <c r="D16" s="1016" t="s">
        <v>912</v>
      </c>
      <c r="E16" s="1017">
        <v>1</v>
      </c>
      <c r="F16" s="1280">
        <v>183588</v>
      </c>
      <c r="G16" s="1019">
        <v>183588</v>
      </c>
      <c r="H16" s="486">
        <v>40</v>
      </c>
      <c r="I16" s="482">
        <v>21</v>
      </c>
      <c r="J16" s="1020">
        <v>3855348</v>
      </c>
      <c r="K16" s="1021">
        <v>21</v>
      </c>
      <c r="L16" s="485">
        <v>3855348</v>
      </c>
      <c r="M16" s="1021">
        <v>21</v>
      </c>
      <c r="N16" s="480">
        <v>3855348</v>
      </c>
      <c r="O16" s="1022">
        <v>0</v>
      </c>
      <c r="P16" s="480">
        <v>0</v>
      </c>
      <c r="Q16" s="1022">
        <v>0</v>
      </c>
      <c r="R16" s="480">
        <v>0</v>
      </c>
      <c r="S16" s="1023"/>
      <c r="T16" s="656"/>
      <c r="U16" s="656"/>
      <c r="V16" s="656"/>
      <c r="W16" s="656"/>
      <c r="X16" s="656"/>
      <c r="Y16" s="656"/>
      <c r="Z16" s="656"/>
      <c r="AA16" s="656"/>
      <c r="AB16" s="656"/>
      <c r="AC16" s="656"/>
      <c r="AD16" s="656"/>
      <c r="AE16" s="656"/>
      <c r="AF16" s="656"/>
      <c r="AG16" s="656"/>
      <c r="AH16" s="656"/>
      <c r="AI16" s="656"/>
      <c r="AJ16" s="656"/>
      <c r="AK16" s="656"/>
      <c r="AL16" s="656"/>
      <c r="AM16" s="656"/>
      <c r="AN16" s="656"/>
      <c r="AO16" s="656"/>
      <c r="AP16" s="656"/>
      <c r="AQ16" s="656"/>
      <c r="AR16" s="656"/>
      <c r="AS16" s="656"/>
      <c r="AT16" s="656"/>
      <c r="AU16" s="656"/>
      <c r="AV16" s="656"/>
      <c r="AW16" s="656"/>
      <c r="AX16" s="656"/>
      <c r="AY16" s="656"/>
      <c r="AZ16" s="656"/>
      <c r="BA16" s="656"/>
      <c r="BB16" s="656"/>
      <c r="BC16" s="656"/>
      <c r="BD16" s="656"/>
      <c r="BE16" s="656"/>
      <c r="BF16" s="656"/>
      <c r="BG16" s="656"/>
      <c r="BH16" s="656"/>
      <c r="BI16" s="656"/>
      <c r="BJ16" s="656"/>
      <c r="BK16" s="656"/>
      <c r="BL16" s="656"/>
      <c r="BM16" s="656"/>
      <c r="BN16" s="656"/>
      <c r="BO16" s="656"/>
      <c r="BP16" s="656"/>
      <c r="BQ16" s="656"/>
      <c r="BR16" s="656"/>
      <c r="BS16" s="656"/>
      <c r="BT16" s="656"/>
      <c r="BU16" s="656"/>
      <c r="BV16" s="656"/>
      <c r="BW16" s="656"/>
      <c r="BX16" s="656"/>
      <c r="BY16" s="656"/>
      <c r="BZ16" s="656"/>
      <c r="CA16" s="656"/>
      <c r="CB16" s="656"/>
      <c r="CC16" s="656"/>
      <c r="CD16" s="656"/>
      <c r="CE16" s="656"/>
      <c r="CF16" s="656"/>
      <c r="CG16" s="656"/>
      <c r="CH16" s="656"/>
      <c r="CI16" s="656"/>
      <c r="CJ16" s="656"/>
      <c r="CK16" s="656"/>
      <c r="CL16" s="656"/>
      <c r="CM16" s="656"/>
      <c r="CN16" s="656"/>
      <c r="CO16" s="656"/>
      <c r="CP16" s="656"/>
      <c r="CQ16" s="656"/>
      <c r="CR16" s="656"/>
      <c r="CS16" s="656"/>
      <c r="CT16" s="656"/>
      <c r="CU16" s="656"/>
      <c r="CV16" s="656"/>
      <c r="CW16" s="656"/>
      <c r="CX16" s="656"/>
      <c r="CY16" s="656"/>
      <c r="CZ16" s="656"/>
      <c r="DA16" s="656"/>
      <c r="DB16" s="656"/>
      <c r="DC16" s="656"/>
      <c r="DD16" s="656"/>
      <c r="DE16" s="656"/>
      <c r="DF16" s="656"/>
      <c r="DG16" s="656"/>
      <c r="DH16" s="656"/>
      <c r="DI16" s="656"/>
      <c r="DJ16" s="656"/>
      <c r="DK16" s="656"/>
      <c r="DL16" s="656"/>
      <c r="DM16" s="656"/>
      <c r="DN16" s="656"/>
      <c r="DO16" s="656"/>
      <c r="DP16" s="656"/>
      <c r="DQ16" s="656"/>
      <c r="DR16" s="656"/>
      <c r="DS16" s="656"/>
      <c r="DT16" s="656"/>
      <c r="DU16" s="656"/>
      <c r="DV16" s="656"/>
      <c r="DW16" s="656"/>
      <c r="DX16" s="656"/>
      <c r="DY16" s="656"/>
      <c r="DZ16" s="656"/>
      <c r="EA16" s="656"/>
      <c r="EB16" s="656"/>
      <c r="EC16" s="656"/>
      <c r="ED16" s="656"/>
      <c r="EE16" s="656"/>
      <c r="EF16" s="656"/>
      <c r="EG16" s="656"/>
      <c r="EH16" s="656"/>
      <c r="EI16" s="656"/>
      <c r="EJ16" s="656"/>
      <c r="EK16" s="656"/>
      <c r="EL16" s="656"/>
      <c r="EM16" s="656"/>
      <c r="EN16" s="656"/>
      <c r="EO16" s="656"/>
      <c r="EP16" s="656"/>
      <c r="EQ16" s="656"/>
      <c r="ER16" s="656"/>
      <c r="ES16" s="656"/>
      <c r="ET16" s="656"/>
      <c r="EU16" s="656"/>
      <c r="EV16" s="656"/>
      <c r="EW16" s="656"/>
      <c r="EX16" s="656"/>
      <c r="EY16" s="656"/>
      <c r="EZ16" s="656"/>
      <c r="FA16" s="656"/>
      <c r="FB16" s="656"/>
      <c r="FC16" s="656"/>
      <c r="FD16" s="656"/>
      <c r="FE16" s="656"/>
      <c r="FF16" s="656"/>
      <c r="FG16" s="656"/>
      <c r="FH16" s="656"/>
      <c r="FI16" s="656"/>
      <c r="FJ16" s="656"/>
      <c r="FK16" s="656"/>
      <c r="FL16" s="656"/>
      <c r="FM16" s="656"/>
      <c r="FN16" s="656"/>
      <c r="FO16" s="656"/>
      <c r="FP16" s="656"/>
      <c r="FQ16" s="656"/>
      <c r="FR16" s="656"/>
      <c r="FS16" s="656"/>
      <c r="FT16" s="656"/>
      <c r="FU16" s="656"/>
      <c r="FV16" s="656"/>
      <c r="FW16" s="656"/>
      <c r="FX16" s="656"/>
      <c r="FY16" s="656"/>
      <c r="FZ16" s="656"/>
      <c r="GA16" s="656"/>
      <c r="GB16" s="656"/>
      <c r="GC16" s="656"/>
      <c r="GD16" s="656"/>
      <c r="GE16" s="656"/>
      <c r="GF16" s="656"/>
      <c r="GG16" s="656"/>
      <c r="GH16" s="656"/>
      <c r="GI16" s="656"/>
      <c r="GJ16" s="656"/>
      <c r="GK16" s="656"/>
      <c r="GL16" s="656"/>
      <c r="GM16" s="656"/>
      <c r="GN16" s="656"/>
      <c r="GO16" s="656"/>
      <c r="GP16" s="656"/>
      <c r="GQ16" s="656"/>
      <c r="GR16" s="656"/>
      <c r="GS16" s="656"/>
      <c r="GT16" s="656"/>
      <c r="GU16" s="656"/>
      <c r="GV16" s="656"/>
      <c r="GW16" s="656"/>
      <c r="GX16" s="656"/>
      <c r="GY16" s="656"/>
      <c r="GZ16" s="656"/>
      <c r="HA16" s="656"/>
      <c r="HB16" s="656"/>
      <c r="HC16" s="656"/>
      <c r="HD16" s="656"/>
      <c r="HE16" s="656"/>
      <c r="HF16" s="656"/>
      <c r="HG16" s="656"/>
      <c r="HH16" s="656"/>
      <c r="HI16" s="656"/>
      <c r="HJ16" s="656"/>
      <c r="HK16" s="656"/>
      <c r="HL16" s="656"/>
      <c r="HM16" s="656"/>
      <c r="HN16" s="656"/>
      <c r="HO16" s="656"/>
      <c r="HP16" s="656"/>
      <c r="HQ16" s="656"/>
      <c r="HR16" s="656"/>
      <c r="HS16" s="656"/>
      <c r="HT16" s="656"/>
      <c r="HU16" s="656"/>
      <c r="HV16" s="656"/>
      <c r="HW16" s="656"/>
      <c r="HX16" s="656"/>
      <c r="HY16" s="656"/>
      <c r="HZ16" s="656"/>
    </row>
    <row r="17" spans="1:234" s="657" customFormat="1" ht="28.5" x14ac:dyDescent="0.25">
      <c r="A17" s="1013"/>
      <c r="B17" s="1014">
        <v>2</v>
      </c>
      <c r="C17" s="1015" t="s">
        <v>224</v>
      </c>
      <c r="D17" s="1016" t="s">
        <v>842</v>
      </c>
      <c r="E17" s="1017">
        <v>1</v>
      </c>
      <c r="F17" s="1280">
        <v>13494</v>
      </c>
      <c r="G17" s="1019">
        <v>13494</v>
      </c>
      <c r="H17" s="486">
        <v>2300</v>
      </c>
      <c r="I17" s="482">
        <v>1760</v>
      </c>
      <c r="J17" s="1020">
        <v>23749440</v>
      </c>
      <c r="K17" s="1021">
        <v>1760</v>
      </c>
      <c r="L17" s="485">
        <v>23749440</v>
      </c>
      <c r="M17" s="1024">
        <v>1056</v>
      </c>
      <c r="N17" s="480">
        <v>14249664</v>
      </c>
      <c r="O17" s="1024">
        <v>704</v>
      </c>
      <c r="P17" s="480">
        <v>9499776</v>
      </c>
      <c r="Q17" s="1024">
        <v>0</v>
      </c>
      <c r="R17" s="480">
        <v>0</v>
      </c>
      <c r="S17" s="1023"/>
      <c r="T17" s="656"/>
      <c r="U17" s="656"/>
      <c r="V17" s="656"/>
      <c r="W17" s="656"/>
      <c r="X17" s="656"/>
      <c r="Y17" s="656"/>
      <c r="Z17" s="656"/>
      <c r="AA17" s="656"/>
      <c r="AB17" s="656"/>
      <c r="AC17" s="656"/>
      <c r="AD17" s="656"/>
      <c r="AE17" s="656"/>
      <c r="AF17" s="656"/>
      <c r="AG17" s="656"/>
      <c r="AH17" s="656"/>
      <c r="AI17" s="656"/>
      <c r="AJ17" s="656"/>
      <c r="AK17" s="656"/>
      <c r="AL17" s="656"/>
      <c r="AM17" s="656"/>
      <c r="AN17" s="656"/>
      <c r="AO17" s="656"/>
      <c r="AP17" s="656"/>
      <c r="AQ17" s="656"/>
      <c r="AR17" s="656"/>
      <c r="AS17" s="656"/>
      <c r="AT17" s="656"/>
      <c r="AU17" s="656"/>
      <c r="AV17" s="656"/>
      <c r="AW17" s="656"/>
      <c r="AX17" s="656"/>
      <c r="AY17" s="656"/>
      <c r="AZ17" s="656"/>
      <c r="BA17" s="656"/>
      <c r="BB17" s="656"/>
      <c r="BC17" s="656"/>
      <c r="BD17" s="656"/>
      <c r="BE17" s="656"/>
      <c r="BF17" s="656"/>
      <c r="BG17" s="656"/>
      <c r="BH17" s="656"/>
      <c r="BI17" s="656"/>
      <c r="BJ17" s="656"/>
      <c r="BK17" s="656"/>
      <c r="BL17" s="656"/>
      <c r="BM17" s="656"/>
      <c r="BN17" s="656"/>
      <c r="BO17" s="656"/>
      <c r="BP17" s="656"/>
      <c r="BQ17" s="656"/>
      <c r="BR17" s="656"/>
      <c r="BS17" s="656"/>
      <c r="BT17" s="656"/>
      <c r="BU17" s="656"/>
      <c r="BV17" s="656"/>
      <c r="BW17" s="656"/>
      <c r="BX17" s="656"/>
      <c r="BY17" s="656"/>
      <c r="BZ17" s="656"/>
      <c r="CA17" s="656"/>
      <c r="CB17" s="656"/>
      <c r="CC17" s="656"/>
      <c r="CD17" s="656"/>
      <c r="CE17" s="656"/>
      <c r="CF17" s="656"/>
      <c r="CG17" s="656"/>
      <c r="CH17" s="656"/>
      <c r="CI17" s="656"/>
      <c r="CJ17" s="656"/>
      <c r="CK17" s="656"/>
      <c r="CL17" s="656"/>
      <c r="CM17" s="656"/>
      <c r="CN17" s="656"/>
      <c r="CO17" s="656"/>
      <c r="CP17" s="656"/>
      <c r="CQ17" s="656"/>
      <c r="CR17" s="656"/>
      <c r="CS17" s="656"/>
      <c r="CT17" s="656"/>
      <c r="CU17" s="656"/>
      <c r="CV17" s="656"/>
      <c r="CW17" s="656"/>
      <c r="CX17" s="656"/>
      <c r="CY17" s="656"/>
      <c r="CZ17" s="656"/>
      <c r="DA17" s="656"/>
      <c r="DB17" s="656"/>
      <c r="DC17" s="656"/>
      <c r="DD17" s="656"/>
      <c r="DE17" s="656"/>
      <c r="DF17" s="656"/>
      <c r="DG17" s="656"/>
      <c r="DH17" s="656"/>
      <c r="DI17" s="656"/>
      <c r="DJ17" s="656"/>
      <c r="DK17" s="656"/>
      <c r="DL17" s="656"/>
      <c r="DM17" s="656"/>
      <c r="DN17" s="656"/>
      <c r="DO17" s="656"/>
      <c r="DP17" s="656"/>
      <c r="DQ17" s="656"/>
      <c r="DR17" s="656"/>
      <c r="DS17" s="656"/>
      <c r="DT17" s="656"/>
      <c r="DU17" s="656"/>
      <c r="DV17" s="656"/>
      <c r="DW17" s="656"/>
      <c r="DX17" s="656"/>
      <c r="DY17" s="656"/>
      <c r="DZ17" s="656"/>
      <c r="EA17" s="656"/>
      <c r="EB17" s="656"/>
      <c r="EC17" s="656"/>
      <c r="ED17" s="656"/>
      <c r="EE17" s="656"/>
      <c r="EF17" s="656"/>
      <c r="EG17" s="656"/>
      <c r="EH17" s="656"/>
      <c r="EI17" s="656"/>
      <c r="EJ17" s="656"/>
      <c r="EK17" s="656"/>
      <c r="EL17" s="656"/>
      <c r="EM17" s="656"/>
      <c r="EN17" s="656"/>
      <c r="EO17" s="656"/>
      <c r="EP17" s="656"/>
      <c r="EQ17" s="656"/>
      <c r="ER17" s="656"/>
      <c r="ES17" s="656"/>
      <c r="ET17" s="656"/>
      <c r="EU17" s="656"/>
      <c r="EV17" s="656"/>
      <c r="EW17" s="656"/>
      <c r="EX17" s="656"/>
      <c r="EY17" s="656"/>
      <c r="EZ17" s="656"/>
      <c r="FA17" s="656"/>
      <c r="FB17" s="656"/>
      <c r="FC17" s="656"/>
      <c r="FD17" s="656"/>
      <c r="FE17" s="656"/>
      <c r="FF17" s="656"/>
      <c r="FG17" s="656"/>
      <c r="FH17" s="656"/>
      <c r="FI17" s="656"/>
      <c r="FJ17" s="656"/>
      <c r="FK17" s="656"/>
      <c r="FL17" s="656"/>
      <c r="FM17" s="656"/>
      <c r="FN17" s="656"/>
      <c r="FO17" s="656"/>
      <c r="FP17" s="656"/>
      <c r="FQ17" s="656"/>
      <c r="FR17" s="656"/>
      <c r="FS17" s="656"/>
      <c r="FT17" s="656"/>
      <c r="FU17" s="656"/>
      <c r="FV17" s="656"/>
      <c r="FW17" s="656"/>
      <c r="FX17" s="656"/>
      <c r="FY17" s="656"/>
      <c r="FZ17" s="656"/>
      <c r="GA17" s="656"/>
      <c r="GB17" s="656"/>
      <c r="GC17" s="656"/>
      <c r="GD17" s="656"/>
      <c r="GE17" s="656"/>
      <c r="GF17" s="656"/>
      <c r="GG17" s="656"/>
      <c r="GH17" s="656"/>
      <c r="GI17" s="656"/>
      <c r="GJ17" s="656"/>
      <c r="GK17" s="656"/>
      <c r="GL17" s="656"/>
      <c r="GM17" s="656"/>
      <c r="GN17" s="656"/>
      <c r="GO17" s="656"/>
      <c r="GP17" s="656"/>
      <c r="GQ17" s="656"/>
      <c r="GR17" s="656"/>
      <c r="GS17" s="656"/>
      <c r="GT17" s="656"/>
      <c r="GU17" s="656"/>
      <c r="GV17" s="656"/>
      <c r="GW17" s="656"/>
      <c r="GX17" s="656"/>
      <c r="GY17" s="656"/>
      <c r="GZ17" s="656"/>
      <c r="HA17" s="656"/>
      <c r="HB17" s="656"/>
      <c r="HC17" s="656"/>
      <c r="HD17" s="656"/>
      <c r="HE17" s="656"/>
      <c r="HF17" s="656"/>
      <c r="HG17" s="656"/>
      <c r="HH17" s="656"/>
      <c r="HI17" s="656"/>
      <c r="HJ17" s="656"/>
      <c r="HK17" s="656"/>
      <c r="HL17" s="656"/>
      <c r="HM17" s="656"/>
      <c r="HN17" s="656"/>
      <c r="HO17" s="656"/>
      <c r="HP17" s="656"/>
      <c r="HQ17" s="656"/>
      <c r="HR17" s="656"/>
      <c r="HS17" s="656"/>
      <c r="HT17" s="656"/>
      <c r="HU17" s="656"/>
      <c r="HV17" s="656"/>
      <c r="HW17" s="656"/>
      <c r="HX17" s="656"/>
      <c r="HY17" s="656"/>
      <c r="HZ17" s="656"/>
    </row>
    <row r="18" spans="1:234" s="657" customFormat="1" x14ac:dyDescent="0.25">
      <c r="A18" s="1013"/>
      <c r="B18" s="1014">
        <v>3</v>
      </c>
      <c r="C18" s="1015" t="s">
        <v>1278</v>
      </c>
      <c r="D18" s="1016" t="s">
        <v>842</v>
      </c>
      <c r="E18" s="1017">
        <v>1</v>
      </c>
      <c r="F18" s="1018">
        <v>7646</v>
      </c>
      <c r="G18" s="1019">
        <v>7646</v>
      </c>
      <c r="H18" s="486">
        <v>2600</v>
      </c>
      <c r="I18" s="482">
        <v>1648.145</v>
      </c>
      <c r="J18" s="1020">
        <v>12601716.67</v>
      </c>
      <c r="K18" s="1021">
        <v>1648.145</v>
      </c>
      <c r="L18" s="485">
        <v>12601716.67</v>
      </c>
      <c r="M18" s="1024">
        <v>1455.6499999999999</v>
      </c>
      <c r="N18" s="480">
        <v>11129899.899999999</v>
      </c>
      <c r="O18" s="1024">
        <v>192.495</v>
      </c>
      <c r="P18" s="480">
        <v>1471816.77</v>
      </c>
      <c r="Q18" s="1024">
        <v>0</v>
      </c>
      <c r="R18" s="480">
        <v>0</v>
      </c>
      <c r="S18" s="1023"/>
      <c r="T18" s="656"/>
      <c r="U18" s="656"/>
      <c r="V18" s="656"/>
      <c r="W18" s="656"/>
      <c r="X18" s="656"/>
      <c r="Y18" s="656"/>
      <c r="Z18" s="656"/>
      <c r="AA18" s="656"/>
      <c r="AB18" s="656"/>
      <c r="AC18" s="656"/>
      <c r="AD18" s="656"/>
      <c r="AE18" s="656"/>
      <c r="AF18" s="656"/>
      <c r="AG18" s="656"/>
      <c r="AH18" s="656"/>
      <c r="AI18" s="656"/>
      <c r="AJ18" s="656"/>
      <c r="AK18" s="656"/>
      <c r="AL18" s="656"/>
      <c r="AM18" s="656"/>
      <c r="AN18" s="656"/>
      <c r="AO18" s="656"/>
      <c r="AP18" s="656"/>
      <c r="AQ18" s="656"/>
      <c r="AR18" s="656"/>
      <c r="AS18" s="656"/>
      <c r="AT18" s="656"/>
      <c r="AU18" s="656"/>
      <c r="AV18" s="656"/>
      <c r="AW18" s="656"/>
      <c r="AX18" s="656"/>
      <c r="AY18" s="656"/>
      <c r="AZ18" s="656"/>
      <c r="BA18" s="656"/>
      <c r="BB18" s="656"/>
      <c r="BC18" s="656"/>
      <c r="BD18" s="656"/>
      <c r="BE18" s="656"/>
      <c r="BF18" s="656"/>
      <c r="BG18" s="656"/>
      <c r="BH18" s="656"/>
      <c r="BI18" s="656"/>
      <c r="BJ18" s="656"/>
      <c r="BK18" s="656"/>
      <c r="BL18" s="656"/>
      <c r="BM18" s="656"/>
      <c r="BN18" s="656"/>
      <c r="BO18" s="656"/>
      <c r="BP18" s="656"/>
      <c r="BQ18" s="656"/>
      <c r="BR18" s="656"/>
      <c r="BS18" s="656"/>
      <c r="BT18" s="656"/>
      <c r="BU18" s="656"/>
      <c r="BV18" s="656"/>
      <c r="BW18" s="656"/>
      <c r="BX18" s="656"/>
      <c r="BY18" s="656"/>
      <c r="BZ18" s="656"/>
      <c r="CA18" s="656"/>
      <c r="CB18" s="656"/>
      <c r="CC18" s="656"/>
      <c r="CD18" s="656"/>
      <c r="CE18" s="656"/>
      <c r="CF18" s="656"/>
      <c r="CG18" s="656"/>
      <c r="CH18" s="656"/>
      <c r="CI18" s="656"/>
      <c r="CJ18" s="656"/>
      <c r="CK18" s="656"/>
      <c r="CL18" s="656"/>
      <c r="CM18" s="656"/>
      <c r="CN18" s="656"/>
      <c r="CO18" s="656"/>
      <c r="CP18" s="656"/>
      <c r="CQ18" s="656"/>
      <c r="CR18" s="656"/>
      <c r="CS18" s="656"/>
      <c r="CT18" s="656"/>
      <c r="CU18" s="656"/>
      <c r="CV18" s="656"/>
      <c r="CW18" s="656"/>
      <c r="CX18" s="656"/>
      <c r="CY18" s="656"/>
      <c r="CZ18" s="656"/>
      <c r="DA18" s="656"/>
      <c r="DB18" s="656"/>
      <c r="DC18" s="656"/>
      <c r="DD18" s="656"/>
      <c r="DE18" s="656"/>
      <c r="DF18" s="656"/>
      <c r="DG18" s="656"/>
      <c r="DH18" s="656"/>
      <c r="DI18" s="656"/>
      <c r="DJ18" s="656"/>
      <c r="DK18" s="656"/>
      <c r="DL18" s="656"/>
      <c r="DM18" s="656"/>
      <c r="DN18" s="656"/>
      <c r="DO18" s="656"/>
      <c r="DP18" s="656"/>
      <c r="DQ18" s="656"/>
      <c r="DR18" s="656"/>
      <c r="DS18" s="656"/>
      <c r="DT18" s="656"/>
      <c r="DU18" s="656"/>
      <c r="DV18" s="656"/>
      <c r="DW18" s="656"/>
      <c r="DX18" s="656"/>
      <c r="DY18" s="656"/>
      <c r="DZ18" s="656"/>
      <c r="EA18" s="656"/>
      <c r="EB18" s="656"/>
      <c r="EC18" s="656"/>
      <c r="ED18" s="656"/>
      <c r="EE18" s="656"/>
      <c r="EF18" s="656"/>
      <c r="EG18" s="656"/>
      <c r="EH18" s="656"/>
      <c r="EI18" s="656"/>
      <c r="EJ18" s="656"/>
      <c r="EK18" s="656"/>
      <c r="EL18" s="656"/>
      <c r="EM18" s="656"/>
      <c r="EN18" s="656"/>
      <c r="EO18" s="656"/>
      <c r="EP18" s="656"/>
      <c r="EQ18" s="656"/>
      <c r="ER18" s="656"/>
      <c r="ES18" s="656"/>
      <c r="ET18" s="656"/>
      <c r="EU18" s="656"/>
      <c r="EV18" s="656"/>
      <c r="EW18" s="656"/>
      <c r="EX18" s="656"/>
      <c r="EY18" s="656"/>
      <c r="EZ18" s="656"/>
      <c r="FA18" s="656"/>
      <c r="FB18" s="656"/>
      <c r="FC18" s="656"/>
      <c r="FD18" s="656"/>
      <c r="FE18" s="656"/>
      <c r="FF18" s="656"/>
      <c r="FG18" s="656"/>
      <c r="FH18" s="656"/>
      <c r="FI18" s="656"/>
      <c r="FJ18" s="656"/>
      <c r="FK18" s="656"/>
      <c r="FL18" s="656"/>
      <c r="FM18" s="656"/>
      <c r="FN18" s="656"/>
      <c r="FO18" s="656"/>
      <c r="FP18" s="656"/>
      <c r="FQ18" s="656"/>
      <c r="FR18" s="656"/>
      <c r="FS18" s="656"/>
      <c r="FT18" s="656"/>
      <c r="FU18" s="656"/>
      <c r="FV18" s="656"/>
      <c r="FW18" s="656"/>
      <c r="FX18" s="656"/>
      <c r="FY18" s="656"/>
      <c r="FZ18" s="656"/>
      <c r="GA18" s="656"/>
      <c r="GB18" s="656"/>
      <c r="GC18" s="656"/>
      <c r="GD18" s="656"/>
      <c r="GE18" s="656"/>
      <c r="GF18" s="656"/>
      <c r="GG18" s="656"/>
      <c r="GH18" s="656"/>
      <c r="GI18" s="656"/>
      <c r="GJ18" s="656"/>
      <c r="GK18" s="656"/>
      <c r="GL18" s="656"/>
      <c r="GM18" s="656"/>
      <c r="GN18" s="656"/>
      <c r="GO18" s="656"/>
      <c r="GP18" s="656"/>
      <c r="GQ18" s="656"/>
      <c r="GR18" s="656"/>
      <c r="GS18" s="656"/>
      <c r="GT18" s="656"/>
      <c r="GU18" s="656"/>
      <c r="GV18" s="656"/>
      <c r="GW18" s="656"/>
      <c r="GX18" s="656"/>
      <c r="GY18" s="656"/>
      <c r="GZ18" s="656"/>
      <c r="HA18" s="656"/>
      <c r="HB18" s="656"/>
      <c r="HC18" s="656"/>
      <c r="HD18" s="656"/>
      <c r="HE18" s="656"/>
      <c r="HF18" s="656"/>
      <c r="HG18" s="656"/>
      <c r="HH18" s="656"/>
      <c r="HI18" s="656"/>
      <c r="HJ18" s="656"/>
      <c r="HK18" s="656"/>
      <c r="HL18" s="656"/>
      <c r="HM18" s="656"/>
      <c r="HN18" s="656"/>
      <c r="HO18" s="656"/>
      <c r="HP18" s="656"/>
      <c r="HQ18" s="656"/>
      <c r="HR18" s="656"/>
      <c r="HS18" s="656"/>
      <c r="HT18" s="656"/>
      <c r="HU18" s="656"/>
      <c r="HV18" s="656"/>
      <c r="HW18" s="656"/>
      <c r="HX18" s="656"/>
      <c r="HY18" s="656"/>
      <c r="HZ18" s="656"/>
    </row>
    <row r="19" spans="1:234" s="657" customFormat="1" x14ac:dyDescent="0.25">
      <c r="A19" s="1013"/>
      <c r="B19" s="1014">
        <v>4</v>
      </c>
      <c r="C19" s="1015" t="s">
        <v>84</v>
      </c>
      <c r="D19" s="1016" t="s">
        <v>842</v>
      </c>
      <c r="E19" s="1017">
        <v>1</v>
      </c>
      <c r="F19" s="1018">
        <v>6449</v>
      </c>
      <c r="G19" s="1019">
        <v>6449</v>
      </c>
      <c r="H19" s="486">
        <v>140</v>
      </c>
      <c r="I19" s="482">
        <v>66.605599999999995</v>
      </c>
      <c r="J19" s="1020">
        <v>429539.51439999999</v>
      </c>
      <c r="K19" s="1021">
        <v>66.605599999999995</v>
      </c>
      <c r="L19" s="485">
        <v>429539.51439999999</v>
      </c>
      <c r="M19" s="1024">
        <v>50</v>
      </c>
      <c r="N19" s="480">
        <v>322450</v>
      </c>
      <c r="O19" s="1024">
        <v>16.605599999999999</v>
      </c>
      <c r="P19" s="480">
        <v>107089.5144</v>
      </c>
      <c r="Q19" s="1024">
        <v>0</v>
      </c>
      <c r="R19" s="480">
        <v>0</v>
      </c>
      <c r="S19" s="1023"/>
      <c r="T19" s="656"/>
      <c r="U19" s="656"/>
      <c r="V19" s="656"/>
      <c r="W19" s="656"/>
      <c r="X19" s="656"/>
      <c r="Y19" s="656"/>
      <c r="Z19" s="656"/>
      <c r="AA19" s="656"/>
      <c r="AB19" s="656"/>
      <c r="AC19" s="656"/>
      <c r="AD19" s="656"/>
      <c r="AE19" s="656"/>
      <c r="AF19" s="656"/>
      <c r="AG19" s="656"/>
      <c r="AH19" s="656"/>
      <c r="AI19" s="656"/>
      <c r="AJ19" s="656"/>
      <c r="AK19" s="656"/>
      <c r="AL19" s="656"/>
      <c r="AM19" s="656"/>
      <c r="AN19" s="656"/>
      <c r="AO19" s="656"/>
      <c r="AP19" s="656"/>
      <c r="AQ19" s="656"/>
      <c r="AR19" s="656"/>
      <c r="AS19" s="656"/>
      <c r="AT19" s="656"/>
      <c r="AU19" s="656"/>
      <c r="AV19" s="656"/>
      <c r="AW19" s="656"/>
      <c r="AX19" s="656"/>
      <c r="AY19" s="656"/>
      <c r="AZ19" s="656"/>
      <c r="BA19" s="656"/>
      <c r="BB19" s="656"/>
      <c r="BC19" s="656"/>
      <c r="BD19" s="656"/>
      <c r="BE19" s="656"/>
      <c r="BF19" s="656"/>
      <c r="BG19" s="656"/>
      <c r="BH19" s="656"/>
      <c r="BI19" s="656"/>
      <c r="BJ19" s="656"/>
      <c r="BK19" s="656"/>
      <c r="BL19" s="656"/>
      <c r="BM19" s="656"/>
      <c r="BN19" s="656"/>
      <c r="BO19" s="656"/>
      <c r="BP19" s="656"/>
      <c r="BQ19" s="656"/>
      <c r="BR19" s="656"/>
      <c r="BS19" s="656"/>
      <c r="BT19" s="656"/>
      <c r="BU19" s="656"/>
      <c r="BV19" s="656"/>
      <c r="BW19" s="656"/>
      <c r="BX19" s="656"/>
      <c r="BY19" s="656"/>
      <c r="BZ19" s="656"/>
      <c r="CA19" s="656"/>
      <c r="CB19" s="656"/>
      <c r="CC19" s="656"/>
      <c r="CD19" s="656"/>
      <c r="CE19" s="656"/>
      <c r="CF19" s="656"/>
      <c r="CG19" s="656"/>
      <c r="CH19" s="656"/>
      <c r="CI19" s="656"/>
      <c r="CJ19" s="656"/>
      <c r="CK19" s="656"/>
      <c r="CL19" s="656"/>
      <c r="CM19" s="656"/>
      <c r="CN19" s="656"/>
      <c r="CO19" s="656"/>
      <c r="CP19" s="656"/>
      <c r="CQ19" s="656"/>
      <c r="CR19" s="656"/>
      <c r="CS19" s="656"/>
      <c r="CT19" s="656"/>
      <c r="CU19" s="656"/>
      <c r="CV19" s="656"/>
      <c r="CW19" s="656"/>
      <c r="CX19" s="656"/>
      <c r="CY19" s="656"/>
      <c r="CZ19" s="656"/>
      <c r="DA19" s="656"/>
      <c r="DB19" s="656"/>
      <c r="DC19" s="656"/>
      <c r="DD19" s="656"/>
      <c r="DE19" s="656"/>
      <c r="DF19" s="656"/>
      <c r="DG19" s="656"/>
      <c r="DH19" s="656"/>
      <c r="DI19" s="656"/>
      <c r="DJ19" s="656"/>
      <c r="DK19" s="656"/>
      <c r="DL19" s="656"/>
      <c r="DM19" s="656"/>
      <c r="DN19" s="656"/>
      <c r="DO19" s="656"/>
      <c r="DP19" s="656"/>
      <c r="DQ19" s="656"/>
      <c r="DR19" s="656"/>
      <c r="DS19" s="656"/>
      <c r="DT19" s="656"/>
      <c r="DU19" s="656"/>
      <c r="DV19" s="656"/>
      <c r="DW19" s="656"/>
      <c r="DX19" s="656"/>
      <c r="DY19" s="656"/>
      <c r="DZ19" s="656"/>
      <c r="EA19" s="656"/>
      <c r="EB19" s="656"/>
      <c r="EC19" s="656"/>
      <c r="ED19" s="656"/>
      <c r="EE19" s="656"/>
      <c r="EF19" s="656"/>
      <c r="EG19" s="656"/>
      <c r="EH19" s="656"/>
      <c r="EI19" s="656"/>
      <c r="EJ19" s="656"/>
      <c r="EK19" s="656"/>
      <c r="EL19" s="656"/>
      <c r="EM19" s="656"/>
      <c r="EN19" s="656"/>
      <c r="EO19" s="656"/>
      <c r="EP19" s="656"/>
      <c r="EQ19" s="656"/>
      <c r="ER19" s="656"/>
      <c r="ES19" s="656"/>
      <c r="ET19" s="656"/>
      <c r="EU19" s="656"/>
      <c r="EV19" s="656"/>
      <c r="EW19" s="656"/>
      <c r="EX19" s="656"/>
      <c r="EY19" s="656"/>
      <c r="EZ19" s="656"/>
      <c r="FA19" s="656"/>
      <c r="FB19" s="656"/>
      <c r="FC19" s="656"/>
      <c r="FD19" s="656"/>
      <c r="FE19" s="656"/>
      <c r="FF19" s="656"/>
      <c r="FG19" s="656"/>
      <c r="FH19" s="656"/>
      <c r="FI19" s="656"/>
      <c r="FJ19" s="656"/>
      <c r="FK19" s="656"/>
      <c r="FL19" s="656"/>
      <c r="FM19" s="656"/>
      <c r="FN19" s="656"/>
      <c r="FO19" s="656"/>
      <c r="FP19" s="656"/>
      <c r="FQ19" s="656"/>
      <c r="FR19" s="656"/>
      <c r="FS19" s="656"/>
      <c r="FT19" s="656"/>
      <c r="FU19" s="656"/>
      <c r="FV19" s="656"/>
      <c r="FW19" s="656"/>
      <c r="FX19" s="656"/>
      <c r="FY19" s="656"/>
      <c r="FZ19" s="656"/>
      <c r="GA19" s="656"/>
      <c r="GB19" s="656"/>
      <c r="GC19" s="656"/>
      <c r="GD19" s="656"/>
      <c r="GE19" s="656"/>
      <c r="GF19" s="656"/>
      <c r="GG19" s="656"/>
      <c r="GH19" s="656"/>
      <c r="GI19" s="656"/>
      <c r="GJ19" s="656"/>
      <c r="GK19" s="656"/>
      <c r="GL19" s="656"/>
      <c r="GM19" s="656"/>
      <c r="GN19" s="656"/>
      <c r="GO19" s="656"/>
      <c r="GP19" s="656"/>
      <c r="GQ19" s="656"/>
      <c r="GR19" s="656"/>
      <c r="GS19" s="656"/>
      <c r="GT19" s="656"/>
      <c r="GU19" s="656"/>
      <c r="GV19" s="656"/>
      <c r="GW19" s="656"/>
      <c r="GX19" s="656"/>
      <c r="GY19" s="656"/>
      <c r="GZ19" s="656"/>
      <c r="HA19" s="656"/>
      <c r="HB19" s="656"/>
      <c r="HC19" s="656"/>
      <c r="HD19" s="656"/>
      <c r="HE19" s="656"/>
      <c r="HF19" s="656"/>
      <c r="HG19" s="656"/>
      <c r="HH19" s="656"/>
      <c r="HI19" s="656"/>
      <c r="HJ19" s="656"/>
      <c r="HK19" s="656"/>
      <c r="HL19" s="656"/>
      <c r="HM19" s="656"/>
      <c r="HN19" s="656"/>
      <c r="HO19" s="656"/>
      <c r="HP19" s="656"/>
      <c r="HQ19" s="656"/>
      <c r="HR19" s="656"/>
      <c r="HS19" s="656"/>
      <c r="HT19" s="656"/>
      <c r="HU19" s="656"/>
      <c r="HV19" s="656"/>
      <c r="HW19" s="656"/>
      <c r="HX19" s="656"/>
      <c r="HY19" s="656"/>
      <c r="HZ19" s="656"/>
    </row>
    <row r="20" spans="1:234" s="657" customFormat="1" x14ac:dyDescent="0.25">
      <c r="A20" s="1013"/>
      <c r="B20" s="1014">
        <v>5</v>
      </c>
      <c r="C20" s="1015" t="s">
        <v>840</v>
      </c>
      <c r="D20" s="1016" t="s">
        <v>842</v>
      </c>
      <c r="E20" s="1017">
        <v>1</v>
      </c>
      <c r="F20" s="1018">
        <v>23692</v>
      </c>
      <c r="G20" s="1019">
        <v>23692</v>
      </c>
      <c r="H20" s="486">
        <v>150</v>
      </c>
      <c r="I20" s="482">
        <v>27.605600000000003</v>
      </c>
      <c r="J20" s="1020">
        <v>654031.87520000001</v>
      </c>
      <c r="K20" s="1021">
        <v>27.605600000000003</v>
      </c>
      <c r="L20" s="485">
        <v>654031.87520000001</v>
      </c>
      <c r="M20" s="1024">
        <v>11.000000000000004</v>
      </c>
      <c r="N20" s="480">
        <v>260612.00000000009</v>
      </c>
      <c r="O20" s="1024">
        <v>16.605599999999999</v>
      </c>
      <c r="P20" s="480">
        <v>393419.87519999995</v>
      </c>
      <c r="Q20" s="1024">
        <v>0</v>
      </c>
      <c r="R20" s="480">
        <v>0</v>
      </c>
      <c r="S20" s="1023"/>
      <c r="T20" s="656"/>
      <c r="U20" s="656"/>
      <c r="V20" s="656"/>
      <c r="W20" s="656"/>
      <c r="X20" s="656"/>
      <c r="Y20" s="656"/>
      <c r="Z20" s="656"/>
      <c r="AA20" s="656"/>
      <c r="AB20" s="656"/>
      <c r="AC20" s="656"/>
      <c r="AD20" s="656"/>
      <c r="AE20" s="656"/>
      <c r="AF20" s="656"/>
      <c r="AG20" s="656"/>
      <c r="AH20" s="656"/>
      <c r="AI20" s="656"/>
      <c r="AJ20" s="656"/>
      <c r="AK20" s="656"/>
      <c r="AL20" s="656"/>
      <c r="AM20" s="656"/>
      <c r="AN20" s="656"/>
      <c r="AO20" s="656"/>
      <c r="AP20" s="656"/>
      <c r="AQ20" s="656"/>
      <c r="AR20" s="656"/>
      <c r="AS20" s="656"/>
      <c r="AT20" s="656"/>
      <c r="AU20" s="656"/>
      <c r="AV20" s="656"/>
      <c r="AW20" s="656"/>
      <c r="AX20" s="656"/>
      <c r="AY20" s="656"/>
      <c r="AZ20" s="656"/>
      <c r="BA20" s="656"/>
      <c r="BB20" s="656"/>
      <c r="BC20" s="656"/>
      <c r="BD20" s="656"/>
      <c r="BE20" s="656"/>
      <c r="BF20" s="656"/>
      <c r="BG20" s="656"/>
      <c r="BH20" s="656"/>
      <c r="BI20" s="656"/>
      <c r="BJ20" s="656"/>
      <c r="BK20" s="656"/>
      <c r="BL20" s="656"/>
      <c r="BM20" s="656"/>
      <c r="BN20" s="656"/>
      <c r="BO20" s="656"/>
      <c r="BP20" s="656"/>
      <c r="BQ20" s="656"/>
      <c r="BR20" s="656"/>
      <c r="BS20" s="656"/>
      <c r="BT20" s="656"/>
      <c r="BU20" s="656"/>
      <c r="BV20" s="656"/>
      <c r="BW20" s="656"/>
      <c r="BX20" s="656"/>
      <c r="BY20" s="656"/>
      <c r="BZ20" s="656"/>
      <c r="CA20" s="656"/>
      <c r="CB20" s="656"/>
      <c r="CC20" s="656"/>
      <c r="CD20" s="656"/>
      <c r="CE20" s="656"/>
      <c r="CF20" s="656"/>
      <c r="CG20" s="656"/>
      <c r="CH20" s="656"/>
      <c r="CI20" s="656"/>
      <c r="CJ20" s="656"/>
      <c r="CK20" s="656"/>
      <c r="CL20" s="656"/>
      <c r="CM20" s="656"/>
      <c r="CN20" s="656"/>
      <c r="CO20" s="656"/>
      <c r="CP20" s="656"/>
      <c r="CQ20" s="656"/>
      <c r="CR20" s="656"/>
      <c r="CS20" s="656"/>
      <c r="CT20" s="656"/>
      <c r="CU20" s="656"/>
      <c r="CV20" s="656"/>
      <c r="CW20" s="656"/>
      <c r="CX20" s="656"/>
      <c r="CY20" s="656"/>
      <c r="CZ20" s="656"/>
      <c r="DA20" s="656"/>
      <c r="DB20" s="656"/>
      <c r="DC20" s="656"/>
      <c r="DD20" s="656"/>
      <c r="DE20" s="656"/>
      <c r="DF20" s="656"/>
      <c r="DG20" s="656"/>
      <c r="DH20" s="656"/>
      <c r="DI20" s="656"/>
      <c r="DJ20" s="656"/>
      <c r="DK20" s="656"/>
      <c r="DL20" s="656"/>
      <c r="DM20" s="656"/>
      <c r="DN20" s="656"/>
      <c r="DO20" s="656"/>
      <c r="DP20" s="656"/>
      <c r="DQ20" s="656"/>
      <c r="DR20" s="656"/>
      <c r="DS20" s="656"/>
      <c r="DT20" s="656"/>
      <c r="DU20" s="656"/>
      <c r="DV20" s="656"/>
      <c r="DW20" s="656"/>
      <c r="DX20" s="656"/>
      <c r="DY20" s="656"/>
      <c r="DZ20" s="656"/>
      <c r="EA20" s="656"/>
      <c r="EB20" s="656"/>
      <c r="EC20" s="656"/>
      <c r="ED20" s="656"/>
      <c r="EE20" s="656"/>
      <c r="EF20" s="656"/>
      <c r="EG20" s="656"/>
      <c r="EH20" s="656"/>
      <c r="EI20" s="656"/>
      <c r="EJ20" s="656"/>
      <c r="EK20" s="656"/>
      <c r="EL20" s="656"/>
      <c r="EM20" s="656"/>
      <c r="EN20" s="656"/>
      <c r="EO20" s="656"/>
      <c r="EP20" s="656"/>
      <c r="EQ20" s="656"/>
      <c r="ER20" s="656"/>
      <c r="ES20" s="656"/>
      <c r="ET20" s="656"/>
      <c r="EU20" s="656"/>
      <c r="EV20" s="656"/>
      <c r="EW20" s="656"/>
      <c r="EX20" s="656"/>
      <c r="EY20" s="656"/>
      <c r="EZ20" s="656"/>
      <c r="FA20" s="656"/>
      <c r="FB20" s="656"/>
      <c r="FC20" s="656"/>
      <c r="FD20" s="656"/>
      <c r="FE20" s="656"/>
      <c r="FF20" s="656"/>
      <c r="FG20" s="656"/>
      <c r="FH20" s="656"/>
      <c r="FI20" s="656"/>
      <c r="FJ20" s="656"/>
      <c r="FK20" s="656"/>
      <c r="FL20" s="656"/>
      <c r="FM20" s="656"/>
      <c r="FN20" s="656"/>
      <c r="FO20" s="656"/>
      <c r="FP20" s="656"/>
      <c r="FQ20" s="656"/>
      <c r="FR20" s="656"/>
      <c r="FS20" s="656"/>
      <c r="FT20" s="656"/>
      <c r="FU20" s="656"/>
      <c r="FV20" s="656"/>
      <c r="FW20" s="656"/>
      <c r="FX20" s="656"/>
      <c r="FY20" s="656"/>
      <c r="FZ20" s="656"/>
      <c r="GA20" s="656"/>
      <c r="GB20" s="656"/>
      <c r="GC20" s="656"/>
      <c r="GD20" s="656"/>
      <c r="GE20" s="656"/>
      <c r="GF20" s="656"/>
      <c r="GG20" s="656"/>
      <c r="GH20" s="656"/>
      <c r="GI20" s="656"/>
      <c r="GJ20" s="656"/>
      <c r="GK20" s="656"/>
      <c r="GL20" s="656"/>
      <c r="GM20" s="656"/>
      <c r="GN20" s="656"/>
      <c r="GO20" s="656"/>
      <c r="GP20" s="656"/>
      <c r="GQ20" s="656"/>
      <c r="GR20" s="656"/>
      <c r="GS20" s="656"/>
      <c r="GT20" s="656"/>
      <c r="GU20" s="656"/>
      <c r="GV20" s="656"/>
      <c r="GW20" s="656"/>
      <c r="GX20" s="656"/>
      <c r="GY20" s="656"/>
      <c r="GZ20" s="656"/>
      <c r="HA20" s="656"/>
      <c r="HB20" s="656"/>
      <c r="HC20" s="656"/>
      <c r="HD20" s="656"/>
      <c r="HE20" s="656"/>
      <c r="HF20" s="656"/>
      <c r="HG20" s="656"/>
      <c r="HH20" s="656"/>
      <c r="HI20" s="656"/>
      <c r="HJ20" s="656"/>
      <c r="HK20" s="656"/>
      <c r="HL20" s="656"/>
      <c r="HM20" s="656"/>
      <c r="HN20" s="656"/>
      <c r="HO20" s="656"/>
      <c r="HP20" s="656"/>
      <c r="HQ20" s="656"/>
      <c r="HR20" s="656"/>
      <c r="HS20" s="656"/>
      <c r="HT20" s="656"/>
      <c r="HU20" s="656"/>
      <c r="HV20" s="656"/>
      <c r="HW20" s="656"/>
      <c r="HX20" s="656"/>
      <c r="HY20" s="656"/>
      <c r="HZ20" s="656"/>
    </row>
    <row r="21" spans="1:234" s="657" customFormat="1" x14ac:dyDescent="0.25">
      <c r="A21" s="1013"/>
      <c r="B21" s="1014">
        <v>6</v>
      </c>
      <c r="C21" s="1015" t="s">
        <v>841</v>
      </c>
      <c r="D21" s="1016" t="s">
        <v>842</v>
      </c>
      <c r="E21" s="1017">
        <v>1</v>
      </c>
      <c r="F21" s="1018">
        <v>23921</v>
      </c>
      <c r="G21" s="1019">
        <v>23921</v>
      </c>
      <c r="H21" s="486">
        <v>890</v>
      </c>
      <c r="I21" s="482">
        <v>865.5999999999998</v>
      </c>
      <c r="J21" s="1020">
        <v>20706017.599999994</v>
      </c>
      <c r="K21" s="1021">
        <v>865.5999999999998</v>
      </c>
      <c r="L21" s="485">
        <v>20706017.599999994</v>
      </c>
      <c r="M21" s="1022">
        <v>0</v>
      </c>
      <c r="N21" s="480">
        <v>0</v>
      </c>
      <c r="O21" s="1024">
        <v>865.5999999999998</v>
      </c>
      <c r="P21" s="480">
        <v>20706017.599999994</v>
      </c>
      <c r="Q21" s="1024">
        <v>0</v>
      </c>
      <c r="R21" s="480">
        <v>0</v>
      </c>
      <c r="S21" s="1023"/>
      <c r="T21" s="656"/>
      <c r="U21" s="656"/>
      <c r="V21" s="656"/>
      <c r="W21" s="656"/>
      <c r="X21" s="656"/>
      <c r="Y21" s="656"/>
      <c r="Z21" s="656"/>
      <c r="AA21" s="656"/>
      <c r="AB21" s="656"/>
      <c r="AC21" s="656"/>
      <c r="AD21" s="656"/>
      <c r="AE21" s="656"/>
      <c r="AF21" s="656"/>
      <c r="AG21" s="656"/>
      <c r="AH21" s="656"/>
      <c r="AI21" s="656"/>
      <c r="AJ21" s="656"/>
      <c r="AK21" s="656"/>
      <c r="AL21" s="656"/>
      <c r="AM21" s="656"/>
      <c r="AN21" s="656"/>
      <c r="AO21" s="656"/>
      <c r="AP21" s="656"/>
      <c r="AQ21" s="656"/>
      <c r="AR21" s="656"/>
      <c r="AS21" s="656"/>
      <c r="AT21" s="656"/>
      <c r="AU21" s="656"/>
      <c r="AV21" s="656"/>
      <c r="AW21" s="656"/>
      <c r="AX21" s="656"/>
      <c r="AY21" s="656"/>
      <c r="AZ21" s="656"/>
      <c r="BA21" s="656"/>
      <c r="BB21" s="656"/>
      <c r="BC21" s="656"/>
      <c r="BD21" s="656"/>
      <c r="BE21" s="656"/>
      <c r="BF21" s="656"/>
      <c r="BG21" s="656"/>
      <c r="BH21" s="656"/>
      <c r="BI21" s="656"/>
      <c r="BJ21" s="656"/>
      <c r="BK21" s="656"/>
      <c r="BL21" s="656"/>
      <c r="BM21" s="656"/>
      <c r="BN21" s="656"/>
      <c r="BO21" s="656"/>
      <c r="BP21" s="656"/>
      <c r="BQ21" s="656"/>
      <c r="BR21" s="656"/>
      <c r="BS21" s="656"/>
      <c r="BT21" s="656"/>
      <c r="BU21" s="656"/>
      <c r="BV21" s="656"/>
      <c r="BW21" s="656"/>
      <c r="BX21" s="656"/>
      <c r="BY21" s="656"/>
      <c r="BZ21" s="656"/>
      <c r="CA21" s="656"/>
      <c r="CB21" s="656"/>
      <c r="CC21" s="656"/>
      <c r="CD21" s="656"/>
      <c r="CE21" s="656"/>
      <c r="CF21" s="656"/>
      <c r="CG21" s="656"/>
      <c r="CH21" s="656"/>
      <c r="CI21" s="656"/>
      <c r="CJ21" s="656"/>
      <c r="CK21" s="656"/>
      <c r="CL21" s="656"/>
      <c r="CM21" s="656"/>
      <c r="CN21" s="656"/>
      <c r="CO21" s="656"/>
      <c r="CP21" s="656"/>
      <c r="CQ21" s="656"/>
      <c r="CR21" s="656"/>
      <c r="CS21" s="656"/>
      <c r="CT21" s="656"/>
      <c r="CU21" s="656"/>
      <c r="CV21" s="656"/>
      <c r="CW21" s="656"/>
      <c r="CX21" s="656"/>
      <c r="CY21" s="656"/>
      <c r="CZ21" s="656"/>
      <c r="DA21" s="656"/>
      <c r="DB21" s="656"/>
      <c r="DC21" s="656"/>
      <c r="DD21" s="656"/>
      <c r="DE21" s="656"/>
      <c r="DF21" s="656"/>
      <c r="DG21" s="656"/>
      <c r="DH21" s="656"/>
      <c r="DI21" s="656"/>
      <c r="DJ21" s="656"/>
      <c r="DK21" s="656"/>
      <c r="DL21" s="656"/>
      <c r="DM21" s="656"/>
      <c r="DN21" s="656"/>
      <c r="DO21" s="656"/>
      <c r="DP21" s="656"/>
      <c r="DQ21" s="656"/>
      <c r="DR21" s="656"/>
      <c r="DS21" s="656"/>
      <c r="DT21" s="656"/>
      <c r="DU21" s="656"/>
      <c r="DV21" s="656"/>
      <c r="DW21" s="656"/>
      <c r="DX21" s="656"/>
      <c r="DY21" s="656"/>
      <c r="DZ21" s="656"/>
      <c r="EA21" s="656"/>
      <c r="EB21" s="656"/>
      <c r="EC21" s="656"/>
      <c r="ED21" s="656"/>
      <c r="EE21" s="656"/>
      <c r="EF21" s="656"/>
      <c r="EG21" s="656"/>
      <c r="EH21" s="656"/>
      <c r="EI21" s="656"/>
      <c r="EJ21" s="656"/>
      <c r="EK21" s="656"/>
      <c r="EL21" s="656"/>
      <c r="EM21" s="656"/>
      <c r="EN21" s="656"/>
      <c r="EO21" s="656"/>
      <c r="EP21" s="656"/>
      <c r="EQ21" s="656"/>
      <c r="ER21" s="656"/>
      <c r="ES21" s="656"/>
      <c r="ET21" s="656"/>
      <c r="EU21" s="656"/>
      <c r="EV21" s="656"/>
      <c r="EW21" s="656"/>
      <c r="EX21" s="656"/>
      <c r="EY21" s="656"/>
      <c r="EZ21" s="656"/>
      <c r="FA21" s="656"/>
      <c r="FB21" s="656"/>
      <c r="FC21" s="656"/>
      <c r="FD21" s="656"/>
      <c r="FE21" s="656"/>
      <c r="FF21" s="656"/>
      <c r="FG21" s="656"/>
      <c r="FH21" s="656"/>
      <c r="FI21" s="656"/>
      <c r="FJ21" s="656"/>
      <c r="FK21" s="656"/>
      <c r="FL21" s="656"/>
      <c r="FM21" s="656"/>
      <c r="FN21" s="656"/>
      <c r="FO21" s="656"/>
      <c r="FP21" s="656"/>
      <c r="FQ21" s="656"/>
      <c r="FR21" s="656"/>
      <c r="FS21" s="656"/>
      <c r="FT21" s="656"/>
      <c r="FU21" s="656"/>
      <c r="FV21" s="656"/>
      <c r="FW21" s="656"/>
      <c r="FX21" s="656"/>
      <c r="FY21" s="656"/>
      <c r="FZ21" s="656"/>
      <c r="GA21" s="656"/>
      <c r="GB21" s="656"/>
      <c r="GC21" s="656"/>
      <c r="GD21" s="656"/>
      <c r="GE21" s="656"/>
      <c r="GF21" s="656"/>
      <c r="GG21" s="656"/>
      <c r="GH21" s="656"/>
      <c r="GI21" s="656"/>
      <c r="GJ21" s="656"/>
      <c r="GK21" s="656"/>
      <c r="GL21" s="656"/>
      <c r="GM21" s="656"/>
      <c r="GN21" s="656"/>
      <c r="GO21" s="656"/>
      <c r="GP21" s="656"/>
      <c r="GQ21" s="656"/>
      <c r="GR21" s="656"/>
      <c r="GS21" s="656"/>
      <c r="GT21" s="656"/>
      <c r="GU21" s="656"/>
      <c r="GV21" s="656"/>
      <c r="GW21" s="656"/>
      <c r="GX21" s="656"/>
      <c r="GY21" s="656"/>
      <c r="GZ21" s="656"/>
      <c r="HA21" s="656"/>
      <c r="HB21" s="656"/>
      <c r="HC21" s="656"/>
      <c r="HD21" s="656"/>
      <c r="HE21" s="656"/>
      <c r="HF21" s="656"/>
      <c r="HG21" s="656"/>
      <c r="HH21" s="656"/>
      <c r="HI21" s="656"/>
      <c r="HJ21" s="656"/>
      <c r="HK21" s="656"/>
      <c r="HL21" s="656"/>
      <c r="HM21" s="656"/>
      <c r="HN21" s="656"/>
      <c r="HO21" s="656"/>
      <c r="HP21" s="656"/>
      <c r="HQ21" s="656"/>
      <c r="HR21" s="656"/>
      <c r="HS21" s="656"/>
      <c r="HT21" s="656"/>
      <c r="HU21" s="656"/>
      <c r="HV21" s="656"/>
      <c r="HW21" s="656"/>
      <c r="HX21" s="656"/>
      <c r="HY21" s="656"/>
      <c r="HZ21" s="656"/>
    </row>
    <row r="22" spans="1:234" s="657" customFormat="1" ht="28.5" x14ac:dyDescent="0.25">
      <c r="A22" s="1013"/>
      <c r="B22" s="1014">
        <v>7</v>
      </c>
      <c r="C22" s="1015" t="s">
        <v>1279</v>
      </c>
      <c r="D22" s="1016" t="s">
        <v>842</v>
      </c>
      <c r="E22" s="1017">
        <v>1</v>
      </c>
      <c r="F22" s="1018">
        <v>25084</v>
      </c>
      <c r="G22" s="1019">
        <v>25084</v>
      </c>
      <c r="H22" s="486">
        <v>950</v>
      </c>
      <c r="I22" s="482">
        <v>868.21</v>
      </c>
      <c r="J22" s="1020">
        <v>21778179.640000001</v>
      </c>
      <c r="K22" s="1021">
        <v>868.21</v>
      </c>
      <c r="L22" s="485">
        <v>21778179.640000001</v>
      </c>
      <c r="M22" s="1022">
        <v>0</v>
      </c>
      <c r="N22" s="480">
        <v>0</v>
      </c>
      <c r="O22" s="1024">
        <v>868.21</v>
      </c>
      <c r="P22" s="480">
        <v>21778179.640000001</v>
      </c>
      <c r="Q22" s="1024">
        <v>0</v>
      </c>
      <c r="R22" s="480">
        <v>0</v>
      </c>
      <c r="S22" s="1023"/>
      <c r="T22" s="656"/>
      <c r="U22" s="656"/>
      <c r="V22" s="656"/>
      <c r="W22" s="656"/>
      <c r="X22" s="656"/>
      <c r="Y22" s="656"/>
      <c r="Z22" s="656"/>
      <c r="AA22" s="656"/>
      <c r="AB22" s="656"/>
      <c r="AC22" s="656"/>
      <c r="AD22" s="656"/>
      <c r="AE22" s="656"/>
      <c r="AF22" s="656"/>
      <c r="AG22" s="656"/>
      <c r="AH22" s="656"/>
      <c r="AI22" s="656"/>
      <c r="AJ22" s="656"/>
      <c r="AK22" s="656"/>
      <c r="AL22" s="656"/>
      <c r="AM22" s="656"/>
      <c r="AN22" s="656"/>
      <c r="AO22" s="656"/>
      <c r="AP22" s="656"/>
      <c r="AQ22" s="656"/>
      <c r="AR22" s="656"/>
      <c r="AS22" s="656"/>
      <c r="AT22" s="656"/>
      <c r="AU22" s="656"/>
      <c r="AV22" s="656"/>
      <c r="AW22" s="656"/>
      <c r="AX22" s="656"/>
      <c r="AY22" s="656"/>
      <c r="AZ22" s="656"/>
      <c r="BA22" s="656"/>
      <c r="BB22" s="656"/>
      <c r="BC22" s="656"/>
      <c r="BD22" s="656"/>
      <c r="BE22" s="656"/>
      <c r="BF22" s="656"/>
      <c r="BG22" s="656"/>
      <c r="BH22" s="656"/>
      <c r="BI22" s="656"/>
      <c r="BJ22" s="656"/>
      <c r="BK22" s="656"/>
      <c r="BL22" s="656"/>
      <c r="BM22" s="656"/>
      <c r="BN22" s="656"/>
      <c r="BO22" s="656"/>
      <c r="BP22" s="656"/>
      <c r="BQ22" s="656"/>
      <c r="BR22" s="656"/>
      <c r="BS22" s="656"/>
      <c r="BT22" s="656"/>
      <c r="BU22" s="656"/>
      <c r="BV22" s="656"/>
      <c r="BW22" s="656"/>
      <c r="BX22" s="656"/>
      <c r="BY22" s="656"/>
      <c r="BZ22" s="656"/>
      <c r="CA22" s="656"/>
      <c r="CB22" s="656"/>
      <c r="CC22" s="656"/>
      <c r="CD22" s="656"/>
      <c r="CE22" s="656"/>
      <c r="CF22" s="656"/>
      <c r="CG22" s="656"/>
      <c r="CH22" s="656"/>
      <c r="CI22" s="656"/>
      <c r="CJ22" s="656"/>
      <c r="CK22" s="656"/>
      <c r="CL22" s="656"/>
      <c r="CM22" s="656"/>
      <c r="CN22" s="656"/>
      <c r="CO22" s="656"/>
      <c r="CP22" s="656"/>
      <c r="CQ22" s="656"/>
      <c r="CR22" s="656"/>
      <c r="CS22" s="656"/>
      <c r="CT22" s="656"/>
      <c r="CU22" s="656"/>
      <c r="CV22" s="656"/>
      <c r="CW22" s="656"/>
      <c r="CX22" s="656"/>
      <c r="CY22" s="656"/>
      <c r="CZ22" s="656"/>
      <c r="DA22" s="656"/>
      <c r="DB22" s="656"/>
      <c r="DC22" s="656"/>
      <c r="DD22" s="656"/>
      <c r="DE22" s="656"/>
      <c r="DF22" s="656"/>
      <c r="DG22" s="656"/>
      <c r="DH22" s="656"/>
      <c r="DI22" s="656"/>
      <c r="DJ22" s="656"/>
      <c r="DK22" s="656"/>
      <c r="DL22" s="656"/>
      <c r="DM22" s="656"/>
      <c r="DN22" s="656"/>
      <c r="DO22" s="656"/>
      <c r="DP22" s="656"/>
      <c r="DQ22" s="656"/>
      <c r="DR22" s="656"/>
      <c r="DS22" s="656"/>
      <c r="DT22" s="656"/>
      <c r="DU22" s="656"/>
      <c r="DV22" s="656"/>
      <c r="DW22" s="656"/>
      <c r="DX22" s="656"/>
      <c r="DY22" s="656"/>
      <c r="DZ22" s="656"/>
      <c r="EA22" s="656"/>
      <c r="EB22" s="656"/>
      <c r="EC22" s="656"/>
      <c r="ED22" s="656"/>
      <c r="EE22" s="656"/>
      <c r="EF22" s="656"/>
      <c r="EG22" s="656"/>
      <c r="EH22" s="656"/>
      <c r="EI22" s="656"/>
      <c r="EJ22" s="656"/>
      <c r="EK22" s="656"/>
      <c r="EL22" s="656"/>
      <c r="EM22" s="656"/>
      <c r="EN22" s="656"/>
      <c r="EO22" s="656"/>
      <c r="EP22" s="656"/>
      <c r="EQ22" s="656"/>
      <c r="ER22" s="656"/>
      <c r="ES22" s="656"/>
      <c r="ET22" s="656"/>
      <c r="EU22" s="656"/>
      <c r="EV22" s="656"/>
      <c r="EW22" s="656"/>
      <c r="EX22" s="656"/>
      <c r="EY22" s="656"/>
      <c r="EZ22" s="656"/>
      <c r="FA22" s="656"/>
      <c r="FB22" s="656"/>
      <c r="FC22" s="656"/>
      <c r="FD22" s="656"/>
      <c r="FE22" s="656"/>
      <c r="FF22" s="656"/>
      <c r="FG22" s="656"/>
      <c r="FH22" s="656"/>
      <c r="FI22" s="656"/>
      <c r="FJ22" s="656"/>
      <c r="FK22" s="656"/>
      <c r="FL22" s="656"/>
      <c r="FM22" s="656"/>
      <c r="FN22" s="656"/>
      <c r="FO22" s="656"/>
      <c r="FP22" s="656"/>
      <c r="FQ22" s="656"/>
      <c r="FR22" s="656"/>
      <c r="FS22" s="656"/>
      <c r="FT22" s="656"/>
      <c r="FU22" s="656"/>
      <c r="FV22" s="656"/>
      <c r="FW22" s="656"/>
      <c r="FX22" s="656"/>
      <c r="FY22" s="656"/>
      <c r="FZ22" s="656"/>
      <c r="GA22" s="656"/>
      <c r="GB22" s="656"/>
      <c r="GC22" s="656"/>
      <c r="GD22" s="656"/>
      <c r="GE22" s="656"/>
      <c r="GF22" s="656"/>
      <c r="GG22" s="656"/>
      <c r="GH22" s="656"/>
      <c r="GI22" s="656"/>
      <c r="GJ22" s="656"/>
      <c r="GK22" s="656"/>
      <c r="GL22" s="656"/>
      <c r="GM22" s="656"/>
      <c r="GN22" s="656"/>
      <c r="GO22" s="656"/>
      <c r="GP22" s="656"/>
      <c r="GQ22" s="656"/>
      <c r="GR22" s="656"/>
      <c r="GS22" s="656"/>
      <c r="GT22" s="656"/>
      <c r="GU22" s="656"/>
      <c r="GV22" s="656"/>
      <c r="GW22" s="656"/>
      <c r="GX22" s="656"/>
      <c r="GY22" s="656"/>
      <c r="GZ22" s="656"/>
      <c r="HA22" s="656"/>
      <c r="HB22" s="656"/>
      <c r="HC22" s="656"/>
      <c r="HD22" s="656"/>
      <c r="HE22" s="656"/>
      <c r="HF22" s="656"/>
      <c r="HG22" s="656"/>
      <c r="HH22" s="656"/>
      <c r="HI22" s="656"/>
      <c r="HJ22" s="656"/>
      <c r="HK22" s="656"/>
      <c r="HL22" s="656"/>
      <c r="HM22" s="656"/>
      <c r="HN22" s="656"/>
      <c r="HO22" s="656"/>
      <c r="HP22" s="656"/>
      <c r="HQ22" s="656"/>
      <c r="HR22" s="656"/>
      <c r="HS22" s="656"/>
      <c r="HT22" s="656"/>
      <c r="HU22" s="656"/>
      <c r="HV22" s="656"/>
      <c r="HW22" s="656"/>
      <c r="HX22" s="656"/>
      <c r="HY22" s="656"/>
      <c r="HZ22" s="656"/>
    </row>
    <row r="23" spans="1:234" s="657" customFormat="1" ht="71.25" x14ac:dyDescent="0.25">
      <c r="A23" s="1013"/>
      <c r="B23" s="1014">
        <v>10</v>
      </c>
      <c r="C23" s="1015" t="s">
        <v>1280</v>
      </c>
      <c r="D23" s="1016" t="s">
        <v>912</v>
      </c>
      <c r="E23" s="1017">
        <v>1</v>
      </c>
      <c r="F23" s="1018">
        <v>126213</v>
      </c>
      <c r="G23" s="1019">
        <v>126213</v>
      </c>
      <c r="H23" s="486">
        <v>37</v>
      </c>
      <c r="I23" s="482">
        <v>54.11</v>
      </c>
      <c r="J23" s="1020">
        <v>6829385.4299999997</v>
      </c>
      <c r="K23" s="1021">
        <v>54.11</v>
      </c>
      <c r="L23" s="485">
        <v>6829385.4299999997</v>
      </c>
      <c r="M23" s="1022">
        <v>0</v>
      </c>
      <c r="N23" s="480">
        <v>0</v>
      </c>
      <c r="O23" s="1022">
        <v>0</v>
      </c>
      <c r="P23" s="480">
        <v>0</v>
      </c>
      <c r="Q23" s="1024">
        <v>54.11</v>
      </c>
      <c r="R23" s="480">
        <v>6829385.4299999997</v>
      </c>
      <c r="S23" s="1023"/>
      <c r="T23" s="656"/>
      <c r="U23" s="656"/>
      <c r="V23" s="656"/>
      <c r="W23" s="656"/>
      <c r="X23" s="656"/>
      <c r="Y23" s="656"/>
      <c r="Z23" s="656"/>
      <c r="AA23" s="656"/>
      <c r="AB23" s="656"/>
      <c r="AC23" s="656"/>
      <c r="AD23" s="656"/>
      <c r="AE23" s="656"/>
      <c r="AF23" s="656"/>
      <c r="AG23" s="656"/>
      <c r="AH23" s="656"/>
      <c r="AI23" s="656"/>
      <c r="AJ23" s="656"/>
      <c r="AK23" s="656"/>
      <c r="AL23" s="656"/>
      <c r="AM23" s="656"/>
      <c r="AN23" s="656"/>
      <c r="AO23" s="656"/>
      <c r="AP23" s="656"/>
      <c r="AQ23" s="656"/>
      <c r="AR23" s="656"/>
      <c r="AS23" s="656"/>
      <c r="AT23" s="656"/>
      <c r="AU23" s="656"/>
      <c r="AV23" s="656"/>
      <c r="AW23" s="656"/>
      <c r="AX23" s="656"/>
      <c r="AY23" s="656"/>
      <c r="AZ23" s="656"/>
      <c r="BA23" s="656"/>
      <c r="BB23" s="656"/>
      <c r="BC23" s="656"/>
      <c r="BD23" s="656"/>
      <c r="BE23" s="656"/>
      <c r="BF23" s="656"/>
      <c r="BG23" s="656"/>
      <c r="BH23" s="656"/>
      <c r="BI23" s="656"/>
      <c r="BJ23" s="656"/>
      <c r="BK23" s="656"/>
      <c r="BL23" s="656"/>
      <c r="BM23" s="656"/>
      <c r="BN23" s="656"/>
      <c r="BO23" s="656"/>
      <c r="BP23" s="656"/>
      <c r="BQ23" s="656"/>
      <c r="BR23" s="656"/>
      <c r="BS23" s="656"/>
      <c r="BT23" s="656"/>
      <c r="BU23" s="656"/>
      <c r="BV23" s="656"/>
      <c r="BW23" s="656"/>
      <c r="BX23" s="656"/>
      <c r="BY23" s="656"/>
      <c r="BZ23" s="656"/>
      <c r="CA23" s="656"/>
      <c r="CB23" s="656"/>
      <c r="CC23" s="656"/>
      <c r="CD23" s="656"/>
      <c r="CE23" s="656"/>
      <c r="CF23" s="656"/>
      <c r="CG23" s="656"/>
      <c r="CH23" s="656"/>
      <c r="CI23" s="656"/>
      <c r="CJ23" s="656"/>
      <c r="CK23" s="656"/>
      <c r="CL23" s="656"/>
      <c r="CM23" s="656"/>
      <c r="CN23" s="656"/>
      <c r="CO23" s="656"/>
      <c r="CP23" s="656"/>
      <c r="CQ23" s="656"/>
      <c r="CR23" s="656"/>
      <c r="CS23" s="656"/>
      <c r="CT23" s="656"/>
      <c r="CU23" s="656"/>
      <c r="CV23" s="656"/>
      <c r="CW23" s="656"/>
      <c r="CX23" s="656"/>
      <c r="CY23" s="656"/>
      <c r="CZ23" s="656"/>
      <c r="DA23" s="656"/>
      <c r="DB23" s="656"/>
      <c r="DC23" s="656"/>
      <c r="DD23" s="656"/>
      <c r="DE23" s="656"/>
      <c r="DF23" s="656"/>
      <c r="DG23" s="656"/>
      <c r="DH23" s="656"/>
      <c r="DI23" s="656"/>
      <c r="DJ23" s="656"/>
      <c r="DK23" s="656"/>
      <c r="DL23" s="656"/>
      <c r="DM23" s="656"/>
      <c r="DN23" s="656"/>
      <c r="DO23" s="656"/>
      <c r="DP23" s="656"/>
      <c r="DQ23" s="656"/>
      <c r="DR23" s="656"/>
      <c r="DS23" s="656"/>
      <c r="DT23" s="656"/>
      <c r="DU23" s="656"/>
      <c r="DV23" s="656"/>
      <c r="DW23" s="656"/>
      <c r="DX23" s="656"/>
      <c r="DY23" s="656"/>
      <c r="DZ23" s="656"/>
      <c r="EA23" s="656"/>
      <c r="EB23" s="656"/>
      <c r="EC23" s="656"/>
      <c r="ED23" s="656"/>
      <c r="EE23" s="656"/>
      <c r="EF23" s="656"/>
      <c r="EG23" s="656"/>
      <c r="EH23" s="656"/>
      <c r="EI23" s="656"/>
      <c r="EJ23" s="656"/>
      <c r="EK23" s="656"/>
      <c r="EL23" s="656"/>
      <c r="EM23" s="656"/>
      <c r="EN23" s="656"/>
      <c r="EO23" s="656"/>
      <c r="EP23" s="656"/>
      <c r="EQ23" s="656"/>
      <c r="ER23" s="656"/>
      <c r="ES23" s="656"/>
      <c r="ET23" s="656"/>
      <c r="EU23" s="656"/>
      <c r="EV23" s="656"/>
      <c r="EW23" s="656"/>
      <c r="EX23" s="656"/>
      <c r="EY23" s="656"/>
      <c r="EZ23" s="656"/>
      <c r="FA23" s="656"/>
      <c r="FB23" s="656"/>
      <c r="FC23" s="656"/>
      <c r="FD23" s="656"/>
      <c r="FE23" s="656"/>
      <c r="FF23" s="656"/>
      <c r="FG23" s="656"/>
      <c r="FH23" s="656"/>
      <c r="FI23" s="656"/>
      <c r="FJ23" s="656"/>
      <c r="FK23" s="656"/>
      <c r="FL23" s="656"/>
      <c r="FM23" s="656"/>
      <c r="FN23" s="656"/>
      <c r="FO23" s="656"/>
      <c r="FP23" s="656"/>
      <c r="FQ23" s="656"/>
      <c r="FR23" s="656"/>
      <c r="FS23" s="656"/>
      <c r="FT23" s="656"/>
      <c r="FU23" s="656"/>
      <c r="FV23" s="656"/>
      <c r="FW23" s="656"/>
      <c r="FX23" s="656"/>
      <c r="FY23" s="656"/>
      <c r="FZ23" s="656"/>
      <c r="GA23" s="656"/>
      <c r="GB23" s="656"/>
      <c r="GC23" s="656"/>
      <c r="GD23" s="656"/>
      <c r="GE23" s="656"/>
      <c r="GF23" s="656"/>
      <c r="GG23" s="656"/>
      <c r="GH23" s="656"/>
      <c r="GI23" s="656"/>
      <c r="GJ23" s="656"/>
      <c r="GK23" s="656"/>
      <c r="GL23" s="656"/>
      <c r="GM23" s="656"/>
      <c r="GN23" s="656"/>
      <c r="GO23" s="656"/>
      <c r="GP23" s="656"/>
      <c r="GQ23" s="656"/>
      <c r="GR23" s="656"/>
      <c r="GS23" s="656"/>
      <c r="GT23" s="656"/>
      <c r="GU23" s="656"/>
      <c r="GV23" s="656"/>
      <c r="GW23" s="656"/>
      <c r="GX23" s="656"/>
      <c r="GY23" s="656"/>
      <c r="GZ23" s="656"/>
      <c r="HA23" s="656"/>
      <c r="HB23" s="656"/>
      <c r="HC23" s="656"/>
      <c r="HD23" s="656"/>
      <c r="HE23" s="656"/>
      <c r="HF23" s="656"/>
      <c r="HG23" s="656"/>
      <c r="HH23" s="656"/>
      <c r="HI23" s="656"/>
      <c r="HJ23" s="656"/>
      <c r="HK23" s="656"/>
      <c r="HL23" s="656"/>
      <c r="HM23" s="656"/>
      <c r="HN23" s="656"/>
      <c r="HO23" s="656"/>
      <c r="HP23" s="656"/>
      <c r="HQ23" s="656"/>
      <c r="HR23" s="656"/>
      <c r="HS23" s="656"/>
      <c r="HT23" s="656"/>
      <c r="HU23" s="656"/>
      <c r="HV23" s="656"/>
      <c r="HW23" s="656"/>
      <c r="HX23" s="656"/>
      <c r="HY23" s="656"/>
      <c r="HZ23" s="656"/>
    </row>
    <row r="24" spans="1:234" s="657" customFormat="1" ht="28.5" x14ac:dyDescent="0.25">
      <c r="A24" s="1013"/>
      <c r="B24" s="1014">
        <v>11</v>
      </c>
      <c r="C24" s="1015" t="s">
        <v>1281</v>
      </c>
      <c r="D24" s="1016" t="s">
        <v>912</v>
      </c>
      <c r="E24" s="1017">
        <v>1</v>
      </c>
      <c r="F24" s="1018">
        <v>15640</v>
      </c>
      <c r="G24" s="1019">
        <v>15640</v>
      </c>
      <c r="H24" s="486">
        <v>80</v>
      </c>
      <c r="I24" s="482">
        <v>107.08</v>
      </c>
      <c r="J24" s="1020">
        <v>1674731.2</v>
      </c>
      <c r="K24" s="1021">
        <v>107.08</v>
      </c>
      <c r="L24" s="485">
        <v>1674731.2</v>
      </c>
      <c r="M24" s="1022"/>
      <c r="N24" s="480">
        <v>0</v>
      </c>
      <c r="O24" s="1024">
        <v>107.08</v>
      </c>
      <c r="P24" s="480">
        <v>1674731.2</v>
      </c>
      <c r="Q24" s="1024">
        <v>0</v>
      </c>
      <c r="R24" s="480">
        <v>0</v>
      </c>
      <c r="S24" s="1023"/>
      <c r="T24" s="656"/>
      <c r="U24" s="656"/>
      <c r="V24" s="656"/>
      <c r="W24" s="656"/>
      <c r="X24" s="656"/>
      <c r="Y24" s="656"/>
      <c r="Z24" s="656"/>
      <c r="AA24" s="656"/>
      <c r="AB24" s="656"/>
      <c r="AC24" s="656"/>
      <c r="AD24" s="656"/>
      <c r="AE24" s="656"/>
      <c r="AF24" s="656"/>
      <c r="AG24" s="656"/>
      <c r="AH24" s="656"/>
      <c r="AI24" s="656"/>
      <c r="AJ24" s="656"/>
      <c r="AK24" s="656"/>
      <c r="AL24" s="656"/>
      <c r="AM24" s="656"/>
      <c r="AN24" s="656"/>
      <c r="AO24" s="656"/>
      <c r="AP24" s="656"/>
      <c r="AQ24" s="656"/>
      <c r="AR24" s="656"/>
      <c r="AS24" s="656"/>
      <c r="AT24" s="656"/>
      <c r="AU24" s="656"/>
      <c r="AV24" s="656"/>
      <c r="AW24" s="656"/>
      <c r="AX24" s="656"/>
      <c r="AY24" s="656"/>
      <c r="AZ24" s="656"/>
      <c r="BA24" s="656"/>
      <c r="BB24" s="656"/>
      <c r="BC24" s="656"/>
      <c r="BD24" s="656"/>
      <c r="BE24" s="656"/>
      <c r="BF24" s="656"/>
      <c r="BG24" s="656"/>
      <c r="BH24" s="656"/>
      <c r="BI24" s="656"/>
      <c r="BJ24" s="656"/>
      <c r="BK24" s="656"/>
      <c r="BL24" s="656"/>
      <c r="BM24" s="656"/>
      <c r="BN24" s="656"/>
      <c r="BO24" s="656"/>
      <c r="BP24" s="656"/>
      <c r="BQ24" s="656"/>
      <c r="BR24" s="656"/>
      <c r="BS24" s="656"/>
      <c r="BT24" s="656"/>
      <c r="BU24" s="656"/>
      <c r="BV24" s="656"/>
      <c r="BW24" s="656"/>
      <c r="BX24" s="656"/>
      <c r="BY24" s="656"/>
      <c r="BZ24" s="656"/>
      <c r="CA24" s="656"/>
      <c r="CB24" s="656"/>
      <c r="CC24" s="656"/>
      <c r="CD24" s="656"/>
      <c r="CE24" s="656"/>
      <c r="CF24" s="656"/>
      <c r="CG24" s="656"/>
      <c r="CH24" s="656"/>
      <c r="CI24" s="656"/>
      <c r="CJ24" s="656"/>
      <c r="CK24" s="656"/>
      <c r="CL24" s="656"/>
      <c r="CM24" s="656"/>
      <c r="CN24" s="656"/>
      <c r="CO24" s="656"/>
      <c r="CP24" s="656"/>
      <c r="CQ24" s="656"/>
      <c r="CR24" s="656"/>
      <c r="CS24" s="656"/>
      <c r="CT24" s="656"/>
      <c r="CU24" s="656"/>
      <c r="CV24" s="656"/>
      <c r="CW24" s="656"/>
      <c r="CX24" s="656"/>
      <c r="CY24" s="656"/>
      <c r="CZ24" s="656"/>
      <c r="DA24" s="656"/>
      <c r="DB24" s="656"/>
      <c r="DC24" s="656"/>
      <c r="DD24" s="656"/>
      <c r="DE24" s="656"/>
      <c r="DF24" s="656"/>
      <c r="DG24" s="656"/>
      <c r="DH24" s="656"/>
      <c r="DI24" s="656"/>
      <c r="DJ24" s="656"/>
      <c r="DK24" s="656"/>
      <c r="DL24" s="656"/>
      <c r="DM24" s="656"/>
      <c r="DN24" s="656"/>
      <c r="DO24" s="656"/>
      <c r="DP24" s="656"/>
      <c r="DQ24" s="656"/>
      <c r="DR24" s="656"/>
      <c r="DS24" s="656"/>
      <c r="DT24" s="656"/>
      <c r="DU24" s="656"/>
      <c r="DV24" s="656"/>
      <c r="DW24" s="656"/>
      <c r="DX24" s="656"/>
      <c r="DY24" s="656"/>
      <c r="DZ24" s="656"/>
      <c r="EA24" s="656"/>
      <c r="EB24" s="656"/>
      <c r="EC24" s="656"/>
      <c r="ED24" s="656"/>
      <c r="EE24" s="656"/>
      <c r="EF24" s="656"/>
      <c r="EG24" s="656"/>
      <c r="EH24" s="656"/>
      <c r="EI24" s="656"/>
      <c r="EJ24" s="656"/>
      <c r="EK24" s="656"/>
      <c r="EL24" s="656"/>
      <c r="EM24" s="656"/>
      <c r="EN24" s="656"/>
      <c r="EO24" s="656"/>
      <c r="EP24" s="656"/>
      <c r="EQ24" s="656"/>
      <c r="ER24" s="656"/>
      <c r="ES24" s="656"/>
      <c r="ET24" s="656"/>
      <c r="EU24" s="656"/>
      <c r="EV24" s="656"/>
      <c r="EW24" s="656"/>
      <c r="EX24" s="656"/>
      <c r="EY24" s="656"/>
      <c r="EZ24" s="656"/>
      <c r="FA24" s="656"/>
      <c r="FB24" s="656"/>
      <c r="FC24" s="656"/>
      <c r="FD24" s="656"/>
      <c r="FE24" s="656"/>
      <c r="FF24" s="656"/>
      <c r="FG24" s="656"/>
      <c r="FH24" s="656"/>
      <c r="FI24" s="656"/>
      <c r="FJ24" s="656"/>
      <c r="FK24" s="656"/>
      <c r="FL24" s="656"/>
      <c r="FM24" s="656"/>
      <c r="FN24" s="656"/>
      <c r="FO24" s="656"/>
      <c r="FP24" s="656"/>
      <c r="FQ24" s="656"/>
      <c r="FR24" s="656"/>
      <c r="FS24" s="656"/>
      <c r="FT24" s="656"/>
      <c r="FU24" s="656"/>
      <c r="FV24" s="656"/>
      <c r="FW24" s="656"/>
      <c r="FX24" s="656"/>
      <c r="FY24" s="656"/>
      <c r="FZ24" s="656"/>
      <c r="GA24" s="656"/>
      <c r="GB24" s="656"/>
      <c r="GC24" s="656"/>
      <c r="GD24" s="656"/>
      <c r="GE24" s="656"/>
      <c r="GF24" s="656"/>
      <c r="GG24" s="656"/>
      <c r="GH24" s="656"/>
      <c r="GI24" s="656"/>
      <c r="GJ24" s="656"/>
      <c r="GK24" s="656"/>
      <c r="GL24" s="656"/>
      <c r="GM24" s="656"/>
      <c r="GN24" s="656"/>
      <c r="GO24" s="656"/>
      <c r="GP24" s="656"/>
      <c r="GQ24" s="656"/>
      <c r="GR24" s="656"/>
      <c r="GS24" s="656"/>
      <c r="GT24" s="656"/>
      <c r="GU24" s="656"/>
      <c r="GV24" s="656"/>
      <c r="GW24" s="656"/>
      <c r="GX24" s="656"/>
      <c r="GY24" s="656"/>
      <c r="GZ24" s="656"/>
      <c r="HA24" s="656"/>
      <c r="HB24" s="656"/>
      <c r="HC24" s="656"/>
      <c r="HD24" s="656"/>
      <c r="HE24" s="656"/>
      <c r="HF24" s="656"/>
      <c r="HG24" s="656"/>
      <c r="HH24" s="656"/>
      <c r="HI24" s="656"/>
      <c r="HJ24" s="656"/>
      <c r="HK24" s="656"/>
      <c r="HL24" s="656"/>
      <c r="HM24" s="656"/>
      <c r="HN24" s="656"/>
      <c r="HO24" s="656"/>
      <c r="HP24" s="656"/>
      <c r="HQ24" s="656"/>
      <c r="HR24" s="656"/>
      <c r="HS24" s="656"/>
      <c r="HT24" s="656"/>
      <c r="HU24" s="656"/>
      <c r="HV24" s="656"/>
      <c r="HW24" s="656"/>
      <c r="HX24" s="656"/>
      <c r="HY24" s="656"/>
      <c r="HZ24" s="656"/>
    </row>
    <row r="25" spans="1:234" s="657" customFormat="1" x14ac:dyDescent="0.25">
      <c r="A25" s="1013"/>
      <c r="B25" s="996"/>
      <c r="C25" s="997" t="s">
        <v>1282</v>
      </c>
      <c r="D25" s="998"/>
      <c r="E25" s="999"/>
      <c r="F25" s="1000"/>
      <c r="G25" s="1001"/>
      <c r="H25" s="1002"/>
      <c r="I25" s="1003"/>
      <c r="J25" s="1025"/>
      <c r="K25" s="1005"/>
      <c r="L25" s="1006"/>
      <c r="M25" s="1007"/>
      <c r="N25" s="1008"/>
      <c r="O25" s="1007"/>
      <c r="P25" s="1008"/>
      <c r="Q25" s="1007"/>
      <c r="R25" s="1008"/>
      <c r="S25" s="1023"/>
      <c r="T25" s="656"/>
      <c r="U25" s="656"/>
      <c r="V25" s="656"/>
      <c r="W25" s="656"/>
      <c r="X25" s="656"/>
      <c r="Y25" s="656"/>
      <c r="Z25" s="656"/>
      <c r="AA25" s="656"/>
      <c r="AB25" s="656"/>
      <c r="AC25" s="656"/>
      <c r="AD25" s="656"/>
      <c r="AE25" s="656"/>
      <c r="AF25" s="656"/>
      <c r="AG25" s="656"/>
      <c r="AH25" s="656"/>
      <c r="AI25" s="656"/>
      <c r="AJ25" s="656"/>
      <c r="AK25" s="656"/>
      <c r="AL25" s="656"/>
      <c r="AM25" s="656"/>
      <c r="AN25" s="656"/>
      <c r="AO25" s="656"/>
      <c r="AP25" s="656"/>
      <c r="AQ25" s="656"/>
      <c r="AR25" s="656"/>
      <c r="AS25" s="656"/>
      <c r="AT25" s="656"/>
      <c r="AU25" s="656"/>
      <c r="AV25" s="656"/>
      <c r="AW25" s="656"/>
      <c r="AX25" s="656"/>
      <c r="AY25" s="656"/>
      <c r="AZ25" s="656"/>
      <c r="BA25" s="656"/>
      <c r="BB25" s="656"/>
      <c r="BC25" s="656"/>
      <c r="BD25" s="656"/>
      <c r="BE25" s="656"/>
      <c r="BF25" s="656"/>
      <c r="BG25" s="656"/>
      <c r="BH25" s="656"/>
      <c r="BI25" s="656"/>
      <c r="BJ25" s="656"/>
      <c r="BK25" s="656"/>
      <c r="BL25" s="656"/>
      <c r="BM25" s="656"/>
      <c r="BN25" s="656"/>
      <c r="BO25" s="656"/>
      <c r="BP25" s="656"/>
      <c r="BQ25" s="656"/>
      <c r="BR25" s="656"/>
      <c r="BS25" s="656"/>
      <c r="BT25" s="656"/>
      <c r="BU25" s="656"/>
      <c r="BV25" s="656"/>
      <c r="BW25" s="656"/>
      <c r="BX25" s="656"/>
      <c r="BY25" s="656"/>
      <c r="BZ25" s="656"/>
      <c r="CA25" s="656"/>
      <c r="CB25" s="656"/>
      <c r="CC25" s="656"/>
      <c r="CD25" s="656"/>
      <c r="CE25" s="656"/>
      <c r="CF25" s="656"/>
      <c r="CG25" s="656"/>
      <c r="CH25" s="656"/>
      <c r="CI25" s="656"/>
      <c r="CJ25" s="656"/>
      <c r="CK25" s="656"/>
      <c r="CL25" s="656"/>
      <c r="CM25" s="656"/>
      <c r="CN25" s="656"/>
      <c r="CO25" s="656"/>
      <c r="CP25" s="656"/>
      <c r="CQ25" s="656"/>
      <c r="CR25" s="656"/>
      <c r="CS25" s="656"/>
      <c r="CT25" s="656"/>
      <c r="CU25" s="656"/>
      <c r="CV25" s="656"/>
      <c r="CW25" s="656"/>
      <c r="CX25" s="656"/>
      <c r="CY25" s="656"/>
      <c r="CZ25" s="656"/>
      <c r="DA25" s="656"/>
      <c r="DB25" s="656"/>
      <c r="DC25" s="656"/>
      <c r="DD25" s="656"/>
      <c r="DE25" s="656"/>
      <c r="DF25" s="656"/>
      <c r="DG25" s="656"/>
      <c r="DH25" s="656"/>
      <c r="DI25" s="656"/>
      <c r="DJ25" s="656"/>
      <c r="DK25" s="656"/>
      <c r="DL25" s="656"/>
      <c r="DM25" s="656"/>
      <c r="DN25" s="656"/>
      <c r="DO25" s="656"/>
      <c r="DP25" s="656"/>
      <c r="DQ25" s="656"/>
      <c r="DR25" s="656"/>
      <c r="DS25" s="656"/>
      <c r="DT25" s="656"/>
      <c r="DU25" s="656"/>
      <c r="DV25" s="656"/>
      <c r="DW25" s="656"/>
      <c r="DX25" s="656"/>
      <c r="DY25" s="656"/>
      <c r="DZ25" s="656"/>
      <c r="EA25" s="656"/>
      <c r="EB25" s="656"/>
      <c r="EC25" s="656"/>
      <c r="ED25" s="656"/>
      <c r="EE25" s="656"/>
      <c r="EF25" s="656"/>
      <c r="EG25" s="656"/>
      <c r="EH25" s="656"/>
      <c r="EI25" s="656"/>
      <c r="EJ25" s="656"/>
      <c r="EK25" s="656"/>
      <c r="EL25" s="656"/>
      <c r="EM25" s="656"/>
      <c r="EN25" s="656"/>
      <c r="EO25" s="656"/>
      <c r="EP25" s="656"/>
      <c r="EQ25" s="656"/>
      <c r="ER25" s="656"/>
      <c r="ES25" s="656"/>
      <c r="ET25" s="656"/>
      <c r="EU25" s="656"/>
      <c r="EV25" s="656"/>
      <c r="EW25" s="656"/>
      <c r="EX25" s="656"/>
      <c r="EY25" s="656"/>
      <c r="EZ25" s="656"/>
      <c r="FA25" s="656"/>
      <c r="FB25" s="656"/>
      <c r="FC25" s="656"/>
      <c r="FD25" s="656"/>
      <c r="FE25" s="656"/>
      <c r="FF25" s="656"/>
      <c r="FG25" s="656"/>
      <c r="FH25" s="656"/>
      <c r="FI25" s="656"/>
      <c r="FJ25" s="656"/>
      <c r="FK25" s="656"/>
      <c r="FL25" s="656"/>
      <c r="FM25" s="656"/>
      <c r="FN25" s="656"/>
      <c r="FO25" s="656"/>
      <c r="FP25" s="656"/>
      <c r="FQ25" s="656"/>
      <c r="FR25" s="656"/>
      <c r="FS25" s="656"/>
      <c r="FT25" s="656"/>
      <c r="FU25" s="656"/>
      <c r="FV25" s="656"/>
      <c r="FW25" s="656"/>
      <c r="FX25" s="656"/>
      <c r="FY25" s="656"/>
      <c r="FZ25" s="656"/>
      <c r="GA25" s="656"/>
      <c r="GB25" s="656"/>
      <c r="GC25" s="656"/>
      <c r="GD25" s="656"/>
      <c r="GE25" s="656"/>
      <c r="GF25" s="656"/>
      <c r="GG25" s="656"/>
      <c r="GH25" s="656"/>
      <c r="GI25" s="656"/>
      <c r="GJ25" s="656"/>
      <c r="GK25" s="656"/>
      <c r="GL25" s="656"/>
      <c r="GM25" s="656"/>
      <c r="GN25" s="656"/>
      <c r="GO25" s="656"/>
      <c r="GP25" s="656"/>
      <c r="GQ25" s="656"/>
      <c r="GR25" s="656"/>
      <c r="GS25" s="656"/>
      <c r="GT25" s="656"/>
      <c r="GU25" s="656"/>
      <c r="GV25" s="656"/>
      <c r="GW25" s="656"/>
      <c r="GX25" s="656"/>
      <c r="GY25" s="656"/>
      <c r="GZ25" s="656"/>
      <c r="HA25" s="656"/>
      <c r="HB25" s="656"/>
      <c r="HC25" s="656"/>
      <c r="HD25" s="656"/>
      <c r="HE25" s="656"/>
      <c r="HF25" s="656"/>
      <c r="HG25" s="656"/>
      <c r="HH25" s="656"/>
      <c r="HI25" s="656"/>
      <c r="HJ25" s="656"/>
      <c r="HK25" s="656"/>
      <c r="HL25" s="656"/>
      <c r="HM25" s="656"/>
      <c r="HN25" s="656"/>
      <c r="HO25" s="656"/>
      <c r="HP25" s="656"/>
      <c r="HQ25" s="656"/>
      <c r="HR25" s="656"/>
      <c r="HS25" s="656"/>
      <c r="HT25" s="656"/>
      <c r="HU25" s="656"/>
      <c r="HV25" s="656"/>
      <c r="HW25" s="656"/>
      <c r="HX25" s="656"/>
      <c r="HY25" s="656"/>
      <c r="HZ25" s="656"/>
    </row>
    <row r="26" spans="1:234" s="657" customFormat="1" x14ac:dyDescent="0.25">
      <c r="A26" s="1013"/>
      <c r="B26" s="1014">
        <v>8</v>
      </c>
      <c r="C26" s="1015" t="s">
        <v>843</v>
      </c>
      <c r="D26" s="1016" t="s">
        <v>844</v>
      </c>
      <c r="E26" s="1017">
        <v>1</v>
      </c>
      <c r="F26" s="1018">
        <v>4643</v>
      </c>
      <c r="G26" s="1019">
        <v>4643</v>
      </c>
      <c r="H26" s="486">
        <v>80</v>
      </c>
      <c r="I26" s="1026">
        <v>58.54</v>
      </c>
      <c r="J26" s="1020">
        <v>271801.21999999997</v>
      </c>
      <c r="K26" s="1021">
        <v>58.54</v>
      </c>
      <c r="L26" s="485">
        <v>271801.21999999997</v>
      </c>
      <c r="M26" s="1022">
        <v>0</v>
      </c>
      <c r="N26" s="488">
        <v>0</v>
      </c>
      <c r="O26" s="1024">
        <v>58.54</v>
      </c>
      <c r="P26" s="488">
        <v>271801.21999999997</v>
      </c>
      <c r="Q26" s="1024">
        <v>0</v>
      </c>
      <c r="R26" s="488">
        <v>0</v>
      </c>
      <c r="S26" s="1023"/>
      <c r="T26" s="656"/>
      <c r="U26" s="656"/>
      <c r="V26" s="656"/>
      <c r="W26" s="656"/>
      <c r="X26" s="656"/>
      <c r="Y26" s="656"/>
      <c r="Z26" s="656"/>
      <c r="AA26" s="656"/>
      <c r="AB26" s="656"/>
      <c r="AC26" s="656"/>
      <c r="AD26" s="656"/>
      <c r="AE26" s="656"/>
      <c r="AF26" s="656"/>
      <c r="AG26" s="656"/>
      <c r="AH26" s="656"/>
      <c r="AI26" s="656"/>
      <c r="AJ26" s="656"/>
      <c r="AK26" s="656"/>
      <c r="AL26" s="656"/>
      <c r="AM26" s="656"/>
      <c r="AN26" s="656"/>
      <c r="AO26" s="656"/>
      <c r="AP26" s="656"/>
      <c r="AQ26" s="656"/>
      <c r="AR26" s="656"/>
      <c r="AS26" s="656"/>
      <c r="AT26" s="656"/>
      <c r="AU26" s="656"/>
      <c r="AV26" s="656"/>
      <c r="AW26" s="656"/>
      <c r="AX26" s="656"/>
      <c r="AY26" s="656"/>
      <c r="AZ26" s="656"/>
      <c r="BA26" s="656"/>
      <c r="BB26" s="656"/>
      <c r="BC26" s="656"/>
      <c r="BD26" s="656"/>
      <c r="BE26" s="656"/>
      <c r="BF26" s="656"/>
      <c r="BG26" s="656"/>
      <c r="BH26" s="656"/>
      <c r="BI26" s="656"/>
      <c r="BJ26" s="656"/>
      <c r="BK26" s="656"/>
      <c r="BL26" s="656"/>
      <c r="BM26" s="656"/>
      <c r="BN26" s="656"/>
      <c r="BO26" s="656"/>
      <c r="BP26" s="656"/>
      <c r="BQ26" s="656"/>
      <c r="BR26" s="656"/>
      <c r="BS26" s="656"/>
      <c r="BT26" s="656"/>
      <c r="BU26" s="656"/>
      <c r="BV26" s="656"/>
      <c r="BW26" s="656"/>
      <c r="BX26" s="656"/>
      <c r="BY26" s="656"/>
      <c r="BZ26" s="656"/>
      <c r="CA26" s="656"/>
      <c r="CB26" s="656"/>
      <c r="CC26" s="656"/>
      <c r="CD26" s="656"/>
      <c r="CE26" s="656"/>
      <c r="CF26" s="656"/>
      <c r="CG26" s="656"/>
      <c r="CH26" s="656"/>
      <c r="CI26" s="656"/>
      <c r="CJ26" s="656"/>
      <c r="CK26" s="656"/>
      <c r="CL26" s="656"/>
      <c r="CM26" s="656"/>
      <c r="CN26" s="656"/>
      <c r="CO26" s="656"/>
      <c r="CP26" s="656"/>
      <c r="CQ26" s="656"/>
      <c r="CR26" s="656"/>
      <c r="CS26" s="656"/>
      <c r="CT26" s="656"/>
      <c r="CU26" s="656"/>
      <c r="CV26" s="656"/>
      <c r="CW26" s="656"/>
      <c r="CX26" s="656"/>
      <c r="CY26" s="656"/>
      <c r="CZ26" s="656"/>
      <c r="DA26" s="656"/>
      <c r="DB26" s="656"/>
      <c r="DC26" s="656"/>
      <c r="DD26" s="656"/>
      <c r="DE26" s="656"/>
      <c r="DF26" s="656"/>
      <c r="DG26" s="656"/>
      <c r="DH26" s="656"/>
      <c r="DI26" s="656"/>
      <c r="DJ26" s="656"/>
      <c r="DK26" s="656"/>
      <c r="DL26" s="656"/>
      <c r="DM26" s="656"/>
      <c r="DN26" s="656"/>
      <c r="DO26" s="656"/>
      <c r="DP26" s="656"/>
      <c r="DQ26" s="656"/>
      <c r="DR26" s="656"/>
      <c r="DS26" s="656"/>
      <c r="DT26" s="656"/>
      <c r="DU26" s="656"/>
      <c r="DV26" s="656"/>
      <c r="DW26" s="656"/>
      <c r="DX26" s="656"/>
      <c r="DY26" s="656"/>
      <c r="DZ26" s="656"/>
      <c r="EA26" s="656"/>
      <c r="EB26" s="656"/>
      <c r="EC26" s="656"/>
      <c r="ED26" s="656"/>
      <c r="EE26" s="656"/>
      <c r="EF26" s="656"/>
      <c r="EG26" s="656"/>
      <c r="EH26" s="656"/>
      <c r="EI26" s="656"/>
      <c r="EJ26" s="656"/>
      <c r="EK26" s="656"/>
      <c r="EL26" s="656"/>
      <c r="EM26" s="656"/>
      <c r="EN26" s="656"/>
      <c r="EO26" s="656"/>
      <c r="EP26" s="656"/>
      <c r="EQ26" s="656"/>
      <c r="ER26" s="656"/>
      <c r="ES26" s="656"/>
      <c r="ET26" s="656"/>
      <c r="EU26" s="656"/>
      <c r="EV26" s="656"/>
      <c r="EW26" s="656"/>
      <c r="EX26" s="656"/>
      <c r="EY26" s="656"/>
      <c r="EZ26" s="656"/>
      <c r="FA26" s="656"/>
      <c r="FB26" s="656"/>
      <c r="FC26" s="656"/>
      <c r="FD26" s="656"/>
      <c r="FE26" s="656"/>
      <c r="FF26" s="656"/>
      <c r="FG26" s="656"/>
      <c r="FH26" s="656"/>
      <c r="FI26" s="656"/>
      <c r="FJ26" s="656"/>
      <c r="FK26" s="656"/>
      <c r="FL26" s="656"/>
      <c r="FM26" s="656"/>
      <c r="FN26" s="656"/>
      <c r="FO26" s="656"/>
      <c r="FP26" s="656"/>
      <c r="FQ26" s="656"/>
      <c r="FR26" s="656"/>
      <c r="FS26" s="656"/>
      <c r="FT26" s="656"/>
      <c r="FU26" s="656"/>
      <c r="FV26" s="656"/>
      <c r="FW26" s="656"/>
      <c r="FX26" s="656"/>
      <c r="FY26" s="656"/>
      <c r="FZ26" s="656"/>
      <c r="GA26" s="656"/>
      <c r="GB26" s="656"/>
      <c r="GC26" s="656"/>
      <c r="GD26" s="656"/>
      <c r="GE26" s="656"/>
      <c r="GF26" s="656"/>
      <c r="GG26" s="656"/>
      <c r="GH26" s="656"/>
      <c r="GI26" s="656"/>
      <c r="GJ26" s="656"/>
      <c r="GK26" s="656"/>
      <c r="GL26" s="656"/>
      <c r="GM26" s="656"/>
      <c r="GN26" s="656"/>
      <c r="GO26" s="656"/>
      <c r="GP26" s="656"/>
      <c r="GQ26" s="656"/>
      <c r="GR26" s="656"/>
      <c r="GS26" s="656"/>
      <c r="GT26" s="656"/>
      <c r="GU26" s="656"/>
      <c r="GV26" s="656"/>
      <c r="GW26" s="656"/>
      <c r="GX26" s="656"/>
      <c r="GY26" s="656"/>
      <c r="GZ26" s="656"/>
      <c r="HA26" s="656"/>
      <c r="HB26" s="656"/>
      <c r="HC26" s="656"/>
      <c r="HD26" s="656"/>
      <c r="HE26" s="656"/>
      <c r="HF26" s="656"/>
      <c r="HG26" s="656"/>
      <c r="HH26" s="656"/>
      <c r="HI26" s="656"/>
      <c r="HJ26" s="656"/>
      <c r="HK26" s="656"/>
      <c r="HL26" s="656"/>
      <c r="HM26" s="656"/>
      <c r="HN26" s="656"/>
      <c r="HO26" s="656"/>
      <c r="HP26" s="656"/>
      <c r="HQ26" s="656"/>
      <c r="HR26" s="656"/>
      <c r="HS26" s="656"/>
      <c r="HT26" s="656"/>
      <c r="HU26" s="656"/>
      <c r="HV26" s="656"/>
      <c r="HW26" s="656"/>
      <c r="HX26" s="656"/>
      <c r="HY26" s="656"/>
      <c r="HZ26" s="656"/>
    </row>
    <row r="27" spans="1:234" s="657" customFormat="1" ht="28.5" x14ac:dyDescent="0.25">
      <c r="A27" s="1013"/>
      <c r="B27" s="1014">
        <v>9</v>
      </c>
      <c r="C27" s="1015" t="s">
        <v>845</v>
      </c>
      <c r="D27" s="1016" t="s">
        <v>14</v>
      </c>
      <c r="E27" s="1017">
        <v>1</v>
      </c>
      <c r="F27" s="1018">
        <v>29577</v>
      </c>
      <c r="G27" s="1019">
        <v>29577</v>
      </c>
      <c r="H27" s="486">
        <v>85</v>
      </c>
      <c r="I27" s="1026">
        <v>58.54</v>
      </c>
      <c r="J27" s="1020">
        <v>1731437.58</v>
      </c>
      <c r="K27" s="1021">
        <v>58.54</v>
      </c>
      <c r="L27" s="485">
        <v>1731437.58</v>
      </c>
      <c r="M27" s="1022">
        <v>0</v>
      </c>
      <c r="N27" s="488">
        <v>0</v>
      </c>
      <c r="O27" s="1024">
        <v>58.54</v>
      </c>
      <c r="P27" s="488">
        <v>1731437.58</v>
      </c>
      <c r="Q27" s="1024">
        <v>0</v>
      </c>
      <c r="R27" s="488">
        <v>0</v>
      </c>
      <c r="S27" s="1023"/>
      <c r="T27" s="656"/>
      <c r="U27" s="656"/>
      <c r="V27" s="656"/>
      <c r="W27" s="656"/>
      <c r="X27" s="656"/>
      <c r="Y27" s="656"/>
      <c r="Z27" s="656"/>
      <c r="AA27" s="656"/>
      <c r="AB27" s="656"/>
      <c r="AC27" s="656"/>
      <c r="AD27" s="656"/>
      <c r="AE27" s="656"/>
      <c r="AF27" s="656"/>
      <c r="AG27" s="656"/>
      <c r="AH27" s="656"/>
      <c r="AI27" s="656"/>
      <c r="AJ27" s="656"/>
      <c r="AK27" s="656"/>
      <c r="AL27" s="656"/>
      <c r="AM27" s="656"/>
      <c r="AN27" s="656"/>
      <c r="AO27" s="656"/>
      <c r="AP27" s="656"/>
      <c r="AQ27" s="656"/>
      <c r="AR27" s="656"/>
      <c r="AS27" s="656"/>
      <c r="AT27" s="656"/>
      <c r="AU27" s="656"/>
      <c r="AV27" s="656"/>
      <c r="AW27" s="656"/>
      <c r="AX27" s="656"/>
      <c r="AY27" s="656"/>
      <c r="AZ27" s="656"/>
      <c r="BA27" s="656"/>
      <c r="BB27" s="656"/>
      <c r="BC27" s="656"/>
      <c r="BD27" s="656"/>
      <c r="BE27" s="656"/>
      <c r="BF27" s="656"/>
      <c r="BG27" s="656"/>
      <c r="BH27" s="656"/>
      <c r="BI27" s="656"/>
      <c r="BJ27" s="656"/>
      <c r="BK27" s="656"/>
      <c r="BL27" s="656"/>
      <c r="BM27" s="656"/>
      <c r="BN27" s="656"/>
      <c r="BO27" s="656"/>
      <c r="BP27" s="656"/>
      <c r="BQ27" s="656"/>
      <c r="BR27" s="656"/>
      <c r="BS27" s="656"/>
      <c r="BT27" s="656"/>
      <c r="BU27" s="656"/>
      <c r="BV27" s="656"/>
      <c r="BW27" s="656"/>
      <c r="BX27" s="656"/>
      <c r="BY27" s="656"/>
      <c r="BZ27" s="656"/>
      <c r="CA27" s="656"/>
      <c r="CB27" s="656"/>
      <c r="CC27" s="656"/>
      <c r="CD27" s="656"/>
      <c r="CE27" s="656"/>
      <c r="CF27" s="656"/>
      <c r="CG27" s="656"/>
      <c r="CH27" s="656"/>
      <c r="CI27" s="656"/>
      <c r="CJ27" s="656"/>
      <c r="CK27" s="656"/>
      <c r="CL27" s="656"/>
      <c r="CM27" s="656"/>
      <c r="CN27" s="656"/>
      <c r="CO27" s="656"/>
      <c r="CP27" s="656"/>
      <c r="CQ27" s="656"/>
      <c r="CR27" s="656"/>
      <c r="CS27" s="656"/>
      <c r="CT27" s="656"/>
      <c r="CU27" s="656"/>
      <c r="CV27" s="656"/>
      <c r="CW27" s="656"/>
      <c r="CX27" s="656"/>
      <c r="CY27" s="656"/>
      <c r="CZ27" s="656"/>
      <c r="DA27" s="656"/>
      <c r="DB27" s="656"/>
      <c r="DC27" s="656"/>
      <c r="DD27" s="656"/>
      <c r="DE27" s="656"/>
      <c r="DF27" s="656"/>
      <c r="DG27" s="656"/>
      <c r="DH27" s="656"/>
      <c r="DI27" s="656"/>
      <c r="DJ27" s="656"/>
      <c r="DK27" s="656"/>
      <c r="DL27" s="656"/>
      <c r="DM27" s="656"/>
      <c r="DN27" s="656"/>
      <c r="DO27" s="656"/>
      <c r="DP27" s="656"/>
      <c r="DQ27" s="656"/>
      <c r="DR27" s="656"/>
      <c r="DS27" s="656"/>
      <c r="DT27" s="656"/>
      <c r="DU27" s="656"/>
      <c r="DV27" s="656"/>
      <c r="DW27" s="656"/>
      <c r="DX27" s="656"/>
      <c r="DY27" s="656"/>
      <c r="DZ27" s="656"/>
      <c r="EA27" s="656"/>
      <c r="EB27" s="656"/>
      <c r="EC27" s="656"/>
      <c r="ED27" s="656"/>
      <c r="EE27" s="656"/>
      <c r="EF27" s="656"/>
      <c r="EG27" s="656"/>
      <c r="EH27" s="656"/>
      <c r="EI27" s="656"/>
      <c r="EJ27" s="656"/>
      <c r="EK27" s="656"/>
      <c r="EL27" s="656"/>
      <c r="EM27" s="656"/>
      <c r="EN27" s="656"/>
      <c r="EO27" s="656"/>
      <c r="EP27" s="656"/>
      <c r="EQ27" s="656"/>
      <c r="ER27" s="656"/>
      <c r="ES27" s="656"/>
      <c r="ET27" s="656"/>
      <c r="EU27" s="656"/>
      <c r="EV27" s="656"/>
      <c r="EW27" s="656"/>
      <c r="EX27" s="656"/>
      <c r="EY27" s="656"/>
      <c r="EZ27" s="656"/>
      <c r="FA27" s="656"/>
      <c r="FB27" s="656"/>
      <c r="FC27" s="656"/>
      <c r="FD27" s="656"/>
      <c r="FE27" s="656"/>
      <c r="FF27" s="656"/>
      <c r="FG27" s="656"/>
      <c r="FH27" s="656"/>
      <c r="FI27" s="656"/>
      <c r="FJ27" s="656"/>
      <c r="FK27" s="656"/>
      <c r="FL27" s="656"/>
      <c r="FM27" s="656"/>
      <c r="FN27" s="656"/>
      <c r="FO27" s="656"/>
      <c r="FP27" s="656"/>
      <c r="FQ27" s="656"/>
      <c r="FR27" s="656"/>
      <c r="FS27" s="656"/>
      <c r="FT27" s="656"/>
      <c r="FU27" s="656"/>
      <c r="FV27" s="656"/>
      <c r="FW27" s="656"/>
      <c r="FX27" s="656"/>
      <c r="FY27" s="656"/>
      <c r="FZ27" s="656"/>
      <c r="GA27" s="656"/>
      <c r="GB27" s="656"/>
      <c r="GC27" s="656"/>
      <c r="GD27" s="656"/>
      <c r="GE27" s="656"/>
      <c r="GF27" s="656"/>
      <c r="GG27" s="656"/>
      <c r="GH27" s="656"/>
      <c r="GI27" s="656"/>
      <c r="GJ27" s="656"/>
      <c r="GK27" s="656"/>
      <c r="GL27" s="656"/>
      <c r="GM27" s="656"/>
      <c r="GN27" s="656"/>
      <c r="GO27" s="656"/>
      <c r="GP27" s="656"/>
      <c r="GQ27" s="656"/>
      <c r="GR27" s="656"/>
      <c r="GS27" s="656"/>
      <c r="GT27" s="656"/>
      <c r="GU27" s="656"/>
      <c r="GV27" s="656"/>
      <c r="GW27" s="656"/>
      <c r="GX27" s="656"/>
      <c r="GY27" s="656"/>
      <c r="GZ27" s="656"/>
      <c r="HA27" s="656"/>
      <c r="HB27" s="656"/>
      <c r="HC27" s="656"/>
      <c r="HD27" s="656"/>
      <c r="HE27" s="656"/>
      <c r="HF27" s="656"/>
      <c r="HG27" s="656"/>
      <c r="HH27" s="656"/>
      <c r="HI27" s="656"/>
      <c r="HJ27" s="656"/>
      <c r="HK27" s="656"/>
      <c r="HL27" s="656"/>
      <c r="HM27" s="656"/>
      <c r="HN27" s="656"/>
      <c r="HO27" s="656"/>
      <c r="HP27" s="656"/>
      <c r="HQ27" s="656"/>
      <c r="HR27" s="656"/>
      <c r="HS27" s="656"/>
      <c r="HT27" s="656"/>
      <c r="HU27" s="656"/>
      <c r="HV27" s="656"/>
      <c r="HW27" s="656"/>
      <c r="HX27" s="656"/>
      <c r="HY27" s="656"/>
      <c r="HZ27" s="656"/>
    </row>
    <row r="28" spans="1:234" s="657" customFormat="1" x14ac:dyDescent="0.25">
      <c r="A28" s="1013"/>
      <c r="B28" s="1014">
        <v>12</v>
      </c>
      <c r="C28" s="1015" t="s">
        <v>1283</v>
      </c>
      <c r="D28" s="1016" t="s">
        <v>842</v>
      </c>
      <c r="E28" s="1017">
        <v>1</v>
      </c>
      <c r="F28" s="1018">
        <v>4114</v>
      </c>
      <c r="G28" s="1019">
        <v>4114</v>
      </c>
      <c r="H28" s="486">
        <v>7</v>
      </c>
      <c r="I28" s="1026">
        <v>7</v>
      </c>
      <c r="J28" s="1020">
        <v>28798</v>
      </c>
      <c r="K28" s="1021">
        <v>0</v>
      </c>
      <c r="L28" s="485">
        <v>0</v>
      </c>
      <c r="M28" s="1022">
        <v>0</v>
      </c>
      <c r="N28" s="488">
        <v>0</v>
      </c>
      <c r="O28" s="1022">
        <v>0</v>
      </c>
      <c r="P28" s="488">
        <v>0</v>
      </c>
      <c r="Q28" s="1022">
        <v>0</v>
      </c>
      <c r="R28" s="488">
        <v>0</v>
      </c>
      <c r="S28" s="1023"/>
      <c r="T28" s="656"/>
      <c r="U28" s="656"/>
      <c r="V28" s="656"/>
      <c r="W28" s="656"/>
      <c r="X28" s="656"/>
      <c r="Y28" s="656"/>
      <c r="Z28" s="656"/>
      <c r="AA28" s="656"/>
      <c r="AB28" s="656"/>
      <c r="AC28" s="656"/>
      <c r="AD28" s="656"/>
      <c r="AE28" s="656"/>
      <c r="AF28" s="656"/>
      <c r="AG28" s="656"/>
      <c r="AH28" s="656"/>
      <c r="AI28" s="656"/>
      <c r="AJ28" s="656"/>
      <c r="AK28" s="656"/>
      <c r="AL28" s="656"/>
      <c r="AM28" s="656"/>
      <c r="AN28" s="656"/>
      <c r="AO28" s="656"/>
      <c r="AP28" s="656"/>
      <c r="AQ28" s="656"/>
      <c r="AR28" s="656"/>
      <c r="AS28" s="656"/>
      <c r="AT28" s="656"/>
      <c r="AU28" s="656"/>
      <c r="AV28" s="656"/>
      <c r="AW28" s="656"/>
      <c r="AX28" s="656"/>
      <c r="AY28" s="656"/>
      <c r="AZ28" s="656"/>
      <c r="BA28" s="656"/>
      <c r="BB28" s="656"/>
      <c r="BC28" s="656"/>
      <c r="BD28" s="656"/>
      <c r="BE28" s="656"/>
      <c r="BF28" s="656"/>
      <c r="BG28" s="656"/>
      <c r="BH28" s="656"/>
      <c r="BI28" s="656"/>
      <c r="BJ28" s="656"/>
      <c r="BK28" s="656"/>
      <c r="BL28" s="656"/>
      <c r="BM28" s="656"/>
      <c r="BN28" s="656"/>
      <c r="BO28" s="656"/>
      <c r="BP28" s="656"/>
      <c r="BQ28" s="656"/>
      <c r="BR28" s="656"/>
      <c r="BS28" s="656"/>
      <c r="BT28" s="656"/>
      <c r="BU28" s="656"/>
      <c r="BV28" s="656"/>
      <c r="BW28" s="656"/>
      <c r="BX28" s="656"/>
      <c r="BY28" s="656"/>
      <c r="BZ28" s="656"/>
      <c r="CA28" s="656"/>
      <c r="CB28" s="656"/>
      <c r="CC28" s="656"/>
      <c r="CD28" s="656"/>
      <c r="CE28" s="656"/>
      <c r="CF28" s="656"/>
      <c r="CG28" s="656"/>
      <c r="CH28" s="656"/>
      <c r="CI28" s="656"/>
      <c r="CJ28" s="656"/>
      <c r="CK28" s="656"/>
      <c r="CL28" s="656"/>
      <c r="CM28" s="656"/>
      <c r="CN28" s="656"/>
      <c r="CO28" s="656"/>
      <c r="CP28" s="656"/>
      <c r="CQ28" s="656"/>
      <c r="CR28" s="656"/>
      <c r="CS28" s="656"/>
      <c r="CT28" s="656"/>
      <c r="CU28" s="656"/>
      <c r="CV28" s="656"/>
      <c r="CW28" s="656"/>
      <c r="CX28" s="656"/>
      <c r="CY28" s="656"/>
      <c r="CZ28" s="656"/>
      <c r="DA28" s="656"/>
      <c r="DB28" s="656"/>
      <c r="DC28" s="656"/>
      <c r="DD28" s="656"/>
      <c r="DE28" s="656"/>
      <c r="DF28" s="656"/>
      <c r="DG28" s="656"/>
      <c r="DH28" s="656"/>
      <c r="DI28" s="656"/>
      <c r="DJ28" s="656"/>
      <c r="DK28" s="656"/>
      <c r="DL28" s="656"/>
      <c r="DM28" s="656"/>
      <c r="DN28" s="656"/>
      <c r="DO28" s="656"/>
      <c r="DP28" s="656"/>
      <c r="DQ28" s="656"/>
      <c r="DR28" s="656"/>
      <c r="DS28" s="656"/>
      <c r="DT28" s="656"/>
      <c r="DU28" s="656"/>
      <c r="DV28" s="656"/>
      <c r="DW28" s="656"/>
      <c r="DX28" s="656"/>
      <c r="DY28" s="656"/>
      <c r="DZ28" s="656"/>
      <c r="EA28" s="656"/>
      <c r="EB28" s="656"/>
      <c r="EC28" s="656"/>
      <c r="ED28" s="656"/>
      <c r="EE28" s="656"/>
      <c r="EF28" s="656"/>
      <c r="EG28" s="656"/>
      <c r="EH28" s="656"/>
      <c r="EI28" s="656"/>
      <c r="EJ28" s="656"/>
      <c r="EK28" s="656"/>
      <c r="EL28" s="656"/>
      <c r="EM28" s="656"/>
      <c r="EN28" s="656"/>
      <c r="EO28" s="656"/>
      <c r="EP28" s="656"/>
      <c r="EQ28" s="656"/>
      <c r="ER28" s="656"/>
      <c r="ES28" s="656"/>
      <c r="ET28" s="656"/>
      <c r="EU28" s="656"/>
      <c r="EV28" s="656"/>
      <c r="EW28" s="656"/>
      <c r="EX28" s="656"/>
      <c r="EY28" s="656"/>
      <c r="EZ28" s="656"/>
      <c r="FA28" s="656"/>
      <c r="FB28" s="656"/>
      <c r="FC28" s="656"/>
      <c r="FD28" s="656"/>
      <c r="FE28" s="656"/>
      <c r="FF28" s="656"/>
      <c r="FG28" s="656"/>
      <c r="FH28" s="656"/>
      <c r="FI28" s="656"/>
      <c r="FJ28" s="656"/>
      <c r="FK28" s="656"/>
      <c r="FL28" s="656"/>
      <c r="FM28" s="656"/>
      <c r="FN28" s="656"/>
      <c r="FO28" s="656"/>
      <c r="FP28" s="656"/>
      <c r="FQ28" s="656"/>
      <c r="FR28" s="656"/>
      <c r="FS28" s="656"/>
      <c r="FT28" s="656"/>
      <c r="FU28" s="656"/>
      <c r="FV28" s="656"/>
      <c r="FW28" s="656"/>
      <c r="FX28" s="656"/>
      <c r="FY28" s="656"/>
      <c r="FZ28" s="656"/>
      <c r="GA28" s="656"/>
      <c r="GB28" s="656"/>
      <c r="GC28" s="656"/>
      <c r="GD28" s="656"/>
      <c r="GE28" s="656"/>
      <c r="GF28" s="656"/>
      <c r="GG28" s="656"/>
      <c r="GH28" s="656"/>
      <c r="GI28" s="656"/>
      <c r="GJ28" s="656"/>
      <c r="GK28" s="656"/>
      <c r="GL28" s="656"/>
      <c r="GM28" s="656"/>
      <c r="GN28" s="656"/>
      <c r="GO28" s="656"/>
      <c r="GP28" s="656"/>
      <c r="GQ28" s="656"/>
      <c r="GR28" s="656"/>
      <c r="GS28" s="656"/>
      <c r="GT28" s="656"/>
      <c r="GU28" s="656"/>
      <c r="GV28" s="656"/>
      <c r="GW28" s="656"/>
      <c r="GX28" s="656"/>
      <c r="GY28" s="656"/>
      <c r="GZ28" s="656"/>
      <c r="HA28" s="656"/>
      <c r="HB28" s="656"/>
      <c r="HC28" s="656"/>
      <c r="HD28" s="656"/>
      <c r="HE28" s="656"/>
      <c r="HF28" s="656"/>
      <c r="HG28" s="656"/>
      <c r="HH28" s="656"/>
      <c r="HI28" s="656"/>
      <c r="HJ28" s="656"/>
      <c r="HK28" s="656"/>
      <c r="HL28" s="656"/>
      <c r="HM28" s="656"/>
      <c r="HN28" s="656"/>
      <c r="HO28" s="656"/>
      <c r="HP28" s="656"/>
      <c r="HQ28" s="656"/>
      <c r="HR28" s="656"/>
      <c r="HS28" s="656"/>
      <c r="HT28" s="656"/>
      <c r="HU28" s="656"/>
      <c r="HV28" s="656"/>
      <c r="HW28" s="656"/>
      <c r="HX28" s="656"/>
      <c r="HY28" s="656"/>
      <c r="HZ28" s="656"/>
    </row>
    <row r="29" spans="1:234" s="657" customFormat="1" x14ac:dyDescent="0.25">
      <c r="A29" s="1013"/>
      <c r="B29" s="1014">
        <v>15</v>
      </c>
      <c r="C29" s="1015" t="s">
        <v>846</v>
      </c>
      <c r="D29" s="1016" t="s">
        <v>474</v>
      </c>
      <c r="E29" s="1017">
        <v>1</v>
      </c>
      <c r="F29" s="1018">
        <v>8056</v>
      </c>
      <c r="G29" s="1019">
        <v>8056</v>
      </c>
      <c r="H29" s="486">
        <v>8</v>
      </c>
      <c r="I29" s="1026">
        <v>8</v>
      </c>
      <c r="J29" s="1020">
        <v>64448</v>
      </c>
      <c r="K29" s="1021">
        <v>0</v>
      </c>
      <c r="L29" s="485">
        <v>0</v>
      </c>
      <c r="M29" s="1022">
        <v>0</v>
      </c>
      <c r="N29" s="488">
        <v>0</v>
      </c>
      <c r="O29" s="1022">
        <v>0</v>
      </c>
      <c r="P29" s="488">
        <v>0</v>
      </c>
      <c r="Q29" s="1022">
        <v>0</v>
      </c>
      <c r="R29" s="488">
        <v>0</v>
      </c>
      <c r="S29" s="1023"/>
      <c r="T29" s="656"/>
      <c r="U29" s="656"/>
      <c r="V29" s="656"/>
      <c r="W29" s="656"/>
      <c r="X29" s="656"/>
      <c r="Y29" s="656"/>
      <c r="Z29" s="656"/>
      <c r="AA29" s="656"/>
      <c r="AB29" s="656"/>
      <c r="AC29" s="656"/>
      <c r="AD29" s="656"/>
      <c r="AE29" s="656"/>
      <c r="AF29" s="656"/>
      <c r="AG29" s="656"/>
      <c r="AH29" s="656"/>
      <c r="AI29" s="656"/>
      <c r="AJ29" s="656"/>
      <c r="AK29" s="656"/>
      <c r="AL29" s="656"/>
      <c r="AM29" s="656"/>
      <c r="AN29" s="656"/>
      <c r="AO29" s="656"/>
      <c r="AP29" s="656"/>
      <c r="AQ29" s="656"/>
      <c r="AR29" s="656"/>
      <c r="AS29" s="656"/>
      <c r="AT29" s="656"/>
      <c r="AU29" s="656"/>
      <c r="AV29" s="656"/>
      <c r="AW29" s="656"/>
      <c r="AX29" s="656"/>
      <c r="AY29" s="656"/>
      <c r="AZ29" s="656"/>
      <c r="BA29" s="656"/>
      <c r="BB29" s="656"/>
      <c r="BC29" s="656"/>
      <c r="BD29" s="656"/>
      <c r="BE29" s="656"/>
      <c r="BF29" s="656"/>
      <c r="BG29" s="656"/>
      <c r="BH29" s="656"/>
      <c r="BI29" s="656"/>
      <c r="BJ29" s="656"/>
      <c r="BK29" s="656"/>
      <c r="BL29" s="656"/>
      <c r="BM29" s="656"/>
      <c r="BN29" s="656"/>
      <c r="BO29" s="656"/>
      <c r="BP29" s="656"/>
      <c r="BQ29" s="656"/>
      <c r="BR29" s="656"/>
      <c r="BS29" s="656"/>
      <c r="BT29" s="656"/>
      <c r="BU29" s="656"/>
      <c r="BV29" s="656"/>
      <c r="BW29" s="656"/>
      <c r="BX29" s="656"/>
      <c r="BY29" s="656"/>
      <c r="BZ29" s="656"/>
      <c r="CA29" s="656"/>
      <c r="CB29" s="656"/>
      <c r="CC29" s="656"/>
      <c r="CD29" s="656"/>
      <c r="CE29" s="656"/>
      <c r="CF29" s="656"/>
      <c r="CG29" s="656"/>
      <c r="CH29" s="656"/>
      <c r="CI29" s="656"/>
      <c r="CJ29" s="656"/>
      <c r="CK29" s="656"/>
      <c r="CL29" s="656"/>
      <c r="CM29" s="656"/>
      <c r="CN29" s="656"/>
      <c r="CO29" s="656"/>
      <c r="CP29" s="656"/>
      <c r="CQ29" s="656"/>
      <c r="CR29" s="656"/>
      <c r="CS29" s="656"/>
      <c r="CT29" s="656"/>
      <c r="CU29" s="656"/>
      <c r="CV29" s="656"/>
      <c r="CW29" s="656"/>
      <c r="CX29" s="656"/>
      <c r="CY29" s="656"/>
      <c r="CZ29" s="656"/>
      <c r="DA29" s="656"/>
      <c r="DB29" s="656"/>
      <c r="DC29" s="656"/>
      <c r="DD29" s="656"/>
      <c r="DE29" s="656"/>
      <c r="DF29" s="656"/>
      <c r="DG29" s="656"/>
      <c r="DH29" s="656"/>
      <c r="DI29" s="656"/>
      <c r="DJ29" s="656"/>
      <c r="DK29" s="656"/>
      <c r="DL29" s="656"/>
      <c r="DM29" s="656"/>
      <c r="DN29" s="656"/>
      <c r="DO29" s="656"/>
      <c r="DP29" s="656"/>
      <c r="DQ29" s="656"/>
      <c r="DR29" s="656"/>
      <c r="DS29" s="656"/>
      <c r="DT29" s="656"/>
      <c r="DU29" s="656"/>
      <c r="DV29" s="656"/>
      <c r="DW29" s="656"/>
      <c r="DX29" s="656"/>
      <c r="DY29" s="656"/>
      <c r="DZ29" s="656"/>
      <c r="EA29" s="656"/>
      <c r="EB29" s="656"/>
      <c r="EC29" s="656"/>
      <c r="ED29" s="656"/>
      <c r="EE29" s="656"/>
      <c r="EF29" s="656"/>
      <c r="EG29" s="656"/>
      <c r="EH29" s="656"/>
      <c r="EI29" s="656"/>
      <c r="EJ29" s="656"/>
      <c r="EK29" s="656"/>
      <c r="EL29" s="656"/>
      <c r="EM29" s="656"/>
      <c r="EN29" s="656"/>
      <c r="EO29" s="656"/>
      <c r="EP29" s="656"/>
      <c r="EQ29" s="656"/>
      <c r="ER29" s="656"/>
      <c r="ES29" s="656"/>
      <c r="ET29" s="656"/>
      <c r="EU29" s="656"/>
      <c r="EV29" s="656"/>
      <c r="EW29" s="656"/>
      <c r="EX29" s="656"/>
      <c r="EY29" s="656"/>
      <c r="EZ29" s="656"/>
      <c r="FA29" s="656"/>
      <c r="FB29" s="656"/>
      <c r="FC29" s="656"/>
      <c r="FD29" s="656"/>
      <c r="FE29" s="656"/>
      <c r="FF29" s="656"/>
      <c r="FG29" s="656"/>
      <c r="FH29" s="656"/>
      <c r="FI29" s="656"/>
      <c r="FJ29" s="656"/>
      <c r="FK29" s="656"/>
      <c r="FL29" s="656"/>
      <c r="FM29" s="656"/>
      <c r="FN29" s="656"/>
      <c r="FO29" s="656"/>
      <c r="FP29" s="656"/>
      <c r="FQ29" s="656"/>
      <c r="FR29" s="656"/>
      <c r="FS29" s="656"/>
      <c r="FT29" s="656"/>
      <c r="FU29" s="656"/>
      <c r="FV29" s="656"/>
      <c r="FW29" s="656"/>
      <c r="FX29" s="656"/>
      <c r="FY29" s="656"/>
      <c r="FZ29" s="656"/>
      <c r="GA29" s="656"/>
      <c r="GB29" s="656"/>
      <c r="GC29" s="656"/>
      <c r="GD29" s="656"/>
      <c r="GE29" s="656"/>
      <c r="GF29" s="656"/>
      <c r="GG29" s="656"/>
      <c r="GH29" s="656"/>
      <c r="GI29" s="656"/>
      <c r="GJ29" s="656"/>
      <c r="GK29" s="656"/>
      <c r="GL29" s="656"/>
      <c r="GM29" s="656"/>
      <c r="GN29" s="656"/>
      <c r="GO29" s="656"/>
      <c r="GP29" s="656"/>
      <c r="GQ29" s="656"/>
      <c r="GR29" s="656"/>
      <c r="GS29" s="656"/>
      <c r="GT29" s="656"/>
      <c r="GU29" s="656"/>
      <c r="GV29" s="656"/>
      <c r="GW29" s="656"/>
      <c r="GX29" s="656"/>
      <c r="GY29" s="656"/>
      <c r="GZ29" s="656"/>
      <c r="HA29" s="656"/>
      <c r="HB29" s="656"/>
      <c r="HC29" s="656"/>
      <c r="HD29" s="656"/>
      <c r="HE29" s="656"/>
      <c r="HF29" s="656"/>
      <c r="HG29" s="656"/>
      <c r="HH29" s="656"/>
      <c r="HI29" s="656"/>
      <c r="HJ29" s="656"/>
      <c r="HK29" s="656"/>
      <c r="HL29" s="656"/>
      <c r="HM29" s="656"/>
      <c r="HN29" s="656"/>
      <c r="HO29" s="656"/>
      <c r="HP29" s="656"/>
      <c r="HQ29" s="656"/>
      <c r="HR29" s="656"/>
      <c r="HS29" s="656"/>
      <c r="HT29" s="656"/>
      <c r="HU29" s="656"/>
      <c r="HV29" s="656"/>
      <c r="HW29" s="656"/>
      <c r="HX29" s="656"/>
      <c r="HY29" s="656"/>
      <c r="HZ29" s="656"/>
    </row>
    <row r="30" spans="1:234" s="657" customFormat="1" ht="28.5" x14ac:dyDescent="0.25">
      <c r="A30" s="1013"/>
      <c r="B30" s="1014">
        <v>16</v>
      </c>
      <c r="C30" s="1015" t="s">
        <v>1284</v>
      </c>
      <c r="D30" s="1016" t="s">
        <v>14</v>
      </c>
      <c r="E30" s="1017">
        <v>1</v>
      </c>
      <c r="F30" s="1018">
        <v>63380</v>
      </c>
      <c r="G30" s="1019">
        <v>63380</v>
      </c>
      <c r="H30" s="486">
        <v>8</v>
      </c>
      <c r="I30" s="1026">
        <v>8</v>
      </c>
      <c r="J30" s="1020">
        <v>507040</v>
      </c>
      <c r="K30" s="1021">
        <v>0</v>
      </c>
      <c r="L30" s="485">
        <v>0</v>
      </c>
      <c r="M30" s="1022">
        <v>0</v>
      </c>
      <c r="N30" s="488">
        <v>0</v>
      </c>
      <c r="O30" s="1022">
        <v>0</v>
      </c>
      <c r="P30" s="488">
        <v>0</v>
      </c>
      <c r="Q30" s="1022">
        <v>0</v>
      </c>
      <c r="R30" s="488">
        <v>0</v>
      </c>
      <c r="S30" s="1023"/>
      <c r="T30" s="656"/>
      <c r="U30" s="656"/>
      <c r="V30" s="656"/>
      <c r="W30" s="656"/>
      <c r="X30" s="656"/>
      <c r="Y30" s="656"/>
      <c r="Z30" s="656"/>
      <c r="AA30" s="656"/>
      <c r="AB30" s="656"/>
      <c r="AC30" s="656"/>
      <c r="AD30" s="656"/>
      <c r="AE30" s="656"/>
      <c r="AF30" s="656"/>
      <c r="AG30" s="656"/>
      <c r="AH30" s="656"/>
      <c r="AI30" s="656"/>
      <c r="AJ30" s="656"/>
      <c r="AK30" s="656"/>
      <c r="AL30" s="656"/>
      <c r="AM30" s="656"/>
      <c r="AN30" s="656"/>
      <c r="AO30" s="656"/>
      <c r="AP30" s="656"/>
      <c r="AQ30" s="656"/>
      <c r="AR30" s="656"/>
      <c r="AS30" s="656"/>
      <c r="AT30" s="656"/>
      <c r="AU30" s="656"/>
      <c r="AV30" s="656"/>
      <c r="AW30" s="656"/>
      <c r="AX30" s="656"/>
      <c r="AY30" s="656"/>
      <c r="AZ30" s="656"/>
      <c r="BA30" s="656"/>
      <c r="BB30" s="656"/>
      <c r="BC30" s="656"/>
      <c r="BD30" s="656"/>
      <c r="BE30" s="656"/>
      <c r="BF30" s="656"/>
      <c r="BG30" s="656"/>
      <c r="BH30" s="656"/>
      <c r="BI30" s="656"/>
      <c r="BJ30" s="656"/>
      <c r="BK30" s="656"/>
      <c r="BL30" s="656"/>
      <c r="BM30" s="656"/>
      <c r="BN30" s="656"/>
      <c r="BO30" s="656"/>
      <c r="BP30" s="656"/>
      <c r="BQ30" s="656"/>
      <c r="BR30" s="656"/>
      <c r="BS30" s="656"/>
      <c r="BT30" s="656"/>
      <c r="BU30" s="656"/>
      <c r="BV30" s="656"/>
      <c r="BW30" s="656"/>
      <c r="BX30" s="656"/>
      <c r="BY30" s="656"/>
      <c r="BZ30" s="656"/>
      <c r="CA30" s="656"/>
      <c r="CB30" s="656"/>
      <c r="CC30" s="656"/>
      <c r="CD30" s="656"/>
      <c r="CE30" s="656"/>
      <c r="CF30" s="656"/>
      <c r="CG30" s="656"/>
      <c r="CH30" s="656"/>
      <c r="CI30" s="656"/>
      <c r="CJ30" s="656"/>
      <c r="CK30" s="656"/>
      <c r="CL30" s="656"/>
      <c r="CM30" s="656"/>
      <c r="CN30" s="656"/>
      <c r="CO30" s="656"/>
      <c r="CP30" s="656"/>
      <c r="CQ30" s="656"/>
      <c r="CR30" s="656"/>
      <c r="CS30" s="656"/>
      <c r="CT30" s="656"/>
      <c r="CU30" s="656"/>
      <c r="CV30" s="656"/>
      <c r="CW30" s="656"/>
      <c r="CX30" s="656"/>
      <c r="CY30" s="656"/>
      <c r="CZ30" s="656"/>
      <c r="DA30" s="656"/>
      <c r="DB30" s="656"/>
      <c r="DC30" s="656"/>
      <c r="DD30" s="656"/>
      <c r="DE30" s="656"/>
      <c r="DF30" s="656"/>
      <c r="DG30" s="656"/>
      <c r="DH30" s="656"/>
      <c r="DI30" s="656"/>
      <c r="DJ30" s="656"/>
      <c r="DK30" s="656"/>
      <c r="DL30" s="656"/>
      <c r="DM30" s="656"/>
      <c r="DN30" s="656"/>
      <c r="DO30" s="656"/>
      <c r="DP30" s="656"/>
      <c r="DQ30" s="656"/>
      <c r="DR30" s="656"/>
      <c r="DS30" s="656"/>
      <c r="DT30" s="656"/>
      <c r="DU30" s="656"/>
      <c r="DV30" s="656"/>
      <c r="DW30" s="656"/>
      <c r="DX30" s="656"/>
      <c r="DY30" s="656"/>
      <c r="DZ30" s="656"/>
      <c r="EA30" s="656"/>
      <c r="EB30" s="656"/>
      <c r="EC30" s="656"/>
      <c r="ED30" s="656"/>
      <c r="EE30" s="656"/>
      <c r="EF30" s="656"/>
      <c r="EG30" s="656"/>
      <c r="EH30" s="656"/>
      <c r="EI30" s="656"/>
      <c r="EJ30" s="656"/>
      <c r="EK30" s="656"/>
      <c r="EL30" s="656"/>
      <c r="EM30" s="656"/>
      <c r="EN30" s="656"/>
      <c r="EO30" s="656"/>
      <c r="EP30" s="656"/>
      <c r="EQ30" s="656"/>
      <c r="ER30" s="656"/>
      <c r="ES30" s="656"/>
      <c r="ET30" s="656"/>
      <c r="EU30" s="656"/>
      <c r="EV30" s="656"/>
      <c r="EW30" s="656"/>
      <c r="EX30" s="656"/>
      <c r="EY30" s="656"/>
      <c r="EZ30" s="656"/>
      <c r="FA30" s="656"/>
      <c r="FB30" s="656"/>
      <c r="FC30" s="656"/>
      <c r="FD30" s="656"/>
      <c r="FE30" s="656"/>
      <c r="FF30" s="656"/>
      <c r="FG30" s="656"/>
      <c r="FH30" s="656"/>
      <c r="FI30" s="656"/>
      <c r="FJ30" s="656"/>
      <c r="FK30" s="656"/>
      <c r="FL30" s="656"/>
      <c r="FM30" s="656"/>
      <c r="FN30" s="656"/>
      <c r="FO30" s="656"/>
      <c r="FP30" s="656"/>
      <c r="FQ30" s="656"/>
      <c r="FR30" s="656"/>
      <c r="FS30" s="656"/>
      <c r="FT30" s="656"/>
      <c r="FU30" s="656"/>
      <c r="FV30" s="656"/>
      <c r="FW30" s="656"/>
      <c r="FX30" s="656"/>
      <c r="FY30" s="656"/>
      <c r="FZ30" s="656"/>
      <c r="GA30" s="656"/>
      <c r="GB30" s="656"/>
      <c r="GC30" s="656"/>
      <c r="GD30" s="656"/>
      <c r="GE30" s="656"/>
      <c r="GF30" s="656"/>
      <c r="GG30" s="656"/>
      <c r="GH30" s="656"/>
      <c r="GI30" s="656"/>
      <c r="GJ30" s="656"/>
      <c r="GK30" s="656"/>
      <c r="GL30" s="656"/>
      <c r="GM30" s="656"/>
      <c r="GN30" s="656"/>
      <c r="GO30" s="656"/>
      <c r="GP30" s="656"/>
      <c r="GQ30" s="656"/>
      <c r="GR30" s="656"/>
      <c r="GS30" s="656"/>
      <c r="GT30" s="656"/>
      <c r="GU30" s="656"/>
      <c r="GV30" s="656"/>
      <c r="GW30" s="656"/>
      <c r="GX30" s="656"/>
      <c r="GY30" s="656"/>
      <c r="GZ30" s="656"/>
      <c r="HA30" s="656"/>
      <c r="HB30" s="656"/>
      <c r="HC30" s="656"/>
      <c r="HD30" s="656"/>
      <c r="HE30" s="656"/>
      <c r="HF30" s="656"/>
      <c r="HG30" s="656"/>
      <c r="HH30" s="656"/>
      <c r="HI30" s="656"/>
      <c r="HJ30" s="656"/>
      <c r="HK30" s="656"/>
      <c r="HL30" s="656"/>
      <c r="HM30" s="656"/>
      <c r="HN30" s="656"/>
      <c r="HO30" s="656"/>
      <c r="HP30" s="656"/>
      <c r="HQ30" s="656"/>
      <c r="HR30" s="656"/>
      <c r="HS30" s="656"/>
      <c r="HT30" s="656"/>
      <c r="HU30" s="656"/>
      <c r="HV30" s="656"/>
      <c r="HW30" s="656"/>
      <c r="HX30" s="656"/>
      <c r="HY30" s="656"/>
      <c r="HZ30" s="656"/>
    </row>
    <row r="31" spans="1:234" s="657" customFormat="1" x14ac:dyDescent="0.25">
      <c r="A31" s="1013"/>
      <c r="B31" s="1014">
        <v>19</v>
      </c>
      <c r="C31" s="1015" t="s">
        <v>1285</v>
      </c>
      <c r="D31" s="1016" t="s">
        <v>904</v>
      </c>
      <c r="E31" s="1017">
        <v>1</v>
      </c>
      <c r="F31" s="1018">
        <v>26570</v>
      </c>
      <c r="G31" s="1019">
        <v>26570</v>
      </c>
      <c r="H31" s="486">
        <v>1.8</v>
      </c>
      <c r="I31" s="1026">
        <v>1.8</v>
      </c>
      <c r="J31" s="1020">
        <v>47826</v>
      </c>
      <c r="K31" s="1021">
        <v>0</v>
      </c>
      <c r="L31" s="485">
        <v>0</v>
      </c>
      <c r="M31" s="1022">
        <v>0</v>
      </c>
      <c r="N31" s="488">
        <v>0</v>
      </c>
      <c r="O31" s="1022">
        <v>0</v>
      </c>
      <c r="P31" s="488">
        <v>0</v>
      </c>
      <c r="Q31" s="1022">
        <v>0</v>
      </c>
      <c r="R31" s="488">
        <v>0</v>
      </c>
      <c r="S31" s="1023"/>
      <c r="T31" s="656"/>
      <c r="U31" s="656"/>
      <c r="V31" s="656"/>
      <c r="W31" s="656"/>
      <c r="X31" s="656"/>
      <c r="Y31" s="656"/>
      <c r="Z31" s="656"/>
      <c r="AA31" s="656"/>
      <c r="AB31" s="656"/>
      <c r="AC31" s="656"/>
      <c r="AD31" s="656"/>
      <c r="AE31" s="656"/>
      <c r="AF31" s="656"/>
      <c r="AG31" s="656"/>
      <c r="AH31" s="656"/>
      <c r="AI31" s="656"/>
      <c r="AJ31" s="656"/>
      <c r="AK31" s="656"/>
      <c r="AL31" s="656"/>
      <c r="AM31" s="656"/>
      <c r="AN31" s="656"/>
      <c r="AO31" s="656"/>
      <c r="AP31" s="656"/>
      <c r="AQ31" s="656"/>
      <c r="AR31" s="656"/>
      <c r="AS31" s="656"/>
      <c r="AT31" s="656"/>
      <c r="AU31" s="656"/>
      <c r="AV31" s="656"/>
      <c r="AW31" s="656"/>
      <c r="AX31" s="656"/>
      <c r="AY31" s="656"/>
      <c r="AZ31" s="656"/>
      <c r="BA31" s="656"/>
      <c r="BB31" s="656"/>
      <c r="BC31" s="656"/>
      <c r="BD31" s="656"/>
      <c r="BE31" s="656"/>
      <c r="BF31" s="656"/>
      <c r="BG31" s="656"/>
      <c r="BH31" s="656"/>
      <c r="BI31" s="656"/>
      <c r="BJ31" s="656"/>
      <c r="BK31" s="656"/>
      <c r="BL31" s="656"/>
      <c r="BM31" s="656"/>
      <c r="BN31" s="656"/>
      <c r="BO31" s="656"/>
      <c r="BP31" s="656"/>
      <c r="BQ31" s="656"/>
      <c r="BR31" s="656"/>
      <c r="BS31" s="656"/>
      <c r="BT31" s="656"/>
      <c r="BU31" s="656"/>
      <c r="BV31" s="656"/>
      <c r="BW31" s="656"/>
      <c r="BX31" s="656"/>
      <c r="BY31" s="656"/>
      <c r="BZ31" s="656"/>
      <c r="CA31" s="656"/>
      <c r="CB31" s="656"/>
      <c r="CC31" s="656"/>
      <c r="CD31" s="656"/>
      <c r="CE31" s="656"/>
      <c r="CF31" s="656"/>
      <c r="CG31" s="656"/>
      <c r="CH31" s="656"/>
      <c r="CI31" s="656"/>
      <c r="CJ31" s="656"/>
      <c r="CK31" s="656"/>
      <c r="CL31" s="656"/>
      <c r="CM31" s="656"/>
      <c r="CN31" s="656"/>
      <c r="CO31" s="656"/>
      <c r="CP31" s="656"/>
      <c r="CQ31" s="656"/>
      <c r="CR31" s="656"/>
      <c r="CS31" s="656"/>
      <c r="CT31" s="656"/>
      <c r="CU31" s="656"/>
      <c r="CV31" s="656"/>
      <c r="CW31" s="656"/>
      <c r="CX31" s="656"/>
      <c r="CY31" s="656"/>
      <c r="CZ31" s="656"/>
      <c r="DA31" s="656"/>
      <c r="DB31" s="656"/>
      <c r="DC31" s="656"/>
      <c r="DD31" s="656"/>
      <c r="DE31" s="656"/>
      <c r="DF31" s="656"/>
      <c r="DG31" s="656"/>
      <c r="DH31" s="656"/>
      <c r="DI31" s="656"/>
      <c r="DJ31" s="656"/>
      <c r="DK31" s="656"/>
      <c r="DL31" s="656"/>
      <c r="DM31" s="656"/>
      <c r="DN31" s="656"/>
      <c r="DO31" s="656"/>
      <c r="DP31" s="656"/>
      <c r="DQ31" s="656"/>
      <c r="DR31" s="656"/>
      <c r="DS31" s="656"/>
      <c r="DT31" s="656"/>
      <c r="DU31" s="656"/>
      <c r="DV31" s="656"/>
      <c r="DW31" s="656"/>
      <c r="DX31" s="656"/>
      <c r="DY31" s="656"/>
      <c r="DZ31" s="656"/>
      <c r="EA31" s="656"/>
      <c r="EB31" s="656"/>
      <c r="EC31" s="656"/>
      <c r="ED31" s="656"/>
      <c r="EE31" s="656"/>
      <c r="EF31" s="656"/>
      <c r="EG31" s="656"/>
      <c r="EH31" s="656"/>
      <c r="EI31" s="656"/>
      <c r="EJ31" s="656"/>
      <c r="EK31" s="656"/>
      <c r="EL31" s="656"/>
      <c r="EM31" s="656"/>
      <c r="EN31" s="656"/>
      <c r="EO31" s="656"/>
      <c r="EP31" s="656"/>
      <c r="EQ31" s="656"/>
      <c r="ER31" s="656"/>
      <c r="ES31" s="656"/>
      <c r="ET31" s="656"/>
      <c r="EU31" s="656"/>
      <c r="EV31" s="656"/>
      <c r="EW31" s="656"/>
      <c r="EX31" s="656"/>
      <c r="EY31" s="656"/>
      <c r="EZ31" s="656"/>
      <c r="FA31" s="656"/>
      <c r="FB31" s="656"/>
      <c r="FC31" s="656"/>
      <c r="FD31" s="656"/>
      <c r="FE31" s="656"/>
      <c r="FF31" s="656"/>
      <c r="FG31" s="656"/>
      <c r="FH31" s="656"/>
      <c r="FI31" s="656"/>
      <c r="FJ31" s="656"/>
      <c r="FK31" s="656"/>
      <c r="FL31" s="656"/>
      <c r="FM31" s="656"/>
      <c r="FN31" s="656"/>
      <c r="FO31" s="656"/>
      <c r="FP31" s="656"/>
      <c r="FQ31" s="656"/>
      <c r="FR31" s="656"/>
      <c r="FS31" s="656"/>
      <c r="FT31" s="656"/>
      <c r="FU31" s="656"/>
      <c r="FV31" s="656"/>
      <c r="FW31" s="656"/>
      <c r="FX31" s="656"/>
      <c r="FY31" s="656"/>
      <c r="FZ31" s="656"/>
      <c r="GA31" s="656"/>
      <c r="GB31" s="656"/>
      <c r="GC31" s="656"/>
      <c r="GD31" s="656"/>
      <c r="GE31" s="656"/>
      <c r="GF31" s="656"/>
      <c r="GG31" s="656"/>
      <c r="GH31" s="656"/>
      <c r="GI31" s="656"/>
      <c r="GJ31" s="656"/>
      <c r="GK31" s="656"/>
      <c r="GL31" s="656"/>
      <c r="GM31" s="656"/>
      <c r="GN31" s="656"/>
      <c r="GO31" s="656"/>
      <c r="GP31" s="656"/>
      <c r="GQ31" s="656"/>
      <c r="GR31" s="656"/>
      <c r="GS31" s="656"/>
      <c r="GT31" s="656"/>
      <c r="GU31" s="656"/>
      <c r="GV31" s="656"/>
      <c r="GW31" s="656"/>
      <c r="GX31" s="656"/>
      <c r="GY31" s="656"/>
      <c r="GZ31" s="656"/>
      <c r="HA31" s="656"/>
      <c r="HB31" s="656"/>
      <c r="HC31" s="656"/>
      <c r="HD31" s="656"/>
      <c r="HE31" s="656"/>
      <c r="HF31" s="656"/>
      <c r="HG31" s="656"/>
      <c r="HH31" s="656"/>
      <c r="HI31" s="656"/>
      <c r="HJ31" s="656"/>
      <c r="HK31" s="656"/>
      <c r="HL31" s="656"/>
      <c r="HM31" s="656"/>
      <c r="HN31" s="656"/>
      <c r="HO31" s="656"/>
      <c r="HP31" s="656"/>
      <c r="HQ31" s="656"/>
      <c r="HR31" s="656"/>
      <c r="HS31" s="656"/>
      <c r="HT31" s="656"/>
      <c r="HU31" s="656"/>
      <c r="HV31" s="656"/>
      <c r="HW31" s="656"/>
      <c r="HX31" s="656"/>
      <c r="HY31" s="656"/>
      <c r="HZ31" s="656"/>
    </row>
    <row r="32" spans="1:234" s="657" customFormat="1" x14ac:dyDescent="0.25">
      <c r="A32" s="1013"/>
      <c r="B32" s="1014">
        <v>20</v>
      </c>
      <c r="C32" s="1015" t="s">
        <v>1286</v>
      </c>
      <c r="D32" s="1016" t="s">
        <v>842</v>
      </c>
      <c r="E32" s="1017">
        <v>1</v>
      </c>
      <c r="F32" s="1018">
        <v>110651</v>
      </c>
      <c r="G32" s="1019">
        <v>110651</v>
      </c>
      <c r="H32" s="486">
        <v>2</v>
      </c>
      <c r="I32" s="1026">
        <v>2</v>
      </c>
      <c r="J32" s="1020">
        <v>221302</v>
      </c>
      <c r="K32" s="1021">
        <v>0</v>
      </c>
      <c r="L32" s="485">
        <v>0</v>
      </c>
      <c r="M32" s="1022">
        <v>0</v>
      </c>
      <c r="N32" s="488">
        <v>0</v>
      </c>
      <c r="O32" s="1022">
        <v>0</v>
      </c>
      <c r="P32" s="488">
        <v>0</v>
      </c>
      <c r="Q32" s="1022">
        <v>0</v>
      </c>
      <c r="R32" s="488">
        <v>0</v>
      </c>
      <c r="S32" s="1023"/>
      <c r="T32" s="656"/>
      <c r="U32" s="656"/>
      <c r="V32" s="656"/>
      <c r="W32" s="656"/>
      <c r="X32" s="656"/>
      <c r="Y32" s="656"/>
      <c r="Z32" s="656"/>
      <c r="AA32" s="656"/>
      <c r="AB32" s="656"/>
      <c r="AC32" s="656"/>
      <c r="AD32" s="656"/>
      <c r="AE32" s="656"/>
      <c r="AF32" s="656"/>
      <c r="AG32" s="656"/>
      <c r="AH32" s="656"/>
      <c r="AI32" s="656"/>
      <c r="AJ32" s="656"/>
      <c r="AK32" s="656"/>
      <c r="AL32" s="656"/>
      <c r="AM32" s="656"/>
      <c r="AN32" s="656"/>
      <c r="AO32" s="656"/>
      <c r="AP32" s="656"/>
      <c r="AQ32" s="656"/>
      <c r="AR32" s="656"/>
      <c r="AS32" s="656"/>
      <c r="AT32" s="656"/>
      <c r="AU32" s="656"/>
      <c r="AV32" s="656"/>
      <c r="AW32" s="656"/>
      <c r="AX32" s="656"/>
      <c r="AY32" s="656"/>
      <c r="AZ32" s="656"/>
      <c r="BA32" s="656"/>
      <c r="BB32" s="656"/>
      <c r="BC32" s="656"/>
      <c r="BD32" s="656"/>
      <c r="BE32" s="656"/>
      <c r="BF32" s="656"/>
      <c r="BG32" s="656"/>
      <c r="BH32" s="656"/>
      <c r="BI32" s="656"/>
      <c r="BJ32" s="656"/>
      <c r="BK32" s="656"/>
      <c r="BL32" s="656"/>
      <c r="BM32" s="656"/>
      <c r="BN32" s="656"/>
      <c r="BO32" s="656"/>
      <c r="BP32" s="656"/>
      <c r="BQ32" s="656"/>
      <c r="BR32" s="656"/>
      <c r="BS32" s="656"/>
      <c r="BT32" s="656"/>
      <c r="BU32" s="656"/>
      <c r="BV32" s="656"/>
      <c r="BW32" s="656"/>
      <c r="BX32" s="656"/>
      <c r="BY32" s="656"/>
      <c r="BZ32" s="656"/>
      <c r="CA32" s="656"/>
      <c r="CB32" s="656"/>
      <c r="CC32" s="656"/>
      <c r="CD32" s="656"/>
      <c r="CE32" s="656"/>
      <c r="CF32" s="656"/>
      <c r="CG32" s="656"/>
      <c r="CH32" s="656"/>
      <c r="CI32" s="656"/>
      <c r="CJ32" s="656"/>
      <c r="CK32" s="656"/>
      <c r="CL32" s="656"/>
      <c r="CM32" s="656"/>
      <c r="CN32" s="656"/>
      <c r="CO32" s="656"/>
      <c r="CP32" s="656"/>
      <c r="CQ32" s="656"/>
      <c r="CR32" s="656"/>
      <c r="CS32" s="656"/>
      <c r="CT32" s="656"/>
      <c r="CU32" s="656"/>
      <c r="CV32" s="656"/>
      <c r="CW32" s="656"/>
      <c r="CX32" s="656"/>
      <c r="CY32" s="656"/>
      <c r="CZ32" s="656"/>
      <c r="DA32" s="656"/>
      <c r="DB32" s="656"/>
      <c r="DC32" s="656"/>
      <c r="DD32" s="656"/>
      <c r="DE32" s="656"/>
      <c r="DF32" s="656"/>
      <c r="DG32" s="656"/>
      <c r="DH32" s="656"/>
      <c r="DI32" s="656"/>
      <c r="DJ32" s="656"/>
      <c r="DK32" s="656"/>
      <c r="DL32" s="656"/>
      <c r="DM32" s="656"/>
      <c r="DN32" s="656"/>
      <c r="DO32" s="656"/>
      <c r="DP32" s="656"/>
      <c r="DQ32" s="656"/>
      <c r="DR32" s="656"/>
      <c r="DS32" s="656"/>
      <c r="DT32" s="656"/>
      <c r="DU32" s="656"/>
      <c r="DV32" s="656"/>
      <c r="DW32" s="656"/>
      <c r="DX32" s="656"/>
      <c r="DY32" s="656"/>
      <c r="DZ32" s="656"/>
      <c r="EA32" s="656"/>
      <c r="EB32" s="656"/>
      <c r="EC32" s="656"/>
      <c r="ED32" s="656"/>
      <c r="EE32" s="656"/>
      <c r="EF32" s="656"/>
      <c r="EG32" s="656"/>
      <c r="EH32" s="656"/>
      <c r="EI32" s="656"/>
      <c r="EJ32" s="656"/>
      <c r="EK32" s="656"/>
      <c r="EL32" s="656"/>
      <c r="EM32" s="656"/>
      <c r="EN32" s="656"/>
      <c r="EO32" s="656"/>
      <c r="EP32" s="656"/>
      <c r="EQ32" s="656"/>
      <c r="ER32" s="656"/>
      <c r="ES32" s="656"/>
      <c r="ET32" s="656"/>
      <c r="EU32" s="656"/>
      <c r="EV32" s="656"/>
      <c r="EW32" s="656"/>
      <c r="EX32" s="656"/>
      <c r="EY32" s="656"/>
      <c r="EZ32" s="656"/>
      <c r="FA32" s="656"/>
      <c r="FB32" s="656"/>
      <c r="FC32" s="656"/>
      <c r="FD32" s="656"/>
      <c r="FE32" s="656"/>
      <c r="FF32" s="656"/>
      <c r="FG32" s="656"/>
      <c r="FH32" s="656"/>
      <c r="FI32" s="656"/>
      <c r="FJ32" s="656"/>
      <c r="FK32" s="656"/>
      <c r="FL32" s="656"/>
      <c r="FM32" s="656"/>
      <c r="FN32" s="656"/>
      <c r="FO32" s="656"/>
      <c r="FP32" s="656"/>
      <c r="FQ32" s="656"/>
      <c r="FR32" s="656"/>
      <c r="FS32" s="656"/>
      <c r="FT32" s="656"/>
      <c r="FU32" s="656"/>
      <c r="FV32" s="656"/>
      <c r="FW32" s="656"/>
      <c r="FX32" s="656"/>
      <c r="FY32" s="656"/>
      <c r="FZ32" s="656"/>
      <c r="GA32" s="656"/>
      <c r="GB32" s="656"/>
      <c r="GC32" s="656"/>
      <c r="GD32" s="656"/>
      <c r="GE32" s="656"/>
      <c r="GF32" s="656"/>
      <c r="GG32" s="656"/>
      <c r="GH32" s="656"/>
      <c r="GI32" s="656"/>
      <c r="GJ32" s="656"/>
      <c r="GK32" s="656"/>
      <c r="GL32" s="656"/>
      <c r="GM32" s="656"/>
      <c r="GN32" s="656"/>
      <c r="GO32" s="656"/>
      <c r="GP32" s="656"/>
      <c r="GQ32" s="656"/>
      <c r="GR32" s="656"/>
      <c r="GS32" s="656"/>
      <c r="GT32" s="656"/>
      <c r="GU32" s="656"/>
      <c r="GV32" s="656"/>
      <c r="GW32" s="656"/>
      <c r="GX32" s="656"/>
      <c r="GY32" s="656"/>
      <c r="GZ32" s="656"/>
      <c r="HA32" s="656"/>
      <c r="HB32" s="656"/>
      <c r="HC32" s="656"/>
      <c r="HD32" s="656"/>
      <c r="HE32" s="656"/>
      <c r="HF32" s="656"/>
      <c r="HG32" s="656"/>
      <c r="HH32" s="656"/>
      <c r="HI32" s="656"/>
      <c r="HJ32" s="656"/>
      <c r="HK32" s="656"/>
      <c r="HL32" s="656"/>
      <c r="HM32" s="656"/>
      <c r="HN32" s="656"/>
      <c r="HO32" s="656"/>
      <c r="HP32" s="656"/>
      <c r="HQ32" s="656"/>
      <c r="HR32" s="656"/>
      <c r="HS32" s="656"/>
      <c r="HT32" s="656"/>
      <c r="HU32" s="656"/>
      <c r="HV32" s="656"/>
      <c r="HW32" s="656"/>
      <c r="HX32" s="656"/>
      <c r="HY32" s="656"/>
      <c r="HZ32" s="656"/>
    </row>
    <row r="33" spans="1:234" s="657" customFormat="1" x14ac:dyDescent="0.25">
      <c r="A33" s="1013"/>
      <c r="B33" s="1014">
        <v>21</v>
      </c>
      <c r="C33" s="1015" t="s">
        <v>1287</v>
      </c>
      <c r="D33" s="1016" t="s">
        <v>842</v>
      </c>
      <c r="E33" s="1017">
        <v>1</v>
      </c>
      <c r="F33" s="1018">
        <v>16726</v>
      </c>
      <c r="G33" s="1019">
        <v>16726</v>
      </c>
      <c r="H33" s="486">
        <v>3</v>
      </c>
      <c r="I33" s="1026">
        <v>3</v>
      </c>
      <c r="J33" s="1020">
        <v>50178</v>
      </c>
      <c r="K33" s="1021">
        <v>0</v>
      </c>
      <c r="L33" s="485">
        <v>0</v>
      </c>
      <c r="M33" s="1022">
        <v>0</v>
      </c>
      <c r="N33" s="488">
        <v>0</v>
      </c>
      <c r="O33" s="1022">
        <v>0</v>
      </c>
      <c r="P33" s="488">
        <v>0</v>
      </c>
      <c r="Q33" s="1022">
        <v>0</v>
      </c>
      <c r="R33" s="488">
        <v>0</v>
      </c>
      <c r="S33" s="1023"/>
      <c r="T33" s="656"/>
      <c r="U33" s="656"/>
      <c r="V33" s="656"/>
      <c r="W33" s="656"/>
      <c r="X33" s="656"/>
      <c r="Y33" s="656"/>
      <c r="Z33" s="656"/>
      <c r="AA33" s="656"/>
      <c r="AB33" s="656"/>
      <c r="AC33" s="656"/>
      <c r="AD33" s="656"/>
      <c r="AE33" s="656"/>
      <c r="AF33" s="656"/>
      <c r="AG33" s="656"/>
      <c r="AH33" s="656"/>
      <c r="AI33" s="656"/>
      <c r="AJ33" s="656"/>
      <c r="AK33" s="656"/>
      <c r="AL33" s="656"/>
      <c r="AM33" s="656"/>
      <c r="AN33" s="656"/>
      <c r="AO33" s="656"/>
      <c r="AP33" s="656"/>
      <c r="AQ33" s="656"/>
      <c r="AR33" s="656"/>
      <c r="AS33" s="656"/>
      <c r="AT33" s="656"/>
      <c r="AU33" s="656"/>
      <c r="AV33" s="656"/>
      <c r="AW33" s="656"/>
      <c r="AX33" s="656"/>
      <c r="AY33" s="656"/>
      <c r="AZ33" s="656"/>
      <c r="BA33" s="656"/>
      <c r="BB33" s="656"/>
      <c r="BC33" s="656"/>
      <c r="BD33" s="656"/>
      <c r="BE33" s="656"/>
      <c r="BF33" s="656"/>
      <c r="BG33" s="656"/>
      <c r="BH33" s="656"/>
      <c r="BI33" s="656"/>
      <c r="BJ33" s="656"/>
      <c r="BK33" s="656"/>
      <c r="BL33" s="656"/>
      <c r="BM33" s="656"/>
      <c r="BN33" s="656"/>
      <c r="BO33" s="656"/>
      <c r="BP33" s="656"/>
      <c r="BQ33" s="656"/>
      <c r="BR33" s="656"/>
      <c r="BS33" s="656"/>
      <c r="BT33" s="656"/>
      <c r="BU33" s="656"/>
      <c r="BV33" s="656"/>
      <c r="BW33" s="656"/>
      <c r="BX33" s="656"/>
      <c r="BY33" s="656"/>
      <c r="BZ33" s="656"/>
      <c r="CA33" s="656"/>
      <c r="CB33" s="656"/>
      <c r="CC33" s="656"/>
      <c r="CD33" s="656"/>
      <c r="CE33" s="656"/>
      <c r="CF33" s="656"/>
      <c r="CG33" s="656"/>
      <c r="CH33" s="656"/>
      <c r="CI33" s="656"/>
      <c r="CJ33" s="656"/>
      <c r="CK33" s="656"/>
      <c r="CL33" s="656"/>
      <c r="CM33" s="656"/>
      <c r="CN33" s="656"/>
      <c r="CO33" s="656"/>
      <c r="CP33" s="656"/>
      <c r="CQ33" s="656"/>
      <c r="CR33" s="656"/>
      <c r="CS33" s="656"/>
      <c r="CT33" s="656"/>
      <c r="CU33" s="656"/>
      <c r="CV33" s="656"/>
      <c r="CW33" s="656"/>
      <c r="CX33" s="656"/>
      <c r="CY33" s="656"/>
      <c r="CZ33" s="656"/>
      <c r="DA33" s="656"/>
      <c r="DB33" s="656"/>
      <c r="DC33" s="656"/>
      <c r="DD33" s="656"/>
      <c r="DE33" s="656"/>
      <c r="DF33" s="656"/>
      <c r="DG33" s="656"/>
      <c r="DH33" s="656"/>
      <c r="DI33" s="656"/>
      <c r="DJ33" s="656"/>
      <c r="DK33" s="656"/>
      <c r="DL33" s="656"/>
      <c r="DM33" s="656"/>
      <c r="DN33" s="656"/>
      <c r="DO33" s="656"/>
      <c r="DP33" s="656"/>
      <c r="DQ33" s="656"/>
      <c r="DR33" s="656"/>
      <c r="DS33" s="656"/>
      <c r="DT33" s="656"/>
      <c r="DU33" s="656"/>
      <c r="DV33" s="656"/>
      <c r="DW33" s="656"/>
      <c r="DX33" s="656"/>
      <c r="DY33" s="656"/>
      <c r="DZ33" s="656"/>
      <c r="EA33" s="656"/>
      <c r="EB33" s="656"/>
      <c r="EC33" s="656"/>
      <c r="ED33" s="656"/>
      <c r="EE33" s="656"/>
      <c r="EF33" s="656"/>
      <c r="EG33" s="656"/>
      <c r="EH33" s="656"/>
      <c r="EI33" s="656"/>
      <c r="EJ33" s="656"/>
      <c r="EK33" s="656"/>
      <c r="EL33" s="656"/>
      <c r="EM33" s="656"/>
      <c r="EN33" s="656"/>
      <c r="EO33" s="656"/>
      <c r="EP33" s="656"/>
      <c r="EQ33" s="656"/>
      <c r="ER33" s="656"/>
      <c r="ES33" s="656"/>
      <c r="ET33" s="656"/>
      <c r="EU33" s="656"/>
      <c r="EV33" s="656"/>
      <c r="EW33" s="656"/>
      <c r="EX33" s="656"/>
      <c r="EY33" s="656"/>
      <c r="EZ33" s="656"/>
      <c r="FA33" s="656"/>
      <c r="FB33" s="656"/>
      <c r="FC33" s="656"/>
      <c r="FD33" s="656"/>
      <c r="FE33" s="656"/>
      <c r="FF33" s="656"/>
      <c r="FG33" s="656"/>
      <c r="FH33" s="656"/>
      <c r="FI33" s="656"/>
      <c r="FJ33" s="656"/>
      <c r="FK33" s="656"/>
      <c r="FL33" s="656"/>
      <c r="FM33" s="656"/>
      <c r="FN33" s="656"/>
      <c r="FO33" s="656"/>
      <c r="FP33" s="656"/>
      <c r="FQ33" s="656"/>
      <c r="FR33" s="656"/>
      <c r="FS33" s="656"/>
      <c r="FT33" s="656"/>
      <c r="FU33" s="656"/>
      <c r="FV33" s="656"/>
      <c r="FW33" s="656"/>
      <c r="FX33" s="656"/>
      <c r="FY33" s="656"/>
      <c r="FZ33" s="656"/>
      <c r="GA33" s="656"/>
      <c r="GB33" s="656"/>
      <c r="GC33" s="656"/>
      <c r="GD33" s="656"/>
      <c r="GE33" s="656"/>
      <c r="GF33" s="656"/>
      <c r="GG33" s="656"/>
      <c r="GH33" s="656"/>
      <c r="GI33" s="656"/>
      <c r="GJ33" s="656"/>
      <c r="GK33" s="656"/>
      <c r="GL33" s="656"/>
      <c r="GM33" s="656"/>
      <c r="GN33" s="656"/>
      <c r="GO33" s="656"/>
      <c r="GP33" s="656"/>
      <c r="GQ33" s="656"/>
      <c r="GR33" s="656"/>
      <c r="GS33" s="656"/>
      <c r="GT33" s="656"/>
      <c r="GU33" s="656"/>
      <c r="GV33" s="656"/>
      <c r="GW33" s="656"/>
      <c r="GX33" s="656"/>
      <c r="GY33" s="656"/>
      <c r="GZ33" s="656"/>
      <c r="HA33" s="656"/>
      <c r="HB33" s="656"/>
      <c r="HC33" s="656"/>
      <c r="HD33" s="656"/>
      <c r="HE33" s="656"/>
      <c r="HF33" s="656"/>
      <c r="HG33" s="656"/>
      <c r="HH33" s="656"/>
      <c r="HI33" s="656"/>
      <c r="HJ33" s="656"/>
      <c r="HK33" s="656"/>
      <c r="HL33" s="656"/>
      <c r="HM33" s="656"/>
      <c r="HN33" s="656"/>
      <c r="HO33" s="656"/>
      <c r="HP33" s="656"/>
      <c r="HQ33" s="656"/>
      <c r="HR33" s="656"/>
      <c r="HS33" s="656"/>
      <c r="HT33" s="656"/>
      <c r="HU33" s="656"/>
      <c r="HV33" s="656"/>
      <c r="HW33" s="656"/>
      <c r="HX33" s="656"/>
      <c r="HY33" s="656"/>
      <c r="HZ33" s="656"/>
    </row>
    <row r="34" spans="1:234" s="657" customFormat="1" ht="57" x14ac:dyDescent="0.25">
      <c r="A34" s="1013"/>
      <c r="B34" s="1014">
        <v>22</v>
      </c>
      <c r="C34" s="1015" t="s">
        <v>1288</v>
      </c>
      <c r="D34" s="1016" t="s">
        <v>842</v>
      </c>
      <c r="E34" s="1017">
        <v>1</v>
      </c>
      <c r="F34" s="1018">
        <v>172053</v>
      </c>
      <c r="G34" s="1019">
        <v>172053</v>
      </c>
      <c r="H34" s="486">
        <v>4</v>
      </c>
      <c r="I34" s="1026">
        <v>4</v>
      </c>
      <c r="J34" s="1020">
        <v>688212</v>
      </c>
      <c r="K34" s="1021">
        <v>0</v>
      </c>
      <c r="L34" s="485">
        <v>0</v>
      </c>
      <c r="M34" s="1022">
        <v>0</v>
      </c>
      <c r="N34" s="488">
        <v>0</v>
      </c>
      <c r="O34" s="1022">
        <v>0</v>
      </c>
      <c r="P34" s="488">
        <v>0</v>
      </c>
      <c r="Q34" s="1022">
        <v>0</v>
      </c>
      <c r="R34" s="488">
        <v>0</v>
      </c>
      <c r="S34" s="1023"/>
      <c r="T34" s="656"/>
      <c r="U34" s="656"/>
      <c r="V34" s="656"/>
      <c r="W34" s="656"/>
      <c r="X34" s="656"/>
      <c r="Y34" s="656"/>
      <c r="Z34" s="656"/>
      <c r="AA34" s="656"/>
      <c r="AB34" s="656"/>
      <c r="AC34" s="656"/>
      <c r="AD34" s="656"/>
      <c r="AE34" s="656"/>
      <c r="AF34" s="656"/>
      <c r="AG34" s="656"/>
      <c r="AH34" s="656"/>
      <c r="AI34" s="656"/>
      <c r="AJ34" s="656"/>
      <c r="AK34" s="656"/>
      <c r="AL34" s="656"/>
      <c r="AM34" s="656"/>
      <c r="AN34" s="656"/>
      <c r="AO34" s="656"/>
      <c r="AP34" s="656"/>
      <c r="AQ34" s="656"/>
      <c r="AR34" s="656"/>
      <c r="AS34" s="656"/>
      <c r="AT34" s="656"/>
      <c r="AU34" s="656"/>
      <c r="AV34" s="656"/>
      <c r="AW34" s="656"/>
      <c r="AX34" s="656"/>
      <c r="AY34" s="656"/>
      <c r="AZ34" s="656"/>
      <c r="BA34" s="656"/>
      <c r="BB34" s="656"/>
      <c r="BC34" s="656"/>
      <c r="BD34" s="656"/>
      <c r="BE34" s="656"/>
      <c r="BF34" s="656"/>
      <c r="BG34" s="656"/>
      <c r="BH34" s="656"/>
      <c r="BI34" s="656"/>
      <c r="BJ34" s="656"/>
      <c r="BK34" s="656"/>
      <c r="BL34" s="656"/>
      <c r="BM34" s="656"/>
      <c r="BN34" s="656"/>
      <c r="BO34" s="656"/>
      <c r="BP34" s="656"/>
      <c r="BQ34" s="656"/>
      <c r="BR34" s="656"/>
      <c r="BS34" s="656"/>
      <c r="BT34" s="656"/>
      <c r="BU34" s="656"/>
      <c r="BV34" s="656"/>
      <c r="BW34" s="656"/>
      <c r="BX34" s="656"/>
      <c r="BY34" s="656"/>
      <c r="BZ34" s="656"/>
      <c r="CA34" s="656"/>
      <c r="CB34" s="656"/>
      <c r="CC34" s="656"/>
      <c r="CD34" s="656"/>
      <c r="CE34" s="656"/>
      <c r="CF34" s="656"/>
      <c r="CG34" s="656"/>
      <c r="CH34" s="656"/>
      <c r="CI34" s="656"/>
      <c r="CJ34" s="656"/>
      <c r="CK34" s="656"/>
      <c r="CL34" s="656"/>
      <c r="CM34" s="656"/>
      <c r="CN34" s="656"/>
      <c r="CO34" s="656"/>
      <c r="CP34" s="656"/>
      <c r="CQ34" s="656"/>
      <c r="CR34" s="656"/>
      <c r="CS34" s="656"/>
      <c r="CT34" s="656"/>
      <c r="CU34" s="656"/>
      <c r="CV34" s="656"/>
      <c r="CW34" s="656"/>
      <c r="CX34" s="656"/>
      <c r="CY34" s="656"/>
      <c r="CZ34" s="656"/>
      <c r="DA34" s="656"/>
      <c r="DB34" s="656"/>
      <c r="DC34" s="656"/>
      <c r="DD34" s="656"/>
      <c r="DE34" s="656"/>
      <c r="DF34" s="656"/>
      <c r="DG34" s="656"/>
      <c r="DH34" s="656"/>
      <c r="DI34" s="656"/>
      <c r="DJ34" s="656"/>
      <c r="DK34" s="656"/>
      <c r="DL34" s="656"/>
      <c r="DM34" s="656"/>
      <c r="DN34" s="656"/>
      <c r="DO34" s="656"/>
      <c r="DP34" s="656"/>
      <c r="DQ34" s="656"/>
      <c r="DR34" s="656"/>
      <c r="DS34" s="656"/>
      <c r="DT34" s="656"/>
      <c r="DU34" s="656"/>
      <c r="DV34" s="656"/>
      <c r="DW34" s="656"/>
      <c r="DX34" s="656"/>
      <c r="DY34" s="656"/>
      <c r="DZ34" s="656"/>
      <c r="EA34" s="656"/>
      <c r="EB34" s="656"/>
      <c r="EC34" s="656"/>
      <c r="ED34" s="656"/>
      <c r="EE34" s="656"/>
      <c r="EF34" s="656"/>
      <c r="EG34" s="656"/>
      <c r="EH34" s="656"/>
      <c r="EI34" s="656"/>
      <c r="EJ34" s="656"/>
      <c r="EK34" s="656"/>
      <c r="EL34" s="656"/>
      <c r="EM34" s="656"/>
      <c r="EN34" s="656"/>
      <c r="EO34" s="656"/>
      <c r="EP34" s="656"/>
      <c r="EQ34" s="656"/>
      <c r="ER34" s="656"/>
      <c r="ES34" s="656"/>
      <c r="ET34" s="656"/>
      <c r="EU34" s="656"/>
      <c r="EV34" s="656"/>
      <c r="EW34" s="656"/>
      <c r="EX34" s="656"/>
      <c r="EY34" s="656"/>
      <c r="EZ34" s="656"/>
      <c r="FA34" s="656"/>
      <c r="FB34" s="656"/>
      <c r="FC34" s="656"/>
      <c r="FD34" s="656"/>
      <c r="FE34" s="656"/>
      <c r="FF34" s="656"/>
      <c r="FG34" s="656"/>
      <c r="FH34" s="656"/>
      <c r="FI34" s="656"/>
      <c r="FJ34" s="656"/>
      <c r="FK34" s="656"/>
      <c r="FL34" s="656"/>
      <c r="FM34" s="656"/>
      <c r="FN34" s="656"/>
      <c r="FO34" s="656"/>
      <c r="FP34" s="656"/>
      <c r="FQ34" s="656"/>
      <c r="FR34" s="656"/>
      <c r="FS34" s="656"/>
      <c r="FT34" s="656"/>
      <c r="FU34" s="656"/>
      <c r="FV34" s="656"/>
      <c r="FW34" s="656"/>
      <c r="FX34" s="656"/>
      <c r="FY34" s="656"/>
      <c r="FZ34" s="656"/>
      <c r="GA34" s="656"/>
      <c r="GB34" s="656"/>
      <c r="GC34" s="656"/>
      <c r="GD34" s="656"/>
      <c r="GE34" s="656"/>
      <c r="GF34" s="656"/>
      <c r="GG34" s="656"/>
      <c r="GH34" s="656"/>
      <c r="GI34" s="656"/>
      <c r="GJ34" s="656"/>
      <c r="GK34" s="656"/>
      <c r="GL34" s="656"/>
      <c r="GM34" s="656"/>
      <c r="GN34" s="656"/>
      <c r="GO34" s="656"/>
      <c r="GP34" s="656"/>
      <c r="GQ34" s="656"/>
      <c r="GR34" s="656"/>
      <c r="GS34" s="656"/>
      <c r="GT34" s="656"/>
      <c r="GU34" s="656"/>
      <c r="GV34" s="656"/>
      <c r="GW34" s="656"/>
      <c r="GX34" s="656"/>
      <c r="GY34" s="656"/>
      <c r="GZ34" s="656"/>
      <c r="HA34" s="656"/>
      <c r="HB34" s="656"/>
      <c r="HC34" s="656"/>
      <c r="HD34" s="656"/>
      <c r="HE34" s="656"/>
      <c r="HF34" s="656"/>
      <c r="HG34" s="656"/>
      <c r="HH34" s="656"/>
      <c r="HI34" s="656"/>
      <c r="HJ34" s="656"/>
      <c r="HK34" s="656"/>
      <c r="HL34" s="656"/>
      <c r="HM34" s="656"/>
      <c r="HN34" s="656"/>
      <c r="HO34" s="656"/>
      <c r="HP34" s="656"/>
      <c r="HQ34" s="656"/>
      <c r="HR34" s="656"/>
      <c r="HS34" s="656"/>
      <c r="HT34" s="656"/>
      <c r="HU34" s="656"/>
      <c r="HV34" s="656"/>
      <c r="HW34" s="656"/>
      <c r="HX34" s="656"/>
      <c r="HY34" s="656"/>
      <c r="HZ34" s="656"/>
    </row>
    <row r="35" spans="1:234" s="657" customFormat="1" ht="28.5" x14ac:dyDescent="0.25">
      <c r="A35" s="1013"/>
      <c r="B35" s="1014">
        <v>27</v>
      </c>
      <c r="C35" s="1015" t="s">
        <v>1289</v>
      </c>
      <c r="D35" s="1016" t="s">
        <v>842</v>
      </c>
      <c r="E35" s="1017">
        <v>1</v>
      </c>
      <c r="F35" s="1018">
        <v>29311</v>
      </c>
      <c r="G35" s="1019">
        <v>29311</v>
      </c>
      <c r="H35" s="486">
        <v>8</v>
      </c>
      <c r="I35" s="1026">
        <v>8</v>
      </c>
      <c r="J35" s="1020">
        <v>234488</v>
      </c>
      <c r="K35" s="1021">
        <v>0</v>
      </c>
      <c r="L35" s="485">
        <v>0</v>
      </c>
      <c r="M35" s="1022">
        <v>0</v>
      </c>
      <c r="N35" s="488">
        <v>0</v>
      </c>
      <c r="O35" s="1022">
        <v>0</v>
      </c>
      <c r="P35" s="488">
        <v>0</v>
      </c>
      <c r="Q35" s="1022">
        <v>0</v>
      </c>
      <c r="R35" s="488">
        <v>0</v>
      </c>
      <c r="S35" s="1023"/>
      <c r="T35" s="656"/>
      <c r="U35" s="656"/>
      <c r="V35" s="656"/>
      <c r="W35" s="656"/>
      <c r="X35" s="656"/>
      <c r="Y35" s="656"/>
      <c r="Z35" s="656"/>
      <c r="AA35" s="656"/>
      <c r="AB35" s="656"/>
      <c r="AC35" s="656"/>
      <c r="AD35" s="656"/>
      <c r="AE35" s="656"/>
      <c r="AF35" s="656"/>
      <c r="AG35" s="656"/>
      <c r="AH35" s="656"/>
      <c r="AI35" s="656"/>
      <c r="AJ35" s="656"/>
      <c r="AK35" s="656"/>
      <c r="AL35" s="656"/>
      <c r="AM35" s="656"/>
      <c r="AN35" s="656"/>
      <c r="AO35" s="656"/>
      <c r="AP35" s="656"/>
      <c r="AQ35" s="656"/>
      <c r="AR35" s="656"/>
      <c r="AS35" s="656"/>
      <c r="AT35" s="656"/>
      <c r="AU35" s="656"/>
      <c r="AV35" s="656"/>
      <c r="AW35" s="656"/>
      <c r="AX35" s="656"/>
      <c r="AY35" s="656"/>
      <c r="AZ35" s="656"/>
      <c r="BA35" s="656"/>
      <c r="BB35" s="656"/>
      <c r="BC35" s="656"/>
      <c r="BD35" s="656"/>
      <c r="BE35" s="656"/>
      <c r="BF35" s="656"/>
      <c r="BG35" s="656"/>
      <c r="BH35" s="656"/>
      <c r="BI35" s="656"/>
      <c r="BJ35" s="656"/>
      <c r="BK35" s="656"/>
      <c r="BL35" s="656"/>
      <c r="BM35" s="656"/>
      <c r="BN35" s="656"/>
      <c r="BO35" s="656"/>
      <c r="BP35" s="656"/>
      <c r="BQ35" s="656"/>
      <c r="BR35" s="656"/>
      <c r="BS35" s="656"/>
      <c r="BT35" s="656"/>
      <c r="BU35" s="656"/>
      <c r="BV35" s="656"/>
      <c r="BW35" s="656"/>
      <c r="BX35" s="656"/>
      <c r="BY35" s="656"/>
      <c r="BZ35" s="656"/>
      <c r="CA35" s="656"/>
      <c r="CB35" s="656"/>
      <c r="CC35" s="656"/>
      <c r="CD35" s="656"/>
      <c r="CE35" s="656"/>
      <c r="CF35" s="656"/>
      <c r="CG35" s="656"/>
      <c r="CH35" s="656"/>
      <c r="CI35" s="656"/>
      <c r="CJ35" s="656"/>
      <c r="CK35" s="656"/>
      <c r="CL35" s="656"/>
      <c r="CM35" s="656"/>
      <c r="CN35" s="656"/>
      <c r="CO35" s="656"/>
      <c r="CP35" s="656"/>
      <c r="CQ35" s="656"/>
      <c r="CR35" s="656"/>
      <c r="CS35" s="656"/>
      <c r="CT35" s="656"/>
      <c r="CU35" s="656"/>
      <c r="CV35" s="656"/>
      <c r="CW35" s="656"/>
      <c r="CX35" s="656"/>
      <c r="CY35" s="656"/>
      <c r="CZ35" s="656"/>
      <c r="DA35" s="656"/>
      <c r="DB35" s="656"/>
      <c r="DC35" s="656"/>
      <c r="DD35" s="656"/>
      <c r="DE35" s="656"/>
      <c r="DF35" s="656"/>
      <c r="DG35" s="656"/>
      <c r="DH35" s="656"/>
      <c r="DI35" s="656"/>
      <c r="DJ35" s="656"/>
      <c r="DK35" s="656"/>
      <c r="DL35" s="656"/>
      <c r="DM35" s="656"/>
      <c r="DN35" s="656"/>
      <c r="DO35" s="656"/>
      <c r="DP35" s="656"/>
      <c r="DQ35" s="656"/>
      <c r="DR35" s="656"/>
      <c r="DS35" s="656"/>
      <c r="DT35" s="656"/>
      <c r="DU35" s="656"/>
      <c r="DV35" s="656"/>
      <c r="DW35" s="656"/>
      <c r="DX35" s="656"/>
      <c r="DY35" s="656"/>
      <c r="DZ35" s="656"/>
      <c r="EA35" s="656"/>
      <c r="EB35" s="656"/>
      <c r="EC35" s="656"/>
      <c r="ED35" s="656"/>
      <c r="EE35" s="656"/>
      <c r="EF35" s="656"/>
      <c r="EG35" s="656"/>
      <c r="EH35" s="656"/>
      <c r="EI35" s="656"/>
      <c r="EJ35" s="656"/>
      <c r="EK35" s="656"/>
      <c r="EL35" s="656"/>
      <c r="EM35" s="656"/>
      <c r="EN35" s="656"/>
      <c r="EO35" s="656"/>
      <c r="EP35" s="656"/>
      <c r="EQ35" s="656"/>
      <c r="ER35" s="656"/>
      <c r="ES35" s="656"/>
      <c r="ET35" s="656"/>
      <c r="EU35" s="656"/>
      <c r="EV35" s="656"/>
      <c r="EW35" s="656"/>
      <c r="EX35" s="656"/>
      <c r="EY35" s="656"/>
      <c r="EZ35" s="656"/>
      <c r="FA35" s="656"/>
      <c r="FB35" s="656"/>
      <c r="FC35" s="656"/>
      <c r="FD35" s="656"/>
      <c r="FE35" s="656"/>
      <c r="FF35" s="656"/>
      <c r="FG35" s="656"/>
      <c r="FH35" s="656"/>
      <c r="FI35" s="656"/>
      <c r="FJ35" s="656"/>
      <c r="FK35" s="656"/>
      <c r="FL35" s="656"/>
      <c r="FM35" s="656"/>
      <c r="FN35" s="656"/>
      <c r="FO35" s="656"/>
      <c r="FP35" s="656"/>
      <c r="FQ35" s="656"/>
      <c r="FR35" s="656"/>
      <c r="FS35" s="656"/>
      <c r="FT35" s="656"/>
      <c r="FU35" s="656"/>
      <c r="FV35" s="656"/>
      <c r="FW35" s="656"/>
      <c r="FX35" s="656"/>
      <c r="FY35" s="656"/>
      <c r="FZ35" s="656"/>
      <c r="GA35" s="656"/>
      <c r="GB35" s="656"/>
      <c r="GC35" s="656"/>
      <c r="GD35" s="656"/>
      <c r="GE35" s="656"/>
      <c r="GF35" s="656"/>
      <c r="GG35" s="656"/>
      <c r="GH35" s="656"/>
      <c r="GI35" s="656"/>
      <c r="GJ35" s="656"/>
      <c r="GK35" s="656"/>
      <c r="GL35" s="656"/>
      <c r="GM35" s="656"/>
      <c r="GN35" s="656"/>
      <c r="GO35" s="656"/>
      <c r="GP35" s="656"/>
      <c r="GQ35" s="656"/>
      <c r="GR35" s="656"/>
      <c r="GS35" s="656"/>
      <c r="GT35" s="656"/>
      <c r="GU35" s="656"/>
      <c r="GV35" s="656"/>
      <c r="GW35" s="656"/>
      <c r="GX35" s="656"/>
      <c r="GY35" s="656"/>
      <c r="GZ35" s="656"/>
      <c r="HA35" s="656"/>
      <c r="HB35" s="656"/>
      <c r="HC35" s="656"/>
      <c r="HD35" s="656"/>
      <c r="HE35" s="656"/>
      <c r="HF35" s="656"/>
      <c r="HG35" s="656"/>
      <c r="HH35" s="656"/>
      <c r="HI35" s="656"/>
      <c r="HJ35" s="656"/>
      <c r="HK35" s="656"/>
      <c r="HL35" s="656"/>
      <c r="HM35" s="656"/>
      <c r="HN35" s="656"/>
      <c r="HO35" s="656"/>
      <c r="HP35" s="656"/>
      <c r="HQ35" s="656"/>
      <c r="HR35" s="656"/>
      <c r="HS35" s="656"/>
      <c r="HT35" s="656"/>
      <c r="HU35" s="656"/>
      <c r="HV35" s="656"/>
      <c r="HW35" s="656"/>
      <c r="HX35" s="656"/>
      <c r="HY35" s="656"/>
      <c r="HZ35" s="656"/>
    </row>
    <row r="36" spans="1:234" s="657" customFormat="1" x14ac:dyDescent="0.25">
      <c r="A36" s="1013"/>
      <c r="B36" s="1014">
        <v>29</v>
      </c>
      <c r="C36" s="1015" t="s">
        <v>1218</v>
      </c>
      <c r="D36" s="1016" t="s">
        <v>842</v>
      </c>
      <c r="E36" s="1017">
        <v>1</v>
      </c>
      <c r="F36" s="1018">
        <v>57419</v>
      </c>
      <c r="G36" s="1019">
        <v>57419</v>
      </c>
      <c r="H36" s="486">
        <v>26</v>
      </c>
      <c r="I36" s="1026">
        <v>36</v>
      </c>
      <c r="J36" s="1020">
        <v>2067084</v>
      </c>
      <c r="K36" s="1021">
        <v>0</v>
      </c>
      <c r="L36" s="485">
        <v>0</v>
      </c>
      <c r="M36" s="1022">
        <v>0</v>
      </c>
      <c r="N36" s="488">
        <v>0</v>
      </c>
      <c r="O36" s="1022">
        <v>0</v>
      </c>
      <c r="P36" s="488">
        <v>0</v>
      </c>
      <c r="Q36" s="1022">
        <v>0</v>
      </c>
      <c r="R36" s="488">
        <v>0</v>
      </c>
      <c r="S36" s="1023"/>
      <c r="T36" s="656"/>
      <c r="U36" s="656"/>
      <c r="V36" s="656"/>
      <c r="W36" s="656"/>
      <c r="X36" s="656"/>
      <c r="Y36" s="656"/>
      <c r="Z36" s="656"/>
      <c r="AA36" s="656"/>
      <c r="AB36" s="656"/>
      <c r="AC36" s="656"/>
      <c r="AD36" s="656"/>
      <c r="AE36" s="656"/>
      <c r="AF36" s="656"/>
      <c r="AG36" s="656"/>
      <c r="AH36" s="656"/>
      <c r="AI36" s="656"/>
      <c r="AJ36" s="656"/>
      <c r="AK36" s="656"/>
      <c r="AL36" s="656"/>
      <c r="AM36" s="656"/>
      <c r="AN36" s="656"/>
      <c r="AO36" s="656"/>
      <c r="AP36" s="656"/>
      <c r="AQ36" s="656"/>
      <c r="AR36" s="656"/>
      <c r="AS36" s="656"/>
      <c r="AT36" s="656"/>
      <c r="AU36" s="656"/>
      <c r="AV36" s="656"/>
      <c r="AW36" s="656"/>
      <c r="AX36" s="656"/>
      <c r="AY36" s="656"/>
      <c r="AZ36" s="656"/>
      <c r="BA36" s="656"/>
      <c r="BB36" s="656"/>
      <c r="BC36" s="656"/>
      <c r="BD36" s="656"/>
      <c r="BE36" s="656"/>
      <c r="BF36" s="656"/>
      <c r="BG36" s="656"/>
      <c r="BH36" s="656"/>
      <c r="BI36" s="656"/>
      <c r="BJ36" s="656"/>
      <c r="BK36" s="656"/>
      <c r="BL36" s="656"/>
      <c r="BM36" s="656"/>
      <c r="BN36" s="656"/>
      <c r="BO36" s="656"/>
      <c r="BP36" s="656"/>
      <c r="BQ36" s="656"/>
      <c r="BR36" s="656"/>
      <c r="BS36" s="656"/>
      <c r="BT36" s="656"/>
      <c r="BU36" s="656"/>
      <c r="BV36" s="656"/>
      <c r="BW36" s="656"/>
      <c r="BX36" s="656"/>
      <c r="BY36" s="656"/>
      <c r="BZ36" s="656"/>
      <c r="CA36" s="656"/>
      <c r="CB36" s="656"/>
      <c r="CC36" s="656"/>
      <c r="CD36" s="656"/>
      <c r="CE36" s="656"/>
      <c r="CF36" s="656"/>
      <c r="CG36" s="656"/>
      <c r="CH36" s="656"/>
      <c r="CI36" s="656"/>
      <c r="CJ36" s="656"/>
      <c r="CK36" s="656"/>
      <c r="CL36" s="656"/>
      <c r="CM36" s="656"/>
      <c r="CN36" s="656"/>
      <c r="CO36" s="656"/>
      <c r="CP36" s="656"/>
      <c r="CQ36" s="656"/>
      <c r="CR36" s="656"/>
      <c r="CS36" s="656"/>
      <c r="CT36" s="656"/>
      <c r="CU36" s="656"/>
      <c r="CV36" s="656"/>
      <c r="CW36" s="656"/>
      <c r="CX36" s="656"/>
      <c r="CY36" s="656"/>
      <c r="CZ36" s="656"/>
      <c r="DA36" s="656"/>
      <c r="DB36" s="656"/>
      <c r="DC36" s="656"/>
      <c r="DD36" s="656"/>
      <c r="DE36" s="656"/>
      <c r="DF36" s="656"/>
      <c r="DG36" s="656"/>
      <c r="DH36" s="656"/>
      <c r="DI36" s="656"/>
      <c r="DJ36" s="656"/>
      <c r="DK36" s="656"/>
      <c r="DL36" s="656"/>
      <c r="DM36" s="656"/>
      <c r="DN36" s="656"/>
      <c r="DO36" s="656"/>
      <c r="DP36" s="656"/>
      <c r="DQ36" s="656"/>
      <c r="DR36" s="656"/>
      <c r="DS36" s="656"/>
      <c r="DT36" s="656"/>
      <c r="DU36" s="656"/>
      <c r="DV36" s="656"/>
      <c r="DW36" s="656"/>
      <c r="DX36" s="656"/>
      <c r="DY36" s="656"/>
      <c r="DZ36" s="656"/>
      <c r="EA36" s="656"/>
      <c r="EB36" s="656"/>
      <c r="EC36" s="656"/>
      <c r="ED36" s="656"/>
      <c r="EE36" s="656"/>
      <c r="EF36" s="656"/>
      <c r="EG36" s="656"/>
      <c r="EH36" s="656"/>
      <c r="EI36" s="656"/>
      <c r="EJ36" s="656"/>
      <c r="EK36" s="656"/>
      <c r="EL36" s="656"/>
      <c r="EM36" s="656"/>
      <c r="EN36" s="656"/>
      <c r="EO36" s="656"/>
      <c r="EP36" s="656"/>
      <c r="EQ36" s="656"/>
      <c r="ER36" s="656"/>
      <c r="ES36" s="656"/>
      <c r="ET36" s="656"/>
      <c r="EU36" s="656"/>
      <c r="EV36" s="656"/>
      <c r="EW36" s="656"/>
      <c r="EX36" s="656"/>
      <c r="EY36" s="656"/>
      <c r="EZ36" s="656"/>
      <c r="FA36" s="656"/>
      <c r="FB36" s="656"/>
      <c r="FC36" s="656"/>
      <c r="FD36" s="656"/>
      <c r="FE36" s="656"/>
      <c r="FF36" s="656"/>
      <c r="FG36" s="656"/>
      <c r="FH36" s="656"/>
      <c r="FI36" s="656"/>
      <c r="FJ36" s="656"/>
      <c r="FK36" s="656"/>
      <c r="FL36" s="656"/>
      <c r="FM36" s="656"/>
      <c r="FN36" s="656"/>
      <c r="FO36" s="656"/>
      <c r="FP36" s="656"/>
      <c r="FQ36" s="656"/>
      <c r="FR36" s="656"/>
      <c r="FS36" s="656"/>
      <c r="FT36" s="656"/>
      <c r="FU36" s="656"/>
      <c r="FV36" s="656"/>
      <c r="FW36" s="656"/>
      <c r="FX36" s="656"/>
      <c r="FY36" s="656"/>
      <c r="FZ36" s="656"/>
      <c r="GA36" s="656"/>
      <c r="GB36" s="656"/>
      <c r="GC36" s="656"/>
      <c r="GD36" s="656"/>
      <c r="GE36" s="656"/>
      <c r="GF36" s="656"/>
      <c r="GG36" s="656"/>
      <c r="GH36" s="656"/>
      <c r="GI36" s="656"/>
      <c r="GJ36" s="656"/>
      <c r="GK36" s="656"/>
      <c r="GL36" s="656"/>
      <c r="GM36" s="656"/>
      <c r="GN36" s="656"/>
      <c r="GO36" s="656"/>
      <c r="GP36" s="656"/>
      <c r="GQ36" s="656"/>
      <c r="GR36" s="656"/>
      <c r="GS36" s="656"/>
      <c r="GT36" s="656"/>
      <c r="GU36" s="656"/>
      <c r="GV36" s="656"/>
      <c r="GW36" s="656"/>
      <c r="GX36" s="656"/>
      <c r="GY36" s="656"/>
      <c r="GZ36" s="656"/>
      <c r="HA36" s="656"/>
      <c r="HB36" s="656"/>
      <c r="HC36" s="656"/>
      <c r="HD36" s="656"/>
      <c r="HE36" s="656"/>
      <c r="HF36" s="656"/>
      <c r="HG36" s="656"/>
      <c r="HH36" s="656"/>
      <c r="HI36" s="656"/>
      <c r="HJ36" s="656"/>
      <c r="HK36" s="656"/>
      <c r="HL36" s="656"/>
      <c r="HM36" s="656"/>
      <c r="HN36" s="656"/>
      <c r="HO36" s="656"/>
      <c r="HP36" s="656"/>
      <c r="HQ36" s="656"/>
      <c r="HR36" s="656"/>
      <c r="HS36" s="656"/>
      <c r="HT36" s="656"/>
      <c r="HU36" s="656"/>
      <c r="HV36" s="656"/>
      <c r="HW36" s="656"/>
      <c r="HX36" s="656"/>
      <c r="HY36" s="656"/>
      <c r="HZ36" s="656"/>
    </row>
    <row r="37" spans="1:234" s="657" customFormat="1" x14ac:dyDescent="0.25">
      <c r="A37" s="1013"/>
      <c r="B37" s="1014">
        <v>50</v>
      </c>
      <c r="C37" s="1015" t="s">
        <v>871</v>
      </c>
      <c r="D37" s="1016" t="s">
        <v>912</v>
      </c>
      <c r="E37" s="1017">
        <v>1</v>
      </c>
      <c r="F37" s="1018">
        <v>24665</v>
      </c>
      <c r="G37" s="1019">
        <v>24665</v>
      </c>
      <c r="H37" s="486">
        <v>130</v>
      </c>
      <c r="I37" s="1026">
        <v>124.59</v>
      </c>
      <c r="J37" s="1020">
        <v>3073012.35</v>
      </c>
      <c r="K37" s="1021">
        <v>124.59</v>
      </c>
      <c r="L37" s="485">
        <v>3073012.35</v>
      </c>
      <c r="M37" s="1022">
        <v>0</v>
      </c>
      <c r="N37" s="488">
        <v>0</v>
      </c>
      <c r="O37" s="1024">
        <v>124.59</v>
      </c>
      <c r="P37" s="488">
        <v>3073012.35</v>
      </c>
      <c r="Q37" s="1024">
        <v>0</v>
      </c>
      <c r="R37" s="488">
        <v>0</v>
      </c>
      <c r="S37" s="1023"/>
      <c r="T37" s="656"/>
      <c r="U37" s="656"/>
      <c r="V37" s="656"/>
      <c r="W37" s="656"/>
      <c r="X37" s="656"/>
      <c r="Y37" s="656"/>
      <c r="Z37" s="656"/>
      <c r="AA37" s="656"/>
      <c r="AB37" s="656"/>
      <c r="AC37" s="656"/>
      <c r="AD37" s="656"/>
      <c r="AE37" s="656"/>
      <c r="AF37" s="656"/>
      <c r="AG37" s="656"/>
      <c r="AH37" s="656"/>
      <c r="AI37" s="656"/>
      <c r="AJ37" s="656"/>
      <c r="AK37" s="656"/>
      <c r="AL37" s="656"/>
      <c r="AM37" s="656"/>
      <c r="AN37" s="656"/>
      <c r="AO37" s="656"/>
      <c r="AP37" s="656"/>
      <c r="AQ37" s="656"/>
      <c r="AR37" s="656"/>
      <c r="AS37" s="656"/>
      <c r="AT37" s="656"/>
      <c r="AU37" s="656"/>
      <c r="AV37" s="656"/>
      <c r="AW37" s="656"/>
      <c r="AX37" s="656"/>
      <c r="AY37" s="656"/>
      <c r="AZ37" s="656"/>
      <c r="BA37" s="656"/>
      <c r="BB37" s="656"/>
      <c r="BC37" s="656"/>
      <c r="BD37" s="656"/>
      <c r="BE37" s="656"/>
      <c r="BF37" s="656"/>
      <c r="BG37" s="656"/>
      <c r="BH37" s="656"/>
      <c r="BI37" s="656"/>
      <c r="BJ37" s="656"/>
      <c r="BK37" s="656"/>
      <c r="BL37" s="656"/>
      <c r="BM37" s="656"/>
      <c r="BN37" s="656"/>
      <c r="BO37" s="656"/>
      <c r="BP37" s="656"/>
      <c r="BQ37" s="656"/>
      <c r="BR37" s="656"/>
      <c r="BS37" s="656"/>
      <c r="BT37" s="656"/>
      <c r="BU37" s="656"/>
      <c r="BV37" s="656"/>
      <c r="BW37" s="656"/>
      <c r="BX37" s="656"/>
      <c r="BY37" s="656"/>
      <c r="BZ37" s="656"/>
      <c r="CA37" s="656"/>
      <c r="CB37" s="656"/>
      <c r="CC37" s="656"/>
      <c r="CD37" s="656"/>
      <c r="CE37" s="656"/>
      <c r="CF37" s="656"/>
      <c r="CG37" s="656"/>
      <c r="CH37" s="656"/>
      <c r="CI37" s="656"/>
      <c r="CJ37" s="656"/>
      <c r="CK37" s="656"/>
      <c r="CL37" s="656"/>
      <c r="CM37" s="656"/>
      <c r="CN37" s="656"/>
      <c r="CO37" s="656"/>
      <c r="CP37" s="656"/>
      <c r="CQ37" s="656"/>
      <c r="CR37" s="656"/>
      <c r="CS37" s="656"/>
      <c r="CT37" s="656"/>
      <c r="CU37" s="656"/>
      <c r="CV37" s="656"/>
      <c r="CW37" s="656"/>
      <c r="CX37" s="656"/>
      <c r="CY37" s="656"/>
      <c r="CZ37" s="656"/>
      <c r="DA37" s="656"/>
      <c r="DB37" s="656"/>
      <c r="DC37" s="656"/>
      <c r="DD37" s="656"/>
      <c r="DE37" s="656"/>
      <c r="DF37" s="656"/>
      <c r="DG37" s="656"/>
      <c r="DH37" s="656"/>
      <c r="DI37" s="656"/>
      <c r="DJ37" s="656"/>
      <c r="DK37" s="656"/>
      <c r="DL37" s="656"/>
      <c r="DM37" s="656"/>
      <c r="DN37" s="656"/>
      <c r="DO37" s="656"/>
      <c r="DP37" s="656"/>
      <c r="DQ37" s="656"/>
      <c r="DR37" s="656"/>
      <c r="DS37" s="656"/>
      <c r="DT37" s="656"/>
      <c r="DU37" s="656"/>
      <c r="DV37" s="656"/>
      <c r="DW37" s="656"/>
      <c r="DX37" s="656"/>
      <c r="DY37" s="656"/>
      <c r="DZ37" s="656"/>
      <c r="EA37" s="656"/>
      <c r="EB37" s="656"/>
      <c r="EC37" s="656"/>
      <c r="ED37" s="656"/>
      <c r="EE37" s="656"/>
      <c r="EF37" s="656"/>
      <c r="EG37" s="656"/>
      <c r="EH37" s="656"/>
      <c r="EI37" s="656"/>
      <c r="EJ37" s="656"/>
      <c r="EK37" s="656"/>
      <c r="EL37" s="656"/>
      <c r="EM37" s="656"/>
      <c r="EN37" s="656"/>
      <c r="EO37" s="656"/>
      <c r="EP37" s="656"/>
      <c r="EQ37" s="656"/>
      <c r="ER37" s="656"/>
      <c r="ES37" s="656"/>
      <c r="ET37" s="656"/>
      <c r="EU37" s="656"/>
      <c r="EV37" s="656"/>
      <c r="EW37" s="656"/>
      <c r="EX37" s="656"/>
      <c r="EY37" s="656"/>
      <c r="EZ37" s="656"/>
      <c r="FA37" s="656"/>
      <c r="FB37" s="656"/>
      <c r="FC37" s="656"/>
      <c r="FD37" s="656"/>
      <c r="FE37" s="656"/>
      <c r="FF37" s="656"/>
      <c r="FG37" s="656"/>
      <c r="FH37" s="656"/>
      <c r="FI37" s="656"/>
      <c r="FJ37" s="656"/>
      <c r="FK37" s="656"/>
      <c r="FL37" s="656"/>
      <c r="FM37" s="656"/>
      <c r="FN37" s="656"/>
      <c r="FO37" s="656"/>
      <c r="FP37" s="656"/>
      <c r="FQ37" s="656"/>
      <c r="FR37" s="656"/>
      <c r="FS37" s="656"/>
      <c r="FT37" s="656"/>
      <c r="FU37" s="656"/>
      <c r="FV37" s="656"/>
      <c r="FW37" s="656"/>
      <c r="FX37" s="656"/>
      <c r="FY37" s="656"/>
      <c r="FZ37" s="656"/>
      <c r="GA37" s="656"/>
      <c r="GB37" s="656"/>
      <c r="GC37" s="656"/>
      <c r="GD37" s="656"/>
      <c r="GE37" s="656"/>
      <c r="GF37" s="656"/>
      <c r="GG37" s="656"/>
      <c r="GH37" s="656"/>
      <c r="GI37" s="656"/>
      <c r="GJ37" s="656"/>
      <c r="GK37" s="656"/>
      <c r="GL37" s="656"/>
      <c r="GM37" s="656"/>
      <c r="GN37" s="656"/>
      <c r="GO37" s="656"/>
      <c r="GP37" s="656"/>
      <c r="GQ37" s="656"/>
      <c r="GR37" s="656"/>
      <c r="GS37" s="656"/>
      <c r="GT37" s="656"/>
      <c r="GU37" s="656"/>
      <c r="GV37" s="656"/>
      <c r="GW37" s="656"/>
      <c r="GX37" s="656"/>
      <c r="GY37" s="656"/>
      <c r="GZ37" s="656"/>
      <c r="HA37" s="656"/>
      <c r="HB37" s="656"/>
      <c r="HC37" s="656"/>
      <c r="HD37" s="656"/>
      <c r="HE37" s="656"/>
      <c r="HF37" s="656"/>
      <c r="HG37" s="656"/>
      <c r="HH37" s="656"/>
      <c r="HI37" s="656"/>
      <c r="HJ37" s="656"/>
      <c r="HK37" s="656"/>
      <c r="HL37" s="656"/>
      <c r="HM37" s="656"/>
      <c r="HN37" s="656"/>
      <c r="HO37" s="656"/>
      <c r="HP37" s="656"/>
      <c r="HQ37" s="656"/>
      <c r="HR37" s="656"/>
      <c r="HS37" s="656"/>
      <c r="HT37" s="656"/>
      <c r="HU37" s="656"/>
      <c r="HV37" s="656"/>
      <c r="HW37" s="656"/>
      <c r="HX37" s="656"/>
      <c r="HY37" s="656"/>
      <c r="HZ37" s="656"/>
    </row>
    <row r="38" spans="1:234" s="657" customFormat="1" x14ac:dyDescent="0.25">
      <c r="A38" s="1013"/>
      <c r="B38" s="1014">
        <v>56</v>
      </c>
      <c r="C38" s="1015" t="s">
        <v>88</v>
      </c>
      <c r="D38" s="1027" t="s">
        <v>842</v>
      </c>
      <c r="E38" s="1017">
        <v>1</v>
      </c>
      <c r="F38" s="1018">
        <v>12035</v>
      </c>
      <c r="G38" s="1019">
        <v>12035</v>
      </c>
      <c r="H38" s="486">
        <v>260</v>
      </c>
      <c r="I38" s="1028">
        <v>45</v>
      </c>
      <c r="J38" s="1020">
        <v>541575</v>
      </c>
      <c r="K38" s="1021">
        <v>0</v>
      </c>
      <c r="L38" s="485">
        <v>0</v>
      </c>
      <c r="M38" s="1029">
        <v>0</v>
      </c>
      <c r="N38" s="488">
        <v>0</v>
      </c>
      <c r="O38" s="1022">
        <v>0</v>
      </c>
      <c r="P38" s="488">
        <v>0</v>
      </c>
      <c r="Q38" s="1022">
        <v>0</v>
      </c>
      <c r="R38" s="488">
        <v>0</v>
      </c>
      <c r="S38" s="1023"/>
      <c r="T38" s="656"/>
      <c r="U38" s="656"/>
      <c r="V38" s="656"/>
      <c r="W38" s="656"/>
      <c r="X38" s="656"/>
      <c r="Y38" s="656"/>
      <c r="Z38" s="656"/>
      <c r="AA38" s="656"/>
      <c r="AB38" s="656"/>
      <c r="AC38" s="656"/>
      <c r="AD38" s="656"/>
      <c r="AE38" s="656"/>
      <c r="AF38" s="656"/>
      <c r="AG38" s="656"/>
      <c r="AH38" s="656"/>
      <c r="AI38" s="656"/>
      <c r="AJ38" s="656"/>
      <c r="AK38" s="656"/>
      <c r="AL38" s="656"/>
      <c r="AM38" s="656"/>
      <c r="AN38" s="656"/>
      <c r="AO38" s="656"/>
      <c r="AP38" s="656"/>
      <c r="AQ38" s="656"/>
      <c r="AR38" s="656"/>
      <c r="AS38" s="656"/>
      <c r="AT38" s="656"/>
      <c r="AU38" s="656"/>
      <c r="AV38" s="656"/>
      <c r="AW38" s="656"/>
      <c r="AX38" s="656"/>
      <c r="AY38" s="656"/>
      <c r="AZ38" s="656"/>
      <c r="BA38" s="656"/>
      <c r="BB38" s="656"/>
      <c r="BC38" s="656"/>
      <c r="BD38" s="656"/>
      <c r="BE38" s="656"/>
      <c r="BF38" s="656"/>
      <c r="BG38" s="656"/>
      <c r="BH38" s="656"/>
      <c r="BI38" s="656"/>
      <c r="BJ38" s="656"/>
      <c r="BK38" s="656"/>
      <c r="BL38" s="656"/>
      <c r="BM38" s="656"/>
      <c r="BN38" s="656"/>
      <c r="BO38" s="656"/>
      <c r="BP38" s="656"/>
      <c r="BQ38" s="656"/>
      <c r="BR38" s="656"/>
      <c r="BS38" s="656"/>
      <c r="BT38" s="656"/>
      <c r="BU38" s="656"/>
      <c r="BV38" s="656"/>
      <c r="BW38" s="656"/>
      <c r="BX38" s="656"/>
      <c r="BY38" s="656"/>
      <c r="BZ38" s="656"/>
      <c r="CA38" s="656"/>
      <c r="CB38" s="656"/>
      <c r="CC38" s="656"/>
      <c r="CD38" s="656"/>
      <c r="CE38" s="656"/>
      <c r="CF38" s="656"/>
      <c r="CG38" s="656"/>
      <c r="CH38" s="656"/>
      <c r="CI38" s="656"/>
      <c r="CJ38" s="656"/>
      <c r="CK38" s="656"/>
      <c r="CL38" s="656"/>
      <c r="CM38" s="656"/>
      <c r="CN38" s="656"/>
      <c r="CO38" s="656"/>
      <c r="CP38" s="656"/>
      <c r="CQ38" s="656"/>
      <c r="CR38" s="656"/>
      <c r="CS38" s="656"/>
      <c r="CT38" s="656"/>
      <c r="CU38" s="656"/>
      <c r="CV38" s="656"/>
      <c r="CW38" s="656"/>
      <c r="CX38" s="656"/>
      <c r="CY38" s="656"/>
      <c r="CZ38" s="656"/>
      <c r="DA38" s="656"/>
      <c r="DB38" s="656"/>
      <c r="DC38" s="656"/>
      <c r="DD38" s="656"/>
      <c r="DE38" s="656"/>
      <c r="DF38" s="656"/>
      <c r="DG38" s="656"/>
      <c r="DH38" s="656"/>
      <c r="DI38" s="656"/>
      <c r="DJ38" s="656"/>
      <c r="DK38" s="656"/>
      <c r="DL38" s="656"/>
      <c r="DM38" s="656"/>
      <c r="DN38" s="656"/>
      <c r="DO38" s="656"/>
      <c r="DP38" s="656"/>
      <c r="DQ38" s="656"/>
      <c r="DR38" s="656"/>
      <c r="DS38" s="656"/>
      <c r="DT38" s="656"/>
      <c r="DU38" s="656"/>
      <c r="DV38" s="656"/>
      <c r="DW38" s="656"/>
      <c r="DX38" s="656"/>
      <c r="DY38" s="656"/>
      <c r="DZ38" s="656"/>
      <c r="EA38" s="656"/>
      <c r="EB38" s="656"/>
      <c r="EC38" s="656"/>
      <c r="ED38" s="656"/>
      <c r="EE38" s="656"/>
      <c r="EF38" s="656"/>
      <c r="EG38" s="656"/>
      <c r="EH38" s="656"/>
      <c r="EI38" s="656"/>
      <c r="EJ38" s="656"/>
      <c r="EK38" s="656"/>
      <c r="EL38" s="656"/>
      <c r="EM38" s="656"/>
      <c r="EN38" s="656"/>
      <c r="EO38" s="656"/>
      <c r="EP38" s="656"/>
      <c r="EQ38" s="656"/>
      <c r="ER38" s="656"/>
      <c r="ES38" s="656"/>
      <c r="ET38" s="656"/>
      <c r="EU38" s="656"/>
      <c r="EV38" s="656"/>
      <c r="EW38" s="656"/>
      <c r="EX38" s="656"/>
      <c r="EY38" s="656"/>
      <c r="EZ38" s="656"/>
      <c r="FA38" s="656"/>
      <c r="FB38" s="656"/>
      <c r="FC38" s="656"/>
      <c r="FD38" s="656"/>
      <c r="FE38" s="656"/>
      <c r="FF38" s="656"/>
      <c r="FG38" s="656"/>
      <c r="FH38" s="656"/>
      <c r="FI38" s="656"/>
      <c r="FJ38" s="656"/>
      <c r="FK38" s="656"/>
      <c r="FL38" s="656"/>
      <c r="FM38" s="656"/>
      <c r="FN38" s="656"/>
      <c r="FO38" s="656"/>
      <c r="FP38" s="656"/>
      <c r="FQ38" s="656"/>
      <c r="FR38" s="656"/>
      <c r="FS38" s="656"/>
      <c r="FT38" s="656"/>
      <c r="FU38" s="656"/>
      <c r="FV38" s="656"/>
      <c r="FW38" s="656"/>
      <c r="FX38" s="656"/>
      <c r="FY38" s="656"/>
      <c r="FZ38" s="656"/>
      <c r="GA38" s="656"/>
      <c r="GB38" s="656"/>
      <c r="GC38" s="656"/>
      <c r="GD38" s="656"/>
      <c r="GE38" s="656"/>
      <c r="GF38" s="656"/>
      <c r="GG38" s="656"/>
      <c r="GH38" s="656"/>
      <c r="GI38" s="656"/>
      <c r="GJ38" s="656"/>
      <c r="GK38" s="656"/>
      <c r="GL38" s="656"/>
      <c r="GM38" s="656"/>
      <c r="GN38" s="656"/>
      <c r="GO38" s="656"/>
      <c r="GP38" s="656"/>
      <c r="GQ38" s="656"/>
      <c r="GR38" s="656"/>
      <c r="GS38" s="656"/>
      <c r="GT38" s="656"/>
      <c r="GU38" s="656"/>
      <c r="GV38" s="656"/>
      <c r="GW38" s="656"/>
      <c r="GX38" s="656"/>
      <c r="GY38" s="656"/>
      <c r="GZ38" s="656"/>
      <c r="HA38" s="656"/>
      <c r="HB38" s="656"/>
      <c r="HC38" s="656"/>
      <c r="HD38" s="656"/>
      <c r="HE38" s="656"/>
      <c r="HF38" s="656"/>
      <c r="HG38" s="656"/>
      <c r="HH38" s="656"/>
      <c r="HI38" s="656"/>
      <c r="HJ38" s="656"/>
      <c r="HK38" s="656"/>
      <c r="HL38" s="656"/>
      <c r="HM38" s="656"/>
      <c r="HN38" s="656"/>
      <c r="HO38" s="656"/>
      <c r="HP38" s="656"/>
      <c r="HQ38" s="656"/>
      <c r="HR38" s="656"/>
      <c r="HS38" s="656"/>
      <c r="HT38" s="656"/>
      <c r="HU38" s="656"/>
      <c r="HV38" s="656"/>
      <c r="HW38" s="656"/>
      <c r="HX38" s="656"/>
      <c r="HY38" s="656"/>
      <c r="HZ38" s="656"/>
    </row>
    <row r="39" spans="1:234" s="657" customFormat="1" x14ac:dyDescent="0.25">
      <c r="A39" s="1013"/>
      <c r="B39" s="1014">
        <v>58</v>
      </c>
      <c r="C39" s="1015" t="s">
        <v>639</v>
      </c>
      <c r="D39" s="1027" t="s">
        <v>842</v>
      </c>
      <c r="E39" s="1017">
        <v>1</v>
      </c>
      <c r="F39" s="1018">
        <v>8051</v>
      </c>
      <c r="G39" s="1019">
        <v>8051</v>
      </c>
      <c r="H39" s="486">
        <v>50</v>
      </c>
      <c r="I39" s="1028">
        <v>150</v>
      </c>
      <c r="J39" s="1020">
        <v>1207650</v>
      </c>
      <c r="K39" s="1021">
        <v>744.53959999999995</v>
      </c>
      <c r="L39" s="485">
        <v>5994288.3196</v>
      </c>
      <c r="M39" s="1029">
        <v>0</v>
      </c>
      <c r="N39" s="488">
        <v>0</v>
      </c>
      <c r="O39" s="1024">
        <v>744.53959999999995</v>
      </c>
      <c r="P39" s="488">
        <v>5994288.3196</v>
      </c>
      <c r="Q39" s="1024">
        <v>0</v>
      </c>
      <c r="R39" s="488">
        <v>0</v>
      </c>
      <c r="S39" s="1023"/>
      <c r="T39" s="656"/>
      <c r="U39" s="656"/>
      <c r="V39" s="656"/>
      <c r="W39" s="656"/>
      <c r="X39" s="656"/>
      <c r="Y39" s="656"/>
      <c r="Z39" s="656"/>
      <c r="AA39" s="656"/>
      <c r="AB39" s="656"/>
      <c r="AC39" s="656"/>
      <c r="AD39" s="656"/>
      <c r="AE39" s="656"/>
      <c r="AF39" s="656"/>
      <c r="AG39" s="656"/>
      <c r="AH39" s="656"/>
      <c r="AI39" s="656"/>
      <c r="AJ39" s="656"/>
      <c r="AK39" s="656"/>
      <c r="AL39" s="656"/>
      <c r="AM39" s="656"/>
      <c r="AN39" s="656"/>
      <c r="AO39" s="656"/>
      <c r="AP39" s="656"/>
      <c r="AQ39" s="656"/>
      <c r="AR39" s="656"/>
      <c r="AS39" s="656"/>
      <c r="AT39" s="656"/>
      <c r="AU39" s="656"/>
      <c r="AV39" s="656"/>
      <c r="AW39" s="656"/>
      <c r="AX39" s="656"/>
      <c r="AY39" s="656"/>
      <c r="AZ39" s="656"/>
      <c r="BA39" s="656"/>
      <c r="BB39" s="656"/>
      <c r="BC39" s="656"/>
      <c r="BD39" s="656"/>
      <c r="BE39" s="656"/>
      <c r="BF39" s="656"/>
      <c r="BG39" s="656"/>
      <c r="BH39" s="656"/>
      <c r="BI39" s="656"/>
      <c r="BJ39" s="656"/>
      <c r="BK39" s="656"/>
      <c r="BL39" s="656"/>
      <c r="BM39" s="656"/>
      <c r="BN39" s="656"/>
      <c r="BO39" s="656"/>
      <c r="BP39" s="656"/>
      <c r="BQ39" s="656"/>
      <c r="BR39" s="656"/>
      <c r="BS39" s="656"/>
      <c r="BT39" s="656"/>
      <c r="BU39" s="656"/>
      <c r="BV39" s="656"/>
      <c r="BW39" s="656"/>
      <c r="BX39" s="656"/>
      <c r="BY39" s="656"/>
      <c r="BZ39" s="656"/>
      <c r="CA39" s="656"/>
      <c r="CB39" s="656"/>
      <c r="CC39" s="656"/>
      <c r="CD39" s="656"/>
      <c r="CE39" s="656"/>
      <c r="CF39" s="656"/>
      <c r="CG39" s="656"/>
      <c r="CH39" s="656"/>
      <c r="CI39" s="656"/>
      <c r="CJ39" s="656"/>
      <c r="CK39" s="656"/>
      <c r="CL39" s="656"/>
      <c r="CM39" s="656"/>
      <c r="CN39" s="656"/>
      <c r="CO39" s="656"/>
      <c r="CP39" s="656"/>
      <c r="CQ39" s="656"/>
      <c r="CR39" s="656"/>
      <c r="CS39" s="656"/>
      <c r="CT39" s="656"/>
      <c r="CU39" s="656"/>
      <c r="CV39" s="656"/>
      <c r="CW39" s="656"/>
      <c r="CX39" s="656"/>
      <c r="CY39" s="656"/>
      <c r="CZ39" s="656"/>
      <c r="DA39" s="656"/>
      <c r="DB39" s="656"/>
      <c r="DC39" s="656"/>
      <c r="DD39" s="656"/>
      <c r="DE39" s="656"/>
      <c r="DF39" s="656"/>
      <c r="DG39" s="656"/>
      <c r="DH39" s="656"/>
      <c r="DI39" s="656"/>
      <c r="DJ39" s="656"/>
      <c r="DK39" s="656"/>
      <c r="DL39" s="656"/>
      <c r="DM39" s="656"/>
      <c r="DN39" s="656"/>
      <c r="DO39" s="656"/>
      <c r="DP39" s="656"/>
      <c r="DQ39" s="656"/>
      <c r="DR39" s="656"/>
      <c r="DS39" s="656"/>
      <c r="DT39" s="656"/>
      <c r="DU39" s="656"/>
      <c r="DV39" s="656"/>
      <c r="DW39" s="656"/>
      <c r="DX39" s="656"/>
      <c r="DY39" s="656"/>
      <c r="DZ39" s="656"/>
      <c r="EA39" s="656"/>
      <c r="EB39" s="656"/>
      <c r="EC39" s="656"/>
      <c r="ED39" s="656"/>
      <c r="EE39" s="656"/>
      <c r="EF39" s="656"/>
      <c r="EG39" s="656"/>
      <c r="EH39" s="656"/>
      <c r="EI39" s="656"/>
      <c r="EJ39" s="656"/>
      <c r="EK39" s="656"/>
      <c r="EL39" s="656"/>
      <c r="EM39" s="656"/>
      <c r="EN39" s="656"/>
      <c r="EO39" s="656"/>
      <c r="EP39" s="656"/>
      <c r="EQ39" s="656"/>
      <c r="ER39" s="656"/>
      <c r="ES39" s="656"/>
      <c r="ET39" s="656"/>
      <c r="EU39" s="656"/>
      <c r="EV39" s="656"/>
      <c r="EW39" s="656"/>
      <c r="EX39" s="656"/>
      <c r="EY39" s="656"/>
      <c r="EZ39" s="656"/>
      <c r="FA39" s="656"/>
      <c r="FB39" s="656"/>
      <c r="FC39" s="656"/>
      <c r="FD39" s="656"/>
      <c r="FE39" s="656"/>
      <c r="FF39" s="656"/>
      <c r="FG39" s="656"/>
      <c r="FH39" s="656"/>
      <c r="FI39" s="656"/>
      <c r="FJ39" s="656"/>
      <c r="FK39" s="656"/>
      <c r="FL39" s="656"/>
      <c r="FM39" s="656"/>
      <c r="FN39" s="656"/>
      <c r="FO39" s="656"/>
      <c r="FP39" s="656"/>
      <c r="FQ39" s="656"/>
      <c r="FR39" s="656"/>
      <c r="FS39" s="656"/>
      <c r="FT39" s="656"/>
      <c r="FU39" s="656"/>
      <c r="FV39" s="656"/>
      <c r="FW39" s="656"/>
      <c r="FX39" s="656"/>
      <c r="FY39" s="656"/>
      <c r="FZ39" s="656"/>
      <c r="GA39" s="656"/>
      <c r="GB39" s="656"/>
      <c r="GC39" s="656"/>
      <c r="GD39" s="656"/>
      <c r="GE39" s="656"/>
      <c r="GF39" s="656"/>
      <c r="GG39" s="656"/>
      <c r="GH39" s="656"/>
      <c r="GI39" s="656"/>
      <c r="GJ39" s="656"/>
      <c r="GK39" s="656"/>
      <c r="GL39" s="656"/>
      <c r="GM39" s="656"/>
      <c r="GN39" s="656"/>
      <c r="GO39" s="656"/>
      <c r="GP39" s="656"/>
      <c r="GQ39" s="656"/>
      <c r="GR39" s="656"/>
      <c r="GS39" s="656"/>
      <c r="GT39" s="656"/>
      <c r="GU39" s="656"/>
      <c r="GV39" s="656"/>
      <c r="GW39" s="656"/>
      <c r="GX39" s="656"/>
      <c r="GY39" s="656"/>
      <c r="GZ39" s="656"/>
      <c r="HA39" s="656"/>
      <c r="HB39" s="656"/>
      <c r="HC39" s="656"/>
      <c r="HD39" s="656"/>
      <c r="HE39" s="656"/>
      <c r="HF39" s="656"/>
      <c r="HG39" s="656"/>
      <c r="HH39" s="656"/>
      <c r="HI39" s="656"/>
      <c r="HJ39" s="656"/>
      <c r="HK39" s="656"/>
      <c r="HL39" s="656"/>
      <c r="HM39" s="656"/>
      <c r="HN39" s="656"/>
      <c r="HO39" s="656"/>
      <c r="HP39" s="656"/>
      <c r="HQ39" s="656"/>
      <c r="HR39" s="656"/>
      <c r="HS39" s="656"/>
      <c r="HT39" s="656"/>
      <c r="HU39" s="656"/>
      <c r="HV39" s="656"/>
      <c r="HW39" s="656"/>
      <c r="HX39" s="656"/>
      <c r="HY39" s="656"/>
      <c r="HZ39" s="656"/>
    </row>
    <row r="40" spans="1:234" s="657" customFormat="1" x14ac:dyDescent="0.25">
      <c r="A40" s="1013"/>
      <c r="B40" s="1014">
        <v>64</v>
      </c>
      <c r="C40" s="1015" t="s">
        <v>877</v>
      </c>
      <c r="D40" s="1027" t="s">
        <v>1290</v>
      </c>
      <c r="E40" s="1017">
        <v>1</v>
      </c>
      <c r="F40" s="1018">
        <v>11838</v>
      </c>
      <c r="G40" s="1019">
        <v>11838</v>
      </c>
      <c r="H40" s="486">
        <v>55</v>
      </c>
      <c r="I40" s="1028">
        <v>58.54</v>
      </c>
      <c r="J40" s="1020">
        <v>692996.52</v>
      </c>
      <c r="K40" s="1021">
        <v>58.54</v>
      </c>
      <c r="L40" s="485">
        <v>692996.52</v>
      </c>
      <c r="M40" s="1029">
        <v>0</v>
      </c>
      <c r="N40" s="488">
        <v>0</v>
      </c>
      <c r="O40" s="1024">
        <v>58.54</v>
      </c>
      <c r="P40" s="488">
        <v>692996.52</v>
      </c>
      <c r="Q40" s="1024">
        <v>0</v>
      </c>
      <c r="R40" s="488">
        <v>0</v>
      </c>
      <c r="S40" s="1023"/>
      <c r="T40" s="656"/>
      <c r="U40" s="656"/>
      <c r="V40" s="656"/>
      <c r="W40" s="656"/>
      <c r="X40" s="656"/>
      <c r="Y40" s="656"/>
      <c r="Z40" s="656"/>
      <c r="AA40" s="656"/>
      <c r="AB40" s="656"/>
      <c r="AC40" s="656"/>
      <c r="AD40" s="656"/>
      <c r="AE40" s="656"/>
      <c r="AF40" s="656"/>
      <c r="AG40" s="656"/>
      <c r="AH40" s="656"/>
      <c r="AI40" s="656"/>
      <c r="AJ40" s="656"/>
      <c r="AK40" s="656"/>
      <c r="AL40" s="656"/>
      <c r="AM40" s="656"/>
      <c r="AN40" s="656"/>
      <c r="AO40" s="656"/>
      <c r="AP40" s="656"/>
      <c r="AQ40" s="656"/>
      <c r="AR40" s="656"/>
      <c r="AS40" s="656"/>
      <c r="AT40" s="656"/>
      <c r="AU40" s="656"/>
      <c r="AV40" s="656"/>
      <c r="AW40" s="656"/>
      <c r="AX40" s="656"/>
      <c r="AY40" s="656"/>
      <c r="AZ40" s="656"/>
      <c r="BA40" s="656"/>
      <c r="BB40" s="656"/>
      <c r="BC40" s="656"/>
      <c r="BD40" s="656"/>
      <c r="BE40" s="656"/>
      <c r="BF40" s="656"/>
      <c r="BG40" s="656"/>
      <c r="BH40" s="656"/>
      <c r="BI40" s="656"/>
      <c r="BJ40" s="656"/>
      <c r="BK40" s="656"/>
      <c r="BL40" s="656"/>
      <c r="BM40" s="656"/>
      <c r="BN40" s="656"/>
      <c r="BO40" s="656"/>
      <c r="BP40" s="656"/>
      <c r="BQ40" s="656"/>
      <c r="BR40" s="656"/>
      <c r="BS40" s="656"/>
      <c r="BT40" s="656"/>
      <c r="BU40" s="656"/>
      <c r="BV40" s="656"/>
      <c r="BW40" s="656"/>
      <c r="BX40" s="656"/>
      <c r="BY40" s="656"/>
      <c r="BZ40" s="656"/>
      <c r="CA40" s="656"/>
      <c r="CB40" s="656"/>
      <c r="CC40" s="656"/>
      <c r="CD40" s="656"/>
      <c r="CE40" s="656"/>
      <c r="CF40" s="656"/>
      <c r="CG40" s="656"/>
      <c r="CH40" s="656"/>
      <c r="CI40" s="656"/>
      <c r="CJ40" s="656"/>
      <c r="CK40" s="656"/>
      <c r="CL40" s="656"/>
      <c r="CM40" s="656"/>
      <c r="CN40" s="656"/>
      <c r="CO40" s="656"/>
      <c r="CP40" s="656"/>
      <c r="CQ40" s="656"/>
      <c r="CR40" s="656"/>
      <c r="CS40" s="656"/>
      <c r="CT40" s="656"/>
      <c r="CU40" s="656"/>
      <c r="CV40" s="656"/>
      <c r="CW40" s="656"/>
      <c r="CX40" s="656"/>
      <c r="CY40" s="656"/>
      <c r="CZ40" s="656"/>
      <c r="DA40" s="656"/>
      <c r="DB40" s="656"/>
      <c r="DC40" s="656"/>
      <c r="DD40" s="656"/>
      <c r="DE40" s="656"/>
      <c r="DF40" s="656"/>
      <c r="DG40" s="656"/>
      <c r="DH40" s="656"/>
      <c r="DI40" s="656"/>
      <c r="DJ40" s="656"/>
      <c r="DK40" s="656"/>
      <c r="DL40" s="656"/>
      <c r="DM40" s="656"/>
      <c r="DN40" s="656"/>
      <c r="DO40" s="656"/>
      <c r="DP40" s="656"/>
      <c r="DQ40" s="656"/>
      <c r="DR40" s="656"/>
      <c r="DS40" s="656"/>
      <c r="DT40" s="656"/>
      <c r="DU40" s="656"/>
      <c r="DV40" s="656"/>
      <c r="DW40" s="656"/>
      <c r="DX40" s="656"/>
      <c r="DY40" s="656"/>
      <c r="DZ40" s="656"/>
      <c r="EA40" s="656"/>
      <c r="EB40" s="656"/>
      <c r="EC40" s="656"/>
      <c r="ED40" s="656"/>
      <c r="EE40" s="656"/>
      <c r="EF40" s="656"/>
      <c r="EG40" s="656"/>
      <c r="EH40" s="656"/>
      <c r="EI40" s="656"/>
      <c r="EJ40" s="656"/>
      <c r="EK40" s="656"/>
      <c r="EL40" s="656"/>
      <c r="EM40" s="656"/>
      <c r="EN40" s="656"/>
      <c r="EO40" s="656"/>
      <c r="EP40" s="656"/>
      <c r="EQ40" s="656"/>
      <c r="ER40" s="656"/>
      <c r="ES40" s="656"/>
      <c r="ET40" s="656"/>
      <c r="EU40" s="656"/>
      <c r="EV40" s="656"/>
      <c r="EW40" s="656"/>
      <c r="EX40" s="656"/>
      <c r="EY40" s="656"/>
      <c r="EZ40" s="656"/>
      <c r="FA40" s="656"/>
      <c r="FB40" s="656"/>
      <c r="FC40" s="656"/>
      <c r="FD40" s="656"/>
      <c r="FE40" s="656"/>
      <c r="FF40" s="656"/>
      <c r="FG40" s="656"/>
      <c r="FH40" s="656"/>
      <c r="FI40" s="656"/>
      <c r="FJ40" s="656"/>
      <c r="FK40" s="656"/>
      <c r="FL40" s="656"/>
      <c r="FM40" s="656"/>
      <c r="FN40" s="656"/>
      <c r="FO40" s="656"/>
      <c r="FP40" s="656"/>
      <c r="FQ40" s="656"/>
      <c r="FR40" s="656"/>
      <c r="FS40" s="656"/>
      <c r="FT40" s="656"/>
      <c r="FU40" s="656"/>
      <c r="FV40" s="656"/>
      <c r="FW40" s="656"/>
      <c r="FX40" s="656"/>
      <c r="FY40" s="656"/>
      <c r="FZ40" s="656"/>
      <c r="GA40" s="656"/>
      <c r="GB40" s="656"/>
      <c r="GC40" s="656"/>
      <c r="GD40" s="656"/>
      <c r="GE40" s="656"/>
      <c r="GF40" s="656"/>
      <c r="GG40" s="656"/>
      <c r="GH40" s="656"/>
      <c r="GI40" s="656"/>
      <c r="GJ40" s="656"/>
      <c r="GK40" s="656"/>
      <c r="GL40" s="656"/>
      <c r="GM40" s="656"/>
      <c r="GN40" s="656"/>
      <c r="GO40" s="656"/>
      <c r="GP40" s="656"/>
      <c r="GQ40" s="656"/>
      <c r="GR40" s="656"/>
      <c r="GS40" s="656"/>
      <c r="GT40" s="656"/>
      <c r="GU40" s="656"/>
      <c r="GV40" s="656"/>
      <c r="GW40" s="656"/>
      <c r="GX40" s="656"/>
      <c r="GY40" s="656"/>
      <c r="GZ40" s="656"/>
      <c r="HA40" s="656"/>
      <c r="HB40" s="656"/>
      <c r="HC40" s="656"/>
      <c r="HD40" s="656"/>
      <c r="HE40" s="656"/>
      <c r="HF40" s="656"/>
      <c r="HG40" s="656"/>
      <c r="HH40" s="656"/>
      <c r="HI40" s="656"/>
      <c r="HJ40" s="656"/>
      <c r="HK40" s="656"/>
      <c r="HL40" s="656"/>
      <c r="HM40" s="656"/>
      <c r="HN40" s="656"/>
      <c r="HO40" s="656"/>
      <c r="HP40" s="656"/>
      <c r="HQ40" s="656"/>
      <c r="HR40" s="656"/>
      <c r="HS40" s="656"/>
      <c r="HT40" s="656"/>
      <c r="HU40" s="656"/>
      <c r="HV40" s="656"/>
      <c r="HW40" s="656"/>
      <c r="HX40" s="656"/>
      <c r="HY40" s="656"/>
      <c r="HZ40" s="656"/>
    </row>
    <row r="41" spans="1:234" s="657" customFormat="1" x14ac:dyDescent="0.25">
      <c r="A41" s="1013"/>
      <c r="B41" s="1014">
        <v>65</v>
      </c>
      <c r="C41" s="1015" t="s">
        <v>878</v>
      </c>
      <c r="D41" s="1027" t="s">
        <v>1290</v>
      </c>
      <c r="E41" s="1017">
        <v>1</v>
      </c>
      <c r="F41" s="1018">
        <v>7800</v>
      </c>
      <c r="G41" s="1019">
        <v>7800</v>
      </c>
      <c r="H41" s="486">
        <v>55</v>
      </c>
      <c r="I41" s="1028">
        <v>58.54</v>
      </c>
      <c r="J41" s="1020">
        <v>456612</v>
      </c>
      <c r="K41" s="1021">
        <v>58.54</v>
      </c>
      <c r="L41" s="485">
        <v>456612</v>
      </c>
      <c r="M41" s="1029">
        <v>0</v>
      </c>
      <c r="N41" s="488">
        <v>0</v>
      </c>
      <c r="O41" s="1024">
        <v>58.54</v>
      </c>
      <c r="P41" s="488">
        <v>456612</v>
      </c>
      <c r="Q41" s="1024">
        <v>0</v>
      </c>
      <c r="R41" s="488">
        <v>0</v>
      </c>
      <c r="S41" s="1023"/>
      <c r="T41" s="656"/>
      <c r="U41" s="656"/>
      <c r="V41" s="656"/>
      <c r="W41" s="656"/>
      <c r="X41" s="656"/>
      <c r="Y41" s="656"/>
      <c r="Z41" s="656"/>
      <c r="AA41" s="656"/>
      <c r="AB41" s="656"/>
      <c r="AC41" s="656"/>
      <c r="AD41" s="656"/>
      <c r="AE41" s="656"/>
      <c r="AF41" s="656"/>
      <c r="AG41" s="656"/>
      <c r="AH41" s="656"/>
      <c r="AI41" s="656"/>
      <c r="AJ41" s="656"/>
      <c r="AK41" s="656"/>
      <c r="AL41" s="656"/>
      <c r="AM41" s="656"/>
      <c r="AN41" s="656"/>
      <c r="AO41" s="656"/>
      <c r="AP41" s="656"/>
      <c r="AQ41" s="656"/>
      <c r="AR41" s="656"/>
      <c r="AS41" s="656"/>
      <c r="AT41" s="656"/>
      <c r="AU41" s="656"/>
      <c r="AV41" s="656"/>
      <c r="AW41" s="656"/>
      <c r="AX41" s="656"/>
      <c r="AY41" s="656"/>
      <c r="AZ41" s="656"/>
      <c r="BA41" s="656"/>
      <c r="BB41" s="656"/>
      <c r="BC41" s="656"/>
      <c r="BD41" s="656"/>
      <c r="BE41" s="656"/>
      <c r="BF41" s="656"/>
      <c r="BG41" s="656"/>
      <c r="BH41" s="656"/>
      <c r="BI41" s="656"/>
      <c r="BJ41" s="656"/>
      <c r="BK41" s="656"/>
      <c r="BL41" s="656"/>
      <c r="BM41" s="656"/>
      <c r="BN41" s="656"/>
      <c r="BO41" s="656"/>
      <c r="BP41" s="656"/>
      <c r="BQ41" s="656"/>
      <c r="BR41" s="656"/>
      <c r="BS41" s="656"/>
      <c r="BT41" s="656"/>
      <c r="BU41" s="656"/>
      <c r="BV41" s="656"/>
      <c r="BW41" s="656"/>
      <c r="BX41" s="656"/>
      <c r="BY41" s="656"/>
      <c r="BZ41" s="656"/>
      <c r="CA41" s="656"/>
      <c r="CB41" s="656"/>
      <c r="CC41" s="656"/>
      <c r="CD41" s="656"/>
      <c r="CE41" s="656"/>
      <c r="CF41" s="656"/>
      <c r="CG41" s="656"/>
      <c r="CH41" s="656"/>
      <c r="CI41" s="656"/>
      <c r="CJ41" s="656"/>
      <c r="CK41" s="656"/>
      <c r="CL41" s="656"/>
      <c r="CM41" s="656"/>
      <c r="CN41" s="656"/>
      <c r="CO41" s="656"/>
      <c r="CP41" s="656"/>
      <c r="CQ41" s="656"/>
      <c r="CR41" s="656"/>
      <c r="CS41" s="656"/>
      <c r="CT41" s="656"/>
      <c r="CU41" s="656"/>
      <c r="CV41" s="656"/>
      <c r="CW41" s="656"/>
      <c r="CX41" s="656"/>
      <c r="CY41" s="656"/>
      <c r="CZ41" s="656"/>
      <c r="DA41" s="656"/>
      <c r="DB41" s="656"/>
      <c r="DC41" s="656"/>
      <c r="DD41" s="656"/>
      <c r="DE41" s="656"/>
      <c r="DF41" s="656"/>
      <c r="DG41" s="656"/>
      <c r="DH41" s="656"/>
      <c r="DI41" s="656"/>
      <c r="DJ41" s="656"/>
      <c r="DK41" s="656"/>
      <c r="DL41" s="656"/>
      <c r="DM41" s="656"/>
      <c r="DN41" s="656"/>
      <c r="DO41" s="656"/>
      <c r="DP41" s="656"/>
      <c r="DQ41" s="656"/>
      <c r="DR41" s="656"/>
      <c r="DS41" s="656"/>
      <c r="DT41" s="656"/>
      <c r="DU41" s="656"/>
      <c r="DV41" s="656"/>
      <c r="DW41" s="656"/>
      <c r="DX41" s="656"/>
      <c r="DY41" s="656"/>
      <c r="DZ41" s="656"/>
      <c r="EA41" s="656"/>
      <c r="EB41" s="656"/>
      <c r="EC41" s="656"/>
      <c r="ED41" s="656"/>
      <c r="EE41" s="656"/>
      <c r="EF41" s="656"/>
      <c r="EG41" s="656"/>
      <c r="EH41" s="656"/>
      <c r="EI41" s="656"/>
      <c r="EJ41" s="656"/>
      <c r="EK41" s="656"/>
      <c r="EL41" s="656"/>
      <c r="EM41" s="656"/>
      <c r="EN41" s="656"/>
      <c r="EO41" s="656"/>
      <c r="EP41" s="656"/>
      <c r="EQ41" s="656"/>
      <c r="ER41" s="656"/>
      <c r="ES41" s="656"/>
      <c r="ET41" s="656"/>
      <c r="EU41" s="656"/>
      <c r="EV41" s="656"/>
      <c r="EW41" s="656"/>
      <c r="EX41" s="656"/>
      <c r="EY41" s="656"/>
      <c r="EZ41" s="656"/>
      <c r="FA41" s="656"/>
      <c r="FB41" s="656"/>
      <c r="FC41" s="656"/>
      <c r="FD41" s="656"/>
      <c r="FE41" s="656"/>
      <c r="FF41" s="656"/>
      <c r="FG41" s="656"/>
      <c r="FH41" s="656"/>
      <c r="FI41" s="656"/>
      <c r="FJ41" s="656"/>
      <c r="FK41" s="656"/>
      <c r="FL41" s="656"/>
      <c r="FM41" s="656"/>
      <c r="FN41" s="656"/>
      <c r="FO41" s="656"/>
      <c r="FP41" s="656"/>
      <c r="FQ41" s="656"/>
      <c r="FR41" s="656"/>
      <c r="FS41" s="656"/>
      <c r="FT41" s="656"/>
      <c r="FU41" s="656"/>
      <c r="FV41" s="656"/>
      <c r="FW41" s="656"/>
      <c r="FX41" s="656"/>
      <c r="FY41" s="656"/>
      <c r="FZ41" s="656"/>
      <c r="GA41" s="656"/>
      <c r="GB41" s="656"/>
      <c r="GC41" s="656"/>
      <c r="GD41" s="656"/>
      <c r="GE41" s="656"/>
      <c r="GF41" s="656"/>
      <c r="GG41" s="656"/>
      <c r="GH41" s="656"/>
      <c r="GI41" s="656"/>
      <c r="GJ41" s="656"/>
      <c r="GK41" s="656"/>
      <c r="GL41" s="656"/>
      <c r="GM41" s="656"/>
      <c r="GN41" s="656"/>
      <c r="GO41" s="656"/>
      <c r="GP41" s="656"/>
      <c r="GQ41" s="656"/>
      <c r="GR41" s="656"/>
      <c r="GS41" s="656"/>
      <c r="GT41" s="656"/>
      <c r="GU41" s="656"/>
      <c r="GV41" s="656"/>
      <c r="GW41" s="656"/>
      <c r="GX41" s="656"/>
      <c r="GY41" s="656"/>
      <c r="GZ41" s="656"/>
      <c r="HA41" s="656"/>
      <c r="HB41" s="656"/>
      <c r="HC41" s="656"/>
      <c r="HD41" s="656"/>
      <c r="HE41" s="656"/>
      <c r="HF41" s="656"/>
      <c r="HG41" s="656"/>
      <c r="HH41" s="656"/>
      <c r="HI41" s="656"/>
      <c r="HJ41" s="656"/>
      <c r="HK41" s="656"/>
      <c r="HL41" s="656"/>
      <c r="HM41" s="656"/>
      <c r="HN41" s="656"/>
      <c r="HO41" s="656"/>
      <c r="HP41" s="656"/>
      <c r="HQ41" s="656"/>
      <c r="HR41" s="656"/>
      <c r="HS41" s="656"/>
      <c r="HT41" s="656"/>
      <c r="HU41" s="656"/>
      <c r="HV41" s="656"/>
      <c r="HW41" s="656"/>
      <c r="HX41" s="656"/>
      <c r="HY41" s="656"/>
      <c r="HZ41" s="656"/>
    </row>
    <row r="42" spans="1:234" s="657" customFormat="1" x14ac:dyDescent="0.25">
      <c r="A42" s="1013"/>
      <c r="B42" s="996"/>
      <c r="C42" s="997" t="s">
        <v>1291</v>
      </c>
      <c r="D42" s="998"/>
      <c r="E42" s="999"/>
      <c r="F42" s="1000"/>
      <c r="G42" s="1001"/>
      <c r="H42" s="1002"/>
      <c r="I42" s="1003"/>
      <c r="J42" s="1025"/>
      <c r="K42" s="1005"/>
      <c r="L42" s="1006"/>
      <c r="M42" s="1007"/>
      <c r="N42" s="1008"/>
      <c r="O42" s="1007"/>
      <c r="P42" s="1008"/>
      <c r="Q42" s="1007"/>
      <c r="R42" s="1008"/>
      <c r="S42" s="1023"/>
      <c r="T42" s="656"/>
      <c r="U42" s="656"/>
      <c r="V42" s="656"/>
      <c r="W42" s="656"/>
      <c r="X42" s="656"/>
      <c r="Y42" s="656"/>
      <c r="Z42" s="656"/>
      <c r="AA42" s="656"/>
      <c r="AB42" s="656"/>
      <c r="AC42" s="656"/>
      <c r="AD42" s="656"/>
      <c r="AE42" s="656"/>
      <c r="AF42" s="656"/>
      <c r="AG42" s="656"/>
      <c r="AH42" s="656"/>
      <c r="AI42" s="656"/>
      <c r="AJ42" s="656"/>
      <c r="AK42" s="656"/>
      <c r="AL42" s="656"/>
      <c r="AM42" s="656"/>
      <c r="AN42" s="656"/>
      <c r="AO42" s="656"/>
      <c r="AP42" s="656"/>
      <c r="AQ42" s="656"/>
      <c r="AR42" s="656"/>
      <c r="AS42" s="656"/>
      <c r="AT42" s="656"/>
      <c r="AU42" s="656"/>
      <c r="AV42" s="656"/>
      <c r="AW42" s="656"/>
      <c r="AX42" s="656"/>
      <c r="AY42" s="656"/>
      <c r="AZ42" s="656"/>
      <c r="BA42" s="656"/>
      <c r="BB42" s="656"/>
      <c r="BC42" s="656"/>
      <c r="BD42" s="656"/>
      <c r="BE42" s="656"/>
      <c r="BF42" s="656"/>
      <c r="BG42" s="656"/>
      <c r="BH42" s="656"/>
      <c r="BI42" s="656"/>
      <c r="BJ42" s="656"/>
      <c r="BK42" s="656"/>
      <c r="BL42" s="656"/>
      <c r="BM42" s="656"/>
      <c r="BN42" s="656"/>
      <c r="BO42" s="656"/>
      <c r="BP42" s="656"/>
      <c r="BQ42" s="656"/>
      <c r="BR42" s="656"/>
      <c r="BS42" s="656"/>
      <c r="BT42" s="656"/>
      <c r="BU42" s="656"/>
      <c r="BV42" s="656"/>
      <c r="BW42" s="656"/>
      <c r="BX42" s="656"/>
      <c r="BY42" s="656"/>
      <c r="BZ42" s="656"/>
      <c r="CA42" s="656"/>
      <c r="CB42" s="656"/>
      <c r="CC42" s="656"/>
      <c r="CD42" s="656"/>
      <c r="CE42" s="656"/>
      <c r="CF42" s="656"/>
      <c r="CG42" s="656"/>
      <c r="CH42" s="656"/>
      <c r="CI42" s="656"/>
      <c r="CJ42" s="656"/>
      <c r="CK42" s="656"/>
      <c r="CL42" s="656"/>
      <c r="CM42" s="656"/>
      <c r="CN42" s="656"/>
      <c r="CO42" s="656"/>
      <c r="CP42" s="656"/>
      <c r="CQ42" s="656"/>
      <c r="CR42" s="656"/>
      <c r="CS42" s="656"/>
      <c r="CT42" s="656"/>
      <c r="CU42" s="656"/>
      <c r="CV42" s="656"/>
      <c r="CW42" s="656"/>
      <c r="CX42" s="656"/>
      <c r="CY42" s="656"/>
      <c r="CZ42" s="656"/>
      <c r="DA42" s="656"/>
      <c r="DB42" s="656"/>
      <c r="DC42" s="656"/>
      <c r="DD42" s="656"/>
      <c r="DE42" s="656"/>
      <c r="DF42" s="656"/>
      <c r="DG42" s="656"/>
      <c r="DH42" s="656"/>
      <c r="DI42" s="656"/>
      <c r="DJ42" s="656"/>
      <c r="DK42" s="656"/>
      <c r="DL42" s="656"/>
      <c r="DM42" s="656"/>
      <c r="DN42" s="656"/>
      <c r="DO42" s="656"/>
      <c r="DP42" s="656"/>
      <c r="DQ42" s="656"/>
      <c r="DR42" s="656"/>
      <c r="DS42" s="656"/>
      <c r="DT42" s="656"/>
      <c r="DU42" s="656"/>
      <c r="DV42" s="656"/>
      <c r="DW42" s="656"/>
      <c r="DX42" s="656"/>
      <c r="DY42" s="656"/>
      <c r="DZ42" s="656"/>
      <c r="EA42" s="656"/>
      <c r="EB42" s="656"/>
      <c r="EC42" s="656"/>
      <c r="ED42" s="656"/>
      <c r="EE42" s="656"/>
      <c r="EF42" s="656"/>
      <c r="EG42" s="656"/>
      <c r="EH42" s="656"/>
      <c r="EI42" s="656"/>
      <c r="EJ42" s="656"/>
      <c r="EK42" s="656"/>
      <c r="EL42" s="656"/>
      <c r="EM42" s="656"/>
      <c r="EN42" s="656"/>
      <c r="EO42" s="656"/>
      <c r="EP42" s="656"/>
      <c r="EQ42" s="656"/>
      <c r="ER42" s="656"/>
      <c r="ES42" s="656"/>
      <c r="ET42" s="656"/>
      <c r="EU42" s="656"/>
      <c r="EV42" s="656"/>
      <c r="EW42" s="656"/>
      <c r="EX42" s="656"/>
      <c r="EY42" s="656"/>
      <c r="EZ42" s="656"/>
      <c r="FA42" s="656"/>
      <c r="FB42" s="656"/>
      <c r="FC42" s="656"/>
      <c r="FD42" s="656"/>
      <c r="FE42" s="656"/>
      <c r="FF42" s="656"/>
      <c r="FG42" s="656"/>
      <c r="FH42" s="656"/>
      <c r="FI42" s="656"/>
      <c r="FJ42" s="656"/>
      <c r="FK42" s="656"/>
      <c r="FL42" s="656"/>
      <c r="FM42" s="656"/>
      <c r="FN42" s="656"/>
      <c r="FO42" s="656"/>
      <c r="FP42" s="656"/>
      <c r="FQ42" s="656"/>
      <c r="FR42" s="656"/>
      <c r="FS42" s="656"/>
      <c r="FT42" s="656"/>
      <c r="FU42" s="656"/>
      <c r="FV42" s="656"/>
      <c r="FW42" s="656"/>
      <c r="FX42" s="656"/>
      <c r="FY42" s="656"/>
      <c r="FZ42" s="656"/>
      <c r="GA42" s="656"/>
      <c r="GB42" s="656"/>
      <c r="GC42" s="656"/>
      <c r="GD42" s="656"/>
      <c r="GE42" s="656"/>
      <c r="GF42" s="656"/>
      <c r="GG42" s="656"/>
      <c r="GH42" s="656"/>
      <c r="GI42" s="656"/>
      <c r="GJ42" s="656"/>
      <c r="GK42" s="656"/>
      <c r="GL42" s="656"/>
      <c r="GM42" s="656"/>
      <c r="GN42" s="656"/>
      <c r="GO42" s="656"/>
      <c r="GP42" s="656"/>
      <c r="GQ42" s="656"/>
      <c r="GR42" s="656"/>
      <c r="GS42" s="656"/>
      <c r="GT42" s="656"/>
      <c r="GU42" s="656"/>
      <c r="GV42" s="656"/>
      <c r="GW42" s="656"/>
      <c r="GX42" s="656"/>
      <c r="GY42" s="656"/>
      <c r="GZ42" s="656"/>
      <c r="HA42" s="656"/>
      <c r="HB42" s="656"/>
      <c r="HC42" s="656"/>
      <c r="HD42" s="656"/>
      <c r="HE42" s="656"/>
      <c r="HF42" s="656"/>
      <c r="HG42" s="656"/>
      <c r="HH42" s="656"/>
      <c r="HI42" s="656"/>
      <c r="HJ42" s="656"/>
      <c r="HK42" s="656"/>
      <c r="HL42" s="656"/>
      <c r="HM42" s="656"/>
      <c r="HN42" s="656"/>
      <c r="HO42" s="656"/>
      <c r="HP42" s="656"/>
      <c r="HQ42" s="656"/>
      <c r="HR42" s="656"/>
      <c r="HS42" s="656"/>
      <c r="HT42" s="656"/>
      <c r="HU42" s="656"/>
      <c r="HV42" s="656"/>
      <c r="HW42" s="656"/>
      <c r="HX42" s="656"/>
      <c r="HY42" s="656"/>
      <c r="HZ42" s="656"/>
    </row>
    <row r="43" spans="1:234" s="657" customFormat="1" x14ac:dyDescent="0.25">
      <c r="A43" s="1013"/>
      <c r="B43" s="1014">
        <v>13</v>
      </c>
      <c r="C43" s="1015" t="s">
        <v>1292</v>
      </c>
      <c r="D43" s="1016" t="s">
        <v>842</v>
      </c>
      <c r="E43" s="1017">
        <v>1</v>
      </c>
      <c r="F43" s="1018">
        <v>24007</v>
      </c>
      <c r="G43" s="1019">
        <v>24007</v>
      </c>
      <c r="H43" s="486">
        <v>4</v>
      </c>
      <c r="I43" s="1026">
        <v>4</v>
      </c>
      <c r="J43" s="1020">
        <v>96028</v>
      </c>
      <c r="K43" s="1021">
        <v>0</v>
      </c>
      <c r="L43" s="480">
        <v>0</v>
      </c>
      <c r="M43" s="1022">
        <v>0</v>
      </c>
      <c r="N43" s="488">
        <v>0</v>
      </c>
      <c r="O43" s="1022">
        <v>0</v>
      </c>
      <c r="P43" s="488">
        <v>0</v>
      </c>
      <c r="Q43" s="1022">
        <v>0</v>
      </c>
      <c r="R43" s="488">
        <v>0</v>
      </c>
      <c r="S43" s="1023"/>
      <c r="T43" s="656"/>
      <c r="U43" s="656"/>
      <c r="V43" s="656"/>
      <c r="W43" s="656"/>
      <c r="X43" s="656"/>
      <c r="Y43" s="656"/>
      <c r="Z43" s="656"/>
      <c r="AA43" s="656"/>
      <c r="AB43" s="656"/>
      <c r="AC43" s="656"/>
      <c r="AD43" s="656"/>
      <c r="AE43" s="656"/>
      <c r="AF43" s="656"/>
      <c r="AG43" s="656"/>
      <c r="AH43" s="656"/>
      <c r="AI43" s="656"/>
      <c r="AJ43" s="656"/>
      <c r="AK43" s="656"/>
      <c r="AL43" s="656"/>
      <c r="AM43" s="656"/>
      <c r="AN43" s="656"/>
      <c r="AO43" s="656"/>
      <c r="AP43" s="656"/>
      <c r="AQ43" s="656"/>
      <c r="AR43" s="656"/>
      <c r="AS43" s="656"/>
      <c r="AT43" s="656"/>
      <c r="AU43" s="656"/>
      <c r="AV43" s="656"/>
      <c r="AW43" s="656"/>
      <c r="AX43" s="656"/>
      <c r="AY43" s="656"/>
      <c r="AZ43" s="656"/>
      <c r="BA43" s="656"/>
      <c r="BB43" s="656"/>
      <c r="BC43" s="656"/>
      <c r="BD43" s="656"/>
      <c r="BE43" s="656"/>
      <c r="BF43" s="656"/>
      <c r="BG43" s="656"/>
      <c r="BH43" s="656"/>
      <c r="BI43" s="656"/>
      <c r="BJ43" s="656"/>
      <c r="BK43" s="656"/>
      <c r="BL43" s="656"/>
      <c r="BM43" s="656"/>
      <c r="BN43" s="656"/>
      <c r="BO43" s="656"/>
      <c r="BP43" s="656"/>
      <c r="BQ43" s="656"/>
      <c r="BR43" s="656"/>
      <c r="BS43" s="656"/>
      <c r="BT43" s="656"/>
      <c r="BU43" s="656"/>
      <c r="BV43" s="656"/>
      <c r="BW43" s="656"/>
      <c r="BX43" s="656"/>
      <c r="BY43" s="656"/>
      <c r="BZ43" s="656"/>
      <c r="CA43" s="656"/>
      <c r="CB43" s="656"/>
      <c r="CC43" s="656"/>
      <c r="CD43" s="656"/>
      <c r="CE43" s="656"/>
      <c r="CF43" s="656"/>
      <c r="CG43" s="656"/>
      <c r="CH43" s="656"/>
      <c r="CI43" s="656"/>
      <c r="CJ43" s="656"/>
      <c r="CK43" s="656"/>
      <c r="CL43" s="656"/>
      <c r="CM43" s="656"/>
      <c r="CN43" s="656"/>
      <c r="CO43" s="656"/>
      <c r="CP43" s="656"/>
      <c r="CQ43" s="656"/>
      <c r="CR43" s="656"/>
      <c r="CS43" s="656"/>
      <c r="CT43" s="656"/>
      <c r="CU43" s="656"/>
      <c r="CV43" s="656"/>
      <c r="CW43" s="656"/>
      <c r="CX43" s="656"/>
      <c r="CY43" s="656"/>
      <c r="CZ43" s="656"/>
      <c r="DA43" s="656"/>
      <c r="DB43" s="656"/>
      <c r="DC43" s="656"/>
      <c r="DD43" s="656"/>
      <c r="DE43" s="656"/>
      <c r="DF43" s="656"/>
      <c r="DG43" s="656"/>
      <c r="DH43" s="656"/>
      <c r="DI43" s="656"/>
      <c r="DJ43" s="656"/>
      <c r="DK43" s="656"/>
      <c r="DL43" s="656"/>
      <c r="DM43" s="656"/>
      <c r="DN43" s="656"/>
      <c r="DO43" s="656"/>
      <c r="DP43" s="656"/>
      <c r="DQ43" s="656"/>
      <c r="DR43" s="656"/>
      <c r="DS43" s="656"/>
      <c r="DT43" s="656"/>
      <c r="DU43" s="656"/>
      <c r="DV43" s="656"/>
      <c r="DW43" s="656"/>
      <c r="DX43" s="656"/>
      <c r="DY43" s="656"/>
      <c r="DZ43" s="656"/>
      <c r="EA43" s="656"/>
      <c r="EB43" s="656"/>
      <c r="EC43" s="656"/>
      <c r="ED43" s="656"/>
      <c r="EE43" s="656"/>
      <c r="EF43" s="656"/>
      <c r="EG43" s="656"/>
      <c r="EH43" s="656"/>
      <c r="EI43" s="656"/>
      <c r="EJ43" s="656"/>
      <c r="EK43" s="656"/>
      <c r="EL43" s="656"/>
      <c r="EM43" s="656"/>
      <c r="EN43" s="656"/>
      <c r="EO43" s="656"/>
      <c r="EP43" s="656"/>
      <c r="EQ43" s="656"/>
      <c r="ER43" s="656"/>
      <c r="ES43" s="656"/>
      <c r="ET43" s="656"/>
      <c r="EU43" s="656"/>
      <c r="EV43" s="656"/>
      <c r="EW43" s="656"/>
      <c r="EX43" s="656"/>
      <c r="EY43" s="656"/>
      <c r="EZ43" s="656"/>
      <c r="FA43" s="656"/>
      <c r="FB43" s="656"/>
      <c r="FC43" s="656"/>
      <c r="FD43" s="656"/>
      <c r="FE43" s="656"/>
      <c r="FF43" s="656"/>
      <c r="FG43" s="656"/>
      <c r="FH43" s="656"/>
      <c r="FI43" s="656"/>
      <c r="FJ43" s="656"/>
      <c r="FK43" s="656"/>
      <c r="FL43" s="656"/>
      <c r="FM43" s="656"/>
      <c r="FN43" s="656"/>
      <c r="FO43" s="656"/>
      <c r="FP43" s="656"/>
      <c r="FQ43" s="656"/>
      <c r="FR43" s="656"/>
      <c r="FS43" s="656"/>
      <c r="FT43" s="656"/>
      <c r="FU43" s="656"/>
      <c r="FV43" s="656"/>
      <c r="FW43" s="656"/>
      <c r="FX43" s="656"/>
      <c r="FY43" s="656"/>
      <c r="FZ43" s="656"/>
      <c r="GA43" s="656"/>
      <c r="GB43" s="656"/>
      <c r="GC43" s="656"/>
      <c r="GD43" s="656"/>
      <c r="GE43" s="656"/>
      <c r="GF43" s="656"/>
      <c r="GG43" s="656"/>
      <c r="GH43" s="656"/>
      <c r="GI43" s="656"/>
      <c r="GJ43" s="656"/>
      <c r="GK43" s="656"/>
      <c r="GL43" s="656"/>
      <c r="GM43" s="656"/>
      <c r="GN43" s="656"/>
      <c r="GO43" s="656"/>
      <c r="GP43" s="656"/>
      <c r="GQ43" s="656"/>
      <c r="GR43" s="656"/>
      <c r="GS43" s="656"/>
      <c r="GT43" s="656"/>
      <c r="GU43" s="656"/>
      <c r="GV43" s="656"/>
      <c r="GW43" s="656"/>
      <c r="GX43" s="656"/>
      <c r="GY43" s="656"/>
      <c r="GZ43" s="656"/>
      <c r="HA43" s="656"/>
      <c r="HB43" s="656"/>
      <c r="HC43" s="656"/>
      <c r="HD43" s="656"/>
      <c r="HE43" s="656"/>
      <c r="HF43" s="656"/>
      <c r="HG43" s="656"/>
      <c r="HH43" s="656"/>
      <c r="HI43" s="656"/>
      <c r="HJ43" s="656"/>
      <c r="HK43" s="656"/>
      <c r="HL43" s="656"/>
      <c r="HM43" s="656"/>
      <c r="HN43" s="656"/>
      <c r="HO43" s="656"/>
      <c r="HP43" s="656"/>
      <c r="HQ43" s="656"/>
      <c r="HR43" s="656"/>
      <c r="HS43" s="656"/>
      <c r="HT43" s="656"/>
      <c r="HU43" s="656"/>
      <c r="HV43" s="656"/>
      <c r="HW43" s="656"/>
      <c r="HX43" s="656"/>
      <c r="HY43" s="656"/>
      <c r="HZ43" s="656"/>
    </row>
    <row r="44" spans="1:234" s="657" customFormat="1" x14ac:dyDescent="0.25">
      <c r="A44" s="1013"/>
      <c r="B44" s="1014">
        <v>14</v>
      </c>
      <c r="C44" s="1015" t="s">
        <v>1293</v>
      </c>
      <c r="D44" s="1016" t="s">
        <v>904</v>
      </c>
      <c r="E44" s="1017">
        <v>1</v>
      </c>
      <c r="F44" s="1280">
        <v>27110</v>
      </c>
      <c r="G44" s="1019">
        <v>27110</v>
      </c>
      <c r="H44" s="486">
        <v>3</v>
      </c>
      <c r="I44" s="1026">
        <v>3</v>
      </c>
      <c r="J44" s="1020">
        <v>81330</v>
      </c>
      <c r="K44" s="1021">
        <v>0</v>
      </c>
      <c r="L44" s="480">
        <v>0</v>
      </c>
      <c r="M44" s="1022">
        <v>0</v>
      </c>
      <c r="N44" s="488">
        <v>0</v>
      </c>
      <c r="O44" s="1022">
        <v>0</v>
      </c>
      <c r="P44" s="488">
        <v>0</v>
      </c>
      <c r="Q44" s="1022">
        <v>0</v>
      </c>
      <c r="R44" s="488">
        <v>0</v>
      </c>
      <c r="S44" s="1023"/>
      <c r="T44" s="656"/>
      <c r="U44" s="656"/>
      <c r="V44" s="656"/>
      <c r="W44" s="656"/>
      <c r="X44" s="656"/>
      <c r="Y44" s="656"/>
      <c r="Z44" s="656"/>
      <c r="AA44" s="656"/>
      <c r="AB44" s="656"/>
      <c r="AC44" s="656"/>
      <c r="AD44" s="656"/>
      <c r="AE44" s="656"/>
      <c r="AF44" s="656"/>
      <c r="AG44" s="656"/>
      <c r="AH44" s="656"/>
      <c r="AI44" s="656"/>
      <c r="AJ44" s="656"/>
      <c r="AK44" s="656"/>
      <c r="AL44" s="656"/>
      <c r="AM44" s="656"/>
      <c r="AN44" s="656"/>
      <c r="AO44" s="656"/>
      <c r="AP44" s="656"/>
      <c r="AQ44" s="656"/>
      <c r="AR44" s="656"/>
      <c r="AS44" s="656"/>
      <c r="AT44" s="656"/>
      <c r="AU44" s="656"/>
      <c r="AV44" s="656"/>
      <c r="AW44" s="656"/>
      <c r="AX44" s="656"/>
      <c r="AY44" s="656"/>
      <c r="AZ44" s="656"/>
      <c r="BA44" s="656"/>
      <c r="BB44" s="656"/>
      <c r="BC44" s="656"/>
      <c r="BD44" s="656"/>
      <c r="BE44" s="656"/>
      <c r="BF44" s="656"/>
      <c r="BG44" s="656"/>
      <c r="BH44" s="656"/>
      <c r="BI44" s="656"/>
      <c r="BJ44" s="656"/>
      <c r="BK44" s="656"/>
      <c r="BL44" s="656"/>
      <c r="BM44" s="656"/>
      <c r="BN44" s="656"/>
      <c r="BO44" s="656"/>
      <c r="BP44" s="656"/>
      <c r="BQ44" s="656"/>
      <c r="BR44" s="656"/>
      <c r="BS44" s="656"/>
      <c r="BT44" s="656"/>
      <c r="BU44" s="656"/>
      <c r="BV44" s="656"/>
      <c r="BW44" s="656"/>
      <c r="BX44" s="656"/>
      <c r="BY44" s="656"/>
      <c r="BZ44" s="656"/>
      <c r="CA44" s="656"/>
      <c r="CB44" s="656"/>
      <c r="CC44" s="656"/>
      <c r="CD44" s="656"/>
      <c r="CE44" s="656"/>
      <c r="CF44" s="656"/>
      <c r="CG44" s="656"/>
      <c r="CH44" s="656"/>
      <c r="CI44" s="656"/>
      <c r="CJ44" s="656"/>
      <c r="CK44" s="656"/>
      <c r="CL44" s="656"/>
      <c r="CM44" s="656"/>
      <c r="CN44" s="656"/>
      <c r="CO44" s="656"/>
      <c r="CP44" s="656"/>
      <c r="CQ44" s="656"/>
      <c r="CR44" s="656"/>
      <c r="CS44" s="656"/>
      <c r="CT44" s="656"/>
      <c r="CU44" s="656"/>
      <c r="CV44" s="656"/>
      <c r="CW44" s="656"/>
      <c r="CX44" s="656"/>
      <c r="CY44" s="656"/>
      <c r="CZ44" s="656"/>
      <c r="DA44" s="656"/>
      <c r="DB44" s="656"/>
      <c r="DC44" s="656"/>
      <c r="DD44" s="656"/>
      <c r="DE44" s="656"/>
      <c r="DF44" s="656"/>
      <c r="DG44" s="656"/>
      <c r="DH44" s="656"/>
      <c r="DI44" s="656"/>
      <c r="DJ44" s="656"/>
      <c r="DK44" s="656"/>
      <c r="DL44" s="656"/>
      <c r="DM44" s="656"/>
      <c r="DN44" s="656"/>
      <c r="DO44" s="656"/>
      <c r="DP44" s="656"/>
      <c r="DQ44" s="656"/>
      <c r="DR44" s="656"/>
      <c r="DS44" s="656"/>
      <c r="DT44" s="656"/>
      <c r="DU44" s="656"/>
      <c r="DV44" s="656"/>
      <c r="DW44" s="656"/>
      <c r="DX44" s="656"/>
      <c r="DY44" s="656"/>
      <c r="DZ44" s="656"/>
      <c r="EA44" s="656"/>
      <c r="EB44" s="656"/>
      <c r="EC44" s="656"/>
      <c r="ED44" s="656"/>
      <c r="EE44" s="656"/>
      <c r="EF44" s="656"/>
      <c r="EG44" s="656"/>
      <c r="EH44" s="656"/>
      <c r="EI44" s="656"/>
      <c r="EJ44" s="656"/>
      <c r="EK44" s="656"/>
      <c r="EL44" s="656"/>
      <c r="EM44" s="656"/>
      <c r="EN44" s="656"/>
      <c r="EO44" s="656"/>
      <c r="EP44" s="656"/>
      <c r="EQ44" s="656"/>
      <c r="ER44" s="656"/>
      <c r="ES44" s="656"/>
      <c r="ET44" s="656"/>
      <c r="EU44" s="656"/>
      <c r="EV44" s="656"/>
      <c r="EW44" s="656"/>
      <c r="EX44" s="656"/>
      <c r="EY44" s="656"/>
      <c r="EZ44" s="656"/>
      <c r="FA44" s="656"/>
      <c r="FB44" s="656"/>
      <c r="FC44" s="656"/>
      <c r="FD44" s="656"/>
      <c r="FE44" s="656"/>
      <c r="FF44" s="656"/>
      <c r="FG44" s="656"/>
      <c r="FH44" s="656"/>
      <c r="FI44" s="656"/>
      <c r="FJ44" s="656"/>
      <c r="FK44" s="656"/>
      <c r="FL44" s="656"/>
      <c r="FM44" s="656"/>
      <c r="FN44" s="656"/>
      <c r="FO44" s="656"/>
      <c r="FP44" s="656"/>
      <c r="FQ44" s="656"/>
      <c r="FR44" s="656"/>
      <c r="FS44" s="656"/>
      <c r="FT44" s="656"/>
      <c r="FU44" s="656"/>
      <c r="FV44" s="656"/>
      <c r="FW44" s="656"/>
      <c r="FX44" s="656"/>
      <c r="FY44" s="656"/>
      <c r="FZ44" s="656"/>
      <c r="GA44" s="656"/>
      <c r="GB44" s="656"/>
      <c r="GC44" s="656"/>
      <c r="GD44" s="656"/>
      <c r="GE44" s="656"/>
      <c r="GF44" s="656"/>
      <c r="GG44" s="656"/>
      <c r="GH44" s="656"/>
      <c r="GI44" s="656"/>
      <c r="GJ44" s="656"/>
      <c r="GK44" s="656"/>
      <c r="GL44" s="656"/>
      <c r="GM44" s="656"/>
      <c r="GN44" s="656"/>
      <c r="GO44" s="656"/>
      <c r="GP44" s="656"/>
      <c r="GQ44" s="656"/>
      <c r="GR44" s="656"/>
      <c r="GS44" s="656"/>
      <c r="GT44" s="656"/>
      <c r="GU44" s="656"/>
      <c r="GV44" s="656"/>
      <c r="GW44" s="656"/>
      <c r="GX44" s="656"/>
      <c r="GY44" s="656"/>
      <c r="GZ44" s="656"/>
      <c r="HA44" s="656"/>
      <c r="HB44" s="656"/>
      <c r="HC44" s="656"/>
      <c r="HD44" s="656"/>
      <c r="HE44" s="656"/>
      <c r="HF44" s="656"/>
      <c r="HG44" s="656"/>
      <c r="HH44" s="656"/>
      <c r="HI44" s="656"/>
      <c r="HJ44" s="656"/>
      <c r="HK44" s="656"/>
      <c r="HL44" s="656"/>
      <c r="HM44" s="656"/>
      <c r="HN44" s="656"/>
      <c r="HO44" s="656"/>
      <c r="HP44" s="656"/>
      <c r="HQ44" s="656"/>
      <c r="HR44" s="656"/>
      <c r="HS44" s="656"/>
      <c r="HT44" s="656"/>
      <c r="HU44" s="656"/>
      <c r="HV44" s="656"/>
      <c r="HW44" s="656"/>
      <c r="HX44" s="656"/>
      <c r="HY44" s="656"/>
      <c r="HZ44" s="656"/>
    </row>
    <row r="45" spans="1:234" s="657" customFormat="1" ht="28.5" x14ac:dyDescent="0.25">
      <c r="A45" s="1013"/>
      <c r="B45" s="1014">
        <v>17</v>
      </c>
      <c r="C45" s="1015" t="s">
        <v>304</v>
      </c>
      <c r="D45" s="1016" t="s">
        <v>848</v>
      </c>
      <c r="E45" s="1017">
        <v>1</v>
      </c>
      <c r="F45" s="1018">
        <v>19913</v>
      </c>
      <c r="G45" s="1019">
        <v>19913</v>
      </c>
      <c r="H45" s="486">
        <v>3</v>
      </c>
      <c r="I45" s="1030">
        <v>0</v>
      </c>
      <c r="J45" s="1020">
        <v>0</v>
      </c>
      <c r="K45" s="1021">
        <v>0</v>
      </c>
      <c r="L45" s="480">
        <v>0</v>
      </c>
      <c r="M45" s="1022">
        <v>0</v>
      </c>
      <c r="N45" s="488">
        <v>0</v>
      </c>
      <c r="O45" s="1022">
        <v>0</v>
      </c>
      <c r="P45" s="488">
        <v>0</v>
      </c>
      <c r="Q45" s="1022">
        <v>0</v>
      </c>
      <c r="R45" s="488">
        <v>0</v>
      </c>
      <c r="S45" s="1023"/>
      <c r="T45" s="656"/>
      <c r="U45" s="656"/>
      <c r="V45" s="656"/>
      <c r="W45" s="656"/>
      <c r="X45" s="656"/>
      <c r="Y45" s="656"/>
      <c r="Z45" s="656"/>
      <c r="AA45" s="656"/>
      <c r="AB45" s="656"/>
      <c r="AC45" s="656"/>
      <c r="AD45" s="656"/>
      <c r="AE45" s="656"/>
      <c r="AF45" s="656"/>
      <c r="AG45" s="656"/>
      <c r="AH45" s="656"/>
      <c r="AI45" s="656"/>
      <c r="AJ45" s="656"/>
      <c r="AK45" s="656"/>
      <c r="AL45" s="656"/>
      <c r="AM45" s="656"/>
      <c r="AN45" s="656"/>
      <c r="AO45" s="656"/>
      <c r="AP45" s="656"/>
      <c r="AQ45" s="656"/>
      <c r="AR45" s="656"/>
      <c r="AS45" s="656"/>
      <c r="AT45" s="656"/>
      <c r="AU45" s="656"/>
      <c r="AV45" s="656"/>
      <c r="AW45" s="656"/>
      <c r="AX45" s="656"/>
      <c r="AY45" s="656"/>
      <c r="AZ45" s="656"/>
      <c r="BA45" s="656"/>
      <c r="BB45" s="656"/>
      <c r="BC45" s="656"/>
      <c r="BD45" s="656"/>
      <c r="BE45" s="656"/>
      <c r="BF45" s="656"/>
      <c r="BG45" s="656"/>
      <c r="BH45" s="656"/>
      <c r="BI45" s="656"/>
      <c r="BJ45" s="656"/>
      <c r="BK45" s="656"/>
      <c r="BL45" s="656"/>
      <c r="BM45" s="656"/>
      <c r="BN45" s="656"/>
      <c r="BO45" s="656"/>
      <c r="BP45" s="656"/>
      <c r="BQ45" s="656"/>
      <c r="BR45" s="656"/>
      <c r="BS45" s="656"/>
      <c r="BT45" s="656"/>
      <c r="BU45" s="656"/>
      <c r="BV45" s="656"/>
      <c r="BW45" s="656"/>
      <c r="BX45" s="656"/>
      <c r="BY45" s="656"/>
      <c r="BZ45" s="656"/>
      <c r="CA45" s="656"/>
      <c r="CB45" s="656"/>
      <c r="CC45" s="656"/>
      <c r="CD45" s="656"/>
      <c r="CE45" s="656"/>
      <c r="CF45" s="656"/>
      <c r="CG45" s="656"/>
      <c r="CH45" s="656"/>
      <c r="CI45" s="656"/>
      <c r="CJ45" s="656"/>
      <c r="CK45" s="656"/>
      <c r="CL45" s="656"/>
      <c r="CM45" s="656"/>
      <c r="CN45" s="656"/>
      <c r="CO45" s="656"/>
      <c r="CP45" s="656"/>
      <c r="CQ45" s="656"/>
      <c r="CR45" s="656"/>
      <c r="CS45" s="656"/>
      <c r="CT45" s="656"/>
      <c r="CU45" s="656"/>
      <c r="CV45" s="656"/>
      <c r="CW45" s="656"/>
      <c r="CX45" s="656"/>
      <c r="CY45" s="656"/>
      <c r="CZ45" s="656"/>
      <c r="DA45" s="656"/>
      <c r="DB45" s="656"/>
      <c r="DC45" s="656"/>
      <c r="DD45" s="656"/>
      <c r="DE45" s="656"/>
      <c r="DF45" s="656"/>
      <c r="DG45" s="656"/>
      <c r="DH45" s="656"/>
      <c r="DI45" s="656"/>
      <c r="DJ45" s="656"/>
      <c r="DK45" s="656"/>
      <c r="DL45" s="656"/>
      <c r="DM45" s="656"/>
      <c r="DN45" s="656"/>
      <c r="DO45" s="656"/>
      <c r="DP45" s="656"/>
      <c r="DQ45" s="656"/>
      <c r="DR45" s="656"/>
      <c r="DS45" s="656"/>
      <c r="DT45" s="656"/>
      <c r="DU45" s="656"/>
      <c r="DV45" s="656"/>
      <c r="DW45" s="656"/>
      <c r="DX45" s="656"/>
      <c r="DY45" s="656"/>
      <c r="DZ45" s="656"/>
      <c r="EA45" s="656"/>
      <c r="EB45" s="656"/>
      <c r="EC45" s="656"/>
      <c r="ED45" s="656"/>
      <c r="EE45" s="656"/>
      <c r="EF45" s="656"/>
      <c r="EG45" s="656"/>
      <c r="EH45" s="656"/>
      <c r="EI45" s="656"/>
      <c r="EJ45" s="656"/>
      <c r="EK45" s="656"/>
      <c r="EL45" s="656"/>
      <c r="EM45" s="656"/>
      <c r="EN45" s="656"/>
      <c r="EO45" s="656"/>
      <c r="EP45" s="656"/>
      <c r="EQ45" s="656"/>
      <c r="ER45" s="656"/>
      <c r="ES45" s="656"/>
      <c r="ET45" s="656"/>
      <c r="EU45" s="656"/>
      <c r="EV45" s="656"/>
      <c r="EW45" s="656"/>
      <c r="EX45" s="656"/>
      <c r="EY45" s="656"/>
      <c r="EZ45" s="656"/>
      <c r="FA45" s="656"/>
      <c r="FB45" s="656"/>
      <c r="FC45" s="656"/>
      <c r="FD45" s="656"/>
      <c r="FE45" s="656"/>
      <c r="FF45" s="656"/>
      <c r="FG45" s="656"/>
      <c r="FH45" s="656"/>
      <c r="FI45" s="656"/>
      <c r="FJ45" s="656"/>
      <c r="FK45" s="656"/>
      <c r="FL45" s="656"/>
      <c r="FM45" s="656"/>
      <c r="FN45" s="656"/>
      <c r="FO45" s="656"/>
      <c r="FP45" s="656"/>
      <c r="FQ45" s="656"/>
      <c r="FR45" s="656"/>
      <c r="FS45" s="656"/>
      <c r="FT45" s="656"/>
      <c r="FU45" s="656"/>
      <c r="FV45" s="656"/>
      <c r="FW45" s="656"/>
      <c r="FX45" s="656"/>
      <c r="FY45" s="656"/>
      <c r="FZ45" s="656"/>
      <c r="GA45" s="656"/>
      <c r="GB45" s="656"/>
      <c r="GC45" s="656"/>
      <c r="GD45" s="656"/>
      <c r="GE45" s="656"/>
      <c r="GF45" s="656"/>
      <c r="GG45" s="656"/>
      <c r="GH45" s="656"/>
      <c r="GI45" s="656"/>
      <c r="GJ45" s="656"/>
      <c r="GK45" s="656"/>
      <c r="GL45" s="656"/>
      <c r="GM45" s="656"/>
      <c r="GN45" s="656"/>
      <c r="GO45" s="656"/>
      <c r="GP45" s="656"/>
      <c r="GQ45" s="656"/>
      <c r="GR45" s="656"/>
      <c r="GS45" s="656"/>
      <c r="GT45" s="656"/>
      <c r="GU45" s="656"/>
      <c r="GV45" s="656"/>
      <c r="GW45" s="656"/>
      <c r="GX45" s="656"/>
      <c r="GY45" s="656"/>
      <c r="GZ45" s="656"/>
      <c r="HA45" s="656"/>
      <c r="HB45" s="656"/>
      <c r="HC45" s="656"/>
      <c r="HD45" s="656"/>
      <c r="HE45" s="656"/>
      <c r="HF45" s="656"/>
      <c r="HG45" s="656"/>
      <c r="HH45" s="656"/>
      <c r="HI45" s="656"/>
      <c r="HJ45" s="656"/>
      <c r="HK45" s="656"/>
      <c r="HL45" s="656"/>
      <c r="HM45" s="656"/>
      <c r="HN45" s="656"/>
      <c r="HO45" s="656"/>
      <c r="HP45" s="656"/>
      <c r="HQ45" s="656"/>
      <c r="HR45" s="656"/>
      <c r="HS45" s="656"/>
      <c r="HT45" s="656"/>
      <c r="HU45" s="656"/>
      <c r="HV45" s="656"/>
      <c r="HW45" s="656"/>
      <c r="HX45" s="656"/>
      <c r="HY45" s="656"/>
      <c r="HZ45" s="656"/>
    </row>
    <row r="46" spans="1:234" s="657" customFormat="1" ht="28.5" x14ac:dyDescent="0.25">
      <c r="A46" s="1013"/>
      <c r="B46" s="1014">
        <v>24</v>
      </c>
      <c r="C46" s="1015" t="s">
        <v>850</v>
      </c>
      <c r="D46" s="1016" t="s">
        <v>912</v>
      </c>
      <c r="E46" s="1017">
        <v>1</v>
      </c>
      <c r="F46" s="1018">
        <v>26344</v>
      </c>
      <c r="G46" s="1019">
        <v>26344</v>
      </c>
      <c r="H46" s="486">
        <v>15</v>
      </c>
      <c r="I46" s="1026">
        <v>15</v>
      </c>
      <c r="J46" s="1020">
        <v>395160</v>
      </c>
      <c r="K46" s="1021">
        <v>0</v>
      </c>
      <c r="L46" s="480">
        <v>0</v>
      </c>
      <c r="M46" s="1022">
        <v>0</v>
      </c>
      <c r="N46" s="488">
        <v>0</v>
      </c>
      <c r="O46" s="1022">
        <v>0</v>
      </c>
      <c r="P46" s="488">
        <v>0</v>
      </c>
      <c r="Q46" s="1022">
        <v>0</v>
      </c>
      <c r="R46" s="488">
        <v>0</v>
      </c>
      <c r="S46" s="1023"/>
      <c r="T46" s="656"/>
      <c r="U46" s="656"/>
      <c r="V46" s="656"/>
      <c r="W46" s="656"/>
      <c r="X46" s="656"/>
      <c r="Y46" s="656"/>
      <c r="Z46" s="656"/>
      <c r="AA46" s="656"/>
      <c r="AB46" s="656"/>
      <c r="AC46" s="656"/>
      <c r="AD46" s="656"/>
      <c r="AE46" s="656"/>
      <c r="AF46" s="656"/>
      <c r="AG46" s="656"/>
      <c r="AH46" s="656"/>
      <c r="AI46" s="656"/>
      <c r="AJ46" s="656"/>
      <c r="AK46" s="656"/>
      <c r="AL46" s="656"/>
      <c r="AM46" s="656"/>
      <c r="AN46" s="656"/>
      <c r="AO46" s="656"/>
      <c r="AP46" s="656"/>
      <c r="AQ46" s="656"/>
      <c r="AR46" s="656"/>
      <c r="AS46" s="656"/>
      <c r="AT46" s="656"/>
      <c r="AU46" s="656"/>
      <c r="AV46" s="656"/>
      <c r="AW46" s="656"/>
      <c r="AX46" s="656"/>
      <c r="AY46" s="656"/>
      <c r="AZ46" s="656"/>
      <c r="BA46" s="656"/>
      <c r="BB46" s="656"/>
      <c r="BC46" s="656"/>
      <c r="BD46" s="656"/>
      <c r="BE46" s="656"/>
      <c r="BF46" s="656"/>
      <c r="BG46" s="656"/>
      <c r="BH46" s="656"/>
      <c r="BI46" s="656"/>
      <c r="BJ46" s="656"/>
      <c r="BK46" s="656"/>
      <c r="BL46" s="656"/>
      <c r="BM46" s="656"/>
      <c r="BN46" s="656"/>
      <c r="BO46" s="656"/>
      <c r="BP46" s="656"/>
      <c r="BQ46" s="656"/>
      <c r="BR46" s="656"/>
      <c r="BS46" s="656"/>
      <c r="BT46" s="656"/>
      <c r="BU46" s="656"/>
      <c r="BV46" s="656"/>
      <c r="BW46" s="656"/>
      <c r="BX46" s="656"/>
      <c r="BY46" s="656"/>
      <c r="BZ46" s="656"/>
      <c r="CA46" s="656"/>
      <c r="CB46" s="656"/>
      <c r="CC46" s="656"/>
      <c r="CD46" s="656"/>
      <c r="CE46" s="656"/>
      <c r="CF46" s="656"/>
      <c r="CG46" s="656"/>
      <c r="CH46" s="656"/>
      <c r="CI46" s="656"/>
      <c r="CJ46" s="656"/>
      <c r="CK46" s="656"/>
      <c r="CL46" s="656"/>
      <c r="CM46" s="656"/>
      <c r="CN46" s="656"/>
      <c r="CO46" s="656"/>
      <c r="CP46" s="656"/>
      <c r="CQ46" s="656"/>
      <c r="CR46" s="656"/>
      <c r="CS46" s="656"/>
      <c r="CT46" s="656"/>
      <c r="CU46" s="656"/>
      <c r="CV46" s="656"/>
      <c r="CW46" s="656"/>
      <c r="CX46" s="656"/>
      <c r="CY46" s="656"/>
      <c r="CZ46" s="656"/>
      <c r="DA46" s="656"/>
      <c r="DB46" s="656"/>
      <c r="DC46" s="656"/>
      <c r="DD46" s="656"/>
      <c r="DE46" s="656"/>
      <c r="DF46" s="656"/>
      <c r="DG46" s="656"/>
      <c r="DH46" s="656"/>
      <c r="DI46" s="656"/>
      <c r="DJ46" s="656"/>
      <c r="DK46" s="656"/>
      <c r="DL46" s="656"/>
      <c r="DM46" s="656"/>
      <c r="DN46" s="656"/>
      <c r="DO46" s="656"/>
      <c r="DP46" s="656"/>
      <c r="DQ46" s="656"/>
      <c r="DR46" s="656"/>
      <c r="DS46" s="656"/>
      <c r="DT46" s="656"/>
      <c r="DU46" s="656"/>
      <c r="DV46" s="656"/>
      <c r="DW46" s="656"/>
      <c r="DX46" s="656"/>
      <c r="DY46" s="656"/>
      <c r="DZ46" s="656"/>
      <c r="EA46" s="656"/>
      <c r="EB46" s="656"/>
      <c r="EC46" s="656"/>
      <c r="ED46" s="656"/>
      <c r="EE46" s="656"/>
      <c r="EF46" s="656"/>
      <c r="EG46" s="656"/>
      <c r="EH46" s="656"/>
      <c r="EI46" s="656"/>
      <c r="EJ46" s="656"/>
      <c r="EK46" s="656"/>
      <c r="EL46" s="656"/>
      <c r="EM46" s="656"/>
      <c r="EN46" s="656"/>
      <c r="EO46" s="656"/>
      <c r="EP46" s="656"/>
      <c r="EQ46" s="656"/>
      <c r="ER46" s="656"/>
      <c r="ES46" s="656"/>
      <c r="ET46" s="656"/>
      <c r="EU46" s="656"/>
      <c r="EV46" s="656"/>
      <c r="EW46" s="656"/>
      <c r="EX46" s="656"/>
      <c r="EY46" s="656"/>
      <c r="EZ46" s="656"/>
      <c r="FA46" s="656"/>
      <c r="FB46" s="656"/>
      <c r="FC46" s="656"/>
      <c r="FD46" s="656"/>
      <c r="FE46" s="656"/>
      <c r="FF46" s="656"/>
      <c r="FG46" s="656"/>
      <c r="FH46" s="656"/>
      <c r="FI46" s="656"/>
      <c r="FJ46" s="656"/>
      <c r="FK46" s="656"/>
      <c r="FL46" s="656"/>
      <c r="FM46" s="656"/>
      <c r="FN46" s="656"/>
      <c r="FO46" s="656"/>
      <c r="FP46" s="656"/>
      <c r="FQ46" s="656"/>
      <c r="FR46" s="656"/>
      <c r="FS46" s="656"/>
      <c r="FT46" s="656"/>
      <c r="FU46" s="656"/>
      <c r="FV46" s="656"/>
      <c r="FW46" s="656"/>
      <c r="FX46" s="656"/>
      <c r="FY46" s="656"/>
      <c r="FZ46" s="656"/>
      <c r="GA46" s="656"/>
      <c r="GB46" s="656"/>
      <c r="GC46" s="656"/>
      <c r="GD46" s="656"/>
      <c r="GE46" s="656"/>
      <c r="GF46" s="656"/>
      <c r="GG46" s="656"/>
      <c r="GH46" s="656"/>
      <c r="GI46" s="656"/>
      <c r="GJ46" s="656"/>
      <c r="GK46" s="656"/>
      <c r="GL46" s="656"/>
      <c r="GM46" s="656"/>
      <c r="GN46" s="656"/>
      <c r="GO46" s="656"/>
      <c r="GP46" s="656"/>
      <c r="GQ46" s="656"/>
      <c r="GR46" s="656"/>
      <c r="GS46" s="656"/>
      <c r="GT46" s="656"/>
      <c r="GU46" s="656"/>
      <c r="GV46" s="656"/>
      <c r="GW46" s="656"/>
      <c r="GX46" s="656"/>
      <c r="GY46" s="656"/>
      <c r="GZ46" s="656"/>
      <c r="HA46" s="656"/>
      <c r="HB46" s="656"/>
      <c r="HC46" s="656"/>
      <c r="HD46" s="656"/>
      <c r="HE46" s="656"/>
      <c r="HF46" s="656"/>
      <c r="HG46" s="656"/>
      <c r="HH46" s="656"/>
      <c r="HI46" s="656"/>
      <c r="HJ46" s="656"/>
      <c r="HK46" s="656"/>
      <c r="HL46" s="656"/>
      <c r="HM46" s="656"/>
      <c r="HN46" s="656"/>
      <c r="HO46" s="656"/>
      <c r="HP46" s="656"/>
      <c r="HQ46" s="656"/>
      <c r="HR46" s="656"/>
      <c r="HS46" s="656"/>
      <c r="HT46" s="656"/>
      <c r="HU46" s="656"/>
      <c r="HV46" s="656"/>
      <c r="HW46" s="656"/>
      <c r="HX46" s="656"/>
      <c r="HY46" s="656"/>
      <c r="HZ46" s="656"/>
    </row>
    <row r="47" spans="1:234" s="657" customFormat="1" x14ac:dyDescent="0.25">
      <c r="A47" s="1013"/>
      <c r="B47" s="1014">
        <v>25</v>
      </c>
      <c r="C47" s="1015" t="s">
        <v>851</v>
      </c>
      <c r="D47" s="1016" t="s">
        <v>848</v>
      </c>
      <c r="E47" s="1017">
        <v>1</v>
      </c>
      <c r="F47" s="1018">
        <v>46850</v>
      </c>
      <c r="G47" s="1019">
        <v>46850</v>
      </c>
      <c r="H47" s="486">
        <v>1</v>
      </c>
      <c r="I47" s="1026">
        <v>1</v>
      </c>
      <c r="J47" s="1020">
        <v>46850</v>
      </c>
      <c r="K47" s="1021">
        <v>0</v>
      </c>
      <c r="L47" s="480">
        <v>0</v>
      </c>
      <c r="M47" s="1022">
        <v>0</v>
      </c>
      <c r="N47" s="488">
        <v>0</v>
      </c>
      <c r="O47" s="1022">
        <v>0</v>
      </c>
      <c r="P47" s="488">
        <v>0</v>
      </c>
      <c r="Q47" s="1022">
        <v>0</v>
      </c>
      <c r="R47" s="488">
        <v>0</v>
      </c>
      <c r="S47" s="1023"/>
      <c r="T47" s="656"/>
      <c r="U47" s="656"/>
      <c r="V47" s="656"/>
      <c r="W47" s="656"/>
      <c r="X47" s="656"/>
      <c r="Y47" s="656"/>
      <c r="Z47" s="656"/>
      <c r="AA47" s="656"/>
      <c r="AB47" s="656"/>
      <c r="AC47" s="656"/>
      <c r="AD47" s="656"/>
      <c r="AE47" s="656"/>
      <c r="AF47" s="656"/>
      <c r="AG47" s="656"/>
      <c r="AH47" s="656"/>
      <c r="AI47" s="656"/>
      <c r="AJ47" s="656"/>
      <c r="AK47" s="656"/>
      <c r="AL47" s="656"/>
      <c r="AM47" s="656"/>
      <c r="AN47" s="656"/>
      <c r="AO47" s="656"/>
      <c r="AP47" s="656"/>
      <c r="AQ47" s="656"/>
      <c r="AR47" s="656"/>
      <c r="AS47" s="656"/>
      <c r="AT47" s="656"/>
      <c r="AU47" s="656"/>
      <c r="AV47" s="656"/>
      <c r="AW47" s="656"/>
      <c r="AX47" s="656"/>
      <c r="AY47" s="656"/>
      <c r="AZ47" s="656"/>
      <c r="BA47" s="656"/>
      <c r="BB47" s="656"/>
      <c r="BC47" s="656"/>
      <c r="BD47" s="656"/>
      <c r="BE47" s="656"/>
      <c r="BF47" s="656"/>
      <c r="BG47" s="656"/>
      <c r="BH47" s="656"/>
      <c r="BI47" s="656"/>
      <c r="BJ47" s="656"/>
      <c r="BK47" s="656"/>
      <c r="BL47" s="656"/>
      <c r="BM47" s="656"/>
      <c r="BN47" s="656"/>
      <c r="BO47" s="656"/>
      <c r="BP47" s="656"/>
      <c r="BQ47" s="656"/>
      <c r="BR47" s="656"/>
      <c r="BS47" s="656"/>
      <c r="BT47" s="656"/>
      <c r="BU47" s="656"/>
      <c r="BV47" s="656"/>
      <c r="BW47" s="656"/>
      <c r="BX47" s="656"/>
      <c r="BY47" s="656"/>
      <c r="BZ47" s="656"/>
      <c r="CA47" s="656"/>
      <c r="CB47" s="656"/>
      <c r="CC47" s="656"/>
      <c r="CD47" s="656"/>
      <c r="CE47" s="656"/>
      <c r="CF47" s="656"/>
      <c r="CG47" s="656"/>
      <c r="CH47" s="656"/>
      <c r="CI47" s="656"/>
      <c r="CJ47" s="656"/>
      <c r="CK47" s="656"/>
      <c r="CL47" s="656"/>
      <c r="CM47" s="656"/>
      <c r="CN47" s="656"/>
      <c r="CO47" s="656"/>
      <c r="CP47" s="656"/>
      <c r="CQ47" s="656"/>
      <c r="CR47" s="656"/>
      <c r="CS47" s="656"/>
      <c r="CT47" s="656"/>
      <c r="CU47" s="656"/>
      <c r="CV47" s="656"/>
      <c r="CW47" s="656"/>
      <c r="CX47" s="656"/>
      <c r="CY47" s="656"/>
      <c r="CZ47" s="656"/>
      <c r="DA47" s="656"/>
      <c r="DB47" s="656"/>
      <c r="DC47" s="656"/>
      <c r="DD47" s="656"/>
      <c r="DE47" s="656"/>
      <c r="DF47" s="656"/>
      <c r="DG47" s="656"/>
      <c r="DH47" s="656"/>
      <c r="DI47" s="656"/>
      <c r="DJ47" s="656"/>
      <c r="DK47" s="656"/>
      <c r="DL47" s="656"/>
      <c r="DM47" s="656"/>
      <c r="DN47" s="656"/>
      <c r="DO47" s="656"/>
      <c r="DP47" s="656"/>
      <c r="DQ47" s="656"/>
      <c r="DR47" s="656"/>
      <c r="DS47" s="656"/>
      <c r="DT47" s="656"/>
      <c r="DU47" s="656"/>
      <c r="DV47" s="656"/>
      <c r="DW47" s="656"/>
      <c r="DX47" s="656"/>
      <c r="DY47" s="656"/>
      <c r="DZ47" s="656"/>
      <c r="EA47" s="656"/>
      <c r="EB47" s="656"/>
      <c r="EC47" s="656"/>
      <c r="ED47" s="656"/>
      <c r="EE47" s="656"/>
      <c r="EF47" s="656"/>
      <c r="EG47" s="656"/>
      <c r="EH47" s="656"/>
      <c r="EI47" s="656"/>
      <c r="EJ47" s="656"/>
      <c r="EK47" s="656"/>
      <c r="EL47" s="656"/>
      <c r="EM47" s="656"/>
      <c r="EN47" s="656"/>
      <c r="EO47" s="656"/>
      <c r="EP47" s="656"/>
      <c r="EQ47" s="656"/>
      <c r="ER47" s="656"/>
      <c r="ES47" s="656"/>
      <c r="ET47" s="656"/>
      <c r="EU47" s="656"/>
      <c r="EV47" s="656"/>
      <c r="EW47" s="656"/>
      <c r="EX47" s="656"/>
      <c r="EY47" s="656"/>
      <c r="EZ47" s="656"/>
      <c r="FA47" s="656"/>
      <c r="FB47" s="656"/>
      <c r="FC47" s="656"/>
      <c r="FD47" s="656"/>
      <c r="FE47" s="656"/>
      <c r="FF47" s="656"/>
      <c r="FG47" s="656"/>
      <c r="FH47" s="656"/>
      <c r="FI47" s="656"/>
      <c r="FJ47" s="656"/>
      <c r="FK47" s="656"/>
      <c r="FL47" s="656"/>
      <c r="FM47" s="656"/>
      <c r="FN47" s="656"/>
      <c r="FO47" s="656"/>
      <c r="FP47" s="656"/>
      <c r="FQ47" s="656"/>
      <c r="FR47" s="656"/>
      <c r="FS47" s="656"/>
      <c r="FT47" s="656"/>
      <c r="FU47" s="656"/>
      <c r="FV47" s="656"/>
      <c r="FW47" s="656"/>
      <c r="FX47" s="656"/>
      <c r="FY47" s="656"/>
      <c r="FZ47" s="656"/>
      <c r="GA47" s="656"/>
      <c r="GB47" s="656"/>
      <c r="GC47" s="656"/>
      <c r="GD47" s="656"/>
      <c r="GE47" s="656"/>
      <c r="GF47" s="656"/>
      <c r="GG47" s="656"/>
      <c r="GH47" s="656"/>
      <c r="GI47" s="656"/>
      <c r="GJ47" s="656"/>
      <c r="GK47" s="656"/>
      <c r="GL47" s="656"/>
      <c r="GM47" s="656"/>
      <c r="GN47" s="656"/>
      <c r="GO47" s="656"/>
      <c r="GP47" s="656"/>
      <c r="GQ47" s="656"/>
      <c r="GR47" s="656"/>
      <c r="GS47" s="656"/>
      <c r="GT47" s="656"/>
      <c r="GU47" s="656"/>
      <c r="GV47" s="656"/>
      <c r="GW47" s="656"/>
      <c r="GX47" s="656"/>
      <c r="GY47" s="656"/>
      <c r="GZ47" s="656"/>
      <c r="HA47" s="656"/>
      <c r="HB47" s="656"/>
      <c r="HC47" s="656"/>
      <c r="HD47" s="656"/>
      <c r="HE47" s="656"/>
      <c r="HF47" s="656"/>
      <c r="HG47" s="656"/>
      <c r="HH47" s="656"/>
      <c r="HI47" s="656"/>
      <c r="HJ47" s="656"/>
      <c r="HK47" s="656"/>
      <c r="HL47" s="656"/>
      <c r="HM47" s="656"/>
      <c r="HN47" s="656"/>
      <c r="HO47" s="656"/>
      <c r="HP47" s="656"/>
      <c r="HQ47" s="656"/>
      <c r="HR47" s="656"/>
      <c r="HS47" s="656"/>
      <c r="HT47" s="656"/>
      <c r="HU47" s="656"/>
      <c r="HV47" s="656"/>
      <c r="HW47" s="656"/>
      <c r="HX47" s="656"/>
      <c r="HY47" s="656"/>
      <c r="HZ47" s="656"/>
    </row>
    <row r="48" spans="1:234" s="657" customFormat="1" x14ac:dyDescent="0.25">
      <c r="A48" s="1013"/>
      <c r="B48" s="1014">
        <v>28</v>
      </c>
      <c r="C48" s="1015" t="s">
        <v>1294</v>
      </c>
      <c r="D48" s="1016" t="s">
        <v>844</v>
      </c>
      <c r="E48" s="1017">
        <v>1</v>
      </c>
      <c r="F48" s="1018">
        <v>119385</v>
      </c>
      <c r="G48" s="1019">
        <v>119385</v>
      </c>
      <c r="H48" s="486">
        <v>1</v>
      </c>
      <c r="I48" s="1026">
        <v>6</v>
      </c>
      <c r="J48" s="1020">
        <v>716310</v>
      </c>
      <c r="K48" s="1021">
        <v>0</v>
      </c>
      <c r="L48" s="480">
        <v>0</v>
      </c>
      <c r="M48" s="1022">
        <v>0</v>
      </c>
      <c r="N48" s="488">
        <v>0</v>
      </c>
      <c r="O48" s="1022">
        <v>0</v>
      </c>
      <c r="P48" s="488">
        <v>0</v>
      </c>
      <c r="Q48" s="1022">
        <v>0</v>
      </c>
      <c r="R48" s="488">
        <v>0</v>
      </c>
      <c r="S48" s="1023"/>
      <c r="T48" s="656"/>
      <c r="U48" s="656"/>
      <c r="V48" s="656"/>
      <c r="W48" s="656"/>
      <c r="X48" s="656"/>
      <c r="Y48" s="656"/>
      <c r="Z48" s="656"/>
      <c r="AA48" s="656"/>
      <c r="AB48" s="656"/>
      <c r="AC48" s="656"/>
      <c r="AD48" s="656"/>
      <c r="AE48" s="656"/>
      <c r="AF48" s="656"/>
      <c r="AG48" s="656"/>
      <c r="AH48" s="656"/>
      <c r="AI48" s="656"/>
      <c r="AJ48" s="656"/>
      <c r="AK48" s="656"/>
      <c r="AL48" s="656"/>
      <c r="AM48" s="656"/>
      <c r="AN48" s="656"/>
      <c r="AO48" s="656"/>
      <c r="AP48" s="656"/>
      <c r="AQ48" s="656"/>
      <c r="AR48" s="656"/>
      <c r="AS48" s="656"/>
      <c r="AT48" s="656"/>
      <c r="AU48" s="656"/>
      <c r="AV48" s="656"/>
      <c r="AW48" s="656"/>
      <c r="AX48" s="656"/>
      <c r="AY48" s="656"/>
      <c r="AZ48" s="656"/>
      <c r="BA48" s="656"/>
      <c r="BB48" s="656"/>
      <c r="BC48" s="656"/>
      <c r="BD48" s="656"/>
      <c r="BE48" s="656"/>
      <c r="BF48" s="656"/>
      <c r="BG48" s="656"/>
      <c r="BH48" s="656"/>
      <c r="BI48" s="656"/>
      <c r="BJ48" s="656"/>
      <c r="BK48" s="656"/>
      <c r="BL48" s="656"/>
      <c r="BM48" s="656"/>
      <c r="BN48" s="656"/>
      <c r="BO48" s="656"/>
      <c r="BP48" s="656"/>
      <c r="BQ48" s="656"/>
      <c r="BR48" s="656"/>
      <c r="BS48" s="656"/>
      <c r="BT48" s="656"/>
      <c r="BU48" s="656"/>
      <c r="BV48" s="656"/>
      <c r="BW48" s="656"/>
      <c r="BX48" s="656"/>
      <c r="BY48" s="656"/>
      <c r="BZ48" s="656"/>
      <c r="CA48" s="656"/>
      <c r="CB48" s="656"/>
      <c r="CC48" s="656"/>
      <c r="CD48" s="656"/>
      <c r="CE48" s="656"/>
      <c r="CF48" s="656"/>
      <c r="CG48" s="656"/>
      <c r="CH48" s="656"/>
      <c r="CI48" s="656"/>
      <c r="CJ48" s="656"/>
      <c r="CK48" s="656"/>
      <c r="CL48" s="656"/>
      <c r="CM48" s="656"/>
      <c r="CN48" s="656"/>
      <c r="CO48" s="656"/>
      <c r="CP48" s="656"/>
      <c r="CQ48" s="656"/>
      <c r="CR48" s="656"/>
      <c r="CS48" s="656"/>
      <c r="CT48" s="656"/>
      <c r="CU48" s="656"/>
      <c r="CV48" s="656"/>
      <c r="CW48" s="656"/>
      <c r="CX48" s="656"/>
      <c r="CY48" s="656"/>
      <c r="CZ48" s="656"/>
      <c r="DA48" s="656"/>
      <c r="DB48" s="656"/>
      <c r="DC48" s="656"/>
      <c r="DD48" s="656"/>
      <c r="DE48" s="656"/>
      <c r="DF48" s="656"/>
      <c r="DG48" s="656"/>
      <c r="DH48" s="656"/>
      <c r="DI48" s="656"/>
      <c r="DJ48" s="656"/>
      <c r="DK48" s="656"/>
      <c r="DL48" s="656"/>
      <c r="DM48" s="656"/>
      <c r="DN48" s="656"/>
      <c r="DO48" s="656"/>
      <c r="DP48" s="656"/>
      <c r="DQ48" s="656"/>
      <c r="DR48" s="656"/>
      <c r="DS48" s="656"/>
      <c r="DT48" s="656"/>
      <c r="DU48" s="656"/>
      <c r="DV48" s="656"/>
      <c r="DW48" s="656"/>
      <c r="DX48" s="656"/>
      <c r="DY48" s="656"/>
      <c r="DZ48" s="656"/>
      <c r="EA48" s="656"/>
      <c r="EB48" s="656"/>
      <c r="EC48" s="656"/>
      <c r="ED48" s="656"/>
      <c r="EE48" s="656"/>
      <c r="EF48" s="656"/>
      <c r="EG48" s="656"/>
      <c r="EH48" s="656"/>
      <c r="EI48" s="656"/>
      <c r="EJ48" s="656"/>
      <c r="EK48" s="656"/>
      <c r="EL48" s="656"/>
      <c r="EM48" s="656"/>
      <c r="EN48" s="656"/>
      <c r="EO48" s="656"/>
      <c r="EP48" s="656"/>
      <c r="EQ48" s="656"/>
      <c r="ER48" s="656"/>
      <c r="ES48" s="656"/>
      <c r="ET48" s="656"/>
      <c r="EU48" s="656"/>
      <c r="EV48" s="656"/>
      <c r="EW48" s="656"/>
      <c r="EX48" s="656"/>
      <c r="EY48" s="656"/>
      <c r="EZ48" s="656"/>
      <c r="FA48" s="656"/>
      <c r="FB48" s="656"/>
      <c r="FC48" s="656"/>
      <c r="FD48" s="656"/>
      <c r="FE48" s="656"/>
      <c r="FF48" s="656"/>
      <c r="FG48" s="656"/>
      <c r="FH48" s="656"/>
      <c r="FI48" s="656"/>
      <c r="FJ48" s="656"/>
      <c r="FK48" s="656"/>
      <c r="FL48" s="656"/>
      <c r="FM48" s="656"/>
      <c r="FN48" s="656"/>
      <c r="FO48" s="656"/>
      <c r="FP48" s="656"/>
      <c r="FQ48" s="656"/>
      <c r="FR48" s="656"/>
      <c r="FS48" s="656"/>
      <c r="FT48" s="656"/>
      <c r="FU48" s="656"/>
      <c r="FV48" s="656"/>
      <c r="FW48" s="656"/>
      <c r="FX48" s="656"/>
      <c r="FY48" s="656"/>
      <c r="FZ48" s="656"/>
      <c r="GA48" s="656"/>
      <c r="GB48" s="656"/>
      <c r="GC48" s="656"/>
      <c r="GD48" s="656"/>
      <c r="GE48" s="656"/>
      <c r="GF48" s="656"/>
      <c r="GG48" s="656"/>
      <c r="GH48" s="656"/>
      <c r="GI48" s="656"/>
      <c r="GJ48" s="656"/>
      <c r="GK48" s="656"/>
      <c r="GL48" s="656"/>
      <c r="GM48" s="656"/>
      <c r="GN48" s="656"/>
      <c r="GO48" s="656"/>
      <c r="GP48" s="656"/>
      <c r="GQ48" s="656"/>
      <c r="GR48" s="656"/>
      <c r="GS48" s="656"/>
      <c r="GT48" s="656"/>
      <c r="GU48" s="656"/>
      <c r="GV48" s="656"/>
      <c r="GW48" s="656"/>
      <c r="GX48" s="656"/>
      <c r="GY48" s="656"/>
      <c r="GZ48" s="656"/>
      <c r="HA48" s="656"/>
      <c r="HB48" s="656"/>
      <c r="HC48" s="656"/>
      <c r="HD48" s="656"/>
      <c r="HE48" s="656"/>
      <c r="HF48" s="656"/>
      <c r="HG48" s="656"/>
      <c r="HH48" s="656"/>
      <c r="HI48" s="656"/>
      <c r="HJ48" s="656"/>
      <c r="HK48" s="656"/>
      <c r="HL48" s="656"/>
      <c r="HM48" s="656"/>
      <c r="HN48" s="656"/>
      <c r="HO48" s="656"/>
      <c r="HP48" s="656"/>
      <c r="HQ48" s="656"/>
      <c r="HR48" s="656"/>
      <c r="HS48" s="656"/>
      <c r="HT48" s="656"/>
      <c r="HU48" s="656"/>
      <c r="HV48" s="656"/>
      <c r="HW48" s="656"/>
      <c r="HX48" s="656"/>
      <c r="HY48" s="656"/>
      <c r="HZ48" s="656"/>
    </row>
    <row r="49" spans="1:234" s="657" customFormat="1" x14ac:dyDescent="0.25">
      <c r="A49" s="1013"/>
      <c r="B49" s="996"/>
      <c r="C49" s="997" t="s">
        <v>1295</v>
      </c>
      <c r="D49" s="998"/>
      <c r="E49" s="999"/>
      <c r="F49" s="1000"/>
      <c r="G49" s="1001"/>
      <c r="H49" s="1002"/>
      <c r="I49" s="1003"/>
      <c r="J49" s="1025"/>
      <c r="K49" s="1005"/>
      <c r="L49" s="1006"/>
      <c r="M49" s="1007"/>
      <c r="N49" s="1008"/>
      <c r="O49" s="1007"/>
      <c r="P49" s="1008"/>
      <c r="Q49" s="1007"/>
      <c r="R49" s="1008"/>
      <c r="S49" s="1023"/>
      <c r="T49" s="656"/>
      <c r="U49" s="656"/>
      <c r="V49" s="656"/>
      <c r="W49" s="656"/>
      <c r="X49" s="656"/>
      <c r="Y49" s="656"/>
      <c r="Z49" s="656"/>
      <c r="AA49" s="656"/>
      <c r="AB49" s="656"/>
      <c r="AC49" s="656"/>
      <c r="AD49" s="656"/>
      <c r="AE49" s="656"/>
      <c r="AF49" s="656"/>
      <c r="AG49" s="656"/>
      <c r="AH49" s="656"/>
      <c r="AI49" s="656"/>
      <c r="AJ49" s="656"/>
      <c r="AK49" s="656"/>
      <c r="AL49" s="656"/>
      <c r="AM49" s="656"/>
      <c r="AN49" s="656"/>
      <c r="AO49" s="656"/>
      <c r="AP49" s="656"/>
      <c r="AQ49" s="656"/>
      <c r="AR49" s="656"/>
      <c r="AS49" s="656"/>
      <c r="AT49" s="656"/>
      <c r="AU49" s="656"/>
      <c r="AV49" s="656"/>
      <c r="AW49" s="656"/>
      <c r="AX49" s="656"/>
      <c r="AY49" s="656"/>
      <c r="AZ49" s="656"/>
      <c r="BA49" s="656"/>
      <c r="BB49" s="656"/>
      <c r="BC49" s="656"/>
      <c r="BD49" s="656"/>
      <c r="BE49" s="656"/>
      <c r="BF49" s="656"/>
      <c r="BG49" s="656"/>
      <c r="BH49" s="656"/>
      <c r="BI49" s="656"/>
      <c r="BJ49" s="656"/>
      <c r="BK49" s="656"/>
      <c r="BL49" s="656"/>
      <c r="BM49" s="656"/>
      <c r="BN49" s="656"/>
      <c r="BO49" s="656"/>
      <c r="BP49" s="656"/>
      <c r="BQ49" s="656"/>
      <c r="BR49" s="656"/>
      <c r="BS49" s="656"/>
      <c r="BT49" s="656"/>
      <c r="BU49" s="656"/>
      <c r="BV49" s="656"/>
      <c r="BW49" s="656"/>
      <c r="BX49" s="656"/>
      <c r="BY49" s="656"/>
      <c r="BZ49" s="656"/>
      <c r="CA49" s="656"/>
      <c r="CB49" s="656"/>
      <c r="CC49" s="656"/>
      <c r="CD49" s="656"/>
      <c r="CE49" s="656"/>
      <c r="CF49" s="656"/>
      <c r="CG49" s="656"/>
      <c r="CH49" s="656"/>
      <c r="CI49" s="656"/>
      <c r="CJ49" s="656"/>
      <c r="CK49" s="656"/>
      <c r="CL49" s="656"/>
      <c r="CM49" s="656"/>
      <c r="CN49" s="656"/>
      <c r="CO49" s="656"/>
      <c r="CP49" s="656"/>
      <c r="CQ49" s="656"/>
      <c r="CR49" s="656"/>
      <c r="CS49" s="656"/>
      <c r="CT49" s="656"/>
      <c r="CU49" s="656"/>
      <c r="CV49" s="656"/>
      <c r="CW49" s="656"/>
      <c r="CX49" s="656"/>
      <c r="CY49" s="656"/>
      <c r="CZ49" s="656"/>
      <c r="DA49" s="656"/>
      <c r="DB49" s="656"/>
      <c r="DC49" s="656"/>
      <c r="DD49" s="656"/>
      <c r="DE49" s="656"/>
      <c r="DF49" s="656"/>
      <c r="DG49" s="656"/>
      <c r="DH49" s="656"/>
      <c r="DI49" s="656"/>
      <c r="DJ49" s="656"/>
      <c r="DK49" s="656"/>
      <c r="DL49" s="656"/>
      <c r="DM49" s="656"/>
      <c r="DN49" s="656"/>
      <c r="DO49" s="656"/>
      <c r="DP49" s="656"/>
      <c r="DQ49" s="656"/>
      <c r="DR49" s="656"/>
      <c r="DS49" s="656"/>
      <c r="DT49" s="656"/>
      <c r="DU49" s="656"/>
      <c r="DV49" s="656"/>
      <c r="DW49" s="656"/>
      <c r="DX49" s="656"/>
      <c r="DY49" s="656"/>
      <c r="DZ49" s="656"/>
      <c r="EA49" s="656"/>
      <c r="EB49" s="656"/>
      <c r="EC49" s="656"/>
      <c r="ED49" s="656"/>
      <c r="EE49" s="656"/>
      <c r="EF49" s="656"/>
      <c r="EG49" s="656"/>
      <c r="EH49" s="656"/>
      <c r="EI49" s="656"/>
      <c r="EJ49" s="656"/>
      <c r="EK49" s="656"/>
      <c r="EL49" s="656"/>
      <c r="EM49" s="656"/>
      <c r="EN49" s="656"/>
      <c r="EO49" s="656"/>
      <c r="EP49" s="656"/>
      <c r="EQ49" s="656"/>
      <c r="ER49" s="656"/>
      <c r="ES49" s="656"/>
      <c r="ET49" s="656"/>
      <c r="EU49" s="656"/>
      <c r="EV49" s="656"/>
      <c r="EW49" s="656"/>
      <c r="EX49" s="656"/>
      <c r="EY49" s="656"/>
      <c r="EZ49" s="656"/>
      <c r="FA49" s="656"/>
      <c r="FB49" s="656"/>
      <c r="FC49" s="656"/>
      <c r="FD49" s="656"/>
      <c r="FE49" s="656"/>
      <c r="FF49" s="656"/>
      <c r="FG49" s="656"/>
      <c r="FH49" s="656"/>
      <c r="FI49" s="656"/>
      <c r="FJ49" s="656"/>
      <c r="FK49" s="656"/>
      <c r="FL49" s="656"/>
      <c r="FM49" s="656"/>
      <c r="FN49" s="656"/>
      <c r="FO49" s="656"/>
      <c r="FP49" s="656"/>
      <c r="FQ49" s="656"/>
      <c r="FR49" s="656"/>
      <c r="FS49" s="656"/>
      <c r="FT49" s="656"/>
      <c r="FU49" s="656"/>
      <c r="FV49" s="656"/>
      <c r="FW49" s="656"/>
      <c r="FX49" s="656"/>
      <c r="FY49" s="656"/>
      <c r="FZ49" s="656"/>
      <c r="GA49" s="656"/>
      <c r="GB49" s="656"/>
      <c r="GC49" s="656"/>
      <c r="GD49" s="656"/>
      <c r="GE49" s="656"/>
      <c r="GF49" s="656"/>
      <c r="GG49" s="656"/>
      <c r="GH49" s="656"/>
      <c r="GI49" s="656"/>
      <c r="GJ49" s="656"/>
      <c r="GK49" s="656"/>
      <c r="GL49" s="656"/>
      <c r="GM49" s="656"/>
      <c r="GN49" s="656"/>
      <c r="GO49" s="656"/>
      <c r="GP49" s="656"/>
      <c r="GQ49" s="656"/>
      <c r="GR49" s="656"/>
      <c r="GS49" s="656"/>
      <c r="GT49" s="656"/>
      <c r="GU49" s="656"/>
      <c r="GV49" s="656"/>
      <c r="GW49" s="656"/>
      <c r="GX49" s="656"/>
      <c r="GY49" s="656"/>
      <c r="GZ49" s="656"/>
      <c r="HA49" s="656"/>
      <c r="HB49" s="656"/>
      <c r="HC49" s="656"/>
      <c r="HD49" s="656"/>
      <c r="HE49" s="656"/>
      <c r="HF49" s="656"/>
      <c r="HG49" s="656"/>
      <c r="HH49" s="656"/>
      <c r="HI49" s="656"/>
      <c r="HJ49" s="656"/>
      <c r="HK49" s="656"/>
      <c r="HL49" s="656"/>
      <c r="HM49" s="656"/>
      <c r="HN49" s="656"/>
      <c r="HO49" s="656"/>
      <c r="HP49" s="656"/>
      <c r="HQ49" s="656"/>
      <c r="HR49" s="656"/>
      <c r="HS49" s="656"/>
      <c r="HT49" s="656"/>
      <c r="HU49" s="656"/>
      <c r="HV49" s="656"/>
      <c r="HW49" s="656"/>
      <c r="HX49" s="656"/>
      <c r="HY49" s="656"/>
      <c r="HZ49" s="656"/>
    </row>
    <row r="50" spans="1:234" s="657" customFormat="1" ht="42.75" x14ac:dyDescent="0.25">
      <c r="A50" s="1013"/>
      <c r="B50" s="1014">
        <v>18</v>
      </c>
      <c r="C50" s="1015" t="s">
        <v>1296</v>
      </c>
      <c r="D50" s="1016" t="s">
        <v>848</v>
      </c>
      <c r="E50" s="1017">
        <v>1</v>
      </c>
      <c r="F50" s="1018">
        <v>368325</v>
      </c>
      <c r="G50" s="1019">
        <v>368325</v>
      </c>
      <c r="H50" s="486">
        <v>1</v>
      </c>
      <c r="I50" s="1026">
        <v>1</v>
      </c>
      <c r="J50" s="1020">
        <v>368325</v>
      </c>
      <c r="K50" s="1021">
        <v>1</v>
      </c>
      <c r="L50" s="480">
        <v>368325</v>
      </c>
      <c r="M50" s="1022">
        <v>0</v>
      </c>
      <c r="N50" s="488">
        <v>0</v>
      </c>
      <c r="O50" s="1022">
        <v>0</v>
      </c>
      <c r="P50" s="488">
        <v>0</v>
      </c>
      <c r="Q50" s="1024">
        <v>1</v>
      </c>
      <c r="R50" s="488">
        <v>368325</v>
      </c>
      <c r="S50" s="1023"/>
      <c r="T50" s="656"/>
      <c r="U50" s="656"/>
      <c r="V50" s="656"/>
      <c r="W50" s="656"/>
      <c r="X50" s="656"/>
      <c r="Y50" s="656"/>
      <c r="Z50" s="656"/>
      <c r="AA50" s="656"/>
      <c r="AB50" s="656"/>
      <c r="AC50" s="656"/>
      <c r="AD50" s="656"/>
      <c r="AE50" s="656"/>
      <c r="AF50" s="656"/>
      <c r="AG50" s="656"/>
      <c r="AH50" s="656"/>
      <c r="AI50" s="656"/>
      <c r="AJ50" s="656"/>
      <c r="AK50" s="656"/>
      <c r="AL50" s="656"/>
      <c r="AM50" s="656"/>
      <c r="AN50" s="656"/>
      <c r="AO50" s="656"/>
      <c r="AP50" s="656"/>
      <c r="AQ50" s="656"/>
      <c r="AR50" s="656"/>
      <c r="AS50" s="656"/>
      <c r="AT50" s="656"/>
      <c r="AU50" s="656"/>
      <c r="AV50" s="656"/>
      <c r="AW50" s="656"/>
      <c r="AX50" s="656"/>
      <c r="AY50" s="656"/>
      <c r="AZ50" s="656"/>
      <c r="BA50" s="656"/>
      <c r="BB50" s="656"/>
      <c r="BC50" s="656"/>
      <c r="BD50" s="656"/>
      <c r="BE50" s="656"/>
      <c r="BF50" s="656"/>
      <c r="BG50" s="656"/>
      <c r="BH50" s="656"/>
      <c r="BI50" s="656"/>
      <c r="BJ50" s="656"/>
      <c r="BK50" s="656"/>
      <c r="BL50" s="656"/>
      <c r="BM50" s="656"/>
      <c r="BN50" s="656"/>
      <c r="BO50" s="656"/>
      <c r="BP50" s="656"/>
      <c r="BQ50" s="656"/>
      <c r="BR50" s="656"/>
      <c r="BS50" s="656"/>
      <c r="BT50" s="656"/>
      <c r="BU50" s="656"/>
      <c r="BV50" s="656"/>
      <c r="BW50" s="656"/>
      <c r="BX50" s="656"/>
      <c r="BY50" s="656"/>
      <c r="BZ50" s="656"/>
      <c r="CA50" s="656"/>
      <c r="CB50" s="656"/>
      <c r="CC50" s="656"/>
      <c r="CD50" s="656"/>
      <c r="CE50" s="656"/>
      <c r="CF50" s="656"/>
      <c r="CG50" s="656"/>
      <c r="CH50" s="656"/>
      <c r="CI50" s="656"/>
      <c r="CJ50" s="656"/>
      <c r="CK50" s="656"/>
      <c r="CL50" s="656"/>
      <c r="CM50" s="656"/>
      <c r="CN50" s="656"/>
      <c r="CO50" s="656"/>
      <c r="CP50" s="656"/>
      <c r="CQ50" s="656"/>
      <c r="CR50" s="656"/>
      <c r="CS50" s="656"/>
      <c r="CT50" s="656"/>
      <c r="CU50" s="656"/>
      <c r="CV50" s="656"/>
      <c r="CW50" s="656"/>
      <c r="CX50" s="656"/>
      <c r="CY50" s="656"/>
      <c r="CZ50" s="656"/>
      <c r="DA50" s="656"/>
      <c r="DB50" s="656"/>
      <c r="DC50" s="656"/>
      <c r="DD50" s="656"/>
      <c r="DE50" s="656"/>
      <c r="DF50" s="656"/>
      <c r="DG50" s="656"/>
      <c r="DH50" s="656"/>
      <c r="DI50" s="656"/>
      <c r="DJ50" s="656"/>
      <c r="DK50" s="656"/>
      <c r="DL50" s="656"/>
      <c r="DM50" s="656"/>
      <c r="DN50" s="656"/>
      <c r="DO50" s="656"/>
      <c r="DP50" s="656"/>
      <c r="DQ50" s="656"/>
      <c r="DR50" s="656"/>
      <c r="DS50" s="656"/>
      <c r="DT50" s="656"/>
      <c r="DU50" s="656"/>
      <c r="DV50" s="656"/>
      <c r="DW50" s="656"/>
      <c r="DX50" s="656"/>
      <c r="DY50" s="656"/>
      <c r="DZ50" s="656"/>
      <c r="EA50" s="656"/>
      <c r="EB50" s="656"/>
      <c r="EC50" s="656"/>
      <c r="ED50" s="656"/>
      <c r="EE50" s="656"/>
      <c r="EF50" s="656"/>
      <c r="EG50" s="656"/>
      <c r="EH50" s="656"/>
      <c r="EI50" s="656"/>
      <c r="EJ50" s="656"/>
      <c r="EK50" s="656"/>
      <c r="EL50" s="656"/>
      <c r="EM50" s="656"/>
      <c r="EN50" s="656"/>
      <c r="EO50" s="656"/>
      <c r="EP50" s="656"/>
      <c r="EQ50" s="656"/>
      <c r="ER50" s="656"/>
      <c r="ES50" s="656"/>
      <c r="ET50" s="656"/>
      <c r="EU50" s="656"/>
      <c r="EV50" s="656"/>
      <c r="EW50" s="656"/>
      <c r="EX50" s="656"/>
      <c r="EY50" s="656"/>
      <c r="EZ50" s="656"/>
      <c r="FA50" s="656"/>
      <c r="FB50" s="656"/>
      <c r="FC50" s="656"/>
      <c r="FD50" s="656"/>
      <c r="FE50" s="656"/>
      <c r="FF50" s="656"/>
      <c r="FG50" s="656"/>
      <c r="FH50" s="656"/>
      <c r="FI50" s="656"/>
      <c r="FJ50" s="656"/>
      <c r="FK50" s="656"/>
      <c r="FL50" s="656"/>
      <c r="FM50" s="656"/>
      <c r="FN50" s="656"/>
      <c r="FO50" s="656"/>
      <c r="FP50" s="656"/>
      <c r="FQ50" s="656"/>
      <c r="FR50" s="656"/>
      <c r="FS50" s="656"/>
      <c r="FT50" s="656"/>
      <c r="FU50" s="656"/>
      <c r="FV50" s="656"/>
      <c r="FW50" s="656"/>
      <c r="FX50" s="656"/>
      <c r="FY50" s="656"/>
      <c r="FZ50" s="656"/>
      <c r="GA50" s="656"/>
      <c r="GB50" s="656"/>
      <c r="GC50" s="656"/>
      <c r="GD50" s="656"/>
      <c r="GE50" s="656"/>
      <c r="GF50" s="656"/>
      <c r="GG50" s="656"/>
      <c r="GH50" s="656"/>
      <c r="GI50" s="656"/>
      <c r="GJ50" s="656"/>
      <c r="GK50" s="656"/>
      <c r="GL50" s="656"/>
      <c r="GM50" s="656"/>
      <c r="GN50" s="656"/>
      <c r="GO50" s="656"/>
      <c r="GP50" s="656"/>
      <c r="GQ50" s="656"/>
      <c r="GR50" s="656"/>
      <c r="GS50" s="656"/>
      <c r="GT50" s="656"/>
      <c r="GU50" s="656"/>
      <c r="GV50" s="656"/>
      <c r="GW50" s="656"/>
      <c r="GX50" s="656"/>
      <c r="GY50" s="656"/>
      <c r="GZ50" s="656"/>
      <c r="HA50" s="656"/>
      <c r="HB50" s="656"/>
      <c r="HC50" s="656"/>
      <c r="HD50" s="656"/>
      <c r="HE50" s="656"/>
      <c r="HF50" s="656"/>
      <c r="HG50" s="656"/>
      <c r="HH50" s="656"/>
      <c r="HI50" s="656"/>
      <c r="HJ50" s="656"/>
      <c r="HK50" s="656"/>
      <c r="HL50" s="656"/>
      <c r="HM50" s="656"/>
      <c r="HN50" s="656"/>
      <c r="HO50" s="656"/>
      <c r="HP50" s="656"/>
      <c r="HQ50" s="656"/>
      <c r="HR50" s="656"/>
      <c r="HS50" s="656"/>
      <c r="HT50" s="656"/>
      <c r="HU50" s="656"/>
      <c r="HV50" s="656"/>
      <c r="HW50" s="656"/>
      <c r="HX50" s="656"/>
      <c r="HY50" s="656"/>
      <c r="HZ50" s="656"/>
    </row>
    <row r="51" spans="1:234" s="657" customFormat="1" x14ac:dyDescent="0.25">
      <c r="A51" s="1013"/>
      <c r="B51" s="1014">
        <v>26</v>
      </c>
      <c r="C51" s="1015" t="s">
        <v>852</v>
      </c>
      <c r="D51" s="1016" t="s">
        <v>848</v>
      </c>
      <c r="E51" s="1017">
        <v>1</v>
      </c>
      <c r="F51" s="1018">
        <v>185727</v>
      </c>
      <c r="G51" s="1019">
        <v>185727</v>
      </c>
      <c r="H51" s="486">
        <v>1</v>
      </c>
      <c r="I51" s="1030">
        <v>0</v>
      </c>
      <c r="J51" s="1020">
        <v>0</v>
      </c>
      <c r="K51" s="1021">
        <v>0</v>
      </c>
      <c r="L51" s="480">
        <v>0</v>
      </c>
      <c r="M51" s="1022">
        <v>0</v>
      </c>
      <c r="N51" s="488">
        <v>0</v>
      </c>
      <c r="O51" s="1022">
        <v>0</v>
      </c>
      <c r="P51" s="488">
        <v>0</v>
      </c>
      <c r="Q51" s="1022">
        <v>0</v>
      </c>
      <c r="R51" s="488">
        <v>0</v>
      </c>
      <c r="S51" s="1023"/>
      <c r="T51" s="656"/>
      <c r="U51" s="656"/>
      <c r="V51" s="656"/>
      <c r="W51" s="656"/>
      <c r="X51" s="656"/>
      <c r="Y51" s="656"/>
      <c r="Z51" s="656"/>
      <c r="AA51" s="656"/>
      <c r="AB51" s="656"/>
      <c r="AC51" s="656"/>
      <c r="AD51" s="656"/>
      <c r="AE51" s="656"/>
      <c r="AF51" s="656"/>
      <c r="AG51" s="656"/>
      <c r="AH51" s="656"/>
      <c r="AI51" s="656"/>
      <c r="AJ51" s="656"/>
      <c r="AK51" s="656"/>
      <c r="AL51" s="656"/>
      <c r="AM51" s="656"/>
      <c r="AN51" s="656"/>
      <c r="AO51" s="656"/>
      <c r="AP51" s="656"/>
      <c r="AQ51" s="656"/>
      <c r="AR51" s="656"/>
      <c r="AS51" s="656"/>
      <c r="AT51" s="656"/>
      <c r="AU51" s="656"/>
      <c r="AV51" s="656"/>
      <c r="AW51" s="656"/>
      <c r="AX51" s="656"/>
      <c r="AY51" s="656"/>
      <c r="AZ51" s="656"/>
      <c r="BA51" s="656"/>
      <c r="BB51" s="656"/>
      <c r="BC51" s="656"/>
      <c r="BD51" s="656"/>
      <c r="BE51" s="656"/>
      <c r="BF51" s="656"/>
      <c r="BG51" s="656"/>
      <c r="BH51" s="656"/>
      <c r="BI51" s="656"/>
      <c r="BJ51" s="656"/>
      <c r="BK51" s="656"/>
      <c r="BL51" s="656"/>
      <c r="BM51" s="656"/>
      <c r="BN51" s="656"/>
      <c r="BO51" s="656"/>
      <c r="BP51" s="656"/>
      <c r="BQ51" s="656"/>
      <c r="BR51" s="656"/>
      <c r="BS51" s="656"/>
      <c r="BT51" s="656"/>
      <c r="BU51" s="656"/>
      <c r="BV51" s="656"/>
      <c r="BW51" s="656"/>
      <c r="BX51" s="656"/>
      <c r="BY51" s="656"/>
      <c r="BZ51" s="656"/>
      <c r="CA51" s="656"/>
      <c r="CB51" s="656"/>
      <c r="CC51" s="656"/>
      <c r="CD51" s="656"/>
      <c r="CE51" s="656"/>
      <c r="CF51" s="656"/>
      <c r="CG51" s="656"/>
      <c r="CH51" s="656"/>
      <c r="CI51" s="656"/>
      <c r="CJ51" s="656"/>
      <c r="CK51" s="656"/>
      <c r="CL51" s="656"/>
      <c r="CM51" s="656"/>
      <c r="CN51" s="656"/>
      <c r="CO51" s="656"/>
      <c r="CP51" s="656"/>
      <c r="CQ51" s="656"/>
      <c r="CR51" s="656"/>
      <c r="CS51" s="656"/>
      <c r="CT51" s="656"/>
      <c r="CU51" s="656"/>
      <c r="CV51" s="656"/>
      <c r="CW51" s="656"/>
      <c r="CX51" s="656"/>
      <c r="CY51" s="656"/>
      <c r="CZ51" s="656"/>
      <c r="DA51" s="656"/>
      <c r="DB51" s="656"/>
      <c r="DC51" s="656"/>
      <c r="DD51" s="656"/>
      <c r="DE51" s="656"/>
      <c r="DF51" s="656"/>
      <c r="DG51" s="656"/>
      <c r="DH51" s="656"/>
      <c r="DI51" s="656"/>
      <c r="DJ51" s="656"/>
      <c r="DK51" s="656"/>
      <c r="DL51" s="656"/>
      <c r="DM51" s="656"/>
      <c r="DN51" s="656"/>
      <c r="DO51" s="656"/>
      <c r="DP51" s="656"/>
      <c r="DQ51" s="656"/>
      <c r="DR51" s="656"/>
      <c r="DS51" s="656"/>
      <c r="DT51" s="656"/>
      <c r="DU51" s="656"/>
      <c r="DV51" s="656"/>
      <c r="DW51" s="656"/>
      <c r="DX51" s="656"/>
      <c r="DY51" s="656"/>
      <c r="DZ51" s="656"/>
      <c r="EA51" s="656"/>
      <c r="EB51" s="656"/>
      <c r="EC51" s="656"/>
      <c r="ED51" s="656"/>
      <c r="EE51" s="656"/>
      <c r="EF51" s="656"/>
      <c r="EG51" s="656"/>
      <c r="EH51" s="656"/>
      <c r="EI51" s="656"/>
      <c r="EJ51" s="656"/>
      <c r="EK51" s="656"/>
      <c r="EL51" s="656"/>
      <c r="EM51" s="656"/>
      <c r="EN51" s="656"/>
      <c r="EO51" s="656"/>
      <c r="EP51" s="656"/>
      <c r="EQ51" s="656"/>
      <c r="ER51" s="656"/>
      <c r="ES51" s="656"/>
      <c r="ET51" s="656"/>
      <c r="EU51" s="656"/>
      <c r="EV51" s="656"/>
      <c r="EW51" s="656"/>
      <c r="EX51" s="656"/>
      <c r="EY51" s="656"/>
      <c r="EZ51" s="656"/>
      <c r="FA51" s="656"/>
      <c r="FB51" s="656"/>
      <c r="FC51" s="656"/>
      <c r="FD51" s="656"/>
      <c r="FE51" s="656"/>
      <c r="FF51" s="656"/>
      <c r="FG51" s="656"/>
      <c r="FH51" s="656"/>
      <c r="FI51" s="656"/>
      <c r="FJ51" s="656"/>
      <c r="FK51" s="656"/>
      <c r="FL51" s="656"/>
      <c r="FM51" s="656"/>
      <c r="FN51" s="656"/>
      <c r="FO51" s="656"/>
      <c r="FP51" s="656"/>
      <c r="FQ51" s="656"/>
      <c r="FR51" s="656"/>
      <c r="FS51" s="656"/>
      <c r="FT51" s="656"/>
      <c r="FU51" s="656"/>
      <c r="FV51" s="656"/>
      <c r="FW51" s="656"/>
      <c r="FX51" s="656"/>
      <c r="FY51" s="656"/>
      <c r="FZ51" s="656"/>
      <c r="GA51" s="656"/>
      <c r="GB51" s="656"/>
      <c r="GC51" s="656"/>
      <c r="GD51" s="656"/>
      <c r="GE51" s="656"/>
      <c r="GF51" s="656"/>
      <c r="GG51" s="656"/>
      <c r="GH51" s="656"/>
      <c r="GI51" s="656"/>
      <c r="GJ51" s="656"/>
      <c r="GK51" s="656"/>
      <c r="GL51" s="656"/>
      <c r="GM51" s="656"/>
      <c r="GN51" s="656"/>
      <c r="GO51" s="656"/>
      <c r="GP51" s="656"/>
      <c r="GQ51" s="656"/>
      <c r="GR51" s="656"/>
      <c r="GS51" s="656"/>
      <c r="GT51" s="656"/>
      <c r="GU51" s="656"/>
      <c r="GV51" s="656"/>
      <c r="GW51" s="656"/>
      <c r="GX51" s="656"/>
      <c r="GY51" s="656"/>
      <c r="GZ51" s="656"/>
      <c r="HA51" s="656"/>
      <c r="HB51" s="656"/>
      <c r="HC51" s="656"/>
      <c r="HD51" s="656"/>
      <c r="HE51" s="656"/>
      <c r="HF51" s="656"/>
      <c r="HG51" s="656"/>
      <c r="HH51" s="656"/>
      <c r="HI51" s="656"/>
      <c r="HJ51" s="656"/>
      <c r="HK51" s="656"/>
      <c r="HL51" s="656"/>
      <c r="HM51" s="656"/>
      <c r="HN51" s="656"/>
      <c r="HO51" s="656"/>
      <c r="HP51" s="656"/>
      <c r="HQ51" s="656"/>
      <c r="HR51" s="656"/>
      <c r="HS51" s="656"/>
      <c r="HT51" s="656"/>
      <c r="HU51" s="656"/>
      <c r="HV51" s="656"/>
      <c r="HW51" s="656"/>
      <c r="HX51" s="656"/>
      <c r="HY51" s="656"/>
      <c r="HZ51" s="656"/>
    </row>
    <row r="52" spans="1:234" s="657" customFormat="1" ht="42.75" x14ac:dyDescent="0.25">
      <c r="A52" s="1013"/>
      <c r="B52" s="1014">
        <v>30</v>
      </c>
      <c r="C52" s="1031" t="s">
        <v>1222</v>
      </c>
      <c r="D52" s="1016" t="s">
        <v>848</v>
      </c>
      <c r="E52" s="1017">
        <v>1</v>
      </c>
      <c r="F52" s="1018">
        <v>386287</v>
      </c>
      <c r="G52" s="1019">
        <v>386287</v>
      </c>
      <c r="H52" s="486">
        <v>1</v>
      </c>
      <c r="I52" s="1030">
        <v>0</v>
      </c>
      <c r="J52" s="1020">
        <v>0</v>
      </c>
      <c r="K52" s="1021">
        <v>0</v>
      </c>
      <c r="L52" s="480">
        <v>0</v>
      </c>
      <c r="M52" s="1022">
        <v>0</v>
      </c>
      <c r="N52" s="488">
        <v>0</v>
      </c>
      <c r="O52" s="1022">
        <v>0</v>
      </c>
      <c r="P52" s="488">
        <v>0</v>
      </c>
      <c r="Q52" s="1022">
        <v>0</v>
      </c>
      <c r="R52" s="488">
        <v>0</v>
      </c>
      <c r="S52" s="1023"/>
      <c r="T52" s="656"/>
      <c r="U52" s="656"/>
      <c r="V52" s="656"/>
      <c r="W52" s="656"/>
      <c r="X52" s="656"/>
      <c r="Y52" s="656"/>
      <c r="Z52" s="656"/>
      <c r="AA52" s="656"/>
      <c r="AB52" s="656"/>
      <c r="AC52" s="656"/>
      <c r="AD52" s="656"/>
      <c r="AE52" s="656"/>
      <c r="AF52" s="656"/>
      <c r="AG52" s="656"/>
      <c r="AH52" s="656"/>
      <c r="AI52" s="656"/>
      <c r="AJ52" s="656"/>
      <c r="AK52" s="656"/>
      <c r="AL52" s="656"/>
      <c r="AM52" s="656"/>
      <c r="AN52" s="656"/>
      <c r="AO52" s="656"/>
      <c r="AP52" s="656"/>
      <c r="AQ52" s="656"/>
      <c r="AR52" s="656"/>
      <c r="AS52" s="656"/>
      <c r="AT52" s="656"/>
      <c r="AU52" s="656"/>
      <c r="AV52" s="656"/>
      <c r="AW52" s="656"/>
      <c r="AX52" s="656"/>
      <c r="AY52" s="656"/>
      <c r="AZ52" s="656"/>
      <c r="BA52" s="656"/>
      <c r="BB52" s="656"/>
      <c r="BC52" s="656"/>
      <c r="BD52" s="656"/>
      <c r="BE52" s="656"/>
      <c r="BF52" s="656"/>
      <c r="BG52" s="656"/>
      <c r="BH52" s="656"/>
      <c r="BI52" s="656"/>
      <c r="BJ52" s="656"/>
      <c r="BK52" s="656"/>
      <c r="BL52" s="656"/>
      <c r="BM52" s="656"/>
      <c r="BN52" s="656"/>
      <c r="BO52" s="656"/>
      <c r="BP52" s="656"/>
      <c r="BQ52" s="656"/>
      <c r="BR52" s="656"/>
      <c r="BS52" s="656"/>
      <c r="BT52" s="656"/>
      <c r="BU52" s="656"/>
      <c r="BV52" s="656"/>
      <c r="BW52" s="656"/>
      <c r="BX52" s="656"/>
      <c r="BY52" s="656"/>
      <c r="BZ52" s="656"/>
      <c r="CA52" s="656"/>
      <c r="CB52" s="656"/>
      <c r="CC52" s="656"/>
      <c r="CD52" s="656"/>
      <c r="CE52" s="656"/>
      <c r="CF52" s="656"/>
      <c r="CG52" s="656"/>
      <c r="CH52" s="656"/>
      <c r="CI52" s="656"/>
      <c r="CJ52" s="656"/>
      <c r="CK52" s="656"/>
      <c r="CL52" s="656"/>
      <c r="CM52" s="656"/>
      <c r="CN52" s="656"/>
      <c r="CO52" s="656"/>
      <c r="CP52" s="656"/>
      <c r="CQ52" s="656"/>
      <c r="CR52" s="656"/>
      <c r="CS52" s="656"/>
      <c r="CT52" s="656"/>
      <c r="CU52" s="656"/>
      <c r="CV52" s="656"/>
      <c r="CW52" s="656"/>
      <c r="CX52" s="656"/>
      <c r="CY52" s="656"/>
      <c r="CZ52" s="656"/>
      <c r="DA52" s="656"/>
      <c r="DB52" s="656"/>
      <c r="DC52" s="656"/>
      <c r="DD52" s="656"/>
      <c r="DE52" s="656"/>
      <c r="DF52" s="656"/>
      <c r="DG52" s="656"/>
      <c r="DH52" s="656"/>
      <c r="DI52" s="656"/>
      <c r="DJ52" s="656"/>
      <c r="DK52" s="656"/>
      <c r="DL52" s="656"/>
      <c r="DM52" s="656"/>
      <c r="DN52" s="656"/>
      <c r="DO52" s="656"/>
      <c r="DP52" s="656"/>
      <c r="DQ52" s="656"/>
      <c r="DR52" s="656"/>
      <c r="DS52" s="656"/>
      <c r="DT52" s="656"/>
      <c r="DU52" s="656"/>
      <c r="DV52" s="656"/>
      <c r="DW52" s="656"/>
      <c r="DX52" s="656"/>
      <c r="DY52" s="656"/>
      <c r="DZ52" s="656"/>
      <c r="EA52" s="656"/>
      <c r="EB52" s="656"/>
      <c r="EC52" s="656"/>
      <c r="ED52" s="656"/>
      <c r="EE52" s="656"/>
      <c r="EF52" s="656"/>
      <c r="EG52" s="656"/>
      <c r="EH52" s="656"/>
      <c r="EI52" s="656"/>
      <c r="EJ52" s="656"/>
      <c r="EK52" s="656"/>
      <c r="EL52" s="656"/>
      <c r="EM52" s="656"/>
      <c r="EN52" s="656"/>
      <c r="EO52" s="656"/>
      <c r="EP52" s="656"/>
      <c r="EQ52" s="656"/>
      <c r="ER52" s="656"/>
      <c r="ES52" s="656"/>
      <c r="ET52" s="656"/>
      <c r="EU52" s="656"/>
      <c r="EV52" s="656"/>
      <c r="EW52" s="656"/>
      <c r="EX52" s="656"/>
      <c r="EY52" s="656"/>
      <c r="EZ52" s="656"/>
      <c r="FA52" s="656"/>
      <c r="FB52" s="656"/>
      <c r="FC52" s="656"/>
      <c r="FD52" s="656"/>
      <c r="FE52" s="656"/>
      <c r="FF52" s="656"/>
      <c r="FG52" s="656"/>
      <c r="FH52" s="656"/>
      <c r="FI52" s="656"/>
      <c r="FJ52" s="656"/>
      <c r="FK52" s="656"/>
      <c r="FL52" s="656"/>
      <c r="FM52" s="656"/>
      <c r="FN52" s="656"/>
      <c r="FO52" s="656"/>
      <c r="FP52" s="656"/>
      <c r="FQ52" s="656"/>
      <c r="FR52" s="656"/>
      <c r="FS52" s="656"/>
      <c r="FT52" s="656"/>
      <c r="FU52" s="656"/>
      <c r="FV52" s="656"/>
      <c r="FW52" s="656"/>
      <c r="FX52" s="656"/>
      <c r="FY52" s="656"/>
      <c r="FZ52" s="656"/>
      <c r="GA52" s="656"/>
      <c r="GB52" s="656"/>
      <c r="GC52" s="656"/>
      <c r="GD52" s="656"/>
      <c r="GE52" s="656"/>
      <c r="GF52" s="656"/>
      <c r="GG52" s="656"/>
      <c r="GH52" s="656"/>
      <c r="GI52" s="656"/>
      <c r="GJ52" s="656"/>
      <c r="GK52" s="656"/>
      <c r="GL52" s="656"/>
      <c r="GM52" s="656"/>
      <c r="GN52" s="656"/>
      <c r="GO52" s="656"/>
      <c r="GP52" s="656"/>
      <c r="GQ52" s="656"/>
      <c r="GR52" s="656"/>
      <c r="GS52" s="656"/>
      <c r="GT52" s="656"/>
      <c r="GU52" s="656"/>
      <c r="GV52" s="656"/>
      <c r="GW52" s="656"/>
      <c r="GX52" s="656"/>
      <c r="GY52" s="656"/>
      <c r="GZ52" s="656"/>
      <c r="HA52" s="656"/>
      <c r="HB52" s="656"/>
      <c r="HC52" s="656"/>
      <c r="HD52" s="656"/>
      <c r="HE52" s="656"/>
      <c r="HF52" s="656"/>
      <c r="HG52" s="656"/>
      <c r="HH52" s="656"/>
      <c r="HI52" s="656"/>
      <c r="HJ52" s="656"/>
      <c r="HK52" s="656"/>
      <c r="HL52" s="656"/>
      <c r="HM52" s="656"/>
      <c r="HN52" s="656"/>
      <c r="HO52" s="656"/>
      <c r="HP52" s="656"/>
      <c r="HQ52" s="656"/>
      <c r="HR52" s="656"/>
      <c r="HS52" s="656"/>
      <c r="HT52" s="656"/>
      <c r="HU52" s="656"/>
      <c r="HV52" s="656"/>
      <c r="HW52" s="656"/>
      <c r="HX52" s="656"/>
      <c r="HY52" s="656"/>
      <c r="HZ52" s="656"/>
    </row>
    <row r="53" spans="1:234" s="657" customFormat="1" ht="57" x14ac:dyDescent="0.25">
      <c r="A53" s="1013"/>
      <c r="B53" s="1014">
        <v>31</v>
      </c>
      <c r="C53" s="1015" t="s">
        <v>1297</v>
      </c>
      <c r="D53" s="1016" t="s">
        <v>847</v>
      </c>
      <c r="E53" s="1017">
        <v>1</v>
      </c>
      <c r="F53" s="1018">
        <v>137520</v>
      </c>
      <c r="G53" s="1019">
        <v>137520</v>
      </c>
      <c r="H53" s="486">
        <v>22</v>
      </c>
      <c r="I53" s="1030">
        <v>0</v>
      </c>
      <c r="J53" s="1020">
        <v>0</v>
      </c>
      <c r="K53" s="1021">
        <v>0</v>
      </c>
      <c r="L53" s="480">
        <v>0</v>
      </c>
      <c r="M53" s="1022">
        <v>0</v>
      </c>
      <c r="N53" s="488">
        <v>0</v>
      </c>
      <c r="O53" s="1022">
        <v>0</v>
      </c>
      <c r="P53" s="488">
        <v>0</v>
      </c>
      <c r="Q53" s="1022">
        <v>0</v>
      </c>
      <c r="R53" s="488">
        <v>0</v>
      </c>
      <c r="S53" s="1023"/>
      <c r="T53" s="656"/>
      <c r="U53" s="656"/>
      <c r="V53" s="656"/>
      <c r="W53" s="656"/>
      <c r="X53" s="656"/>
      <c r="Y53" s="656"/>
      <c r="Z53" s="656"/>
      <c r="AA53" s="656"/>
      <c r="AB53" s="656"/>
      <c r="AC53" s="656"/>
      <c r="AD53" s="656"/>
      <c r="AE53" s="656"/>
      <c r="AF53" s="656"/>
      <c r="AG53" s="656"/>
      <c r="AH53" s="656"/>
      <c r="AI53" s="656"/>
      <c r="AJ53" s="656"/>
      <c r="AK53" s="656"/>
      <c r="AL53" s="656"/>
      <c r="AM53" s="656"/>
      <c r="AN53" s="656"/>
      <c r="AO53" s="656"/>
      <c r="AP53" s="656"/>
      <c r="AQ53" s="656"/>
      <c r="AR53" s="656"/>
      <c r="AS53" s="656"/>
      <c r="AT53" s="656"/>
      <c r="AU53" s="656"/>
      <c r="AV53" s="656"/>
      <c r="AW53" s="656"/>
      <c r="AX53" s="656"/>
      <c r="AY53" s="656"/>
      <c r="AZ53" s="656"/>
      <c r="BA53" s="656"/>
      <c r="BB53" s="656"/>
      <c r="BC53" s="656"/>
      <c r="BD53" s="656"/>
      <c r="BE53" s="656"/>
      <c r="BF53" s="656"/>
      <c r="BG53" s="656"/>
      <c r="BH53" s="656"/>
      <c r="BI53" s="656"/>
      <c r="BJ53" s="656"/>
      <c r="BK53" s="656"/>
      <c r="BL53" s="656"/>
      <c r="BM53" s="656"/>
      <c r="BN53" s="656"/>
      <c r="BO53" s="656"/>
      <c r="BP53" s="656"/>
      <c r="BQ53" s="656"/>
      <c r="BR53" s="656"/>
      <c r="BS53" s="656"/>
      <c r="BT53" s="656"/>
      <c r="BU53" s="656"/>
      <c r="BV53" s="656"/>
      <c r="BW53" s="656"/>
      <c r="BX53" s="656"/>
      <c r="BY53" s="656"/>
      <c r="BZ53" s="656"/>
      <c r="CA53" s="656"/>
      <c r="CB53" s="656"/>
      <c r="CC53" s="656"/>
      <c r="CD53" s="656"/>
      <c r="CE53" s="656"/>
      <c r="CF53" s="656"/>
      <c r="CG53" s="656"/>
      <c r="CH53" s="656"/>
      <c r="CI53" s="656"/>
      <c r="CJ53" s="656"/>
      <c r="CK53" s="656"/>
      <c r="CL53" s="656"/>
      <c r="CM53" s="656"/>
      <c r="CN53" s="656"/>
      <c r="CO53" s="656"/>
      <c r="CP53" s="656"/>
      <c r="CQ53" s="656"/>
      <c r="CR53" s="656"/>
      <c r="CS53" s="656"/>
      <c r="CT53" s="656"/>
      <c r="CU53" s="656"/>
      <c r="CV53" s="656"/>
      <c r="CW53" s="656"/>
      <c r="CX53" s="656"/>
      <c r="CY53" s="656"/>
      <c r="CZ53" s="656"/>
      <c r="DA53" s="656"/>
      <c r="DB53" s="656"/>
      <c r="DC53" s="656"/>
      <c r="DD53" s="656"/>
      <c r="DE53" s="656"/>
      <c r="DF53" s="656"/>
      <c r="DG53" s="656"/>
      <c r="DH53" s="656"/>
      <c r="DI53" s="656"/>
      <c r="DJ53" s="656"/>
      <c r="DK53" s="656"/>
      <c r="DL53" s="656"/>
      <c r="DM53" s="656"/>
      <c r="DN53" s="656"/>
      <c r="DO53" s="656"/>
      <c r="DP53" s="656"/>
      <c r="DQ53" s="656"/>
      <c r="DR53" s="656"/>
      <c r="DS53" s="656"/>
      <c r="DT53" s="656"/>
      <c r="DU53" s="656"/>
      <c r="DV53" s="656"/>
      <c r="DW53" s="656"/>
      <c r="DX53" s="656"/>
      <c r="DY53" s="656"/>
      <c r="DZ53" s="656"/>
      <c r="EA53" s="656"/>
      <c r="EB53" s="656"/>
      <c r="EC53" s="656"/>
      <c r="ED53" s="656"/>
      <c r="EE53" s="656"/>
      <c r="EF53" s="656"/>
      <c r="EG53" s="656"/>
      <c r="EH53" s="656"/>
      <c r="EI53" s="656"/>
      <c r="EJ53" s="656"/>
      <c r="EK53" s="656"/>
      <c r="EL53" s="656"/>
      <c r="EM53" s="656"/>
      <c r="EN53" s="656"/>
      <c r="EO53" s="656"/>
      <c r="EP53" s="656"/>
      <c r="EQ53" s="656"/>
      <c r="ER53" s="656"/>
      <c r="ES53" s="656"/>
      <c r="ET53" s="656"/>
      <c r="EU53" s="656"/>
      <c r="EV53" s="656"/>
      <c r="EW53" s="656"/>
      <c r="EX53" s="656"/>
      <c r="EY53" s="656"/>
      <c r="EZ53" s="656"/>
      <c r="FA53" s="656"/>
      <c r="FB53" s="656"/>
      <c r="FC53" s="656"/>
      <c r="FD53" s="656"/>
      <c r="FE53" s="656"/>
      <c r="FF53" s="656"/>
      <c r="FG53" s="656"/>
      <c r="FH53" s="656"/>
      <c r="FI53" s="656"/>
      <c r="FJ53" s="656"/>
      <c r="FK53" s="656"/>
      <c r="FL53" s="656"/>
      <c r="FM53" s="656"/>
      <c r="FN53" s="656"/>
      <c r="FO53" s="656"/>
      <c r="FP53" s="656"/>
      <c r="FQ53" s="656"/>
      <c r="FR53" s="656"/>
      <c r="FS53" s="656"/>
      <c r="FT53" s="656"/>
      <c r="FU53" s="656"/>
      <c r="FV53" s="656"/>
      <c r="FW53" s="656"/>
      <c r="FX53" s="656"/>
      <c r="FY53" s="656"/>
      <c r="FZ53" s="656"/>
      <c r="GA53" s="656"/>
      <c r="GB53" s="656"/>
      <c r="GC53" s="656"/>
      <c r="GD53" s="656"/>
      <c r="GE53" s="656"/>
      <c r="GF53" s="656"/>
      <c r="GG53" s="656"/>
      <c r="GH53" s="656"/>
      <c r="GI53" s="656"/>
      <c r="GJ53" s="656"/>
      <c r="GK53" s="656"/>
      <c r="GL53" s="656"/>
      <c r="GM53" s="656"/>
      <c r="GN53" s="656"/>
      <c r="GO53" s="656"/>
      <c r="GP53" s="656"/>
      <c r="GQ53" s="656"/>
      <c r="GR53" s="656"/>
      <c r="GS53" s="656"/>
      <c r="GT53" s="656"/>
      <c r="GU53" s="656"/>
      <c r="GV53" s="656"/>
      <c r="GW53" s="656"/>
      <c r="GX53" s="656"/>
      <c r="GY53" s="656"/>
      <c r="GZ53" s="656"/>
      <c r="HA53" s="656"/>
      <c r="HB53" s="656"/>
      <c r="HC53" s="656"/>
      <c r="HD53" s="656"/>
      <c r="HE53" s="656"/>
      <c r="HF53" s="656"/>
      <c r="HG53" s="656"/>
      <c r="HH53" s="656"/>
      <c r="HI53" s="656"/>
      <c r="HJ53" s="656"/>
      <c r="HK53" s="656"/>
      <c r="HL53" s="656"/>
      <c r="HM53" s="656"/>
      <c r="HN53" s="656"/>
      <c r="HO53" s="656"/>
      <c r="HP53" s="656"/>
      <c r="HQ53" s="656"/>
      <c r="HR53" s="656"/>
      <c r="HS53" s="656"/>
      <c r="HT53" s="656"/>
      <c r="HU53" s="656"/>
      <c r="HV53" s="656"/>
      <c r="HW53" s="656"/>
      <c r="HX53" s="656"/>
      <c r="HY53" s="656"/>
      <c r="HZ53" s="656"/>
    </row>
    <row r="54" spans="1:234" s="657" customFormat="1" ht="42.75" x14ac:dyDescent="0.25">
      <c r="A54" s="1013"/>
      <c r="B54" s="1014">
        <v>32</v>
      </c>
      <c r="C54" s="1031" t="s">
        <v>855</v>
      </c>
      <c r="D54" s="1016" t="s">
        <v>847</v>
      </c>
      <c r="E54" s="1017">
        <v>1</v>
      </c>
      <c r="F54" s="1018">
        <v>415560</v>
      </c>
      <c r="G54" s="1019">
        <v>415560</v>
      </c>
      <c r="H54" s="486">
        <v>19.5</v>
      </c>
      <c r="I54" s="1026">
        <v>15.939999999999998</v>
      </c>
      <c r="J54" s="1020">
        <v>6624026.3999999994</v>
      </c>
      <c r="K54" s="1021">
        <v>15.939999999999998</v>
      </c>
      <c r="L54" s="480">
        <v>6624026.3999999994</v>
      </c>
      <c r="M54" s="1022">
        <v>0</v>
      </c>
      <c r="N54" s="488">
        <v>0</v>
      </c>
      <c r="O54" s="1022">
        <v>0</v>
      </c>
      <c r="P54" s="488">
        <v>0</v>
      </c>
      <c r="Q54" s="1024">
        <v>15.939999999999998</v>
      </c>
      <c r="R54" s="488">
        <v>6624026.3999999994</v>
      </c>
      <c r="S54" s="1023"/>
      <c r="T54" s="656"/>
      <c r="U54" s="656"/>
      <c r="V54" s="656"/>
      <c r="W54" s="656"/>
      <c r="X54" s="656"/>
      <c r="Y54" s="656"/>
      <c r="Z54" s="656"/>
      <c r="AA54" s="656"/>
      <c r="AB54" s="656"/>
      <c r="AC54" s="656"/>
      <c r="AD54" s="656"/>
      <c r="AE54" s="656"/>
      <c r="AF54" s="656"/>
      <c r="AG54" s="656"/>
      <c r="AH54" s="656"/>
      <c r="AI54" s="656"/>
      <c r="AJ54" s="656"/>
      <c r="AK54" s="656"/>
      <c r="AL54" s="656"/>
      <c r="AM54" s="656"/>
      <c r="AN54" s="656"/>
      <c r="AO54" s="656"/>
      <c r="AP54" s="656"/>
      <c r="AQ54" s="656"/>
      <c r="AR54" s="656"/>
      <c r="AS54" s="656"/>
      <c r="AT54" s="656"/>
      <c r="AU54" s="656"/>
      <c r="AV54" s="656"/>
      <c r="AW54" s="656"/>
      <c r="AX54" s="656"/>
      <c r="AY54" s="656"/>
      <c r="AZ54" s="656"/>
      <c r="BA54" s="656"/>
      <c r="BB54" s="656"/>
      <c r="BC54" s="656"/>
      <c r="BD54" s="656"/>
      <c r="BE54" s="656"/>
      <c r="BF54" s="656"/>
      <c r="BG54" s="656"/>
      <c r="BH54" s="656"/>
      <c r="BI54" s="656"/>
      <c r="BJ54" s="656"/>
      <c r="BK54" s="656"/>
      <c r="BL54" s="656"/>
      <c r="BM54" s="656"/>
      <c r="BN54" s="656"/>
      <c r="BO54" s="656"/>
      <c r="BP54" s="656"/>
      <c r="BQ54" s="656"/>
      <c r="BR54" s="656"/>
      <c r="BS54" s="656"/>
      <c r="BT54" s="656"/>
      <c r="BU54" s="656"/>
      <c r="BV54" s="656"/>
      <c r="BW54" s="656"/>
      <c r="BX54" s="656"/>
      <c r="BY54" s="656"/>
      <c r="BZ54" s="656"/>
      <c r="CA54" s="656"/>
      <c r="CB54" s="656"/>
      <c r="CC54" s="656"/>
      <c r="CD54" s="656"/>
      <c r="CE54" s="656"/>
      <c r="CF54" s="656"/>
      <c r="CG54" s="656"/>
      <c r="CH54" s="656"/>
      <c r="CI54" s="656"/>
      <c r="CJ54" s="656"/>
      <c r="CK54" s="656"/>
      <c r="CL54" s="656"/>
      <c r="CM54" s="656"/>
      <c r="CN54" s="656"/>
      <c r="CO54" s="656"/>
      <c r="CP54" s="656"/>
      <c r="CQ54" s="656"/>
      <c r="CR54" s="656"/>
      <c r="CS54" s="656"/>
      <c r="CT54" s="656"/>
      <c r="CU54" s="656"/>
      <c r="CV54" s="656"/>
      <c r="CW54" s="656"/>
      <c r="CX54" s="656"/>
      <c r="CY54" s="656"/>
      <c r="CZ54" s="656"/>
      <c r="DA54" s="656"/>
      <c r="DB54" s="656"/>
      <c r="DC54" s="656"/>
      <c r="DD54" s="656"/>
      <c r="DE54" s="656"/>
      <c r="DF54" s="656"/>
      <c r="DG54" s="656"/>
      <c r="DH54" s="656"/>
      <c r="DI54" s="656"/>
      <c r="DJ54" s="656"/>
      <c r="DK54" s="656"/>
      <c r="DL54" s="656"/>
      <c r="DM54" s="656"/>
      <c r="DN54" s="656"/>
      <c r="DO54" s="656"/>
      <c r="DP54" s="656"/>
      <c r="DQ54" s="656"/>
      <c r="DR54" s="656"/>
      <c r="DS54" s="656"/>
      <c r="DT54" s="656"/>
      <c r="DU54" s="656"/>
      <c r="DV54" s="656"/>
      <c r="DW54" s="656"/>
      <c r="DX54" s="656"/>
      <c r="DY54" s="656"/>
      <c r="DZ54" s="656"/>
      <c r="EA54" s="656"/>
      <c r="EB54" s="656"/>
      <c r="EC54" s="656"/>
      <c r="ED54" s="656"/>
      <c r="EE54" s="656"/>
      <c r="EF54" s="656"/>
      <c r="EG54" s="656"/>
      <c r="EH54" s="656"/>
      <c r="EI54" s="656"/>
      <c r="EJ54" s="656"/>
      <c r="EK54" s="656"/>
      <c r="EL54" s="656"/>
      <c r="EM54" s="656"/>
      <c r="EN54" s="656"/>
      <c r="EO54" s="656"/>
      <c r="EP54" s="656"/>
      <c r="EQ54" s="656"/>
      <c r="ER54" s="656"/>
      <c r="ES54" s="656"/>
      <c r="ET54" s="656"/>
      <c r="EU54" s="656"/>
      <c r="EV54" s="656"/>
      <c r="EW54" s="656"/>
      <c r="EX54" s="656"/>
      <c r="EY54" s="656"/>
      <c r="EZ54" s="656"/>
      <c r="FA54" s="656"/>
      <c r="FB54" s="656"/>
      <c r="FC54" s="656"/>
      <c r="FD54" s="656"/>
      <c r="FE54" s="656"/>
      <c r="FF54" s="656"/>
      <c r="FG54" s="656"/>
      <c r="FH54" s="656"/>
      <c r="FI54" s="656"/>
      <c r="FJ54" s="656"/>
      <c r="FK54" s="656"/>
      <c r="FL54" s="656"/>
      <c r="FM54" s="656"/>
      <c r="FN54" s="656"/>
      <c r="FO54" s="656"/>
      <c r="FP54" s="656"/>
      <c r="FQ54" s="656"/>
      <c r="FR54" s="656"/>
      <c r="FS54" s="656"/>
      <c r="FT54" s="656"/>
      <c r="FU54" s="656"/>
      <c r="FV54" s="656"/>
      <c r="FW54" s="656"/>
      <c r="FX54" s="656"/>
      <c r="FY54" s="656"/>
      <c r="FZ54" s="656"/>
      <c r="GA54" s="656"/>
      <c r="GB54" s="656"/>
      <c r="GC54" s="656"/>
      <c r="GD54" s="656"/>
      <c r="GE54" s="656"/>
      <c r="GF54" s="656"/>
      <c r="GG54" s="656"/>
      <c r="GH54" s="656"/>
      <c r="GI54" s="656"/>
      <c r="GJ54" s="656"/>
      <c r="GK54" s="656"/>
      <c r="GL54" s="656"/>
      <c r="GM54" s="656"/>
      <c r="GN54" s="656"/>
      <c r="GO54" s="656"/>
      <c r="GP54" s="656"/>
      <c r="GQ54" s="656"/>
      <c r="GR54" s="656"/>
      <c r="GS54" s="656"/>
      <c r="GT54" s="656"/>
      <c r="GU54" s="656"/>
      <c r="GV54" s="656"/>
      <c r="GW54" s="656"/>
      <c r="GX54" s="656"/>
      <c r="GY54" s="656"/>
      <c r="GZ54" s="656"/>
      <c r="HA54" s="656"/>
      <c r="HB54" s="656"/>
      <c r="HC54" s="656"/>
      <c r="HD54" s="656"/>
      <c r="HE54" s="656"/>
      <c r="HF54" s="656"/>
      <c r="HG54" s="656"/>
      <c r="HH54" s="656"/>
      <c r="HI54" s="656"/>
      <c r="HJ54" s="656"/>
      <c r="HK54" s="656"/>
      <c r="HL54" s="656"/>
      <c r="HM54" s="656"/>
      <c r="HN54" s="656"/>
      <c r="HO54" s="656"/>
      <c r="HP54" s="656"/>
      <c r="HQ54" s="656"/>
      <c r="HR54" s="656"/>
      <c r="HS54" s="656"/>
      <c r="HT54" s="656"/>
      <c r="HU54" s="656"/>
      <c r="HV54" s="656"/>
      <c r="HW54" s="656"/>
      <c r="HX54" s="656"/>
      <c r="HY54" s="656"/>
      <c r="HZ54" s="656"/>
    </row>
    <row r="55" spans="1:234" s="657" customFormat="1" x14ac:dyDescent="0.25">
      <c r="A55" s="1013"/>
      <c r="B55" s="996"/>
      <c r="C55" s="997" t="s">
        <v>1298</v>
      </c>
      <c r="D55" s="998"/>
      <c r="E55" s="999"/>
      <c r="F55" s="1000"/>
      <c r="G55" s="1001"/>
      <c r="H55" s="1002"/>
      <c r="I55" s="1003"/>
      <c r="J55" s="1025"/>
      <c r="K55" s="1005"/>
      <c r="L55" s="1006"/>
      <c r="M55" s="1007"/>
      <c r="N55" s="1008"/>
      <c r="O55" s="1007"/>
      <c r="P55" s="1008"/>
      <c r="Q55" s="1007"/>
      <c r="R55" s="1008"/>
      <c r="S55" s="1023"/>
      <c r="T55" s="656"/>
      <c r="U55" s="656"/>
      <c r="V55" s="656"/>
      <c r="W55" s="656"/>
      <c r="X55" s="656"/>
      <c r="Y55" s="656"/>
      <c r="Z55" s="656"/>
      <c r="AA55" s="656"/>
      <c r="AB55" s="656"/>
      <c r="AC55" s="656"/>
      <c r="AD55" s="656"/>
      <c r="AE55" s="656"/>
      <c r="AF55" s="656"/>
      <c r="AG55" s="656"/>
      <c r="AH55" s="656"/>
      <c r="AI55" s="656"/>
      <c r="AJ55" s="656"/>
      <c r="AK55" s="656"/>
      <c r="AL55" s="656"/>
      <c r="AM55" s="656"/>
      <c r="AN55" s="656"/>
      <c r="AO55" s="656"/>
      <c r="AP55" s="656"/>
      <c r="AQ55" s="656"/>
      <c r="AR55" s="656"/>
      <c r="AS55" s="656"/>
      <c r="AT55" s="656"/>
      <c r="AU55" s="656"/>
      <c r="AV55" s="656"/>
      <c r="AW55" s="656"/>
      <c r="AX55" s="656"/>
      <c r="AY55" s="656"/>
      <c r="AZ55" s="656"/>
      <c r="BA55" s="656"/>
      <c r="BB55" s="656"/>
      <c r="BC55" s="656"/>
      <c r="BD55" s="656"/>
      <c r="BE55" s="656"/>
      <c r="BF55" s="656"/>
      <c r="BG55" s="656"/>
      <c r="BH55" s="656"/>
      <c r="BI55" s="656"/>
      <c r="BJ55" s="656"/>
      <c r="BK55" s="656"/>
      <c r="BL55" s="656"/>
      <c r="BM55" s="656"/>
      <c r="BN55" s="656"/>
      <c r="BO55" s="656"/>
      <c r="BP55" s="656"/>
      <c r="BQ55" s="656"/>
      <c r="BR55" s="656"/>
      <c r="BS55" s="656"/>
      <c r="BT55" s="656"/>
      <c r="BU55" s="656"/>
      <c r="BV55" s="656"/>
      <c r="BW55" s="656"/>
      <c r="BX55" s="656"/>
      <c r="BY55" s="656"/>
      <c r="BZ55" s="656"/>
      <c r="CA55" s="656"/>
      <c r="CB55" s="656"/>
      <c r="CC55" s="656"/>
      <c r="CD55" s="656"/>
      <c r="CE55" s="656"/>
      <c r="CF55" s="656"/>
      <c r="CG55" s="656"/>
      <c r="CH55" s="656"/>
      <c r="CI55" s="656"/>
      <c r="CJ55" s="656"/>
      <c r="CK55" s="656"/>
      <c r="CL55" s="656"/>
      <c r="CM55" s="656"/>
      <c r="CN55" s="656"/>
      <c r="CO55" s="656"/>
      <c r="CP55" s="656"/>
      <c r="CQ55" s="656"/>
      <c r="CR55" s="656"/>
      <c r="CS55" s="656"/>
      <c r="CT55" s="656"/>
      <c r="CU55" s="656"/>
      <c r="CV55" s="656"/>
      <c r="CW55" s="656"/>
      <c r="CX55" s="656"/>
      <c r="CY55" s="656"/>
      <c r="CZ55" s="656"/>
      <c r="DA55" s="656"/>
      <c r="DB55" s="656"/>
      <c r="DC55" s="656"/>
      <c r="DD55" s="656"/>
      <c r="DE55" s="656"/>
      <c r="DF55" s="656"/>
      <c r="DG55" s="656"/>
      <c r="DH55" s="656"/>
      <c r="DI55" s="656"/>
      <c r="DJ55" s="656"/>
      <c r="DK55" s="656"/>
      <c r="DL55" s="656"/>
      <c r="DM55" s="656"/>
      <c r="DN55" s="656"/>
      <c r="DO55" s="656"/>
      <c r="DP55" s="656"/>
      <c r="DQ55" s="656"/>
      <c r="DR55" s="656"/>
      <c r="DS55" s="656"/>
      <c r="DT55" s="656"/>
      <c r="DU55" s="656"/>
      <c r="DV55" s="656"/>
      <c r="DW55" s="656"/>
      <c r="DX55" s="656"/>
      <c r="DY55" s="656"/>
      <c r="DZ55" s="656"/>
      <c r="EA55" s="656"/>
      <c r="EB55" s="656"/>
      <c r="EC55" s="656"/>
      <c r="ED55" s="656"/>
      <c r="EE55" s="656"/>
      <c r="EF55" s="656"/>
      <c r="EG55" s="656"/>
      <c r="EH55" s="656"/>
      <c r="EI55" s="656"/>
      <c r="EJ55" s="656"/>
      <c r="EK55" s="656"/>
      <c r="EL55" s="656"/>
      <c r="EM55" s="656"/>
      <c r="EN55" s="656"/>
      <c r="EO55" s="656"/>
      <c r="EP55" s="656"/>
      <c r="EQ55" s="656"/>
      <c r="ER55" s="656"/>
      <c r="ES55" s="656"/>
      <c r="ET55" s="656"/>
      <c r="EU55" s="656"/>
      <c r="EV55" s="656"/>
      <c r="EW55" s="656"/>
      <c r="EX55" s="656"/>
      <c r="EY55" s="656"/>
      <c r="EZ55" s="656"/>
      <c r="FA55" s="656"/>
      <c r="FB55" s="656"/>
      <c r="FC55" s="656"/>
      <c r="FD55" s="656"/>
      <c r="FE55" s="656"/>
      <c r="FF55" s="656"/>
      <c r="FG55" s="656"/>
      <c r="FH55" s="656"/>
      <c r="FI55" s="656"/>
      <c r="FJ55" s="656"/>
      <c r="FK55" s="656"/>
      <c r="FL55" s="656"/>
      <c r="FM55" s="656"/>
      <c r="FN55" s="656"/>
      <c r="FO55" s="656"/>
      <c r="FP55" s="656"/>
      <c r="FQ55" s="656"/>
      <c r="FR55" s="656"/>
      <c r="FS55" s="656"/>
      <c r="FT55" s="656"/>
      <c r="FU55" s="656"/>
      <c r="FV55" s="656"/>
      <c r="FW55" s="656"/>
      <c r="FX55" s="656"/>
      <c r="FY55" s="656"/>
      <c r="FZ55" s="656"/>
      <c r="GA55" s="656"/>
      <c r="GB55" s="656"/>
      <c r="GC55" s="656"/>
      <c r="GD55" s="656"/>
      <c r="GE55" s="656"/>
      <c r="GF55" s="656"/>
      <c r="GG55" s="656"/>
      <c r="GH55" s="656"/>
      <c r="GI55" s="656"/>
      <c r="GJ55" s="656"/>
      <c r="GK55" s="656"/>
      <c r="GL55" s="656"/>
      <c r="GM55" s="656"/>
      <c r="GN55" s="656"/>
      <c r="GO55" s="656"/>
      <c r="GP55" s="656"/>
      <c r="GQ55" s="656"/>
      <c r="GR55" s="656"/>
      <c r="GS55" s="656"/>
      <c r="GT55" s="656"/>
      <c r="GU55" s="656"/>
      <c r="GV55" s="656"/>
      <c r="GW55" s="656"/>
      <c r="GX55" s="656"/>
      <c r="GY55" s="656"/>
      <c r="GZ55" s="656"/>
      <c r="HA55" s="656"/>
      <c r="HB55" s="656"/>
      <c r="HC55" s="656"/>
      <c r="HD55" s="656"/>
      <c r="HE55" s="656"/>
      <c r="HF55" s="656"/>
      <c r="HG55" s="656"/>
      <c r="HH55" s="656"/>
      <c r="HI55" s="656"/>
      <c r="HJ55" s="656"/>
      <c r="HK55" s="656"/>
      <c r="HL55" s="656"/>
      <c r="HM55" s="656"/>
      <c r="HN55" s="656"/>
      <c r="HO55" s="656"/>
      <c r="HP55" s="656"/>
      <c r="HQ55" s="656"/>
      <c r="HR55" s="656"/>
      <c r="HS55" s="656"/>
      <c r="HT55" s="656"/>
      <c r="HU55" s="656"/>
      <c r="HV55" s="656"/>
      <c r="HW55" s="656"/>
      <c r="HX55" s="656"/>
      <c r="HY55" s="656"/>
      <c r="HZ55" s="656"/>
    </row>
    <row r="56" spans="1:234" s="657" customFormat="1" ht="57" x14ac:dyDescent="0.25">
      <c r="A56" s="1013"/>
      <c r="B56" s="1014">
        <v>33</v>
      </c>
      <c r="C56" s="1015" t="s">
        <v>117</v>
      </c>
      <c r="D56" s="1016" t="s">
        <v>847</v>
      </c>
      <c r="E56" s="1017">
        <v>1</v>
      </c>
      <c r="F56" s="1018">
        <v>59923</v>
      </c>
      <c r="G56" s="1019">
        <v>59923</v>
      </c>
      <c r="H56" s="486">
        <v>210</v>
      </c>
      <c r="I56" s="1026">
        <v>124.7</v>
      </c>
      <c r="J56" s="1020">
        <v>7472398.1000000006</v>
      </c>
      <c r="K56" s="1021">
        <v>124.7</v>
      </c>
      <c r="L56" s="480">
        <v>7472398.1000000006</v>
      </c>
      <c r="M56" s="1024">
        <v>63</v>
      </c>
      <c r="N56" s="488">
        <v>3775149</v>
      </c>
      <c r="O56" s="1024">
        <v>61.7</v>
      </c>
      <c r="P56" s="488">
        <v>3697249.1</v>
      </c>
      <c r="Q56" s="1024">
        <v>0</v>
      </c>
      <c r="R56" s="488">
        <v>0</v>
      </c>
      <c r="S56" s="1023"/>
      <c r="T56" s="656"/>
      <c r="U56" s="656"/>
      <c r="V56" s="656"/>
      <c r="W56" s="656"/>
      <c r="X56" s="656"/>
      <c r="Y56" s="656"/>
      <c r="Z56" s="656"/>
      <c r="AA56" s="656"/>
      <c r="AB56" s="656"/>
      <c r="AC56" s="656"/>
      <c r="AD56" s="656"/>
      <c r="AE56" s="656"/>
      <c r="AF56" s="656"/>
      <c r="AG56" s="656"/>
      <c r="AH56" s="656"/>
      <c r="AI56" s="656"/>
      <c r="AJ56" s="656"/>
      <c r="AK56" s="656"/>
      <c r="AL56" s="656"/>
      <c r="AM56" s="656"/>
      <c r="AN56" s="656"/>
      <c r="AO56" s="656"/>
      <c r="AP56" s="656"/>
      <c r="AQ56" s="656"/>
      <c r="AR56" s="656"/>
      <c r="AS56" s="656"/>
      <c r="AT56" s="656"/>
      <c r="AU56" s="656"/>
      <c r="AV56" s="656"/>
      <c r="AW56" s="656"/>
      <c r="AX56" s="656"/>
      <c r="AY56" s="656"/>
      <c r="AZ56" s="656"/>
      <c r="BA56" s="656"/>
      <c r="BB56" s="656"/>
      <c r="BC56" s="656"/>
      <c r="BD56" s="656"/>
      <c r="BE56" s="656"/>
      <c r="BF56" s="656"/>
      <c r="BG56" s="656"/>
      <c r="BH56" s="656"/>
      <c r="BI56" s="656"/>
      <c r="BJ56" s="656"/>
      <c r="BK56" s="656"/>
      <c r="BL56" s="656"/>
      <c r="BM56" s="656"/>
      <c r="BN56" s="656"/>
      <c r="BO56" s="656"/>
      <c r="BP56" s="656"/>
      <c r="BQ56" s="656"/>
      <c r="BR56" s="656"/>
      <c r="BS56" s="656"/>
      <c r="BT56" s="656"/>
      <c r="BU56" s="656"/>
      <c r="BV56" s="656"/>
      <c r="BW56" s="656"/>
      <c r="BX56" s="656"/>
      <c r="BY56" s="656"/>
      <c r="BZ56" s="656"/>
      <c r="CA56" s="656"/>
      <c r="CB56" s="656"/>
      <c r="CC56" s="656"/>
      <c r="CD56" s="656"/>
      <c r="CE56" s="656"/>
      <c r="CF56" s="656"/>
      <c r="CG56" s="656"/>
      <c r="CH56" s="656"/>
      <c r="CI56" s="656"/>
      <c r="CJ56" s="656"/>
      <c r="CK56" s="656"/>
      <c r="CL56" s="656"/>
      <c r="CM56" s="656"/>
      <c r="CN56" s="656"/>
      <c r="CO56" s="656"/>
      <c r="CP56" s="656"/>
      <c r="CQ56" s="656"/>
      <c r="CR56" s="656"/>
      <c r="CS56" s="656"/>
      <c r="CT56" s="656"/>
      <c r="CU56" s="656"/>
      <c r="CV56" s="656"/>
      <c r="CW56" s="656"/>
      <c r="CX56" s="656"/>
      <c r="CY56" s="656"/>
      <c r="CZ56" s="656"/>
      <c r="DA56" s="656"/>
      <c r="DB56" s="656"/>
      <c r="DC56" s="656"/>
      <c r="DD56" s="656"/>
      <c r="DE56" s="656"/>
      <c r="DF56" s="656"/>
      <c r="DG56" s="656"/>
      <c r="DH56" s="656"/>
      <c r="DI56" s="656"/>
      <c r="DJ56" s="656"/>
      <c r="DK56" s="656"/>
      <c r="DL56" s="656"/>
      <c r="DM56" s="656"/>
      <c r="DN56" s="656"/>
      <c r="DO56" s="656"/>
      <c r="DP56" s="656"/>
      <c r="DQ56" s="656"/>
      <c r="DR56" s="656"/>
      <c r="DS56" s="656"/>
      <c r="DT56" s="656"/>
      <c r="DU56" s="656"/>
      <c r="DV56" s="656"/>
      <c r="DW56" s="656"/>
      <c r="DX56" s="656"/>
      <c r="DY56" s="656"/>
      <c r="DZ56" s="656"/>
      <c r="EA56" s="656"/>
      <c r="EB56" s="656"/>
      <c r="EC56" s="656"/>
      <c r="ED56" s="656"/>
      <c r="EE56" s="656"/>
      <c r="EF56" s="656"/>
      <c r="EG56" s="656"/>
      <c r="EH56" s="656"/>
      <c r="EI56" s="656"/>
      <c r="EJ56" s="656"/>
      <c r="EK56" s="656"/>
      <c r="EL56" s="656"/>
      <c r="EM56" s="656"/>
      <c r="EN56" s="656"/>
      <c r="EO56" s="656"/>
      <c r="EP56" s="656"/>
      <c r="EQ56" s="656"/>
      <c r="ER56" s="656"/>
      <c r="ES56" s="656"/>
      <c r="ET56" s="656"/>
      <c r="EU56" s="656"/>
      <c r="EV56" s="656"/>
      <c r="EW56" s="656"/>
      <c r="EX56" s="656"/>
      <c r="EY56" s="656"/>
      <c r="EZ56" s="656"/>
      <c r="FA56" s="656"/>
      <c r="FB56" s="656"/>
      <c r="FC56" s="656"/>
      <c r="FD56" s="656"/>
      <c r="FE56" s="656"/>
      <c r="FF56" s="656"/>
      <c r="FG56" s="656"/>
      <c r="FH56" s="656"/>
      <c r="FI56" s="656"/>
      <c r="FJ56" s="656"/>
      <c r="FK56" s="656"/>
      <c r="FL56" s="656"/>
      <c r="FM56" s="656"/>
      <c r="FN56" s="656"/>
      <c r="FO56" s="656"/>
      <c r="FP56" s="656"/>
      <c r="FQ56" s="656"/>
      <c r="FR56" s="656"/>
      <c r="FS56" s="656"/>
      <c r="FT56" s="656"/>
      <c r="FU56" s="656"/>
      <c r="FV56" s="656"/>
      <c r="FW56" s="656"/>
      <c r="FX56" s="656"/>
      <c r="FY56" s="656"/>
      <c r="FZ56" s="656"/>
      <c r="GA56" s="656"/>
      <c r="GB56" s="656"/>
      <c r="GC56" s="656"/>
      <c r="GD56" s="656"/>
      <c r="GE56" s="656"/>
      <c r="GF56" s="656"/>
      <c r="GG56" s="656"/>
      <c r="GH56" s="656"/>
      <c r="GI56" s="656"/>
      <c r="GJ56" s="656"/>
      <c r="GK56" s="656"/>
      <c r="GL56" s="656"/>
      <c r="GM56" s="656"/>
      <c r="GN56" s="656"/>
      <c r="GO56" s="656"/>
      <c r="GP56" s="656"/>
      <c r="GQ56" s="656"/>
      <c r="GR56" s="656"/>
      <c r="GS56" s="656"/>
      <c r="GT56" s="656"/>
      <c r="GU56" s="656"/>
      <c r="GV56" s="656"/>
      <c r="GW56" s="656"/>
      <c r="GX56" s="656"/>
      <c r="GY56" s="656"/>
      <c r="GZ56" s="656"/>
      <c r="HA56" s="656"/>
      <c r="HB56" s="656"/>
      <c r="HC56" s="656"/>
      <c r="HD56" s="656"/>
      <c r="HE56" s="656"/>
      <c r="HF56" s="656"/>
      <c r="HG56" s="656"/>
      <c r="HH56" s="656"/>
      <c r="HI56" s="656"/>
      <c r="HJ56" s="656"/>
      <c r="HK56" s="656"/>
      <c r="HL56" s="656"/>
      <c r="HM56" s="656"/>
      <c r="HN56" s="656"/>
      <c r="HO56" s="656"/>
      <c r="HP56" s="656"/>
      <c r="HQ56" s="656"/>
      <c r="HR56" s="656"/>
      <c r="HS56" s="656"/>
      <c r="HT56" s="656"/>
      <c r="HU56" s="656"/>
      <c r="HV56" s="656"/>
      <c r="HW56" s="656"/>
      <c r="HX56" s="656"/>
      <c r="HY56" s="656"/>
      <c r="HZ56" s="656"/>
    </row>
    <row r="57" spans="1:234" s="657" customFormat="1" ht="28.5" x14ac:dyDescent="0.25">
      <c r="A57" s="1013"/>
      <c r="B57" s="1014">
        <v>34</v>
      </c>
      <c r="C57" s="1015" t="s">
        <v>119</v>
      </c>
      <c r="D57" s="1016" t="s">
        <v>848</v>
      </c>
      <c r="E57" s="1017">
        <v>1</v>
      </c>
      <c r="F57" s="1018">
        <v>30180</v>
      </c>
      <c r="G57" s="1019">
        <v>30180</v>
      </c>
      <c r="H57" s="486">
        <v>91</v>
      </c>
      <c r="I57" s="1026">
        <v>234</v>
      </c>
      <c r="J57" s="1020">
        <v>7062120</v>
      </c>
      <c r="K57" s="1021">
        <v>234</v>
      </c>
      <c r="L57" s="480">
        <v>7062120</v>
      </c>
      <c r="M57" s="1024">
        <v>27.3</v>
      </c>
      <c r="N57" s="488">
        <v>823914</v>
      </c>
      <c r="O57" s="1024">
        <v>206.7</v>
      </c>
      <c r="P57" s="488">
        <v>6238206</v>
      </c>
      <c r="Q57" s="1024">
        <v>0</v>
      </c>
      <c r="R57" s="488">
        <v>0</v>
      </c>
      <c r="S57" s="1023"/>
      <c r="T57" s="656"/>
      <c r="U57" s="656"/>
      <c r="V57" s="656"/>
      <c r="W57" s="656"/>
      <c r="X57" s="656"/>
      <c r="Y57" s="656"/>
      <c r="Z57" s="656"/>
      <c r="AA57" s="656"/>
      <c r="AB57" s="656"/>
      <c r="AC57" s="656"/>
      <c r="AD57" s="656"/>
      <c r="AE57" s="656"/>
      <c r="AF57" s="656"/>
      <c r="AG57" s="656"/>
      <c r="AH57" s="656"/>
      <c r="AI57" s="656"/>
      <c r="AJ57" s="656"/>
      <c r="AK57" s="656"/>
      <c r="AL57" s="656"/>
      <c r="AM57" s="656"/>
      <c r="AN57" s="656"/>
      <c r="AO57" s="656"/>
      <c r="AP57" s="656"/>
      <c r="AQ57" s="656"/>
      <c r="AR57" s="656"/>
      <c r="AS57" s="656"/>
      <c r="AT57" s="656"/>
      <c r="AU57" s="656"/>
      <c r="AV57" s="656"/>
      <c r="AW57" s="656"/>
      <c r="AX57" s="656"/>
      <c r="AY57" s="656"/>
      <c r="AZ57" s="656"/>
      <c r="BA57" s="656"/>
      <c r="BB57" s="656"/>
      <c r="BC57" s="656"/>
      <c r="BD57" s="656"/>
      <c r="BE57" s="656"/>
      <c r="BF57" s="656"/>
      <c r="BG57" s="656"/>
      <c r="BH57" s="656"/>
      <c r="BI57" s="656"/>
      <c r="BJ57" s="656"/>
      <c r="BK57" s="656"/>
      <c r="BL57" s="656"/>
      <c r="BM57" s="656"/>
      <c r="BN57" s="656"/>
      <c r="BO57" s="656"/>
      <c r="BP57" s="656"/>
      <c r="BQ57" s="656"/>
      <c r="BR57" s="656"/>
      <c r="BS57" s="656"/>
      <c r="BT57" s="656"/>
      <c r="BU57" s="656"/>
      <c r="BV57" s="656"/>
      <c r="BW57" s="656"/>
      <c r="BX57" s="656"/>
      <c r="BY57" s="656"/>
      <c r="BZ57" s="656"/>
      <c r="CA57" s="656"/>
      <c r="CB57" s="656"/>
      <c r="CC57" s="656"/>
      <c r="CD57" s="656"/>
      <c r="CE57" s="656"/>
      <c r="CF57" s="656"/>
      <c r="CG57" s="656"/>
      <c r="CH57" s="656"/>
      <c r="CI57" s="656"/>
      <c r="CJ57" s="656"/>
      <c r="CK57" s="656"/>
      <c r="CL57" s="656"/>
      <c r="CM57" s="656"/>
      <c r="CN57" s="656"/>
      <c r="CO57" s="656"/>
      <c r="CP57" s="656"/>
      <c r="CQ57" s="656"/>
      <c r="CR57" s="656"/>
      <c r="CS57" s="656"/>
      <c r="CT57" s="656"/>
      <c r="CU57" s="656"/>
      <c r="CV57" s="656"/>
      <c r="CW57" s="656"/>
      <c r="CX57" s="656"/>
      <c r="CY57" s="656"/>
      <c r="CZ57" s="656"/>
      <c r="DA57" s="656"/>
      <c r="DB57" s="656"/>
      <c r="DC57" s="656"/>
      <c r="DD57" s="656"/>
      <c r="DE57" s="656"/>
      <c r="DF57" s="656"/>
      <c r="DG57" s="656"/>
      <c r="DH57" s="656"/>
      <c r="DI57" s="656"/>
      <c r="DJ57" s="656"/>
      <c r="DK57" s="656"/>
      <c r="DL57" s="656"/>
      <c r="DM57" s="656"/>
      <c r="DN57" s="656"/>
      <c r="DO57" s="656"/>
      <c r="DP57" s="656"/>
      <c r="DQ57" s="656"/>
      <c r="DR57" s="656"/>
      <c r="DS57" s="656"/>
      <c r="DT57" s="656"/>
      <c r="DU57" s="656"/>
      <c r="DV57" s="656"/>
      <c r="DW57" s="656"/>
      <c r="DX57" s="656"/>
      <c r="DY57" s="656"/>
      <c r="DZ57" s="656"/>
      <c r="EA57" s="656"/>
      <c r="EB57" s="656"/>
      <c r="EC57" s="656"/>
      <c r="ED57" s="656"/>
      <c r="EE57" s="656"/>
      <c r="EF57" s="656"/>
      <c r="EG57" s="656"/>
      <c r="EH57" s="656"/>
      <c r="EI57" s="656"/>
      <c r="EJ57" s="656"/>
      <c r="EK57" s="656"/>
      <c r="EL57" s="656"/>
      <c r="EM57" s="656"/>
      <c r="EN57" s="656"/>
      <c r="EO57" s="656"/>
      <c r="EP57" s="656"/>
      <c r="EQ57" s="656"/>
      <c r="ER57" s="656"/>
      <c r="ES57" s="656"/>
      <c r="ET57" s="656"/>
      <c r="EU57" s="656"/>
      <c r="EV57" s="656"/>
      <c r="EW57" s="656"/>
      <c r="EX57" s="656"/>
      <c r="EY57" s="656"/>
      <c r="EZ57" s="656"/>
      <c r="FA57" s="656"/>
      <c r="FB57" s="656"/>
      <c r="FC57" s="656"/>
      <c r="FD57" s="656"/>
      <c r="FE57" s="656"/>
      <c r="FF57" s="656"/>
      <c r="FG57" s="656"/>
      <c r="FH57" s="656"/>
      <c r="FI57" s="656"/>
      <c r="FJ57" s="656"/>
      <c r="FK57" s="656"/>
      <c r="FL57" s="656"/>
      <c r="FM57" s="656"/>
      <c r="FN57" s="656"/>
      <c r="FO57" s="656"/>
      <c r="FP57" s="656"/>
      <c r="FQ57" s="656"/>
      <c r="FR57" s="656"/>
      <c r="FS57" s="656"/>
      <c r="FT57" s="656"/>
      <c r="FU57" s="656"/>
      <c r="FV57" s="656"/>
      <c r="FW57" s="656"/>
      <c r="FX57" s="656"/>
      <c r="FY57" s="656"/>
      <c r="FZ57" s="656"/>
      <c r="GA57" s="656"/>
      <c r="GB57" s="656"/>
      <c r="GC57" s="656"/>
      <c r="GD57" s="656"/>
      <c r="GE57" s="656"/>
      <c r="GF57" s="656"/>
      <c r="GG57" s="656"/>
      <c r="GH57" s="656"/>
      <c r="GI57" s="656"/>
      <c r="GJ57" s="656"/>
      <c r="GK57" s="656"/>
      <c r="GL57" s="656"/>
      <c r="GM57" s="656"/>
      <c r="GN57" s="656"/>
      <c r="GO57" s="656"/>
      <c r="GP57" s="656"/>
      <c r="GQ57" s="656"/>
      <c r="GR57" s="656"/>
      <c r="GS57" s="656"/>
      <c r="GT57" s="656"/>
      <c r="GU57" s="656"/>
      <c r="GV57" s="656"/>
      <c r="GW57" s="656"/>
      <c r="GX57" s="656"/>
      <c r="GY57" s="656"/>
      <c r="GZ57" s="656"/>
      <c r="HA57" s="656"/>
      <c r="HB57" s="656"/>
      <c r="HC57" s="656"/>
      <c r="HD57" s="656"/>
      <c r="HE57" s="656"/>
      <c r="HF57" s="656"/>
      <c r="HG57" s="656"/>
      <c r="HH57" s="656"/>
      <c r="HI57" s="656"/>
      <c r="HJ57" s="656"/>
      <c r="HK57" s="656"/>
      <c r="HL57" s="656"/>
      <c r="HM57" s="656"/>
      <c r="HN57" s="656"/>
      <c r="HO57" s="656"/>
      <c r="HP57" s="656"/>
      <c r="HQ57" s="656"/>
      <c r="HR57" s="656"/>
      <c r="HS57" s="656"/>
      <c r="HT57" s="656"/>
      <c r="HU57" s="656"/>
      <c r="HV57" s="656"/>
      <c r="HW57" s="656"/>
      <c r="HX57" s="656"/>
      <c r="HY57" s="656"/>
      <c r="HZ57" s="656"/>
    </row>
    <row r="58" spans="1:234" s="657" customFormat="1" x14ac:dyDescent="0.25">
      <c r="A58" s="1013"/>
      <c r="B58" s="1014">
        <v>35</v>
      </c>
      <c r="C58" s="1015" t="s">
        <v>856</v>
      </c>
      <c r="D58" s="1016" t="s">
        <v>847</v>
      </c>
      <c r="E58" s="1017">
        <v>1</v>
      </c>
      <c r="F58" s="1018">
        <v>7143</v>
      </c>
      <c r="G58" s="1019">
        <v>7143</v>
      </c>
      <c r="H58" s="486">
        <v>2730</v>
      </c>
      <c r="I58" s="1026">
        <v>3000</v>
      </c>
      <c r="J58" s="1020">
        <v>21429000</v>
      </c>
      <c r="K58" s="1021">
        <v>3019</v>
      </c>
      <c r="L58" s="480">
        <v>21564717</v>
      </c>
      <c r="M58" s="1024">
        <v>819</v>
      </c>
      <c r="N58" s="488">
        <v>5850117</v>
      </c>
      <c r="O58" s="1032">
        <v>2200</v>
      </c>
      <c r="P58" s="488">
        <v>15714600</v>
      </c>
      <c r="Q58" s="1024">
        <v>0</v>
      </c>
      <c r="R58" s="488">
        <v>0</v>
      </c>
      <c r="S58" s="1023"/>
      <c r="T58" s="656"/>
      <c r="U58" s="656"/>
      <c r="V58" s="656"/>
      <c r="W58" s="656"/>
      <c r="X58" s="656"/>
      <c r="Y58" s="656"/>
      <c r="Z58" s="656"/>
      <c r="AA58" s="656"/>
      <c r="AB58" s="656"/>
      <c r="AC58" s="656"/>
      <c r="AD58" s="656"/>
      <c r="AE58" s="656"/>
      <c r="AF58" s="656"/>
      <c r="AG58" s="656"/>
      <c r="AH58" s="656"/>
      <c r="AI58" s="656"/>
      <c r="AJ58" s="656"/>
      <c r="AK58" s="656"/>
      <c r="AL58" s="656"/>
      <c r="AM58" s="656"/>
      <c r="AN58" s="656"/>
      <c r="AO58" s="656"/>
      <c r="AP58" s="656"/>
      <c r="AQ58" s="656"/>
      <c r="AR58" s="656"/>
      <c r="AS58" s="656"/>
      <c r="AT58" s="656"/>
      <c r="AU58" s="656"/>
      <c r="AV58" s="656"/>
      <c r="AW58" s="656"/>
      <c r="AX58" s="656"/>
      <c r="AY58" s="656"/>
      <c r="AZ58" s="656"/>
      <c r="BA58" s="656"/>
      <c r="BB58" s="656"/>
      <c r="BC58" s="656"/>
      <c r="BD58" s="656"/>
      <c r="BE58" s="656"/>
      <c r="BF58" s="656"/>
      <c r="BG58" s="656"/>
      <c r="BH58" s="656"/>
      <c r="BI58" s="656"/>
      <c r="BJ58" s="656"/>
      <c r="BK58" s="656"/>
      <c r="BL58" s="656"/>
      <c r="BM58" s="656"/>
      <c r="BN58" s="656"/>
      <c r="BO58" s="656"/>
      <c r="BP58" s="656"/>
      <c r="BQ58" s="656"/>
      <c r="BR58" s="656"/>
      <c r="BS58" s="656"/>
      <c r="BT58" s="656"/>
      <c r="BU58" s="656"/>
      <c r="BV58" s="656"/>
      <c r="BW58" s="656"/>
      <c r="BX58" s="656"/>
      <c r="BY58" s="656"/>
      <c r="BZ58" s="656"/>
      <c r="CA58" s="656"/>
      <c r="CB58" s="656"/>
      <c r="CC58" s="656"/>
      <c r="CD58" s="656"/>
      <c r="CE58" s="656"/>
      <c r="CF58" s="656"/>
      <c r="CG58" s="656"/>
      <c r="CH58" s="656"/>
      <c r="CI58" s="656"/>
      <c r="CJ58" s="656"/>
      <c r="CK58" s="656"/>
      <c r="CL58" s="656"/>
      <c r="CM58" s="656"/>
      <c r="CN58" s="656"/>
      <c r="CO58" s="656"/>
      <c r="CP58" s="656"/>
      <c r="CQ58" s="656"/>
      <c r="CR58" s="656"/>
      <c r="CS58" s="656"/>
      <c r="CT58" s="656"/>
      <c r="CU58" s="656"/>
      <c r="CV58" s="656"/>
      <c r="CW58" s="656"/>
      <c r="CX58" s="656"/>
      <c r="CY58" s="656"/>
      <c r="CZ58" s="656"/>
      <c r="DA58" s="656"/>
      <c r="DB58" s="656"/>
      <c r="DC58" s="656"/>
      <c r="DD58" s="656"/>
      <c r="DE58" s="656"/>
      <c r="DF58" s="656"/>
      <c r="DG58" s="656"/>
      <c r="DH58" s="656"/>
      <c r="DI58" s="656"/>
      <c r="DJ58" s="656"/>
      <c r="DK58" s="656"/>
      <c r="DL58" s="656"/>
      <c r="DM58" s="656"/>
      <c r="DN58" s="656"/>
      <c r="DO58" s="656"/>
      <c r="DP58" s="656"/>
      <c r="DQ58" s="656"/>
      <c r="DR58" s="656"/>
      <c r="DS58" s="656"/>
      <c r="DT58" s="656"/>
      <c r="DU58" s="656"/>
      <c r="DV58" s="656"/>
      <c r="DW58" s="656"/>
      <c r="DX58" s="656"/>
      <c r="DY58" s="656"/>
      <c r="DZ58" s="656"/>
      <c r="EA58" s="656"/>
      <c r="EB58" s="656"/>
      <c r="EC58" s="656"/>
      <c r="ED58" s="656"/>
      <c r="EE58" s="656"/>
      <c r="EF58" s="656"/>
      <c r="EG58" s="656"/>
      <c r="EH58" s="656"/>
      <c r="EI58" s="656"/>
      <c r="EJ58" s="656"/>
      <c r="EK58" s="656"/>
      <c r="EL58" s="656"/>
      <c r="EM58" s="656"/>
      <c r="EN58" s="656"/>
      <c r="EO58" s="656"/>
      <c r="EP58" s="656"/>
      <c r="EQ58" s="656"/>
      <c r="ER58" s="656"/>
      <c r="ES58" s="656"/>
      <c r="ET58" s="656"/>
      <c r="EU58" s="656"/>
      <c r="EV58" s="656"/>
      <c r="EW58" s="656"/>
      <c r="EX58" s="656"/>
      <c r="EY58" s="656"/>
      <c r="EZ58" s="656"/>
      <c r="FA58" s="656"/>
      <c r="FB58" s="656"/>
      <c r="FC58" s="656"/>
      <c r="FD58" s="656"/>
      <c r="FE58" s="656"/>
      <c r="FF58" s="656"/>
      <c r="FG58" s="656"/>
      <c r="FH58" s="656"/>
      <c r="FI58" s="656"/>
      <c r="FJ58" s="656"/>
      <c r="FK58" s="656"/>
      <c r="FL58" s="656"/>
      <c r="FM58" s="656"/>
      <c r="FN58" s="656"/>
      <c r="FO58" s="656"/>
      <c r="FP58" s="656"/>
      <c r="FQ58" s="656"/>
      <c r="FR58" s="656"/>
      <c r="FS58" s="656"/>
      <c r="FT58" s="656"/>
      <c r="FU58" s="656"/>
      <c r="FV58" s="656"/>
      <c r="FW58" s="656"/>
      <c r="FX58" s="656"/>
      <c r="FY58" s="656"/>
      <c r="FZ58" s="656"/>
      <c r="GA58" s="656"/>
      <c r="GB58" s="656"/>
      <c r="GC58" s="656"/>
      <c r="GD58" s="656"/>
      <c r="GE58" s="656"/>
      <c r="GF58" s="656"/>
      <c r="GG58" s="656"/>
      <c r="GH58" s="656"/>
      <c r="GI58" s="656"/>
      <c r="GJ58" s="656"/>
      <c r="GK58" s="656"/>
      <c r="GL58" s="656"/>
      <c r="GM58" s="656"/>
      <c r="GN58" s="656"/>
      <c r="GO58" s="656"/>
      <c r="GP58" s="656"/>
      <c r="GQ58" s="656"/>
      <c r="GR58" s="656"/>
      <c r="GS58" s="656"/>
      <c r="GT58" s="656"/>
      <c r="GU58" s="656"/>
      <c r="GV58" s="656"/>
      <c r="GW58" s="656"/>
      <c r="GX58" s="656"/>
      <c r="GY58" s="656"/>
      <c r="GZ58" s="656"/>
      <c r="HA58" s="656"/>
      <c r="HB58" s="656"/>
      <c r="HC58" s="656"/>
      <c r="HD58" s="656"/>
      <c r="HE58" s="656"/>
      <c r="HF58" s="656"/>
      <c r="HG58" s="656"/>
      <c r="HH58" s="656"/>
      <c r="HI58" s="656"/>
      <c r="HJ58" s="656"/>
      <c r="HK58" s="656"/>
      <c r="HL58" s="656"/>
      <c r="HM58" s="656"/>
      <c r="HN58" s="656"/>
      <c r="HO58" s="656"/>
      <c r="HP58" s="656"/>
      <c r="HQ58" s="656"/>
      <c r="HR58" s="656"/>
      <c r="HS58" s="656"/>
      <c r="HT58" s="656"/>
      <c r="HU58" s="656"/>
      <c r="HV58" s="656"/>
      <c r="HW58" s="656"/>
      <c r="HX58" s="656"/>
      <c r="HY58" s="656"/>
      <c r="HZ58" s="656"/>
    </row>
    <row r="59" spans="1:234" s="657" customFormat="1" x14ac:dyDescent="0.25">
      <c r="A59" s="1013"/>
      <c r="B59" s="1014">
        <v>36</v>
      </c>
      <c r="C59" s="1015" t="s">
        <v>857</v>
      </c>
      <c r="D59" s="1016" t="s">
        <v>848</v>
      </c>
      <c r="E59" s="1017">
        <v>1</v>
      </c>
      <c r="F59" s="1018">
        <v>71017</v>
      </c>
      <c r="G59" s="1019">
        <v>71017</v>
      </c>
      <c r="H59" s="486">
        <v>91</v>
      </c>
      <c r="I59" s="1026">
        <v>78</v>
      </c>
      <c r="J59" s="1020">
        <v>5539326</v>
      </c>
      <c r="K59" s="1021">
        <v>78</v>
      </c>
      <c r="L59" s="480">
        <v>5539326</v>
      </c>
      <c r="M59" s="1024">
        <v>27.3</v>
      </c>
      <c r="N59" s="488">
        <v>1938764.1</v>
      </c>
      <c r="O59" s="1024">
        <v>50.7</v>
      </c>
      <c r="P59" s="488">
        <v>3600561.9000000004</v>
      </c>
      <c r="Q59" s="1024">
        <v>0</v>
      </c>
      <c r="R59" s="488">
        <v>0</v>
      </c>
      <c r="S59" s="1023"/>
      <c r="T59" s="656"/>
      <c r="U59" s="656"/>
      <c r="V59" s="656"/>
      <c r="W59" s="656"/>
      <c r="X59" s="656"/>
      <c r="Y59" s="656"/>
      <c r="Z59" s="656"/>
      <c r="AA59" s="656"/>
      <c r="AB59" s="656"/>
      <c r="AC59" s="656"/>
      <c r="AD59" s="656"/>
      <c r="AE59" s="656"/>
      <c r="AF59" s="656"/>
      <c r="AG59" s="656"/>
      <c r="AH59" s="656"/>
      <c r="AI59" s="656"/>
      <c r="AJ59" s="656"/>
      <c r="AK59" s="656"/>
      <c r="AL59" s="656"/>
      <c r="AM59" s="656"/>
      <c r="AN59" s="656"/>
      <c r="AO59" s="656"/>
      <c r="AP59" s="656"/>
      <c r="AQ59" s="656"/>
      <c r="AR59" s="656"/>
      <c r="AS59" s="656"/>
      <c r="AT59" s="656"/>
      <c r="AU59" s="656"/>
      <c r="AV59" s="656"/>
      <c r="AW59" s="656"/>
      <c r="AX59" s="656"/>
      <c r="AY59" s="656"/>
      <c r="AZ59" s="656"/>
      <c r="BA59" s="656"/>
      <c r="BB59" s="656"/>
      <c r="BC59" s="656"/>
      <c r="BD59" s="656"/>
      <c r="BE59" s="656"/>
      <c r="BF59" s="656"/>
      <c r="BG59" s="656"/>
      <c r="BH59" s="656"/>
      <c r="BI59" s="656"/>
      <c r="BJ59" s="656"/>
      <c r="BK59" s="656"/>
      <c r="BL59" s="656"/>
      <c r="BM59" s="656"/>
      <c r="BN59" s="656"/>
      <c r="BO59" s="656"/>
      <c r="BP59" s="656"/>
      <c r="BQ59" s="656"/>
      <c r="BR59" s="656"/>
      <c r="BS59" s="656"/>
      <c r="BT59" s="656"/>
      <c r="BU59" s="656"/>
      <c r="BV59" s="656"/>
      <c r="BW59" s="656"/>
      <c r="BX59" s="656"/>
      <c r="BY59" s="656"/>
      <c r="BZ59" s="656"/>
      <c r="CA59" s="656"/>
      <c r="CB59" s="656"/>
      <c r="CC59" s="656"/>
      <c r="CD59" s="656"/>
      <c r="CE59" s="656"/>
      <c r="CF59" s="656"/>
      <c r="CG59" s="656"/>
      <c r="CH59" s="656"/>
      <c r="CI59" s="656"/>
      <c r="CJ59" s="656"/>
      <c r="CK59" s="656"/>
      <c r="CL59" s="656"/>
      <c r="CM59" s="656"/>
      <c r="CN59" s="656"/>
      <c r="CO59" s="656"/>
      <c r="CP59" s="656"/>
      <c r="CQ59" s="656"/>
      <c r="CR59" s="656"/>
      <c r="CS59" s="656"/>
      <c r="CT59" s="656"/>
      <c r="CU59" s="656"/>
      <c r="CV59" s="656"/>
      <c r="CW59" s="656"/>
      <c r="CX59" s="656"/>
      <c r="CY59" s="656"/>
      <c r="CZ59" s="656"/>
      <c r="DA59" s="656"/>
      <c r="DB59" s="656"/>
      <c r="DC59" s="656"/>
      <c r="DD59" s="656"/>
      <c r="DE59" s="656"/>
      <c r="DF59" s="656"/>
      <c r="DG59" s="656"/>
      <c r="DH59" s="656"/>
      <c r="DI59" s="656"/>
      <c r="DJ59" s="656"/>
      <c r="DK59" s="656"/>
      <c r="DL59" s="656"/>
      <c r="DM59" s="656"/>
      <c r="DN59" s="656"/>
      <c r="DO59" s="656"/>
      <c r="DP59" s="656"/>
      <c r="DQ59" s="656"/>
      <c r="DR59" s="656"/>
      <c r="DS59" s="656"/>
      <c r="DT59" s="656"/>
      <c r="DU59" s="656"/>
      <c r="DV59" s="656"/>
      <c r="DW59" s="656"/>
      <c r="DX59" s="656"/>
      <c r="DY59" s="656"/>
      <c r="DZ59" s="656"/>
      <c r="EA59" s="656"/>
      <c r="EB59" s="656"/>
      <c r="EC59" s="656"/>
      <c r="ED59" s="656"/>
      <c r="EE59" s="656"/>
      <c r="EF59" s="656"/>
      <c r="EG59" s="656"/>
      <c r="EH59" s="656"/>
      <c r="EI59" s="656"/>
      <c r="EJ59" s="656"/>
      <c r="EK59" s="656"/>
      <c r="EL59" s="656"/>
      <c r="EM59" s="656"/>
      <c r="EN59" s="656"/>
      <c r="EO59" s="656"/>
      <c r="EP59" s="656"/>
      <c r="EQ59" s="656"/>
      <c r="ER59" s="656"/>
      <c r="ES59" s="656"/>
      <c r="ET59" s="656"/>
      <c r="EU59" s="656"/>
      <c r="EV59" s="656"/>
      <c r="EW59" s="656"/>
      <c r="EX59" s="656"/>
      <c r="EY59" s="656"/>
      <c r="EZ59" s="656"/>
      <c r="FA59" s="656"/>
      <c r="FB59" s="656"/>
      <c r="FC59" s="656"/>
      <c r="FD59" s="656"/>
      <c r="FE59" s="656"/>
      <c r="FF59" s="656"/>
      <c r="FG59" s="656"/>
      <c r="FH59" s="656"/>
      <c r="FI59" s="656"/>
      <c r="FJ59" s="656"/>
      <c r="FK59" s="656"/>
      <c r="FL59" s="656"/>
      <c r="FM59" s="656"/>
      <c r="FN59" s="656"/>
      <c r="FO59" s="656"/>
      <c r="FP59" s="656"/>
      <c r="FQ59" s="656"/>
      <c r="FR59" s="656"/>
      <c r="FS59" s="656"/>
      <c r="FT59" s="656"/>
      <c r="FU59" s="656"/>
      <c r="FV59" s="656"/>
      <c r="FW59" s="656"/>
      <c r="FX59" s="656"/>
      <c r="FY59" s="656"/>
      <c r="FZ59" s="656"/>
      <c r="GA59" s="656"/>
      <c r="GB59" s="656"/>
      <c r="GC59" s="656"/>
      <c r="GD59" s="656"/>
      <c r="GE59" s="656"/>
      <c r="GF59" s="656"/>
      <c r="GG59" s="656"/>
      <c r="GH59" s="656"/>
      <c r="GI59" s="656"/>
      <c r="GJ59" s="656"/>
      <c r="GK59" s="656"/>
      <c r="GL59" s="656"/>
      <c r="GM59" s="656"/>
      <c r="GN59" s="656"/>
      <c r="GO59" s="656"/>
      <c r="GP59" s="656"/>
      <c r="GQ59" s="656"/>
      <c r="GR59" s="656"/>
      <c r="GS59" s="656"/>
      <c r="GT59" s="656"/>
      <c r="GU59" s="656"/>
      <c r="GV59" s="656"/>
      <c r="GW59" s="656"/>
      <c r="GX59" s="656"/>
      <c r="GY59" s="656"/>
      <c r="GZ59" s="656"/>
      <c r="HA59" s="656"/>
      <c r="HB59" s="656"/>
      <c r="HC59" s="656"/>
      <c r="HD59" s="656"/>
      <c r="HE59" s="656"/>
      <c r="HF59" s="656"/>
      <c r="HG59" s="656"/>
      <c r="HH59" s="656"/>
      <c r="HI59" s="656"/>
      <c r="HJ59" s="656"/>
      <c r="HK59" s="656"/>
      <c r="HL59" s="656"/>
      <c r="HM59" s="656"/>
      <c r="HN59" s="656"/>
      <c r="HO59" s="656"/>
      <c r="HP59" s="656"/>
      <c r="HQ59" s="656"/>
      <c r="HR59" s="656"/>
      <c r="HS59" s="656"/>
      <c r="HT59" s="656"/>
      <c r="HU59" s="656"/>
      <c r="HV59" s="656"/>
      <c r="HW59" s="656"/>
      <c r="HX59" s="656"/>
      <c r="HY59" s="656"/>
      <c r="HZ59" s="656"/>
    </row>
    <row r="60" spans="1:234" s="657" customFormat="1" x14ac:dyDescent="0.25">
      <c r="A60" s="1013"/>
      <c r="B60" s="1014">
        <v>37</v>
      </c>
      <c r="C60" s="1015" t="s">
        <v>858</v>
      </c>
      <c r="D60" s="1016" t="s">
        <v>848</v>
      </c>
      <c r="E60" s="1017">
        <v>1</v>
      </c>
      <c r="F60" s="1018">
        <v>17294</v>
      </c>
      <c r="G60" s="1019">
        <v>17294</v>
      </c>
      <c r="H60" s="486">
        <v>91</v>
      </c>
      <c r="I60" s="1026">
        <v>78</v>
      </c>
      <c r="J60" s="1020">
        <v>1348932</v>
      </c>
      <c r="K60" s="1021">
        <v>78</v>
      </c>
      <c r="L60" s="480">
        <v>1348932</v>
      </c>
      <c r="M60" s="1024">
        <v>27.3</v>
      </c>
      <c r="N60" s="488">
        <v>472126.2</v>
      </c>
      <c r="O60" s="1024">
        <v>50.7</v>
      </c>
      <c r="P60" s="488">
        <v>876805.8</v>
      </c>
      <c r="Q60" s="1024">
        <v>0</v>
      </c>
      <c r="R60" s="488">
        <v>0</v>
      </c>
      <c r="S60" s="1023"/>
      <c r="T60" s="656"/>
      <c r="U60" s="656"/>
      <c r="V60" s="656"/>
      <c r="W60" s="656"/>
      <c r="X60" s="656"/>
      <c r="Y60" s="656"/>
      <c r="Z60" s="656"/>
      <c r="AA60" s="656"/>
      <c r="AB60" s="656"/>
      <c r="AC60" s="656"/>
      <c r="AD60" s="656"/>
      <c r="AE60" s="656"/>
      <c r="AF60" s="656"/>
      <c r="AG60" s="656"/>
      <c r="AH60" s="656"/>
      <c r="AI60" s="656"/>
      <c r="AJ60" s="656"/>
      <c r="AK60" s="656"/>
      <c r="AL60" s="656"/>
      <c r="AM60" s="656"/>
      <c r="AN60" s="656"/>
      <c r="AO60" s="656"/>
      <c r="AP60" s="656"/>
      <c r="AQ60" s="656"/>
      <c r="AR60" s="656"/>
      <c r="AS60" s="656"/>
      <c r="AT60" s="656"/>
      <c r="AU60" s="656"/>
      <c r="AV60" s="656"/>
      <c r="AW60" s="656"/>
      <c r="AX60" s="656"/>
      <c r="AY60" s="656"/>
      <c r="AZ60" s="656"/>
      <c r="BA60" s="656"/>
      <c r="BB60" s="656"/>
      <c r="BC60" s="656"/>
      <c r="BD60" s="656"/>
      <c r="BE60" s="656"/>
      <c r="BF60" s="656"/>
      <c r="BG60" s="656"/>
      <c r="BH60" s="656"/>
      <c r="BI60" s="656"/>
      <c r="BJ60" s="656"/>
      <c r="BK60" s="656"/>
      <c r="BL60" s="656"/>
      <c r="BM60" s="656"/>
      <c r="BN60" s="656"/>
      <c r="BO60" s="656"/>
      <c r="BP60" s="656"/>
      <c r="BQ60" s="656"/>
      <c r="BR60" s="656"/>
      <c r="BS60" s="656"/>
      <c r="BT60" s="656"/>
      <c r="BU60" s="656"/>
      <c r="BV60" s="656"/>
      <c r="BW60" s="656"/>
      <c r="BX60" s="656"/>
      <c r="BY60" s="656"/>
      <c r="BZ60" s="656"/>
      <c r="CA60" s="656"/>
      <c r="CB60" s="656"/>
      <c r="CC60" s="656"/>
      <c r="CD60" s="656"/>
      <c r="CE60" s="656"/>
      <c r="CF60" s="656"/>
      <c r="CG60" s="656"/>
      <c r="CH60" s="656"/>
      <c r="CI60" s="656"/>
      <c r="CJ60" s="656"/>
      <c r="CK60" s="656"/>
      <c r="CL60" s="656"/>
      <c r="CM60" s="656"/>
      <c r="CN60" s="656"/>
      <c r="CO60" s="656"/>
      <c r="CP60" s="656"/>
      <c r="CQ60" s="656"/>
      <c r="CR60" s="656"/>
      <c r="CS60" s="656"/>
      <c r="CT60" s="656"/>
      <c r="CU60" s="656"/>
      <c r="CV60" s="656"/>
      <c r="CW60" s="656"/>
      <c r="CX60" s="656"/>
      <c r="CY60" s="656"/>
      <c r="CZ60" s="656"/>
      <c r="DA60" s="656"/>
      <c r="DB60" s="656"/>
      <c r="DC60" s="656"/>
      <c r="DD60" s="656"/>
      <c r="DE60" s="656"/>
      <c r="DF60" s="656"/>
      <c r="DG60" s="656"/>
      <c r="DH60" s="656"/>
      <c r="DI60" s="656"/>
      <c r="DJ60" s="656"/>
      <c r="DK60" s="656"/>
      <c r="DL60" s="656"/>
      <c r="DM60" s="656"/>
      <c r="DN60" s="656"/>
      <c r="DO60" s="656"/>
      <c r="DP60" s="656"/>
      <c r="DQ60" s="656"/>
      <c r="DR60" s="656"/>
      <c r="DS60" s="656"/>
      <c r="DT60" s="656"/>
      <c r="DU60" s="656"/>
      <c r="DV60" s="656"/>
      <c r="DW60" s="656"/>
      <c r="DX60" s="656"/>
      <c r="DY60" s="656"/>
      <c r="DZ60" s="656"/>
      <c r="EA60" s="656"/>
      <c r="EB60" s="656"/>
      <c r="EC60" s="656"/>
      <c r="ED60" s="656"/>
      <c r="EE60" s="656"/>
      <c r="EF60" s="656"/>
      <c r="EG60" s="656"/>
      <c r="EH60" s="656"/>
      <c r="EI60" s="656"/>
      <c r="EJ60" s="656"/>
      <c r="EK60" s="656"/>
      <c r="EL60" s="656"/>
      <c r="EM60" s="656"/>
      <c r="EN60" s="656"/>
      <c r="EO60" s="656"/>
      <c r="EP60" s="656"/>
      <c r="EQ60" s="656"/>
      <c r="ER60" s="656"/>
      <c r="ES60" s="656"/>
      <c r="ET60" s="656"/>
      <c r="EU60" s="656"/>
      <c r="EV60" s="656"/>
      <c r="EW60" s="656"/>
      <c r="EX60" s="656"/>
      <c r="EY60" s="656"/>
      <c r="EZ60" s="656"/>
      <c r="FA60" s="656"/>
      <c r="FB60" s="656"/>
      <c r="FC60" s="656"/>
      <c r="FD60" s="656"/>
      <c r="FE60" s="656"/>
      <c r="FF60" s="656"/>
      <c r="FG60" s="656"/>
      <c r="FH60" s="656"/>
      <c r="FI60" s="656"/>
      <c r="FJ60" s="656"/>
      <c r="FK60" s="656"/>
      <c r="FL60" s="656"/>
      <c r="FM60" s="656"/>
      <c r="FN60" s="656"/>
      <c r="FO60" s="656"/>
      <c r="FP60" s="656"/>
      <c r="FQ60" s="656"/>
      <c r="FR60" s="656"/>
      <c r="FS60" s="656"/>
      <c r="FT60" s="656"/>
      <c r="FU60" s="656"/>
      <c r="FV60" s="656"/>
      <c r="FW60" s="656"/>
      <c r="FX60" s="656"/>
      <c r="FY60" s="656"/>
      <c r="FZ60" s="656"/>
      <c r="GA60" s="656"/>
      <c r="GB60" s="656"/>
      <c r="GC60" s="656"/>
      <c r="GD60" s="656"/>
      <c r="GE60" s="656"/>
      <c r="GF60" s="656"/>
      <c r="GG60" s="656"/>
      <c r="GH60" s="656"/>
      <c r="GI60" s="656"/>
      <c r="GJ60" s="656"/>
      <c r="GK60" s="656"/>
      <c r="GL60" s="656"/>
      <c r="GM60" s="656"/>
      <c r="GN60" s="656"/>
      <c r="GO60" s="656"/>
      <c r="GP60" s="656"/>
      <c r="GQ60" s="656"/>
      <c r="GR60" s="656"/>
      <c r="GS60" s="656"/>
      <c r="GT60" s="656"/>
      <c r="GU60" s="656"/>
      <c r="GV60" s="656"/>
      <c r="GW60" s="656"/>
      <c r="GX60" s="656"/>
      <c r="GY60" s="656"/>
      <c r="GZ60" s="656"/>
      <c r="HA60" s="656"/>
      <c r="HB60" s="656"/>
      <c r="HC60" s="656"/>
      <c r="HD60" s="656"/>
      <c r="HE60" s="656"/>
      <c r="HF60" s="656"/>
      <c r="HG60" s="656"/>
      <c r="HH60" s="656"/>
      <c r="HI60" s="656"/>
      <c r="HJ60" s="656"/>
      <c r="HK60" s="656"/>
      <c r="HL60" s="656"/>
      <c r="HM60" s="656"/>
      <c r="HN60" s="656"/>
      <c r="HO60" s="656"/>
      <c r="HP60" s="656"/>
      <c r="HQ60" s="656"/>
      <c r="HR60" s="656"/>
      <c r="HS60" s="656"/>
      <c r="HT60" s="656"/>
      <c r="HU60" s="656"/>
      <c r="HV60" s="656"/>
      <c r="HW60" s="656"/>
      <c r="HX60" s="656"/>
      <c r="HY60" s="656"/>
      <c r="HZ60" s="656"/>
    </row>
    <row r="61" spans="1:234" s="657" customFormat="1" ht="42.75" x14ac:dyDescent="0.25">
      <c r="A61" s="1013"/>
      <c r="B61" s="1014">
        <v>38</v>
      </c>
      <c r="C61" s="1015" t="s">
        <v>1225</v>
      </c>
      <c r="D61" s="1016" t="s">
        <v>848</v>
      </c>
      <c r="E61" s="1017">
        <v>1</v>
      </c>
      <c r="F61" s="1018">
        <v>95921</v>
      </c>
      <c r="G61" s="1019">
        <v>95921</v>
      </c>
      <c r="H61" s="486">
        <v>91</v>
      </c>
      <c r="I61" s="1026">
        <v>78</v>
      </c>
      <c r="J61" s="1020">
        <v>7481838</v>
      </c>
      <c r="K61" s="1021">
        <v>78</v>
      </c>
      <c r="L61" s="480">
        <v>7481838</v>
      </c>
      <c r="M61" s="1024">
        <v>27.3</v>
      </c>
      <c r="N61" s="488">
        <v>2618643.3000000003</v>
      </c>
      <c r="O61" s="1024">
        <v>50.7</v>
      </c>
      <c r="P61" s="488">
        <v>4863194.7</v>
      </c>
      <c r="Q61" s="1024">
        <v>0</v>
      </c>
      <c r="R61" s="488">
        <v>0</v>
      </c>
      <c r="S61" s="1023"/>
      <c r="T61" s="656"/>
      <c r="U61" s="656"/>
      <c r="V61" s="656"/>
      <c r="W61" s="656"/>
      <c r="X61" s="656"/>
      <c r="Y61" s="656"/>
      <c r="Z61" s="656"/>
      <c r="AA61" s="656"/>
      <c r="AB61" s="656"/>
      <c r="AC61" s="656"/>
      <c r="AD61" s="656"/>
      <c r="AE61" s="656"/>
      <c r="AF61" s="656"/>
      <c r="AG61" s="656"/>
      <c r="AH61" s="656"/>
      <c r="AI61" s="656"/>
      <c r="AJ61" s="656"/>
      <c r="AK61" s="656"/>
      <c r="AL61" s="656"/>
      <c r="AM61" s="656"/>
      <c r="AN61" s="656"/>
      <c r="AO61" s="656"/>
      <c r="AP61" s="656"/>
      <c r="AQ61" s="656"/>
      <c r="AR61" s="656"/>
      <c r="AS61" s="656"/>
      <c r="AT61" s="656"/>
      <c r="AU61" s="656"/>
      <c r="AV61" s="656"/>
      <c r="AW61" s="656"/>
      <c r="AX61" s="656"/>
      <c r="AY61" s="656"/>
      <c r="AZ61" s="656"/>
      <c r="BA61" s="656"/>
      <c r="BB61" s="656"/>
      <c r="BC61" s="656"/>
      <c r="BD61" s="656"/>
      <c r="BE61" s="656"/>
      <c r="BF61" s="656"/>
      <c r="BG61" s="656"/>
      <c r="BH61" s="656"/>
      <c r="BI61" s="656"/>
      <c r="BJ61" s="656"/>
      <c r="BK61" s="656"/>
      <c r="BL61" s="656"/>
      <c r="BM61" s="656"/>
      <c r="BN61" s="656"/>
      <c r="BO61" s="656"/>
      <c r="BP61" s="656"/>
      <c r="BQ61" s="656"/>
      <c r="BR61" s="656"/>
      <c r="BS61" s="656"/>
      <c r="BT61" s="656"/>
      <c r="BU61" s="656"/>
      <c r="BV61" s="656"/>
      <c r="BW61" s="656"/>
      <c r="BX61" s="656"/>
      <c r="BY61" s="656"/>
      <c r="BZ61" s="656"/>
      <c r="CA61" s="656"/>
      <c r="CB61" s="656"/>
      <c r="CC61" s="656"/>
      <c r="CD61" s="656"/>
      <c r="CE61" s="656"/>
      <c r="CF61" s="656"/>
      <c r="CG61" s="656"/>
      <c r="CH61" s="656"/>
      <c r="CI61" s="656"/>
      <c r="CJ61" s="656"/>
      <c r="CK61" s="656"/>
      <c r="CL61" s="656"/>
      <c r="CM61" s="656"/>
      <c r="CN61" s="656"/>
      <c r="CO61" s="656"/>
      <c r="CP61" s="656"/>
      <c r="CQ61" s="656"/>
      <c r="CR61" s="656"/>
      <c r="CS61" s="656"/>
      <c r="CT61" s="656"/>
      <c r="CU61" s="656"/>
      <c r="CV61" s="656"/>
      <c r="CW61" s="656"/>
      <c r="CX61" s="656"/>
      <c r="CY61" s="656"/>
      <c r="CZ61" s="656"/>
      <c r="DA61" s="656"/>
      <c r="DB61" s="656"/>
      <c r="DC61" s="656"/>
      <c r="DD61" s="656"/>
      <c r="DE61" s="656"/>
      <c r="DF61" s="656"/>
      <c r="DG61" s="656"/>
      <c r="DH61" s="656"/>
      <c r="DI61" s="656"/>
      <c r="DJ61" s="656"/>
      <c r="DK61" s="656"/>
      <c r="DL61" s="656"/>
      <c r="DM61" s="656"/>
      <c r="DN61" s="656"/>
      <c r="DO61" s="656"/>
      <c r="DP61" s="656"/>
      <c r="DQ61" s="656"/>
      <c r="DR61" s="656"/>
      <c r="DS61" s="656"/>
      <c r="DT61" s="656"/>
      <c r="DU61" s="656"/>
      <c r="DV61" s="656"/>
      <c r="DW61" s="656"/>
      <c r="DX61" s="656"/>
      <c r="DY61" s="656"/>
      <c r="DZ61" s="656"/>
      <c r="EA61" s="656"/>
      <c r="EB61" s="656"/>
      <c r="EC61" s="656"/>
      <c r="ED61" s="656"/>
      <c r="EE61" s="656"/>
      <c r="EF61" s="656"/>
      <c r="EG61" s="656"/>
      <c r="EH61" s="656"/>
      <c r="EI61" s="656"/>
      <c r="EJ61" s="656"/>
      <c r="EK61" s="656"/>
      <c r="EL61" s="656"/>
      <c r="EM61" s="656"/>
      <c r="EN61" s="656"/>
      <c r="EO61" s="656"/>
      <c r="EP61" s="656"/>
      <c r="EQ61" s="656"/>
      <c r="ER61" s="656"/>
      <c r="ES61" s="656"/>
      <c r="ET61" s="656"/>
      <c r="EU61" s="656"/>
      <c r="EV61" s="656"/>
      <c r="EW61" s="656"/>
      <c r="EX61" s="656"/>
      <c r="EY61" s="656"/>
      <c r="EZ61" s="656"/>
      <c r="FA61" s="656"/>
      <c r="FB61" s="656"/>
      <c r="FC61" s="656"/>
      <c r="FD61" s="656"/>
      <c r="FE61" s="656"/>
      <c r="FF61" s="656"/>
      <c r="FG61" s="656"/>
      <c r="FH61" s="656"/>
      <c r="FI61" s="656"/>
      <c r="FJ61" s="656"/>
      <c r="FK61" s="656"/>
      <c r="FL61" s="656"/>
      <c r="FM61" s="656"/>
      <c r="FN61" s="656"/>
      <c r="FO61" s="656"/>
      <c r="FP61" s="656"/>
      <c r="FQ61" s="656"/>
      <c r="FR61" s="656"/>
      <c r="FS61" s="656"/>
      <c r="FT61" s="656"/>
      <c r="FU61" s="656"/>
      <c r="FV61" s="656"/>
      <c r="FW61" s="656"/>
      <c r="FX61" s="656"/>
      <c r="FY61" s="656"/>
      <c r="FZ61" s="656"/>
      <c r="GA61" s="656"/>
      <c r="GB61" s="656"/>
      <c r="GC61" s="656"/>
      <c r="GD61" s="656"/>
      <c r="GE61" s="656"/>
      <c r="GF61" s="656"/>
      <c r="GG61" s="656"/>
      <c r="GH61" s="656"/>
      <c r="GI61" s="656"/>
      <c r="GJ61" s="656"/>
      <c r="GK61" s="656"/>
      <c r="GL61" s="656"/>
      <c r="GM61" s="656"/>
      <c r="GN61" s="656"/>
      <c r="GO61" s="656"/>
      <c r="GP61" s="656"/>
      <c r="GQ61" s="656"/>
      <c r="GR61" s="656"/>
      <c r="GS61" s="656"/>
      <c r="GT61" s="656"/>
      <c r="GU61" s="656"/>
      <c r="GV61" s="656"/>
      <c r="GW61" s="656"/>
      <c r="GX61" s="656"/>
      <c r="GY61" s="656"/>
      <c r="GZ61" s="656"/>
      <c r="HA61" s="656"/>
      <c r="HB61" s="656"/>
      <c r="HC61" s="656"/>
      <c r="HD61" s="656"/>
      <c r="HE61" s="656"/>
      <c r="HF61" s="656"/>
      <c r="HG61" s="656"/>
      <c r="HH61" s="656"/>
      <c r="HI61" s="656"/>
      <c r="HJ61" s="656"/>
      <c r="HK61" s="656"/>
      <c r="HL61" s="656"/>
      <c r="HM61" s="656"/>
      <c r="HN61" s="656"/>
      <c r="HO61" s="656"/>
      <c r="HP61" s="656"/>
      <c r="HQ61" s="656"/>
      <c r="HR61" s="656"/>
      <c r="HS61" s="656"/>
      <c r="HT61" s="656"/>
      <c r="HU61" s="656"/>
      <c r="HV61" s="656"/>
      <c r="HW61" s="656"/>
      <c r="HX61" s="656"/>
      <c r="HY61" s="656"/>
      <c r="HZ61" s="656"/>
    </row>
    <row r="62" spans="1:234" s="657" customFormat="1" ht="42.75" x14ac:dyDescent="0.25">
      <c r="A62" s="1013"/>
      <c r="B62" s="1014">
        <v>39</v>
      </c>
      <c r="C62" s="1015" t="s">
        <v>1226</v>
      </c>
      <c r="D62" s="1016" t="s">
        <v>848</v>
      </c>
      <c r="E62" s="1017">
        <v>1</v>
      </c>
      <c r="F62" s="1018">
        <v>87852</v>
      </c>
      <c r="G62" s="1019">
        <v>87852</v>
      </c>
      <c r="H62" s="486">
        <v>91</v>
      </c>
      <c r="I62" s="1026">
        <v>78</v>
      </c>
      <c r="J62" s="1020">
        <v>6852456</v>
      </c>
      <c r="K62" s="1021">
        <v>78</v>
      </c>
      <c r="L62" s="480">
        <v>6852456</v>
      </c>
      <c r="M62" s="1024">
        <v>27.3</v>
      </c>
      <c r="N62" s="488">
        <v>2398359.6</v>
      </c>
      <c r="O62" s="1024">
        <v>50.7</v>
      </c>
      <c r="P62" s="488">
        <v>4454096.4000000004</v>
      </c>
      <c r="Q62" s="1024">
        <v>0</v>
      </c>
      <c r="R62" s="488">
        <v>0</v>
      </c>
      <c r="S62" s="1023"/>
      <c r="T62" s="656"/>
      <c r="U62" s="656"/>
      <c r="V62" s="656"/>
      <c r="W62" s="656"/>
      <c r="X62" s="656"/>
      <c r="Y62" s="656"/>
      <c r="Z62" s="656"/>
      <c r="AA62" s="656"/>
      <c r="AB62" s="656"/>
      <c r="AC62" s="656"/>
      <c r="AD62" s="656"/>
      <c r="AE62" s="656"/>
      <c r="AF62" s="656"/>
      <c r="AG62" s="656"/>
      <c r="AH62" s="656"/>
      <c r="AI62" s="656"/>
      <c r="AJ62" s="656"/>
      <c r="AK62" s="656"/>
      <c r="AL62" s="656"/>
      <c r="AM62" s="656"/>
      <c r="AN62" s="656"/>
      <c r="AO62" s="656"/>
      <c r="AP62" s="656"/>
      <c r="AQ62" s="656"/>
      <c r="AR62" s="656"/>
      <c r="AS62" s="656"/>
      <c r="AT62" s="656"/>
      <c r="AU62" s="656"/>
      <c r="AV62" s="656"/>
      <c r="AW62" s="656"/>
      <c r="AX62" s="656"/>
      <c r="AY62" s="656"/>
      <c r="AZ62" s="656"/>
      <c r="BA62" s="656"/>
      <c r="BB62" s="656"/>
      <c r="BC62" s="656"/>
      <c r="BD62" s="656"/>
      <c r="BE62" s="656"/>
      <c r="BF62" s="656"/>
      <c r="BG62" s="656"/>
      <c r="BH62" s="656"/>
      <c r="BI62" s="656"/>
      <c r="BJ62" s="656"/>
      <c r="BK62" s="656"/>
      <c r="BL62" s="656"/>
      <c r="BM62" s="656"/>
      <c r="BN62" s="656"/>
      <c r="BO62" s="656"/>
      <c r="BP62" s="656"/>
      <c r="BQ62" s="656"/>
      <c r="BR62" s="656"/>
      <c r="BS62" s="656"/>
      <c r="BT62" s="656"/>
      <c r="BU62" s="656"/>
      <c r="BV62" s="656"/>
      <c r="BW62" s="656"/>
      <c r="BX62" s="656"/>
      <c r="BY62" s="656"/>
      <c r="BZ62" s="656"/>
      <c r="CA62" s="656"/>
      <c r="CB62" s="656"/>
      <c r="CC62" s="656"/>
      <c r="CD62" s="656"/>
      <c r="CE62" s="656"/>
      <c r="CF62" s="656"/>
      <c r="CG62" s="656"/>
      <c r="CH62" s="656"/>
      <c r="CI62" s="656"/>
      <c r="CJ62" s="656"/>
      <c r="CK62" s="656"/>
      <c r="CL62" s="656"/>
      <c r="CM62" s="656"/>
      <c r="CN62" s="656"/>
      <c r="CO62" s="656"/>
      <c r="CP62" s="656"/>
      <c r="CQ62" s="656"/>
      <c r="CR62" s="656"/>
      <c r="CS62" s="656"/>
      <c r="CT62" s="656"/>
      <c r="CU62" s="656"/>
      <c r="CV62" s="656"/>
      <c r="CW62" s="656"/>
      <c r="CX62" s="656"/>
      <c r="CY62" s="656"/>
      <c r="CZ62" s="656"/>
      <c r="DA62" s="656"/>
      <c r="DB62" s="656"/>
      <c r="DC62" s="656"/>
      <c r="DD62" s="656"/>
      <c r="DE62" s="656"/>
      <c r="DF62" s="656"/>
      <c r="DG62" s="656"/>
      <c r="DH62" s="656"/>
      <c r="DI62" s="656"/>
      <c r="DJ62" s="656"/>
      <c r="DK62" s="656"/>
      <c r="DL62" s="656"/>
      <c r="DM62" s="656"/>
      <c r="DN62" s="656"/>
      <c r="DO62" s="656"/>
      <c r="DP62" s="656"/>
      <c r="DQ62" s="656"/>
      <c r="DR62" s="656"/>
      <c r="DS62" s="656"/>
      <c r="DT62" s="656"/>
      <c r="DU62" s="656"/>
      <c r="DV62" s="656"/>
      <c r="DW62" s="656"/>
      <c r="DX62" s="656"/>
      <c r="DY62" s="656"/>
      <c r="DZ62" s="656"/>
      <c r="EA62" s="656"/>
      <c r="EB62" s="656"/>
      <c r="EC62" s="656"/>
      <c r="ED62" s="656"/>
      <c r="EE62" s="656"/>
      <c r="EF62" s="656"/>
      <c r="EG62" s="656"/>
      <c r="EH62" s="656"/>
      <c r="EI62" s="656"/>
      <c r="EJ62" s="656"/>
      <c r="EK62" s="656"/>
      <c r="EL62" s="656"/>
      <c r="EM62" s="656"/>
      <c r="EN62" s="656"/>
      <c r="EO62" s="656"/>
      <c r="EP62" s="656"/>
      <c r="EQ62" s="656"/>
      <c r="ER62" s="656"/>
      <c r="ES62" s="656"/>
      <c r="ET62" s="656"/>
      <c r="EU62" s="656"/>
      <c r="EV62" s="656"/>
      <c r="EW62" s="656"/>
      <c r="EX62" s="656"/>
      <c r="EY62" s="656"/>
      <c r="EZ62" s="656"/>
      <c r="FA62" s="656"/>
      <c r="FB62" s="656"/>
      <c r="FC62" s="656"/>
      <c r="FD62" s="656"/>
      <c r="FE62" s="656"/>
      <c r="FF62" s="656"/>
      <c r="FG62" s="656"/>
      <c r="FH62" s="656"/>
      <c r="FI62" s="656"/>
      <c r="FJ62" s="656"/>
      <c r="FK62" s="656"/>
      <c r="FL62" s="656"/>
      <c r="FM62" s="656"/>
      <c r="FN62" s="656"/>
      <c r="FO62" s="656"/>
      <c r="FP62" s="656"/>
      <c r="FQ62" s="656"/>
      <c r="FR62" s="656"/>
      <c r="FS62" s="656"/>
      <c r="FT62" s="656"/>
      <c r="FU62" s="656"/>
      <c r="FV62" s="656"/>
      <c r="FW62" s="656"/>
      <c r="FX62" s="656"/>
      <c r="FY62" s="656"/>
      <c r="FZ62" s="656"/>
      <c r="GA62" s="656"/>
      <c r="GB62" s="656"/>
      <c r="GC62" s="656"/>
      <c r="GD62" s="656"/>
      <c r="GE62" s="656"/>
      <c r="GF62" s="656"/>
      <c r="GG62" s="656"/>
      <c r="GH62" s="656"/>
      <c r="GI62" s="656"/>
      <c r="GJ62" s="656"/>
      <c r="GK62" s="656"/>
      <c r="GL62" s="656"/>
      <c r="GM62" s="656"/>
      <c r="GN62" s="656"/>
      <c r="GO62" s="656"/>
      <c r="GP62" s="656"/>
      <c r="GQ62" s="656"/>
      <c r="GR62" s="656"/>
      <c r="GS62" s="656"/>
      <c r="GT62" s="656"/>
      <c r="GU62" s="656"/>
      <c r="GV62" s="656"/>
      <c r="GW62" s="656"/>
      <c r="GX62" s="656"/>
      <c r="GY62" s="656"/>
      <c r="GZ62" s="656"/>
      <c r="HA62" s="656"/>
      <c r="HB62" s="656"/>
      <c r="HC62" s="656"/>
      <c r="HD62" s="656"/>
      <c r="HE62" s="656"/>
      <c r="HF62" s="656"/>
      <c r="HG62" s="656"/>
      <c r="HH62" s="656"/>
      <c r="HI62" s="656"/>
      <c r="HJ62" s="656"/>
      <c r="HK62" s="656"/>
      <c r="HL62" s="656"/>
      <c r="HM62" s="656"/>
      <c r="HN62" s="656"/>
      <c r="HO62" s="656"/>
      <c r="HP62" s="656"/>
      <c r="HQ62" s="656"/>
      <c r="HR62" s="656"/>
      <c r="HS62" s="656"/>
      <c r="HT62" s="656"/>
      <c r="HU62" s="656"/>
      <c r="HV62" s="656"/>
      <c r="HW62" s="656"/>
      <c r="HX62" s="656"/>
      <c r="HY62" s="656"/>
      <c r="HZ62" s="656"/>
    </row>
    <row r="63" spans="1:234" s="657" customFormat="1" ht="28.5" x14ac:dyDescent="0.25">
      <c r="A63" s="1013"/>
      <c r="B63" s="1014">
        <v>40</v>
      </c>
      <c r="C63" s="1015" t="s">
        <v>861</v>
      </c>
      <c r="D63" s="1016" t="s">
        <v>912</v>
      </c>
      <c r="E63" s="1017">
        <v>1</v>
      </c>
      <c r="F63" s="1018">
        <v>10975</v>
      </c>
      <c r="G63" s="1019">
        <v>10975</v>
      </c>
      <c r="H63" s="486">
        <v>1700</v>
      </c>
      <c r="I63" s="1026">
        <v>2000</v>
      </c>
      <c r="J63" s="1020">
        <v>21950000</v>
      </c>
      <c r="K63" s="1021">
        <v>2210</v>
      </c>
      <c r="L63" s="480">
        <v>24254750</v>
      </c>
      <c r="M63" s="1024">
        <v>510</v>
      </c>
      <c r="N63" s="488">
        <v>5597250</v>
      </c>
      <c r="O63" s="1032">
        <v>1700</v>
      </c>
      <c r="P63" s="488">
        <v>18657500</v>
      </c>
      <c r="Q63" s="1024">
        <v>0</v>
      </c>
      <c r="R63" s="488">
        <v>0</v>
      </c>
      <c r="S63" s="1023"/>
      <c r="T63" s="656"/>
      <c r="U63" s="656"/>
      <c r="V63" s="656"/>
      <c r="W63" s="656"/>
      <c r="X63" s="656"/>
      <c r="Y63" s="656"/>
      <c r="Z63" s="656"/>
      <c r="AA63" s="656"/>
      <c r="AB63" s="656"/>
      <c r="AC63" s="656"/>
      <c r="AD63" s="656"/>
      <c r="AE63" s="656"/>
      <c r="AF63" s="656"/>
      <c r="AG63" s="656"/>
      <c r="AH63" s="656"/>
      <c r="AI63" s="656"/>
      <c r="AJ63" s="656"/>
      <c r="AK63" s="656"/>
      <c r="AL63" s="656"/>
      <c r="AM63" s="656"/>
      <c r="AN63" s="656"/>
      <c r="AO63" s="656"/>
      <c r="AP63" s="656"/>
      <c r="AQ63" s="656"/>
      <c r="AR63" s="656"/>
      <c r="AS63" s="656"/>
      <c r="AT63" s="656"/>
      <c r="AU63" s="656"/>
      <c r="AV63" s="656"/>
      <c r="AW63" s="656"/>
      <c r="AX63" s="656"/>
      <c r="AY63" s="656"/>
      <c r="AZ63" s="656"/>
      <c r="BA63" s="656"/>
      <c r="BB63" s="656"/>
      <c r="BC63" s="656"/>
      <c r="BD63" s="656"/>
      <c r="BE63" s="656"/>
      <c r="BF63" s="656"/>
      <c r="BG63" s="656"/>
      <c r="BH63" s="656"/>
      <c r="BI63" s="656"/>
      <c r="BJ63" s="656"/>
      <c r="BK63" s="656"/>
      <c r="BL63" s="656"/>
      <c r="BM63" s="656"/>
      <c r="BN63" s="656"/>
      <c r="BO63" s="656"/>
      <c r="BP63" s="656"/>
      <c r="BQ63" s="656"/>
      <c r="BR63" s="656"/>
      <c r="BS63" s="656"/>
      <c r="BT63" s="656"/>
      <c r="BU63" s="656"/>
      <c r="BV63" s="656"/>
      <c r="BW63" s="656"/>
      <c r="BX63" s="656"/>
      <c r="BY63" s="656"/>
      <c r="BZ63" s="656"/>
      <c r="CA63" s="656"/>
      <c r="CB63" s="656"/>
      <c r="CC63" s="656"/>
      <c r="CD63" s="656"/>
      <c r="CE63" s="656"/>
      <c r="CF63" s="656"/>
      <c r="CG63" s="656"/>
      <c r="CH63" s="656"/>
      <c r="CI63" s="656"/>
      <c r="CJ63" s="656"/>
      <c r="CK63" s="656"/>
      <c r="CL63" s="656"/>
      <c r="CM63" s="656"/>
      <c r="CN63" s="656"/>
      <c r="CO63" s="656"/>
      <c r="CP63" s="656"/>
      <c r="CQ63" s="656"/>
      <c r="CR63" s="656"/>
      <c r="CS63" s="656"/>
      <c r="CT63" s="656"/>
      <c r="CU63" s="656"/>
      <c r="CV63" s="656"/>
      <c r="CW63" s="656"/>
      <c r="CX63" s="656"/>
      <c r="CY63" s="656"/>
      <c r="CZ63" s="656"/>
      <c r="DA63" s="656"/>
      <c r="DB63" s="656"/>
      <c r="DC63" s="656"/>
      <c r="DD63" s="656"/>
      <c r="DE63" s="656"/>
      <c r="DF63" s="656"/>
      <c r="DG63" s="656"/>
      <c r="DH63" s="656"/>
      <c r="DI63" s="656"/>
      <c r="DJ63" s="656"/>
      <c r="DK63" s="656"/>
      <c r="DL63" s="656"/>
      <c r="DM63" s="656"/>
      <c r="DN63" s="656"/>
      <c r="DO63" s="656"/>
      <c r="DP63" s="656"/>
      <c r="DQ63" s="656"/>
      <c r="DR63" s="656"/>
      <c r="DS63" s="656"/>
      <c r="DT63" s="656"/>
      <c r="DU63" s="656"/>
      <c r="DV63" s="656"/>
      <c r="DW63" s="656"/>
      <c r="DX63" s="656"/>
      <c r="DY63" s="656"/>
      <c r="DZ63" s="656"/>
      <c r="EA63" s="656"/>
      <c r="EB63" s="656"/>
      <c r="EC63" s="656"/>
      <c r="ED63" s="656"/>
      <c r="EE63" s="656"/>
      <c r="EF63" s="656"/>
      <c r="EG63" s="656"/>
      <c r="EH63" s="656"/>
      <c r="EI63" s="656"/>
      <c r="EJ63" s="656"/>
      <c r="EK63" s="656"/>
      <c r="EL63" s="656"/>
      <c r="EM63" s="656"/>
      <c r="EN63" s="656"/>
      <c r="EO63" s="656"/>
      <c r="EP63" s="656"/>
      <c r="EQ63" s="656"/>
      <c r="ER63" s="656"/>
      <c r="ES63" s="656"/>
      <c r="ET63" s="656"/>
      <c r="EU63" s="656"/>
      <c r="EV63" s="656"/>
      <c r="EW63" s="656"/>
      <c r="EX63" s="656"/>
      <c r="EY63" s="656"/>
      <c r="EZ63" s="656"/>
      <c r="FA63" s="656"/>
      <c r="FB63" s="656"/>
      <c r="FC63" s="656"/>
      <c r="FD63" s="656"/>
      <c r="FE63" s="656"/>
      <c r="FF63" s="656"/>
      <c r="FG63" s="656"/>
      <c r="FH63" s="656"/>
      <c r="FI63" s="656"/>
      <c r="FJ63" s="656"/>
      <c r="FK63" s="656"/>
      <c r="FL63" s="656"/>
      <c r="FM63" s="656"/>
      <c r="FN63" s="656"/>
      <c r="FO63" s="656"/>
      <c r="FP63" s="656"/>
      <c r="FQ63" s="656"/>
      <c r="FR63" s="656"/>
      <c r="FS63" s="656"/>
      <c r="FT63" s="656"/>
      <c r="FU63" s="656"/>
      <c r="FV63" s="656"/>
      <c r="FW63" s="656"/>
      <c r="FX63" s="656"/>
      <c r="FY63" s="656"/>
      <c r="FZ63" s="656"/>
      <c r="GA63" s="656"/>
      <c r="GB63" s="656"/>
      <c r="GC63" s="656"/>
      <c r="GD63" s="656"/>
      <c r="GE63" s="656"/>
      <c r="GF63" s="656"/>
      <c r="GG63" s="656"/>
      <c r="GH63" s="656"/>
      <c r="GI63" s="656"/>
      <c r="GJ63" s="656"/>
      <c r="GK63" s="656"/>
      <c r="GL63" s="656"/>
      <c r="GM63" s="656"/>
      <c r="GN63" s="656"/>
      <c r="GO63" s="656"/>
      <c r="GP63" s="656"/>
      <c r="GQ63" s="656"/>
      <c r="GR63" s="656"/>
      <c r="GS63" s="656"/>
      <c r="GT63" s="656"/>
      <c r="GU63" s="656"/>
      <c r="GV63" s="656"/>
      <c r="GW63" s="656"/>
      <c r="GX63" s="656"/>
      <c r="GY63" s="656"/>
      <c r="GZ63" s="656"/>
      <c r="HA63" s="656"/>
      <c r="HB63" s="656"/>
      <c r="HC63" s="656"/>
      <c r="HD63" s="656"/>
      <c r="HE63" s="656"/>
      <c r="HF63" s="656"/>
      <c r="HG63" s="656"/>
      <c r="HH63" s="656"/>
      <c r="HI63" s="656"/>
      <c r="HJ63" s="656"/>
      <c r="HK63" s="656"/>
      <c r="HL63" s="656"/>
      <c r="HM63" s="656"/>
      <c r="HN63" s="656"/>
      <c r="HO63" s="656"/>
      <c r="HP63" s="656"/>
      <c r="HQ63" s="656"/>
      <c r="HR63" s="656"/>
      <c r="HS63" s="656"/>
      <c r="HT63" s="656"/>
      <c r="HU63" s="656"/>
      <c r="HV63" s="656"/>
      <c r="HW63" s="656"/>
      <c r="HX63" s="656"/>
      <c r="HY63" s="656"/>
      <c r="HZ63" s="656"/>
    </row>
    <row r="64" spans="1:234" s="657" customFormat="1" x14ac:dyDescent="0.25">
      <c r="A64" s="1013"/>
      <c r="B64" s="1014">
        <v>41</v>
      </c>
      <c r="C64" s="1015" t="s">
        <v>862</v>
      </c>
      <c r="D64" s="1016" t="s">
        <v>848</v>
      </c>
      <c r="E64" s="1017">
        <v>1</v>
      </c>
      <c r="F64" s="1018">
        <v>44307</v>
      </c>
      <c r="G64" s="1019">
        <v>44307</v>
      </c>
      <c r="H64" s="486">
        <v>4</v>
      </c>
      <c r="I64" s="1030">
        <v>0</v>
      </c>
      <c r="J64" s="1020">
        <v>0</v>
      </c>
      <c r="K64" s="1021">
        <v>24</v>
      </c>
      <c r="L64" s="480">
        <v>1063368</v>
      </c>
      <c r="M64" s="1024">
        <v>1.2</v>
      </c>
      <c r="N64" s="488">
        <v>53168.4</v>
      </c>
      <c r="O64" s="1024">
        <v>22.8</v>
      </c>
      <c r="P64" s="488">
        <v>1010199.6</v>
      </c>
      <c r="Q64" s="1024">
        <v>0</v>
      </c>
      <c r="R64" s="488">
        <v>0</v>
      </c>
      <c r="S64" s="1023"/>
      <c r="T64" s="656"/>
      <c r="U64" s="656"/>
      <c r="V64" s="656"/>
      <c r="W64" s="656"/>
      <c r="X64" s="656"/>
      <c r="Y64" s="656"/>
      <c r="Z64" s="656"/>
      <c r="AA64" s="656"/>
      <c r="AB64" s="656"/>
      <c r="AC64" s="656"/>
      <c r="AD64" s="656"/>
      <c r="AE64" s="656"/>
      <c r="AF64" s="656"/>
      <c r="AG64" s="656"/>
      <c r="AH64" s="656"/>
      <c r="AI64" s="656"/>
      <c r="AJ64" s="656"/>
      <c r="AK64" s="656"/>
      <c r="AL64" s="656"/>
      <c r="AM64" s="656"/>
      <c r="AN64" s="656"/>
      <c r="AO64" s="656"/>
      <c r="AP64" s="656"/>
      <c r="AQ64" s="656"/>
      <c r="AR64" s="656"/>
      <c r="AS64" s="656"/>
      <c r="AT64" s="656"/>
      <c r="AU64" s="656"/>
      <c r="AV64" s="656"/>
      <c r="AW64" s="656"/>
      <c r="AX64" s="656"/>
      <c r="AY64" s="656"/>
      <c r="AZ64" s="656"/>
      <c r="BA64" s="656"/>
      <c r="BB64" s="656"/>
      <c r="BC64" s="656"/>
      <c r="BD64" s="656"/>
      <c r="BE64" s="656"/>
      <c r="BF64" s="656"/>
      <c r="BG64" s="656"/>
      <c r="BH64" s="656"/>
      <c r="BI64" s="656"/>
      <c r="BJ64" s="656"/>
      <c r="BK64" s="656"/>
      <c r="BL64" s="656"/>
      <c r="BM64" s="656"/>
      <c r="BN64" s="656"/>
      <c r="BO64" s="656"/>
      <c r="BP64" s="656"/>
      <c r="BQ64" s="656"/>
      <c r="BR64" s="656"/>
      <c r="BS64" s="656"/>
      <c r="BT64" s="656"/>
      <c r="BU64" s="656"/>
      <c r="BV64" s="656"/>
      <c r="BW64" s="656"/>
      <c r="BX64" s="656"/>
      <c r="BY64" s="656"/>
      <c r="BZ64" s="656"/>
      <c r="CA64" s="656"/>
      <c r="CB64" s="656"/>
      <c r="CC64" s="656"/>
      <c r="CD64" s="656"/>
      <c r="CE64" s="656"/>
      <c r="CF64" s="656"/>
      <c r="CG64" s="656"/>
      <c r="CH64" s="656"/>
      <c r="CI64" s="656"/>
      <c r="CJ64" s="656"/>
      <c r="CK64" s="656"/>
      <c r="CL64" s="656"/>
      <c r="CM64" s="656"/>
      <c r="CN64" s="656"/>
      <c r="CO64" s="656"/>
      <c r="CP64" s="656"/>
      <c r="CQ64" s="656"/>
      <c r="CR64" s="656"/>
      <c r="CS64" s="656"/>
      <c r="CT64" s="656"/>
      <c r="CU64" s="656"/>
      <c r="CV64" s="656"/>
      <c r="CW64" s="656"/>
      <c r="CX64" s="656"/>
      <c r="CY64" s="656"/>
      <c r="CZ64" s="656"/>
      <c r="DA64" s="656"/>
      <c r="DB64" s="656"/>
      <c r="DC64" s="656"/>
      <c r="DD64" s="656"/>
      <c r="DE64" s="656"/>
      <c r="DF64" s="656"/>
      <c r="DG64" s="656"/>
      <c r="DH64" s="656"/>
      <c r="DI64" s="656"/>
      <c r="DJ64" s="656"/>
      <c r="DK64" s="656"/>
      <c r="DL64" s="656"/>
      <c r="DM64" s="656"/>
      <c r="DN64" s="656"/>
      <c r="DO64" s="656"/>
      <c r="DP64" s="656"/>
      <c r="DQ64" s="656"/>
      <c r="DR64" s="656"/>
      <c r="DS64" s="656"/>
      <c r="DT64" s="656"/>
      <c r="DU64" s="656"/>
      <c r="DV64" s="656"/>
      <c r="DW64" s="656"/>
      <c r="DX64" s="656"/>
      <c r="DY64" s="656"/>
      <c r="DZ64" s="656"/>
      <c r="EA64" s="656"/>
      <c r="EB64" s="656"/>
      <c r="EC64" s="656"/>
      <c r="ED64" s="656"/>
      <c r="EE64" s="656"/>
      <c r="EF64" s="656"/>
      <c r="EG64" s="656"/>
      <c r="EH64" s="656"/>
      <c r="EI64" s="656"/>
      <c r="EJ64" s="656"/>
      <c r="EK64" s="656"/>
      <c r="EL64" s="656"/>
      <c r="EM64" s="656"/>
      <c r="EN64" s="656"/>
      <c r="EO64" s="656"/>
      <c r="EP64" s="656"/>
      <c r="EQ64" s="656"/>
      <c r="ER64" s="656"/>
      <c r="ES64" s="656"/>
      <c r="ET64" s="656"/>
      <c r="EU64" s="656"/>
      <c r="EV64" s="656"/>
      <c r="EW64" s="656"/>
      <c r="EX64" s="656"/>
      <c r="EY64" s="656"/>
      <c r="EZ64" s="656"/>
      <c r="FA64" s="656"/>
      <c r="FB64" s="656"/>
      <c r="FC64" s="656"/>
      <c r="FD64" s="656"/>
      <c r="FE64" s="656"/>
      <c r="FF64" s="656"/>
      <c r="FG64" s="656"/>
      <c r="FH64" s="656"/>
      <c r="FI64" s="656"/>
      <c r="FJ64" s="656"/>
      <c r="FK64" s="656"/>
      <c r="FL64" s="656"/>
      <c r="FM64" s="656"/>
      <c r="FN64" s="656"/>
      <c r="FO64" s="656"/>
      <c r="FP64" s="656"/>
      <c r="FQ64" s="656"/>
      <c r="FR64" s="656"/>
      <c r="FS64" s="656"/>
      <c r="FT64" s="656"/>
      <c r="FU64" s="656"/>
      <c r="FV64" s="656"/>
      <c r="FW64" s="656"/>
      <c r="FX64" s="656"/>
      <c r="FY64" s="656"/>
      <c r="FZ64" s="656"/>
      <c r="GA64" s="656"/>
      <c r="GB64" s="656"/>
      <c r="GC64" s="656"/>
      <c r="GD64" s="656"/>
      <c r="GE64" s="656"/>
      <c r="GF64" s="656"/>
      <c r="GG64" s="656"/>
      <c r="GH64" s="656"/>
      <c r="GI64" s="656"/>
      <c r="GJ64" s="656"/>
      <c r="GK64" s="656"/>
      <c r="GL64" s="656"/>
      <c r="GM64" s="656"/>
      <c r="GN64" s="656"/>
      <c r="GO64" s="656"/>
      <c r="GP64" s="656"/>
      <c r="GQ64" s="656"/>
      <c r="GR64" s="656"/>
      <c r="GS64" s="656"/>
      <c r="GT64" s="656"/>
      <c r="GU64" s="656"/>
      <c r="GV64" s="656"/>
      <c r="GW64" s="656"/>
      <c r="GX64" s="656"/>
      <c r="GY64" s="656"/>
      <c r="GZ64" s="656"/>
      <c r="HA64" s="656"/>
      <c r="HB64" s="656"/>
      <c r="HC64" s="656"/>
      <c r="HD64" s="656"/>
      <c r="HE64" s="656"/>
      <c r="HF64" s="656"/>
      <c r="HG64" s="656"/>
      <c r="HH64" s="656"/>
      <c r="HI64" s="656"/>
      <c r="HJ64" s="656"/>
      <c r="HK64" s="656"/>
      <c r="HL64" s="656"/>
      <c r="HM64" s="656"/>
      <c r="HN64" s="656"/>
      <c r="HO64" s="656"/>
      <c r="HP64" s="656"/>
      <c r="HQ64" s="656"/>
      <c r="HR64" s="656"/>
      <c r="HS64" s="656"/>
      <c r="HT64" s="656"/>
      <c r="HU64" s="656"/>
      <c r="HV64" s="656"/>
      <c r="HW64" s="656"/>
      <c r="HX64" s="656"/>
      <c r="HY64" s="656"/>
      <c r="HZ64" s="656"/>
    </row>
    <row r="65" spans="1:234" s="657" customFormat="1" ht="28.5" x14ac:dyDescent="0.25">
      <c r="A65" s="1013"/>
      <c r="B65" s="1014">
        <v>42</v>
      </c>
      <c r="C65" s="1015" t="s">
        <v>133</v>
      </c>
      <c r="D65" s="1016" t="s">
        <v>848</v>
      </c>
      <c r="E65" s="1017">
        <v>1</v>
      </c>
      <c r="F65" s="1018">
        <v>71649</v>
      </c>
      <c r="G65" s="1019">
        <v>71649</v>
      </c>
      <c r="H65" s="486">
        <v>56</v>
      </c>
      <c r="I65" s="1030">
        <v>0</v>
      </c>
      <c r="J65" s="1020">
        <v>0</v>
      </c>
      <c r="K65" s="1021">
        <v>63</v>
      </c>
      <c r="L65" s="480">
        <v>4513887</v>
      </c>
      <c r="M65" s="1024">
        <v>16.8</v>
      </c>
      <c r="N65" s="488">
        <v>1203703.2</v>
      </c>
      <c r="O65" s="1024">
        <v>0</v>
      </c>
      <c r="P65" s="488">
        <v>0</v>
      </c>
      <c r="Q65" s="1024">
        <v>46.2</v>
      </c>
      <c r="R65" s="488">
        <v>3310183.8000000003</v>
      </c>
      <c r="S65" s="1023"/>
      <c r="T65" s="656"/>
      <c r="U65" s="1033"/>
      <c r="V65" s="656"/>
      <c r="W65" s="656"/>
      <c r="X65" s="656"/>
      <c r="Y65" s="656"/>
      <c r="Z65" s="656"/>
      <c r="AA65" s="656"/>
      <c r="AB65" s="656"/>
      <c r="AC65" s="656"/>
      <c r="AD65" s="656"/>
      <c r="AE65" s="656"/>
      <c r="AF65" s="656"/>
      <c r="AG65" s="656"/>
      <c r="AH65" s="656"/>
      <c r="AI65" s="656"/>
      <c r="AJ65" s="656"/>
      <c r="AK65" s="656"/>
      <c r="AL65" s="656"/>
      <c r="AM65" s="656"/>
      <c r="AN65" s="656"/>
      <c r="AO65" s="656"/>
      <c r="AP65" s="656"/>
      <c r="AQ65" s="656"/>
      <c r="AR65" s="656"/>
      <c r="AS65" s="656"/>
      <c r="AT65" s="656"/>
      <c r="AU65" s="656"/>
      <c r="AV65" s="656"/>
      <c r="AW65" s="656"/>
      <c r="AX65" s="656"/>
      <c r="AY65" s="656"/>
      <c r="AZ65" s="656"/>
      <c r="BA65" s="656"/>
      <c r="BB65" s="656"/>
      <c r="BC65" s="656"/>
      <c r="BD65" s="656"/>
      <c r="BE65" s="656"/>
      <c r="BF65" s="656"/>
      <c r="BG65" s="656"/>
      <c r="BH65" s="656"/>
      <c r="BI65" s="656"/>
      <c r="BJ65" s="656"/>
      <c r="BK65" s="656"/>
      <c r="BL65" s="656"/>
      <c r="BM65" s="656"/>
      <c r="BN65" s="656"/>
      <c r="BO65" s="656"/>
      <c r="BP65" s="656"/>
      <c r="BQ65" s="656"/>
      <c r="BR65" s="656"/>
      <c r="BS65" s="656"/>
      <c r="BT65" s="656"/>
      <c r="BU65" s="656"/>
      <c r="BV65" s="656"/>
      <c r="BW65" s="656"/>
      <c r="BX65" s="656"/>
      <c r="BY65" s="656"/>
      <c r="BZ65" s="656"/>
      <c r="CA65" s="656"/>
      <c r="CB65" s="656"/>
      <c r="CC65" s="656"/>
      <c r="CD65" s="656"/>
      <c r="CE65" s="656"/>
      <c r="CF65" s="656"/>
      <c r="CG65" s="656"/>
      <c r="CH65" s="656"/>
      <c r="CI65" s="656"/>
      <c r="CJ65" s="656"/>
      <c r="CK65" s="656"/>
      <c r="CL65" s="656"/>
      <c r="CM65" s="656"/>
      <c r="CN65" s="656"/>
      <c r="CO65" s="656"/>
      <c r="CP65" s="656"/>
      <c r="CQ65" s="656"/>
      <c r="CR65" s="656"/>
      <c r="CS65" s="656"/>
      <c r="CT65" s="656"/>
      <c r="CU65" s="656"/>
      <c r="CV65" s="656"/>
      <c r="CW65" s="656"/>
      <c r="CX65" s="656"/>
      <c r="CY65" s="656"/>
      <c r="CZ65" s="656"/>
      <c r="DA65" s="656"/>
      <c r="DB65" s="656"/>
      <c r="DC65" s="656"/>
      <c r="DD65" s="656"/>
      <c r="DE65" s="656"/>
      <c r="DF65" s="656"/>
      <c r="DG65" s="656"/>
      <c r="DH65" s="656"/>
      <c r="DI65" s="656"/>
      <c r="DJ65" s="656"/>
      <c r="DK65" s="656"/>
      <c r="DL65" s="656"/>
      <c r="DM65" s="656"/>
      <c r="DN65" s="656"/>
      <c r="DO65" s="656"/>
      <c r="DP65" s="656"/>
      <c r="DQ65" s="656"/>
      <c r="DR65" s="656"/>
      <c r="DS65" s="656"/>
      <c r="DT65" s="656"/>
      <c r="DU65" s="656"/>
      <c r="DV65" s="656"/>
      <c r="DW65" s="656"/>
      <c r="DX65" s="656"/>
      <c r="DY65" s="656"/>
      <c r="DZ65" s="656"/>
      <c r="EA65" s="656"/>
      <c r="EB65" s="656"/>
      <c r="EC65" s="656"/>
      <c r="ED65" s="656"/>
      <c r="EE65" s="656"/>
      <c r="EF65" s="656"/>
      <c r="EG65" s="656"/>
      <c r="EH65" s="656"/>
      <c r="EI65" s="656"/>
      <c r="EJ65" s="656"/>
      <c r="EK65" s="656"/>
      <c r="EL65" s="656"/>
      <c r="EM65" s="656"/>
      <c r="EN65" s="656"/>
      <c r="EO65" s="656"/>
      <c r="EP65" s="656"/>
      <c r="EQ65" s="656"/>
      <c r="ER65" s="656"/>
      <c r="ES65" s="656"/>
      <c r="ET65" s="656"/>
      <c r="EU65" s="656"/>
      <c r="EV65" s="656"/>
      <c r="EW65" s="656"/>
      <c r="EX65" s="656"/>
      <c r="EY65" s="656"/>
      <c r="EZ65" s="656"/>
      <c r="FA65" s="656"/>
      <c r="FB65" s="656"/>
      <c r="FC65" s="656"/>
      <c r="FD65" s="656"/>
      <c r="FE65" s="656"/>
      <c r="FF65" s="656"/>
      <c r="FG65" s="656"/>
      <c r="FH65" s="656"/>
      <c r="FI65" s="656"/>
      <c r="FJ65" s="656"/>
      <c r="FK65" s="656"/>
      <c r="FL65" s="656"/>
      <c r="FM65" s="656"/>
      <c r="FN65" s="656"/>
      <c r="FO65" s="656"/>
      <c r="FP65" s="656"/>
      <c r="FQ65" s="656"/>
      <c r="FR65" s="656"/>
      <c r="FS65" s="656"/>
      <c r="FT65" s="656"/>
      <c r="FU65" s="656"/>
      <c r="FV65" s="656"/>
      <c r="FW65" s="656"/>
      <c r="FX65" s="656"/>
      <c r="FY65" s="656"/>
      <c r="FZ65" s="656"/>
      <c r="GA65" s="656"/>
      <c r="GB65" s="656"/>
      <c r="GC65" s="656"/>
      <c r="GD65" s="656"/>
      <c r="GE65" s="656"/>
      <c r="GF65" s="656"/>
      <c r="GG65" s="656"/>
      <c r="GH65" s="656"/>
      <c r="GI65" s="656"/>
      <c r="GJ65" s="656"/>
      <c r="GK65" s="656"/>
      <c r="GL65" s="656"/>
      <c r="GM65" s="656"/>
      <c r="GN65" s="656"/>
      <c r="GO65" s="656"/>
      <c r="GP65" s="656"/>
      <c r="GQ65" s="656"/>
      <c r="GR65" s="656"/>
      <c r="GS65" s="656"/>
      <c r="GT65" s="656"/>
      <c r="GU65" s="656"/>
      <c r="GV65" s="656"/>
      <c r="GW65" s="656"/>
      <c r="GX65" s="656"/>
      <c r="GY65" s="656"/>
      <c r="GZ65" s="656"/>
      <c r="HA65" s="656"/>
      <c r="HB65" s="656"/>
      <c r="HC65" s="656"/>
      <c r="HD65" s="656"/>
      <c r="HE65" s="656"/>
      <c r="HF65" s="656"/>
      <c r="HG65" s="656"/>
      <c r="HH65" s="656"/>
      <c r="HI65" s="656"/>
      <c r="HJ65" s="656"/>
      <c r="HK65" s="656"/>
      <c r="HL65" s="656"/>
      <c r="HM65" s="656"/>
      <c r="HN65" s="656"/>
      <c r="HO65" s="656"/>
      <c r="HP65" s="656"/>
      <c r="HQ65" s="656"/>
      <c r="HR65" s="656"/>
      <c r="HS65" s="656"/>
      <c r="HT65" s="656"/>
      <c r="HU65" s="656"/>
      <c r="HV65" s="656"/>
      <c r="HW65" s="656"/>
      <c r="HX65" s="656"/>
      <c r="HY65" s="656"/>
      <c r="HZ65" s="656"/>
    </row>
    <row r="66" spans="1:234" s="657" customFormat="1" ht="28.5" x14ac:dyDescent="0.25">
      <c r="A66" s="1013"/>
      <c r="B66" s="1014">
        <v>47</v>
      </c>
      <c r="C66" s="1015" t="s">
        <v>1227</v>
      </c>
      <c r="D66" s="1016" t="s">
        <v>912</v>
      </c>
      <c r="E66" s="1017">
        <v>1</v>
      </c>
      <c r="F66" s="1018">
        <v>17552</v>
      </c>
      <c r="G66" s="1019">
        <v>17552</v>
      </c>
      <c r="H66" s="486">
        <v>130</v>
      </c>
      <c r="I66" s="1026">
        <v>200.93999999999994</v>
      </c>
      <c r="J66" s="1020">
        <v>3526898.879999999</v>
      </c>
      <c r="K66" s="1021">
        <v>200.93999999999994</v>
      </c>
      <c r="L66" s="480">
        <v>3526898.879999999</v>
      </c>
      <c r="M66" s="1024">
        <v>39</v>
      </c>
      <c r="N66" s="488">
        <v>684528</v>
      </c>
      <c r="O66" s="1024">
        <v>161.93999999999994</v>
      </c>
      <c r="P66" s="488">
        <v>2842370.879999999</v>
      </c>
      <c r="Q66" s="1024">
        <v>0</v>
      </c>
      <c r="R66" s="488">
        <v>0</v>
      </c>
      <c r="S66" s="1023"/>
      <c r="T66" s="656"/>
      <c r="U66" s="656"/>
      <c r="V66" s="656"/>
      <c r="W66" s="656"/>
      <c r="X66" s="656"/>
      <c r="Y66" s="656"/>
      <c r="Z66" s="656"/>
      <c r="AA66" s="656"/>
      <c r="AB66" s="656"/>
      <c r="AC66" s="656"/>
      <c r="AD66" s="656"/>
      <c r="AE66" s="656"/>
      <c r="AF66" s="656"/>
      <c r="AG66" s="656"/>
      <c r="AH66" s="656"/>
      <c r="AI66" s="656"/>
      <c r="AJ66" s="656"/>
      <c r="AK66" s="656"/>
      <c r="AL66" s="656"/>
      <c r="AM66" s="656"/>
      <c r="AN66" s="656"/>
      <c r="AO66" s="656"/>
      <c r="AP66" s="656"/>
      <c r="AQ66" s="656"/>
      <c r="AR66" s="656"/>
      <c r="AS66" s="656"/>
      <c r="AT66" s="656"/>
      <c r="AU66" s="656"/>
      <c r="AV66" s="656"/>
      <c r="AW66" s="656"/>
      <c r="AX66" s="656"/>
      <c r="AY66" s="656"/>
      <c r="AZ66" s="656"/>
      <c r="BA66" s="656"/>
      <c r="BB66" s="656"/>
      <c r="BC66" s="656"/>
      <c r="BD66" s="656"/>
      <c r="BE66" s="656"/>
      <c r="BF66" s="656"/>
      <c r="BG66" s="656"/>
      <c r="BH66" s="656"/>
      <c r="BI66" s="656"/>
      <c r="BJ66" s="656"/>
      <c r="BK66" s="656"/>
      <c r="BL66" s="656"/>
      <c r="BM66" s="656"/>
      <c r="BN66" s="656"/>
      <c r="BO66" s="656"/>
      <c r="BP66" s="656"/>
      <c r="BQ66" s="656"/>
      <c r="BR66" s="656"/>
      <c r="BS66" s="656"/>
      <c r="BT66" s="656"/>
      <c r="BU66" s="656"/>
      <c r="BV66" s="656"/>
      <c r="BW66" s="656"/>
      <c r="BX66" s="656"/>
      <c r="BY66" s="656"/>
      <c r="BZ66" s="656"/>
      <c r="CA66" s="656"/>
      <c r="CB66" s="656"/>
      <c r="CC66" s="656"/>
      <c r="CD66" s="656"/>
      <c r="CE66" s="656"/>
      <c r="CF66" s="656"/>
      <c r="CG66" s="656"/>
      <c r="CH66" s="656"/>
      <c r="CI66" s="656"/>
      <c r="CJ66" s="656"/>
      <c r="CK66" s="656"/>
      <c r="CL66" s="656"/>
      <c r="CM66" s="656"/>
      <c r="CN66" s="656"/>
      <c r="CO66" s="656"/>
      <c r="CP66" s="656"/>
      <c r="CQ66" s="656"/>
      <c r="CR66" s="656"/>
      <c r="CS66" s="656"/>
      <c r="CT66" s="656"/>
      <c r="CU66" s="656"/>
      <c r="CV66" s="656"/>
      <c r="CW66" s="656"/>
      <c r="CX66" s="656"/>
      <c r="CY66" s="656"/>
      <c r="CZ66" s="656"/>
      <c r="DA66" s="656"/>
      <c r="DB66" s="656"/>
      <c r="DC66" s="656"/>
      <c r="DD66" s="656"/>
      <c r="DE66" s="656"/>
      <c r="DF66" s="656"/>
      <c r="DG66" s="656"/>
      <c r="DH66" s="656"/>
      <c r="DI66" s="656"/>
      <c r="DJ66" s="656"/>
      <c r="DK66" s="656"/>
      <c r="DL66" s="656"/>
      <c r="DM66" s="656"/>
      <c r="DN66" s="656"/>
      <c r="DO66" s="656"/>
      <c r="DP66" s="656"/>
      <c r="DQ66" s="656"/>
      <c r="DR66" s="656"/>
      <c r="DS66" s="656"/>
      <c r="DT66" s="656"/>
      <c r="DU66" s="656"/>
      <c r="DV66" s="656"/>
      <c r="DW66" s="656"/>
      <c r="DX66" s="656"/>
      <c r="DY66" s="656"/>
      <c r="DZ66" s="656"/>
      <c r="EA66" s="656"/>
      <c r="EB66" s="656"/>
      <c r="EC66" s="656"/>
      <c r="ED66" s="656"/>
      <c r="EE66" s="656"/>
      <c r="EF66" s="656"/>
      <c r="EG66" s="656"/>
      <c r="EH66" s="656"/>
      <c r="EI66" s="656"/>
      <c r="EJ66" s="656"/>
      <c r="EK66" s="656"/>
      <c r="EL66" s="656"/>
      <c r="EM66" s="656"/>
      <c r="EN66" s="656"/>
      <c r="EO66" s="656"/>
      <c r="EP66" s="656"/>
      <c r="EQ66" s="656"/>
      <c r="ER66" s="656"/>
      <c r="ES66" s="656"/>
      <c r="ET66" s="656"/>
      <c r="EU66" s="656"/>
      <c r="EV66" s="656"/>
      <c r="EW66" s="656"/>
      <c r="EX66" s="656"/>
      <c r="EY66" s="656"/>
      <c r="EZ66" s="656"/>
      <c r="FA66" s="656"/>
      <c r="FB66" s="656"/>
      <c r="FC66" s="656"/>
      <c r="FD66" s="656"/>
      <c r="FE66" s="656"/>
      <c r="FF66" s="656"/>
      <c r="FG66" s="656"/>
      <c r="FH66" s="656"/>
      <c r="FI66" s="656"/>
      <c r="FJ66" s="656"/>
      <c r="FK66" s="656"/>
      <c r="FL66" s="656"/>
      <c r="FM66" s="656"/>
      <c r="FN66" s="656"/>
      <c r="FO66" s="656"/>
      <c r="FP66" s="656"/>
      <c r="FQ66" s="656"/>
      <c r="FR66" s="656"/>
      <c r="FS66" s="656"/>
      <c r="FT66" s="656"/>
      <c r="FU66" s="656"/>
      <c r="FV66" s="656"/>
      <c r="FW66" s="656"/>
      <c r="FX66" s="656"/>
      <c r="FY66" s="656"/>
      <c r="FZ66" s="656"/>
      <c r="GA66" s="656"/>
      <c r="GB66" s="656"/>
      <c r="GC66" s="656"/>
      <c r="GD66" s="656"/>
      <c r="GE66" s="656"/>
      <c r="GF66" s="656"/>
      <c r="GG66" s="656"/>
      <c r="GH66" s="656"/>
      <c r="GI66" s="656"/>
      <c r="GJ66" s="656"/>
      <c r="GK66" s="656"/>
      <c r="GL66" s="656"/>
      <c r="GM66" s="656"/>
      <c r="GN66" s="656"/>
      <c r="GO66" s="656"/>
      <c r="GP66" s="656"/>
      <c r="GQ66" s="656"/>
      <c r="GR66" s="656"/>
      <c r="GS66" s="656"/>
      <c r="GT66" s="656"/>
      <c r="GU66" s="656"/>
      <c r="GV66" s="656"/>
      <c r="GW66" s="656"/>
      <c r="GX66" s="656"/>
      <c r="GY66" s="656"/>
      <c r="GZ66" s="656"/>
      <c r="HA66" s="656"/>
      <c r="HB66" s="656"/>
      <c r="HC66" s="656"/>
      <c r="HD66" s="656"/>
      <c r="HE66" s="656"/>
      <c r="HF66" s="656"/>
      <c r="HG66" s="656"/>
      <c r="HH66" s="656"/>
      <c r="HI66" s="656"/>
      <c r="HJ66" s="656"/>
      <c r="HK66" s="656"/>
      <c r="HL66" s="656"/>
      <c r="HM66" s="656"/>
      <c r="HN66" s="656"/>
      <c r="HO66" s="656"/>
      <c r="HP66" s="656"/>
      <c r="HQ66" s="656"/>
      <c r="HR66" s="656"/>
      <c r="HS66" s="656"/>
      <c r="HT66" s="656"/>
      <c r="HU66" s="656"/>
      <c r="HV66" s="656"/>
      <c r="HW66" s="656"/>
      <c r="HX66" s="656"/>
      <c r="HY66" s="656"/>
      <c r="HZ66" s="656"/>
    </row>
    <row r="67" spans="1:234" s="657" customFormat="1" x14ac:dyDescent="0.25">
      <c r="A67" s="1013"/>
      <c r="B67" s="996"/>
      <c r="C67" s="997" t="s">
        <v>1299</v>
      </c>
      <c r="D67" s="998"/>
      <c r="E67" s="999"/>
      <c r="F67" s="1000"/>
      <c r="G67" s="1001"/>
      <c r="H67" s="1002"/>
      <c r="I67" s="1003"/>
      <c r="J67" s="1025"/>
      <c r="K67" s="1005"/>
      <c r="L67" s="1006"/>
      <c r="M67" s="1007"/>
      <c r="N67" s="1008"/>
      <c r="O67" s="1007"/>
      <c r="P67" s="1008"/>
      <c r="Q67" s="1007"/>
      <c r="R67" s="1008"/>
      <c r="S67" s="1023"/>
      <c r="T67" s="656"/>
      <c r="U67" s="656"/>
      <c r="V67" s="656"/>
      <c r="W67" s="656"/>
      <c r="X67" s="656"/>
      <c r="Y67" s="656"/>
      <c r="Z67" s="656"/>
      <c r="AA67" s="656"/>
      <c r="AB67" s="656"/>
      <c r="AC67" s="656"/>
      <c r="AD67" s="656"/>
      <c r="AE67" s="656"/>
      <c r="AF67" s="656"/>
      <c r="AG67" s="656"/>
      <c r="AH67" s="656"/>
      <c r="AI67" s="656"/>
      <c r="AJ67" s="656"/>
      <c r="AK67" s="656"/>
      <c r="AL67" s="656"/>
      <c r="AM67" s="656"/>
      <c r="AN67" s="656"/>
      <c r="AO67" s="656"/>
      <c r="AP67" s="656"/>
      <c r="AQ67" s="656"/>
      <c r="AR67" s="656"/>
      <c r="AS67" s="656"/>
      <c r="AT67" s="656"/>
      <c r="AU67" s="656"/>
      <c r="AV67" s="656"/>
      <c r="AW67" s="656"/>
      <c r="AX67" s="656"/>
      <c r="AY67" s="656"/>
      <c r="AZ67" s="656"/>
      <c r="BA67" s="656"/>
      <c r="BB67" s="656"/>
      <c r="BC67" s="656"/>
      <c r="BD67" s="656"/>
      <c r="BE67" s="656"/>
      <c r="BF67" s="656"/>
      <c r="BG67" s="656"/>
      <c r="BH67" s="656"/>
      <c r="BI67" s="656"/>
      <c r="BJ67" s="656"/>
      <c r="BK67" s="656"/>
      <c r="BL67" s="656"/>
      <c r="BM67" s="656"/>
      <c r="BN67" s="656"/>
      <c r="BO67" s="656"/>
      <c r="BP67" s="656"/>
      <c r="BQ67" s="656"/>
      <c r="BR67" s="656"/>
      <c r="BS67" s="656"/>
      <c r="BT67" s="656"/>
      <c r="BU67" s="656"/>
      <c r="BV67" s="656"/>
      <c r="BW67" s="656"/>
      <c r="BX67" s="656"/>
      <c r="BY67" s="656"/>
      <c r="BZ67" s="656"/>
      <c r="CA67" s="656"/>
      <c r="CB67" s="656"/>
      <c r="CC67" s="656"/>
      <c r="CD67" s="656"/>
      <c r="CE67" s="656"/>
      <c r="CF67" s="656"/>
      <c r="CG67" s="656"/>
      <c r="CH67" s="656"/>
      <c r="CI67" s="656"/>
      <c r="CJ67" s="656"/>
      <c r="CK67" s="656"/>
      <c r="CL67" s="656"/>
      <c r="CM67" s="656"/>
      <c r="CN67" s="656"/>
      <c r="CO67" s="656"/>
      <c r="CP67" s="656"/>
      <c r="CQ67" s="656"/>
      <c r="CR67" s="656"/>
      <c r="CS67" s="656"/>
      <c r="CT67" s="656"/>
      <c r="CU67" s="656"/>
      <c r="CV67" s="656"/>
      <c r="CW67" s="656"/>
      <c r="CX67" s="656"/>
      <c r="CY67" s="656"/>
      <c r="CZ67" s="656"/>
      <c r="DA67" s="656"/>
      <c r="DB67" s="656"/>
      <c r="DC67" s="656"/>
      <c r="DD67" s="656"/>
      <c r="DE67" s="656"/>
      <c r="DF67" s="656"/>
      <c r="DG67" s="656"/>
      <c r="DH67" s="656"/>
      <c r="DI67" s="656"/>
      <c r="DJ67" s="656"/>
      <c r="DK67" s="656"/>
      <c r="DL67" s="656"/>
      <c r="DM67" s="656"/>
      <c r="DN67" s="656"/>
      <c r="DO67" s="656"/>
      <c r="DP67" s="656"/>
      <c r="DQ67" s="656"/>
      <c r="DR67" s="656"/>
      <c r="DS67" s="656"/>
      <c r="DT67" s="656"/>
      <c r="DU67" s="656"/>
      <c r="DV67" s="656"/>
      <c r="DW67" s="656"/>
      <c r="DX67" s="656"/>
      <c r="DY67" s="656"/>
      <c r="DZ67" s="656"/>
      <c r="EA67" s="656"/>
      <c r="EB67" s="656"/>
      <c r="EC67" s="656"/>
      <c r="ED67" s="656"/>
      <c r="EE67" s="656"/>
      <c r="EF67" s="656"/>
      <c r="EG67" s="656"/>
      <c r="EH67" s="656"/>
      <c r="EI67" s="656"/>
      <c r="EJ67" s="656"/>
      <c r="EK67" s="656"/>
      <c r="EL67" s="656"/>
      <c r="EM67" s="656"/>
      <c r="EN67" s="656"/>
      <c r="EO67" s="656"/>
      <c r="EP67" s="656"/>
      <c r="EQ67" s="656"/>
      <c r="ER67" s="656"/>
      <c r="ES67" s="656"/>
      <c r="ET67" s="656"/>
      <c r="EU67" s="656"/>
      <c r="EV67" s="656"/>
      <c r="EW67" s="656"/>
      <c r="EX67" s="656"/>
      <c r="EY67" s="656"/>
      <c r="EZ67" s="656"/>
      <c r="FA67" s="656"/>
      <c r="FB67" s="656"/>
      <c r="FC67" s="656"/>
      <c r="FD67" s="656"/>
      <c r="FE67" s="656"/>
      <c r="FF67" s="656"/>
      <c r="FG67" s="656"/>
      <c r="FH67" s="656"/>
      <c r="FI67" s="656"/>
      <c r="FJ67" s="656"/>
      <c r="FK67" s="656"/>
      <c r="FL67" s="656"/>
      <c r="FM67" s="656"/>
      <c r="FN67" s="656"/>
      <c r="FO67" s="656"/>
      <c r="FP67" s="656"/>
      <c r="FQ67" s="656"/>
      <c r="FR67" s="656"/>
      <c r="FS67" s="656"/>
      <c r="FT67" s="656"/>
      <c r="FU67" s="656"/>
      <c r="FV67" s="656"/>
      <c r="FW67" s="656"/>
      <c r="FX67" s="656"/>
      <c r="FY67" s="656"/>
      <c r="FZ67" s="656"/>
      <c r="GA67" s="656"/>
      <c r="GB67" s="656"/>
      <c r="GC67" s="656"/>
      <c r="GD67" s="656"/>
      <c r="GE67" s="656"/>
      <c r="GF67" s="656"/>
      <c r="GG67" s="656"/>
      <c r="GH67" s="656"/>
      <c r="GI67" s="656"/>
      <c r="GJ67" s="656"/>
      <c r="GK67" s="656"/>
      <c r="GL67" s="656"/>
      <c r="GM67" s="656"/>
      <c r="GN67" s="656"/>
      <c r="GO67" s="656"/>
      <c r="GP67" s="656"/>
      <c r="GQ67" s="656"/>
      <c r="GR67" s="656"/>
      <c r="GS67" s="656"/>
      <c r="GT67" s="656"/>
      <c r="GU67" s="656"/>
      <c r="GV67" s="656"/>
      <c r="GW67" s="656"/>
      <c r="GX67" s="656"/>
      <c r="GY67" s="656"/>
      <c r="GZ67" s="656"/>
      <c r="HA67" s="656"/>
      <c r="HB67" s="656"/>
      <c r="HC67" s="656"/>
      <c r="HD67" s="656"/>
      <c r="HE67" s="656"/>
      <c r="HF67" s="656"/>
      <c r="HG67" s="656"/>
      <c r="HH67" s="656"/>
      <c r="HI67" s="656"/>
      <c r="HJ67" s="656"/>
      <c r="HK67" s="656"/>
      <c r="HL67" s="656"/>
      <c r="HM67" s="656"/>
      <c r="HN67" s="656"/>
      <c r="HO67" s="656"/>
      <c r="HP67" s="656"/>
      <c r="HQ67" s="656"/>
      <c r="HR67" s="656"/>
      <c r="HS67" s="656"/>
      <c r="HT67" s="656"/>
      <c r="HU67" s="656"/>
      <c r="HV67" s="656"/>
      <c r="HW67" s="656"/>
      <c r="HX67" s="656"/>
      <c r="HY67" s="656"/>
      <c r="HZ67" s="656"/>
    </row>
    <row r="68" spans="1:234" s="657" customFormat="1" ht="28.5" x14ac:dyDescent="0.25">
      <c r="A68" s="1013"/>
      <c r="B68" s="1014">
        <v>23</v>
      </c>
      <c r="C68" s="1015" t="s">
        <v>849</v>
      </c>
      <c r="D68" s="1016" t="s">
        <v>842</v>
      </c>
      <c r="E68" s="1017">
        <v>1</v>
      </c>
      <c r="F68" s="1018">
        <v>60138</v>
      </c>
      <c r="G68" s="1019">
        <v>60138</v>
      </c>
      <c r="H68" s="486">
        <v>12</v>
      </c>
      <c r="I68" s="1030">
        <v>0</v>
      </c>
      <c r="J68" s="1020">
        <v>0</v>
      </c>
      <c r="K68" s="1021">
        <v>0</v>
      </c>
      <c r="L68" s="480">
        <v>0</v>
      </c>
      <c r="M68" s="1022">
        <v>0</v>
      </c>
      <c r="N68" s="488">
        <v>0</v>
      </c>
      <c r="O68" s="1022">
        <v>0</v>
      </c>
      <c r="P68" s="488">
        <v>0</v>
      </c>
      <c r="Q68" s="1022">
        <v>0</v>
      </c>
      <c r="R68" s="488">
        <v>0</v>
      </c>
      <c r="S68" s="1023"/>
      <c r="T68" s="656"/>
      <c r="U68" s="1023"/>
      <c r="V68" s="656"/>
      <c r="W68" s="656"/>
      <c r="X68" s="656"/>
      <c r="Y68" s="656"/>
      <c r="Z68" s="656"/>
      <c r="AA68" s="656"/>
      <c r="AB68" s="656"/>
      <c r="AC68" s="656"/>
      <c r="AD68" s="656"/>
      <c r="AE68" s="656"/>
      <c r="AF68" s="656"/>
      <c r="AG68" s="656"/>
      <c r="AH68" s="656"/>
      <c r="AI68" s="656"/>
      <c r="AJ68" s="656"/>
      <c r="AK68" s="656"/>
      <c r="AL68" s="656"/>
      <c r="AM68" s="656"/>
      <c r="AN68" s="656"/>
      <c r="AO68" s="656"/>
      <c r="AP68" s="656"/>
      <c r="AQ68" s="656"/>
      <c r="AR68" s="656"/>
      <c r="AS68" s="656"/>
      <c r="AT68" s="656"/>
      <c r="AU68" s="656"/>
      <c r="AV68" s="656"/>
      <c r="AW68" s="656"/>
      <c r="AX68" s="656"/>
      <c r="AY68" s="656"/>
      <c r="AZ68" s="656"/>
      <c r="BA68" s="656"/>
      <c r="BB68" s="656"/>
      <c r="BC68" s="656"/>
      <c r="BD68" s="656"/>
      <c r="BE68" s="656"/>
      <c r="BF68" s="656"/>
      <c r="BG68" s="656"/>
      <c r="BH68" s="656"/>
      <c r="BI68" s="656"/>
      <c r="BJ68" s="656"/>
      <c r="BK68" s="656"/>
      <c r="BL68" s="656"/>
      <c r="BM68" s="656"/>
      <c r="BN68" s="656"/>
      <c r="BO68" s="656"/>
      <c r="BP68" s="656"/>
      <c r="BQ68" s="656"/>
      <c r="BR68" s="656"/>
      <c r="BS68" s="656"/>
      <c r="BT68" s="656"/>
      <c r="BU68" s="656"/>
      <c r="BV68" s="656"/>
      <c r="BW68" s="656"/>
      <c r="BX68" s="656"/>
      <c r="BY68" s="656"/>
      <c r="BZ68" s="656"/>
      <c r="CA68" s="656"/>
      <c r="CB68" s="656"/>
      <c r="CC68" s="656"/>
      <c r="CD68" s="656"/>
      <c r="CE68" s="656"/>
      <c r="CF68" s="656"/>
      <c r="CG68" s="656"/>
      <c r="CH68" s="656"/>
      <c r="CI68" s="656"/>
      <c r="CJ68" s="656"/>
      <c r="CK68" s="656"/>
      <c r="CL68" s="656"/>
      <c r="CM68" s="656"/>
      <c r="CN68" s="656"/>
      <c r="CO68" s="656"/>
      <c r="CP68" s="656"/>
      <c r="CQ68" s="656"/>
      <c r="CR68" s="656"/>
      <c r="CS68" s="656"/>
      <c r="CT68" s="656"/>
      <c r="CU68" s="656"/>
      <c r="CV68" s="656"/>
      <c r="CW68" s="656"/>
      <c r="CX68" s="656"/>
      <c r="CY68" s="656"/>
      <c r="CZ68" s="656"/>
      <c r="DA68" s="656"/>
      <c r="DB68" s="656"/>
      <c r="DC68" s="656"/>
      <c r="DD68" s="656"/>
      <c r="DE68" s="656"/>
      <c r="DF68" s="656"/>
      <c r="DG68" s="656"/>
      <c r="DH68" s="656"/>
      <c r="DI68" s="656"/>
      <c r="DJ68" s="656"/>
      <c r="DK68" s="656"/>
      <c r="DL68" s="656"/>
      <c r="DM68" s="656"/>
      <c r="DN68" s="656"/>
      <c r="DO68" s="656"/>
      <c r="DP68" s="656"/>
      <c r="DQ68" s="656"/>
      <c r="DR68" s="656"/>
      <c r="DS68" s="656"/>
      <c r="DT68" s="656"/>
      <c r="DU68" s="656"/>
      <c r="DV68" s="656"/>
      <c r="DW68" s="656"/>
      <c r="DX68" s="656"/>
      <c r="DY68" s="656"/>
      <c r="DZ68" s="656"/>
      <c r="EA68" s="656"/>
      <c r="EB68" s="656"/>
      <c r="EC68" s="656"/>
      <c r="ED68" s="656"/>
      <c r="EE68" s="656"/>
      <c r="EF68" s="656"/>
      <c r="EG68" s="656"/>
      <c r="EH68" s="656"/>
      <c r="EI68" s="656"/>
      <c r="EJ68" s="656"/>
      <c r="EK68" s="656"/>
      <c r="EL68" s="656"/>
      <c r="EM68" s="656"/>
      <c r="EN68" s="656"/>
      <c r="EO68" s="656"/>
      <c r="EP68" s="656"/>
      <c r="EQ68" s="656"/>
      <c r="ER68" s="656"/>
      <c r="ES68" s="656"/>
      <c r="ET68" s="656"/>
      <c r="EU68" s="656"/>
      <c r="EV68" s="656"/>
      <c r="EW68" s="656"/>
      <c r="EX68" s="656"/>
      <c r="EY68" s="656"/>
      <c r="EZ68" s="656"/>
      <c r="FA68" s="656"/>
      <c r="FB68" s="656"/>
      <c r="FC68" s="656"/>
      <c r="FD68" s="656"/>
      <c r="FE68" s="656"/>
      <c r="FF68" s="656"/>
      <c r="FG68" s="656"/>
      <c r="FH68" s="656"/>
      <c r="FI68" s="656"/>
      <c r="FJ68" s="656"/>
      <c r="FK68" s="656"/>
      <c r="FL68" s="656"/>
      <c r="FM68" s="656"/>
      <c r="FN68" s="656"/>
      <c r="FO68" s="656"/>
      <c r="FP68" s="656"/>
      <c r="FQ68" s="656"/>
      <c r="FR68" s="656"/>
      <c r="FS68" s="656"/>
      <c r="FT68" s="656"/>
      <c r="FU68" s="656"/>
      <c r="FV68" s="656"/>
      <c r="FW68" s="656"/>
      <c r="FX68" s="656"/>
      <c r="FY68" s="656"/>
      <c r="FZ68" s="656"/>
      <c r="GA68" s="656"/>
      <c r="GB68" s="656"/>
      <c r="GC68" s="656"/>
      <c r="GD68" s="656"/>
      <c r="GE68" s="656"/>
      <c r="GF68" s="656"/>
      <c r="GG68" s="656"/>
      <c r="GH68" s="656"/>
      <c r="GI68" s="656"/>
      <c r="GJ68" s="656"/>
      <c r="GK68" s="656"/>
      <c r="GL68" s="656"/>
      <c r="GM68" s="656"/>
      <c r="GN68" s="656"/>
      <c r="GO68" s="656"/>
      <c r="GP68" s="656"/>
      <c r="GQ68" s="656"/>
      <c r="GR68" s="656"/>
      <c r="GS68" s="656"/>
      <c r="GT68" s="656"/>
      <c r="GU68" s="656"/>
      <c r="GV68" s="656"/>
      <c r="GW68" s="656"/>
      <c r="GX68" s="656"/>
      <c r="GY68" s="656"/>
      <c r="GZ68" s="656"/>
      <c r="HA68" s="656"/>
      <c r="HB68" s="656"/>
      <c r="HC68" s="656"/>
      <c r="HD68" s="656"/>
      <c r="HE68" s="656"/>
      <c r="HF68" s="656"/>
      <c r="HG68" s="656"/>
      <c r="HH68" s="656"/>
      <c r="HI68" s="656"/>
      <c r="HJ68" s="656"/>
      <c r="HK68" s="656"/>
      <c r="HL68" s="656"/>
      <c r="HM68" s="656"/>
      <c r="HN68" s="656"/>
      <c r="HO68" s="656"/>
      <c r="HP68" s="656"/>
      <c r="HQ68" s="656"/>
      <c r="HR68" s="656"/>
      <c r="HS68" s="656"/>
      <c r="HT68" s="656"/>
      <c r="HU68" s="656"/>
      <c r="HV68" s="656"/>
      <c r="HW68" s="656"/>
      <c r="HX68" s="656"/>
      <c r="HY68" s="656"/>
      <c r="HZ68" s="656"/>
    </row>
    <row r="69" spans="1:234" s="657" customFormat="1" ht="28.5" x14ac:dyDescent="0.25">
      <c r="A69" s="1013"/>
      <c r="B69" s="1014">
        <v>43</v>
      </c>
      <c r="C69" s="1015" t="s">
        <v>103</v>
      </c>
      <c r="D69" s="1016" t="s">
        <v>842</v>
      </c>
      <c r="E69" s="1017">
        <v>1</v>
      </c>
      <c r="F69" s="1018">
        <v>119690</v>
      </c>
      <c r="G69" s="1019">
        <v>119690</v>
      </c>
      <c r="H69" s="486">
        <v>117</v>
      </c>
      <c r="I69" s="1026">
        <v>197.21</v>
      </c>
      <c r="J69" s="1020">
        <v>23604064.900000002</v>
      </c>
      <c r="K69" s="1021">
        <v>197.21</v>
      </c>
      <c r="L69" s="480">
        <v>23604064.900000002</v>
      </c>
      <c r="M69" s="1024">
        <v>171.33500000000001</v>
      </c>
      <c r="N69" s="488">
        <v>20507086.150000002</v>
      </c>
      <c r="O69" s="1024">
        <v>25.875</v>
      </c>
      <c r="P69" s="488">
        <v>3096978.75</v>
      </c>
      <c r="Q69" s="1024">
        <v>0</v>
      </c>
      <c r="R69" s="488">
        <v>0</v>
      </c>
      <c r="S69" s="1023"/>
      <c r="T69" s="656"/>
      <c r="U69" s="656"/>
      <c r="V69" s="656"/>
      <c r="W69" s="656"/>
      <c r="X69" s="656"/>
      <c r="Y69" s="656"/>
      <c r="Z69" s="656"/>
      <c r="AA69" s="656"/>
      <c r="AB69" s="656"/>
      <c r="AC69" s="656"/>
      <c r="AD69" s="656"/>
      <c r="AE69" s="656"/>
      <c r="AF69" s="656"/>
      <c r="AG69" s="656"/>
      <c r="AH69" s="656"/>
      <c r="AI69" s="656"/>
      <c r="AJ69" s="656"/>
      <c r="AK69" s="656"/>
      <c r="AL69" s="656"/>
      <c r="AM69" s="656"/>
      <c r="AN69" s="656"/>
      <c r="AO69" s="656"/>
      <c r="AP69" s="656"/>
      <c r="AQ69" s="656"/>
      <c r="AR69" s="656"/>
      <c r="AS69" s="656"/>
      <c r="AT69" s="656"/>
      <c r="AU69" s="656"/>
      <c r="AV69" s="656"/>
      <c r="AW69" s="656"/>
      <c r="AX69" s="656"/>
      <c r="AY69" s="656"/>
      <c r="AZ69" s="656"/>
      <c r="BA69" s="656"/>
      <c r="BB69" s="656"/>
      <c r="BC69" s="656"/>
      <c r="BD69" s="656"/>
      <c r="BE69" s="656"/>
      <c r="BF69" s="656"/>
      <c r="BG69" s="656"/>
      <c r="BH69" s="656"/>
      <c r="BI69" s="656"/>
      <c r="BJ69" s="656"/>
      <c r="BK69" s="656"/>
      <c r="BL69" s="656"/>
      <c r="BM69" s="656"/>
      <c r="BN69" s="656"/>
      <c r="BO69" s="656"/>
      <c r="BP69" s="656"/>
      <c r="BQ69" s="656"/>
      <c r="BR69" s="656"/>
      <c r="BS69" s="656"/>
      <c r="BT69" s="656"/>
      <c r="BU69" s="656"/>
      <c r="BV69" s="656"/>
      <c r="BW69" s="656"/>
      <c r="BX69" s="656"/>
      <c r="BY69" s="656"/>
      <c r="BZ69" s="656"/>
      <c r="CA69" s="656"/>
      <c r="CB69" s="656"/>
      <c r="CC69" s="656"/>
      <c r="CD69" s="656"/>
      <c r="CE69" s="656"/>
      <c r="CF69" s="656"/>
      <c r="CG69" s="656"/>
      <c r="CH69" s="656"/>
      <c r="CI69" s="656"/>
      <c r="CJ69" s="656"/>
      <c r="CK69" s="656"/>
      <c r="CL69" s="656"/>
      <c r="CM69" s="656"/>
      <c r="CN69" s="656"/>
      <c r="CO69" s="656"/>
      <c r="CP69" s="656"/>
      <c r="CQ69" s="656"/>
      <c r="CR69" s="656"/>
      <c r="CS69" s="656"/>
      <c r="CT69" s="656"/>
      <c r="CU69" s="656"/>
      <c r="CV69" s="656"/>
      <c r="CW69" s="656"/>
      <c r="CX69" s="656"/>
      <c r="CY69" s="656"/>
      <c r="CZ69" s="656"/>
      <c r="DA69" s="656"/>
      <c r="DB69" s="656"/>
      <c r="DC69" s="656"/>
      <c r="DD69" s="656"/>
      <c r="DE69" s="656"/>
      <c r="DF69" s="656"/>
      <c r="DG69" s="656"/>
      <c r="DH69" s="656"/>
      <c r="DI69" s="656"/>
      <c r="DJ69" s="656"/>
      <c r="DK69" s="656"/>
      <c r="DL69" s="656"/>
      <c r="DM69" s="656"/>
      <c r="DN69" s="656"/>
      <c r="DO69" s="656"/>
      <c r="DP69" s="656"/>
      <c r="DQ69" s="656"/>
      <c r="DR69" s="656"/>
      <c r="DS69" s="656"/>
      <c r="DT69" s="656"/>
      <c r="DU69" s="656"/>
      <c r="DV69" s="656"/>
      <c r="DW69" s="656"/>
      <c r="DX69" s="656"/>
      <c r="DY69" s="656"/>
      <c r="DZ69" s="656"/>
      <c r="EA69" s="656"/>
      <c r="EB69" s="656"/>
      <c r="EC69" s="656"/>
      <c r="ED69" s="656"/>
      <c r="EE69" s="656"/>
      <c r="EF69" s="656"/>
      <c r="EG69" s="656"/>
      <c r="EH69" s="656"/>
      <c r="EI69" s="656"/>
      <c r="EJ69" s="656"/>
      <c r="EK69" s="656"/>
      <c r="EL69" s="656"/>
      <c r="EM69" s="656"/>
      <c r="EN69" s="656"/>
      <c r="EO69" s="656"/>
      <c r="EP69" s="656"/>
      <c r="EQ69" s="656"/>
      <c r="ER69" s="656"/>
      <c r="ES69" s="656"/>
      <c r="ET69" s="656"/>
      <c r="EU69" s="656"/>
      <c r="EV69" s="656"/>
      <c r="EW69" s="656"/>
      <c r="EX69" s="656"/>
      <c r="EY69" s="656"/>
      <c r="EZ69" s="656"/>
      <c r="FA69" s="656"/>
      <c r="FB69" s="656"/>
      <c r="FC69" s="656"/>
      <c r="FD69" s="656"/>
      <c r="FE69" s="656"/>
      <c r="FF69" s="656"/>
      <c r="FG69" s="656"/>
      <c r="FH69" s="656"/>
      <c r="FI69" s="656"/>
      <c r="FJ69" s="656"/>
      <c r="FK69" s="656"/>
      <c r="FL69" s="656"/>
      <c r="FM69" s="656"/>
      <c r="FN69" s="656"/>
      <c r="FO69" s="656"/>
      <c r="FP69" s="656"/>
      <c r="FQ69" s="656"/>
      <c r="FR69" s="656"/>
      <c r="FS69" s="656"/>
      <c r="FT69" s="656"/>
      <c r="FU69" s="656"/>
      <c r="FV69" s="656"/>
      <c r="FW69" s="656"/>
      <c r="FX69" s="656"/>
      <c r="FY69" s="656"/>
      <c r="FZ69" s="656"/>
      <c r="GA69" s="656"/>
      <c r="GB69" s="656"/>
      <c r="GC69" s="656"/>
      <c r="GD69" s="656"/>
      <c r="GE69" s="656"/>
      <c r="GF69" s="656"/>
      <c r="GG69" s="656"/>
      <c r="GH69" s="656"/>
      <c r="GI69" s="656"/>
      <c r="GJ69" s="656"/>
      <c r="GK69" s="656"/>
      <c r="GL69" s="656"/>
      <c r="GM69" s="656"/>
      <c r="GN69" s="656"/>
      <c r="GO69" s="656"/>
      <c r="GP69" s="656"/>
      <c r="GQ69" s="656"/>
      <c r="GR69" s="656"/>
      <c r="GS69" s="656"/>
      <c r="GT69" s="656"/>
      <c r="GU69" s="656"/>
      <c r="GV69" s="656"/>
      <c r="GW69" s="656"/>
      <c r="GX69" s="656"/>
      <c r="GY69" s="656"/>
      <c r="GZ69" s="656"/>
      <c r="HA69" s="656"/>
      <c r="HB69" s="656"/>
      <c r="HC69" s="656"/>
      <c r="HD69" s="656"/>
      <c r="HE69" s="656"/>
      <c r="HF69" s="656"/>
      <c r="HG69" s="656"/>
      <c r="HH69" s="656"/>
      <c r="HI69" s="656"/>
      <c r="HJ69" s="656"/>
      <c r="HK69" s="656"/>
      <c r="HL69" s="656"/>
      <c r="HM69" s="656"/>
      <c r="HN69" s="656"/>
      <c r="HO69" s="656"/>
      <c r="HP69" s="656"/>
      <c r="HQ69" s="656"/>
      <c r="HR69" s="656"/>
      <c r="HS69" s="656"/>
      <c r="HT69" s="656"/>
      <c r="HU69" s="656"/>
      <c r="HV69" s="656"/>
      <c r="HW69" s="656"/>
      <c r="HX69" s="656"/>
      <c r="HY69" s="656"/>
      <c r="HZ69" s="656"/>
    </row>
    <row r="70" spans="1:234" s="657" customFormat="1" x14ac:dyDescent="0.25">
      <c r="A70" s="1013"/>
      <c r="B70" s="1014">
        <v>44</v>
      </c>
      <c r="C70" s="1015" t="s">
        <v>105</v>
      </c>
      <c r="D70" s="1016" t="s">
        <v>912</v>
      </c>
      <c r="E70" s="1017">
        <v>1</v>
      </c>
      <c r="F70" s="1018">
        <v>54053</v>
      </c>
      <c r="G70" s="1019">
        <v>54053</v>
      </c>
      <c r="H70" s="486">
        <v>65</v>
      </c>
      <c r="I70" s="1026">
        <v>117.60000000000001</v>
      </c>
      <c r="J70" s="1020">
        <v>6356632.8000000007</v>
      </c>
      <c r="K70" s="1021">
        <v>117.60000000000001</v>
      </c>
      <c r="L70" s="480">
        <v>6356632.8000000007</v>
      </c>
      <c r="M70" s="1024">
        <v>44.8</v>
      </c>
      <c r="N70" s="488">
        <v>2421574.4</v>
      </c>
      <c r="O70" s="1024">
        <v>72.800000000000011</v>
      </c>
      <c r="P70" s="488">
        <v>3935058.4000000008</v>
      </c>
      <c r="Q70" s="1024">
        <v>0</v>
      </c>
      <c r="R70" s="488">
        <v>0</v>
      </c>
      <c r="S70" s="1023"/>
      <c r="T70" s="656"/>
      <c r="U70" s="656"/>
      <c r="V70" s="656"/>
      <c r="W70" s="656"/>
      <c r="X70" s="656"/>
      <c r="Y70" s="656"/>
      <c r="Z70" s="656"/>
      <c r="AA70" s="656"/>
      <c r="AB70" s="656"/>
      <c r="AC70" s="656"/>
      <c r="AD70" s="656"/>
      <c r="AE70" s="656"/>
      <c r="AF70" s="656"/>
      <c r="AG70" s="656"/>
      <c r="AH70" s="656"/>
      <c r="AI70" s="656"/>
      <c r="AJ70" s="656"/>
      <c r="AK70" s="656"/>
      <c r="AL70" s="656"/>
      <c r="AM70" s="656"/>
      <c r="AN70" s="656"/>
      <c r="AO70" s="656"/>
      <c r="AP70" s="656"/>
      <c r="AQ70" s="656"/>
      <c r="AR70" s="656"/>
      <c r="AS70" s="656"/>
      <c r="AT70" s="656"/>
      <c r="AU70" s="656"/>
      <c r="AV70" s="656"/>
      <c r="AW70" s="656"/>
      <c r="AX70" s="656"/>
      <c r="AY70" s="656"/>
      <c r="AZ70" s="656"/>
      <c r="BA70" s="656"/>
      <c r="BB70" s="656"/>
      <c r="BC70" s="656"/>
      <c r="BD70" s="656"/>
      <c r="BE70" s="656"/>
      <c r="BF70" s="656"/>
      <c r="BG70" s="656"/>
      <c r="BH70" s="656"/>
      <c r="BI70" s="656"/>
      <c r="BJ70" s="656"/>
      <c r="BK70" s="656"/>
      <c r="BL70" s="656"/>
      <c r="BM70" s="656"/>
      <c r="BN70" s="656"/>
      <c r="BO70" s="656"/>
      <c r="BP70" s="656"/>
      <c r="BQ70" s="656"/>
      <c r="BR70" s="656"/>
      <c r="BS70" s="656"/>
      <c r="BT70" s="656"/>
      <c r="BU70" s="656"/>
      <c r="BV70" s="656"/>
      <c r="BW70" s="656"/>
      <c r="BX70" s="656"/>
      <c r="BY70" s="656"/>
      <c r="BZ70" s="656"/>
      <c r="CA70" s="656"/>
      <c r="CB70" s="656"/>
      <c r="CC70" s="656"/>
      <c r="CD70" s="656"/>
      <c r="CE70" s="656"/>
      <c r="CF70" s="656"/>
      <c r="CG70" s="656"/>
      <c r="CH70" s="656"/>
      <c r="CI70" s="656"/>
      <c r="CJ70" s="656"/>
      <c r="CK70" s="656"/>
      <c r="CL70" s="656"/>
      <c r="CM70" s="656"/>
      <c r="CN70" s="656"/>
      <c r="CO70" s="656"/>
      <c r="CP70" s="656"/>
      <c r="CQ70" s="656"/>
      <c r="CR70" s="656"/>
      <c r="CS70" s="656"/>
      <c r="CT70" s="656"/>
      <c r="CU70" s="656"/>
      <c r="CV70" s="656"/>
      <c r="CW70" s="656"/>
      <c r="CX70" s="656"/>
      <c r="CY70" s="656"/>
      <c r="CZ70" s="656"/>
      <c r="DA70" s="656"/>
      <c r="DB70" s="656"/>
      <c r="DC70" s="656"/>
      <c r="DD70" s="656"/>
      <c r="DE70" s="656"/>
      <c r="DF70" s="656"/>
      <c r="DG70" s="656"/>
      <c r="DH70" s="656"/>
      <c r="DI70" s="656"/>
      <c r="DJ70" s="656"/>
      <c r="DK70" s="656"/>
      <c r="DL70" s="656"/>
      <c r="DM70" s="656"/>
      <c r="DN70" s="656"/>
      <c r="DO70" s="656"/>
      <c r="DP70" s="656"/>
      <c r="DQ70" s="656"/>
      <c r="DR70" s="656"/>
      <c r="DS70" s="656"/>
      <c r="DT70" s="656"/>
      <c r="DU70" s="656"/>
      <c r="DV70" s="656"/>
      <c r="DW70" s="656"/>
      <c r="DX70" s="656"/>
      <c r="DY70" s="656"/>
      <c r="DZ70" s="656"/>
      <c r="EA70" s="656"/>
      <c r="EB70" s="656"/>
      <c r="EC70" s="656"/>
      <c r="ED70" s="656"/>
      <c r="EE70" s="656"/>
      <c r="EF70" s="656"/>
      <c r="EG70" s="656"/>
      <c r="EH70" s="656"/>
      <c r="EI70" s="656"/>
      <c r="EJ70" s="656"/>
      <c r="EK70" s="656"/>
      <c r="EL70" s="656"/>
      <c r="EM70" s="656"/>
      <c r="EN70" s="656"/>
      <c r="EO70" s="656"/>
      <c r="EP70" s="656"/>
      <c r="EQ70" s="656"/>
      <c r="ER70" s="656"/>
      <c r="ES70" s="656"/>
      <c r="ET70" s="656"/>
      <c r="EU70" s="656"/>
      <c r="EV70" s="656"/>
      <c r="EW70" s="656"/>
      <c r="EX70" s="656"/>
      <c r="EY70" s="656"/>
      <c r="EZ70" s="656"/>
      <c r="FA70" s="656"/>
      <c r="FB70" s="656"/>
      <c r="FC70" s="656"/>
      <c r="FD70" s="656"/>
      <c r="FE70" s="656"/>
      <c r="FF70" s="656"/>
      <c r="FG70" s="656"/>
      <c r="FH70" s="656"/>
      <c r="FI70" s="656"/>
      <c r="FJ70" s="656"/>
      <c r="FK70" s="656"/>
      <c r="FL70" s="656"/>
      <c r="FM70" s="656"/>
      <c r="FN70" s="656"/>
      <c r="FO70" s="656"/>
      <c r="FP70" s="656"/>
      <c r="FQ70" s="656"/>
      <c r="FR70" s="656"/>
      <c r="FS70" s="656"/>
      <c r="FT70" s="656"/>
      <c r="FU70" s="656"/>
      <c r="FV70" s="656"/>
      <c r="FW70" s="656"/>
      <c r="FX70" s="656"/>
      <c r="FY70" s="656"/>
      <c r="FZ70" s="656"/>
      <c r="GA70" s="656"/>
      <c r="GB70" s="656"/>
      <c r="GC70" s="656"/>
      <c r="GD70" s="656"/>
      <c r="GE70" s="656"/>
      <c r="GF70" s="656"/>
      <c r="GG70" s="656"/>
      <c r="GH70" s="656"/>
      <c r="GI70" s="656"/>
      <c r="GJ70" s="656"/>
      <c r="GK70" s="656"/>
      <c r="GL70" s="656"/>
      <c r="GM70" s="656"/>
      <c r="GN70" s="656"/>
      <c r="GO70" s="656"/>
      <c r="GP70" s="656"/>
      <c r="GQ70" s="656"/>
      <c r="GR70" s="656"/>
      <c r="GS70" s="656"/>
      <c r="GT70" s="656"/>
      <c r="GU70" s="656"/>
      <c r="GV70" s="656"/>
      <c r="GW70" s="656"/>
      <c r="GX70" s="656"/>
      <c r="GY70" s="656"/>
      <c r="GZ70" s="656"/>
      <c r="HA70" s="656"/>
      <c r="HB70" s="656"/>
      <c r="HC70" s="656"/>
      <c r="HD70" s="656"/>
      <c r="HE70" s="656"/>
      <c r="HF70" s="656"/>
      <c r="HG70" s="656"/>
      <c r="HH70" s="656"/>
      <c r="HI70" s="656"/>
      <c r="HJ70" s="656"/>
      <c r="HK70" s="656"/>
      <c r="HL70" s="656"/>
      <c r="HM70" s="656"/>
      <c r="HN70" s="656"/>
      <c r="HO70" s="656"/>
      <c r="HP70" s="656"/>
      <c r="HQ70" s="656"/>
      <c r="HR70" s="656"/>
      <c r="HS70" s="656"/>
      <c r="HT70" s="656"/>
      <c r="HU70" s="656"/>
      <c r="HV70" s="656"/>
      <c r="HW70" s="656"/>
      <c r="HX70" s="656"/>
      <c r="HY70" s="656"/>
      <c r="HZ70" s="656"/>
    </row>
    <row r="71" spans="1:234" s="657" customFormat="1" x14ac:dyDescent="0.25">
      <c r="A71" s="1013"/>
      <c r="B71" s="1014">
        <v>45</v>
      </c>
      <c r="C71" s="1015" t="s">
        <v>866</v>
      </c>
      <c r="D71" s="1016" t="s">
        <v>912</v>
      </c>
      <c r="E71" s="1017">
        <v>1</v>
      </c>
      <c r="F71" s="1018">
        <v>36190</v>
      </c>
      <c r="G71" s="1019">
        <v>36190</v>
      </c>
      <c r="H71" s="486">
        <v>65</v>
      </c>
      <c r="I71" s="1026">
        <v>132.00000000000003</v>
      </c>
      <c r="J71" s="1020">
        <v>4777080.0000000009</v>
      </c>
      <c r="K71" s="1021">
        <v>132.00000000000003</v>
      </c>
      <c r="L71" s="480">
        <v>4777080.0000000009</v>
      </c>
      <c r="M71" s="1024">
        <v>81.100000000000023</v>
      </c>
      <c r="N71" s="488">
        <v>2935009.0000000009</v>
      </c>
      <c r="O71" s="1024">
        <v>50.9</v>
      </c>
      <c r="P71" s="488">
        <v>1842071</v>
      </c>
      <c r="Q71" s="1024">
        <v>0</v>
      </c>
      <c r="R71" s="488">
        <v>0</v>
      </c>
      <c r="S71" s="1023"/>
      <c r="T71" s="656"/>
      <c r="U71" s="656"/>
      <c r="V71" s="656"/>
      <c r="W71" s="656"/>
      <c r="X71" s="656"/>
      <c r="Y71" s="656"/>
      <c r="Z71" s="656"/>
      <c r="AA71" s="656"/>
      <c r="AB71" s="656"/>
      <c r="AC71" s="656"/>
      <c r="AD71" s="656"/>
      <c r="AE71" s="656"/>
      <c r="AF71" s="656"/>
      <c r="AG71" s="656"/>
      <c r="AH71" s="656"/>
      <c r="AI71" s="656"/>
      <c r="AJ71" s="656"/>
      <c r="AK71" s="656"/>
      <c r="AL71" s="656"/>
      <c r="AM71" s="656"/>
      <c r="AN71" s="656"/>
      <c r="AO71" s="656"/>
      <c r="AP71" s="656"/>
      <c r="AQ71" s="656"/>
      <c r="AR71" s="656"/>
      <c r="AS71" s="656"/>
      <c r="AT71" s="656"/>
      <c r="AU71" s="656"/>
      <c r="AV71" s="656"/>
      <c r="AW71" s="656"/>
      <c r="AX71" s="656"/>
      <c r="AY71" s="656"/>
      <c r="AZ71" s="656"/>
      <c r="BA71" s="656"/>
      <c r="BB71" s="656"/>
      <c r="BC71" s="656"/>
      <c r="BD71" s="656"/>
      <c r="BE71" s="656"/>
      <c r="BF71" s="656"/>
      <c r="BG71" s="656"/>
      <c r="BH71" s="656"/>
      <c r="BI71" s="656"/>
      <c r="BJ71" s="656"/>
      <c r="BK71" s="656"/>
      <c r="BL71" s="656"/>
      <c r="BM71" s="656"/>
      <c r="BN71" s="656"/>
      <c r="BO71" s="656"/>
      <c r="BP71" s="656"/>
      <c r="BQ71" s="656"/>
      <c r="BR71" s="656"/>
      <c r="BS71" s="656"/>
      <c r="BT71" s="656"/>
      <c r="BU71" s="656"/>
      <c r="BV71" s="656"/>
      <c r="BW71" s="656"/>
      <c r="BX71" s="656"/>
      <c r="BY71" s="656"/>
      <c r="BZ71" s="656"/>
      <c r="CA71" s="656"/>
      <c r="CB71" s="656"/>
      <c r="CC71" s="656"/>
      <c r="CD71" s="656"/>
      <c r="CE71" s="656"/>
      <c r="CF71" s="656"/>
      <c r="CG71" s="656"/>
      <c r="CH71" s="656"/>
      <c r="CI71" s="656"/>
      <c r="CJ71" s="656"/>
      <c r="CK71" s="656"/>
      <c r="CL71" s="656"/>
      <c r="CM71" s="656"/>
      <c r="CN71" s="656"/>
      <c r="CO71" s="656"/>
      <c r="CP71" s="656"/>
      <c r="CQ71" s="656"/>
      <c r="CR71" s="656"/>
      <c r="CS71" s="656"/>
      <c r="CT71" s="656"/>
      <c r="CU71" s="656"/>
      <c r="CV71" s="656"/>
      <c r="CW71" s="656"/>
      <c r="CX71" s="656"/>
      <c r="CY71" s="656"/>
      <c r="CZ71" s="656"/>
      <c r="DA71" s="656"/>
      <c r="DB71" s="656"/>
      <c r="DC71" s="656"/>
      <c r="DD71" s="656"/>
      <c r="DE71" s="656"/>
      <c r="DF71" s="656"/>
      <c r="DG71" s="656"/>
      <c r="DH71" s="656"/>
      <c r="DI71" s="656"/>
      <c r="DJ71" s="656"/>
      <c r="DK71" s="656"/>
      <c r="DL71" s="656"/>
      <c r="DM71" s="656"/>
      <c r="DN71" s="656"/>
      <c r="DO71" s="656"/>
      <c r="DP71" s="656"/>
      <c r="DQ71" s="656"/>
      <c r="DR71" s="656"/>
      <c r="DS71" s="656"/>
      <c r="DT71" s="656"/>
      <c r="DU71" s="656"/>
      <c r="DV71" s="656"/>
      <c r="DW71" s="656"/>
      <c r="DX71" s="656"/>
      <c r="DY71" s="656"/>
      <c r="DZ71" s="656"/>
      <c r="EA71" s="656"/>
      <c r="EB71" s="656"/>
      <c r="EC71" s="656"/>
      <c r="ED71" s="656"/>
      <c r="EE71" s="656"/>
      <c r="EF71" s="656"/>
      <c r="EG71" s="656"/>
      <c r="EH71" s="656"/>
      <c r="EI71" s="656"/>
      <c r="EJ71" s="656"/>
      <c r="EK71" s="656"/>
      <c r="EL71" s="656"/>
      <c r="EM71" s="656"/>
      <c r="EN71" s="656"/>
      <c r="EO71" s="656"/>
      <c r="EP71" s="656"/>
      <c r="EQ71" s="656"/>
      <c r="ER71" s="656"/>
      <c r="ES71" s="656"/>
      <c r="ET71" s="656"/>
      <c r="EU71" s="656"/>
      <c r="EV71" s="656"/>
      <c r="EW71" s="656"/>
      <c r="EX71" s="656"/>
      <c r="EY71" s="656"/>
      <c r="EZ71" s="656"/>
      <c r="FA71" s="656"/>
      <c r="FB71" s="656"/>
      <c r="FC71" s="656"/>
      <c r="FD71" s="656"/>
      <c r="FE71" s="656"/>
      <c r="FF71" s="656"/>
      <c r="FG71" s="656"/>
      <c r="FH71" s="656"/>
      <c r="FI71" s="656"/>
      <c r="FJ71" s="656"/>
      <c r="FK71" s="656"/>
      <c r="FL71" s="656"/>
      <c r="FM71" s="656"/>
      <c r="FN71" s="656"/>
      <c r="FO71" s="656"/>
      <c r="FP71" s="656"/>
      <c r="FQ71" s="656"/>
      <c r="FR71" s="656"/>
      <c r="FS71" s="656"/>
      <c r="FT71" s="656"/>
      <c r="FU71" s="656"/>
      <c r="FV71" s="656"/>
      <c r="FW71" s="656"/>
      <c r="FX71" s="656"/>
      <c r="FY71" s="656"/>
      <c r="FZ71" s="656"/>
      <c r="GA71" s="656"/>
      <c r="GB71" s="656"/>
      <c r="GC71" s="656"/>
      <c r="GD71" s="656"/>
      <c r="GE71" s="656"/>
      <c r="GF71" s="656"/>
      <c r="GG71" s="656"/>
      <c r="GH71" s="656"/>
      <c r="GI71" s="656"/>
      <c r="GJ71" s="656"/>
      <c r="GK71" s="656"/>
      <c r="GL71" s="656"/>
      <c r="GM71" s="656"/>
      <c r="GN71" s="656"/>
      <c r="GO71" s="656"/>
      <c r="GP71" s="656"/>
      <c r="GQ71" s="656"/>
      <c r="GR71" s="656"/>
      <c r="GS71" s="656"/>
      <c r="GT71" s="656"/>
      <c r="GU71" s="656"/>
      <c r="GV71" s="656"/>
      <c r="GW71" s="656"/>
      <c r="GX71" s="656"/>
      <c r="GY71" s="656"/>
      <c r="GZ71" s="656"/>
      <c r="HA71" s="656"/>
      <c r="HB71" s="656"/>
      <c r="HC71" s="656"/>
      <c r="HD71" s="656"/>
      <c r="HE71" s="656"/>
      <c r="HF71" s="656"/>
      <c r="HG71" s="656"/>
      <c r="HH71" s="656"/>
      <c r="HI71" s="656"/>
      <c r="HJ71" s="656"/>
      <c r="HK71" s="656"/>
      <c r="HL71" s="656"/>
      <c r="HM71" s="656"/>
      <c r="HN71" s="656"/>
      <c r="HO71" s="656"/>
      <c r="HP71" s="656"/>
      <c r="HQ71" s="656"/>
      <c r="HR71" s="656"/>
      <c r="HS71" s="656"/>
      <c r="HT71" s="656"/>
      <c r="HU71" s="656"/>
      <c r="HV71" s="656"/>
      <c r="HW71" s="656"/>
      <c r="HX71" s="656"/>
      <c r="HY71" s="656"/>
      <c r="HZ71" s="656"/>
    </row>
    <row r="72" spans="1:234" s="657" customFormat="1" x14ac:dyDescent="0.25">
      <c r="A72" s="1013"/>
      <c r="B72" s="1014">
        <v>46</v>
      </c>
      <c r="C72" s="1015" t="s">
        <v>867</v>
      </c>
      <c r="D72" s="1016" t="s">
        <v>842</v>
      </c>
      <c r="E72" s="1017">
        <v>1</v>
      </c>
      <c r="F72" s="1018">
        <v>20061</v>
      </c>
      <c r="G72" s="1019">
        <v>20061</v>
      </c>
      <c r="H72" s="486">
        <v>16</v>
      </c>
      <c r="I72" s="1026">
        <v>54.167999999999999</v>
      </c>
      <c r="J72" s="1020">
        <v>1086664.2479999999</v>
      </c>
      <c r="K72" s="1021">
        <v>54.167999999999999</v>
      </c>
      <c r="L72" s="480">
        <v>1086664.2479999999</v>
      </c>
      <c r="M72" s="1024">
        <v>32.038000000000004</v>
      </c>
      <c r="N72" s="488">
        <v>642714.31800000009</v>
      </c>
      <c r="O72" s="1024">
        <v>22.129999999999995</v>
      </c>
      <c r="P72" s="488">
        <v>443949.92999999993</v>
      </c>
      <c r="Q72" s="1024">
        <v>0</v>
      </c>
      <c r="R72" s="488">
        <v>0</v>
      </c>
      <c r="S72" s="1023"/>
      <c r="T72" s="656"/>
      <c r="U72" s="656"/>
      <c r="V72" s="656"/>
      <c r="W72" s="656"/>
      <c r="X72" s="656"/>
      <c r="Y72" s="656"/>
      <c r="Z72" s="656"/>
      <c r="AA72" s="656"/>
      <c r="AB72" s="656"/>
      <c r="AC72" s="656"/>
      <c r="AD72" s="656"/>
      <c r="AE72" s="656"/>
      <c r="AF72" s="656"/>
      <c r="AG72" s="656"/>
      <c r="AH72" s="656"/>
      <c r="AI72" s="656"/>
      <c r="AJ72" s="656"/>
      <c r="AK72" s="656"/>
      <c r="AL72" s="656"/>
      <c r="AM72" s="656"/>
      <c r="AN72" s="656"/>
      <c r="AO72" s="656"/>
      <c r="AP72" s="656"/>
      <c r="AQ72" s="656"/>
      <c r="AR72" s="656"/>
      <c r="AS72" s="656"/>
      <c r="AT72" s="656"/>
      <c r="AU72" s="656"/>
      <c r="AV72" s="656"/>
      <c r="AW72" s="656"/>
      <c r="AX72" s="656"/>
      <c r="AY72" s="656"/>
      <c r="AZ72" s="656"/>
      <c r="BA72" s="656"/>
      <c r="BB72" s="656"/>
      <c r="BC72" s="656"/>
      <c r="BD72" s="656"/>
      <c r="BE72" s="656"/>
      <c r="BF72" s="656"/>
      <c r="BG72" s="656"/>
      <c r="BH72" s="656"/>
      <c r="BI72" s="656"/>
      <c r="BJ72" s="656"/>
      <c r="BK72" s="656"/>
      <c r="BL72" s="656"/>
      <c r="BM72" s="656"/>
      <c r="BN72" s="656"/>
      <c r="BO72" s="656"/>
      <c r="BP72" s="656"/>
      <c r="BQ72" s="656"/>
      <c r="BR72" s="656"/>
      <c r="BS72" s="656"/>
      <c r="BT72" s="656"/>
      <c r="BU72" s="656"/>
      <c r="BV72" s="656"/>
      <c r="BW72" s="656"/>
      <c r="BX72" s="656"/>
      <c r="BY72" s="656"/>
      <c r="BZ72" s="656"/>
      <c r="CA72" s="656"/>
      <c r="CB72" s="656"/>
      <c r="CC72" s="656"/>
      <c r="CD72" s="656"/>
      <c r="CE72" s="656"/>
      <c r="CF72" s="656"/>
      <c r="CG72" s="656"/>
      <c r="CH72" s="656"/>
      <c r="CI72" s="656"/>
      <c r="CJ72" s="656"/>
      <c r="CK72" s="656"/>
      <c r="CL72" s="656"/>
      <c r="CM72" s="656"/>
      <c r="CN72" s="656"/>
      <c r="CO72" s="656"/>
      <c r="CP72" s="656"/>
      <c r="CQ72" s="656"/>
      <c r="CR72" s="656"/>
      <c r="CS72" s="656"/>
      <c r="CT72" s="656"/>
      <c r="CU72" s="656"/>
      <c r="CV72" s="656"/>
      <c r="CW72" s="656"/>
      <c r="CX72" s="656"/>
      <c r="CY72" s="656"/>
      <c r="CZ72" s="656"/>
      <c r="DA72" s="656"/>
      <c r="DB72" s="656"/>
      <c r="DC72" s="656"/>
      <c r="DD72" s="656"/>
      <c r="DE72" s="656"/>
      <c r="DF72" s="656"/>
      <c r="DG72" s="656"/>
      <c r="DH72" s="656"/>
      <c r="DI72" s="656"/>
      <c r="DJ72" s="656"/>
      <c r="DK72" s="656"/>
      <c r="DL72" s="656"/>
      <c r="DM72" s="656"/>
      <c r="DN72" s="656"/>
      <c r="DO72" s="656"/>
      <c r="DP72" s="656"/>
      <c r="DQ72" s="656"/>
      <c r="DR72" s="656"/>
      <c r="DS72" s="656"/>
      <c r="DT72" s="656"/>
      <c r="DU72" s="656"/>
      <c r="DV72" s="656"/>
      <c r="DW72" s="656"/>
      <c r="DX72" s="656"/>
      <c r="DY72" s="656"/>
      <c r="DZ72" s="656"/>
      <c r="EA72" s="656"/>
      <c r="EB72" s="656"/>
      <c r="EC72" s="656"/>
      <c r="ED72" s="656"/>
      <c r="EE72" s="656"/>
      <c r="EF72" s="656"/>
      <c r="EG72" s="656"/>
      <c r="EH72" s="656"/>
      <c r="EI72" s="656"/>
      <c r="EJ72" s="656"/>
      <c r="EK72" s="656"/>
      <c r="EL72" s="656"/>
      <c r="EM72" s="656"/>
      <c r="EN72" s="656"/>
      <c r="EO72" s="656"/>
      <c r="EP72" s="656"/>
      <c r="EQ72" s="656"/>
      <c r="ER72" s="656"/>
      <c r="ES72" s="656"/>
      <c r="ET72" s="656"/>
      <c r="EU72" s="656"/>
      <c r="EV72" s="656"/>
      <c r="EW72" s="656"/>
      <c r="EX72" s="656"/>
      <c r="EY72" s="656"/>
      <c r="EZ72" s="656"/>
      <c r="FA72" s="656"/>
      <c r="FB72" s="656"/>
      <c r="FC72" s="656"/>
      <c r="FD72" s="656"/>
      <c r="FE72" s="656"/>
      <c r="FF72" s="656"/>
      <c r="FG72" s="656"/>
      <c r="FH72" s="656"/>
      <c r="FI72" s="656"/>
      <c r="FJ72" s="656"/>
      <c r="FK72" s="656"/>
      <c r="FL72" s="656"/>
      <c r="FM72" s="656"/>
      <c r="FN72" s="656"/>
      <c r="FO72" s="656"/>
      <c r="FP72" s="656"/>
      <c r="FQ72" s="656"/>
      <c r="FR72" s="656"/>
      <c r="FS72" s="656"/>
      <c r="FT72" s="656"/>
      <c r="FU72" s="656"/>
      <c r="FV72" s="656"/>
      <c r="FW72" s="656"/>
      <c r="FX72" s="656"/>
      <c r="FY72" s="656"/>
      <c r="FZ72" s="656"/>
      <c r="GA72" s="656"/>
      <c r="GB72" s="656"/>
      <c r="GC72" s="656"/>
      <c r="GD72" s="656"/>
      <c r="GE72" s="656"/>
      <c r="GF72" s="656"/>
      <c r="GG72" s="656"/>
      <c r="GH72" s="656"/>
      <c r="GI72" s="656"/>
      <c r="GJ72" s="656"/>
      <c r="GK72" s="656"/>
      <c r="GL72" s="656"/>
      <c r="GM72" s="656"/>
      <c r="GN72" s="656"/>
      <c r="GO72" s="656"/>
      <c r="GP72" s="656"/>
      <c r="GQ72" s="656"/>
      <c r="GR72" s="656"/>
      <c r="GS72" s="656"/>
      <c r="GT72" s="656"/>
      <c r="GU72" s="656"/>
      <c r="GV72" s="656"/>
      <c r="GW72" s="656"/>
      <c r="GX72" s="656"/>
      <c r="GY72" s="656"/>
      <c r="GZ72" s="656"/>
      <c r="HA72" s="656"/>
      <c r="HB72" s="656"/>
      <c r="HC72" s="656"/>
      <c r="HD72" s="656"/>
      <c r="HE72" s="656"/>
      <c r="HF72" s="656"/>
      <c r="HG72" s="656"/>
      <c r="HH72" s="656"/>
      <c r="HI72" s="656"/>
      <c r="HJ72" s="656"/>
      <c r="HK72" s="656"/>
      <c r="HL72" s="656"/>
      <c r="HM72" s="656"/>
      <c r="HN72" s="656"/>
      <c r="HO72" s="656"/>
      <c r="HP72" s="656"/>
      <c r="HQ72" s="656"/>
      <c r="HR72" s="656"/>
      <c r="HS72" s="656"/>
      <c r="HT72" s="656"/>
      <c r="HU72" s="656"/>
      <c r="HV72" s="656"/>
      <c r="HW72" s="656"/>
      <c r="HX72" s="656"/>
      <c r="HY72" s="656"/>
      <c r="HZ72" s="656"/>
    </row>
    <row r="73" spans="1:234" s="657" customFormat="1" x14ac:dyDescent="0.25">
      <c r="A73" s="1013"/>
      <c r="B73" s="996"/>
      <c r="C73" s="997" t="s">
        <v>1300</v>
      </c>
      <c r="D73" s="998"/>
      <c r="E73" s="999"/>
      <c r="F73" s="1000"/>
      <c r="G73" s="1001"/>
      <c r="H73" s="1002"/>
      <c r="I73" s="1003"/>
      <c r="J73" s="1025"/>
      <c r="K73" s="1005"/>
      <c r="L73" s="1006"/>
      <c r="M73" s="1007"/>
      <c r="N73" s="1008"/>
      <c r="O73" s="1007"/>
      <c r="P73" s="1008"/>
      <c r="Q73" s="1007"/>
      <c r="R73" s="1008"/>
      <c r="S73" s="1023"/>
      <c r="T73" s="656"/>
      <c r="U73" s="656"/>
      <c r="V73" s="656"/>
      <c r="W73" s="656"/>
      <c r="X73" s="656"/>
      <c r="Y73" s="656"/>
      <c r="Z73" s="656"/>
      <c r="AA73" s="656"/>
      <c r="AB73" s="656"/>
      <c r="AC73" s="656"/>
      <c r="AD73" s="656"/>
      <c r="AE73" s="656"/>
      <c r="AF73" s="656"/>
      <c r="AG73" s="656"/>
      <c r="AH73" s="656"/>
      <c r="AI73" s="656"/>
      <c r="AJ73" s="656"/>
      <c r="AK73" s="656"/>
      <c r="AL73" s="656"/>
      <c r="AM73" s="656"/>
      <c r="AN73" s="656"/>
      <c r="AO73" s="656"/>
      <c r="AP73" s="656"/>
      <c r="AQ73" s="656"/>
      <c r="AR73" s="656"/>
      <c r="AS73" s="656"/>
      <c r="AT73" s="656"/>
      <c r="AU73" s="656"/>
      <c r="AV73" s="656"/>
      <c r="AW73" s="656"/>
      <c r="AX73" s="656"/>
      <c r="AY73" s="656"/>
      <c r="AZ73" s="656"/>
      <c r="BA73" s="656"/>
      <c r="BB73" s="656"/>
      <c r="BC73" s="656"/>
      <c r="BD73" s="656"/>
      <c r="BE73" s="656"/>
      <c r="BF73" s="656"/>
      <c r="BG73" s="656"/>
      <c r="BH73" s="656"/>
      <c r="BI73" s="656"/>
      <c r="BJ73" s="656"/>
      <c r="BK73" s="656"/>
      <c r="BL73" s="656"/>
      <c r="BM73" s="656"/>
      <c r="BN73" s="656"/>
      <c r="BO73" s="656"/>
      <c r="BP73" s="656"/>
      <c r="BQ73" s="656"/>
      <c r="BR73" s="656"/>
      <c r="BS73" s="656"/>
      <c r="BT73" s="656"/>
      <c r="BU73" s="656"/>
      <c r="BV73" s="656"/>
      <c r="BW73" s="656"/>
      <c r="BX73" s="656"/>
      <c r="BY73" s="656"/>
      <c r="BZ73" s="656"/>
      <c r="CA73" s="656"/>
      <c r="CB73" s="656"/>
      <c r="CC73" s="656"/>
      <c r="CD73" s="656"/>
      <c r="CE73" s="656"/>
      <c r="CF73" s="656"/>
      <c r="CG73" s="656"/>
      <c r="CH73" s="656"/>
      <c r="CI73" s="656"/>
      <c r="CJ73" s="656"/>
      <c r="CK73" s="656"/>
      <c r="CL73" s="656"/>
      <c r="CM73" s="656"/>
      <c r="CN73" s="656"/>
      <c r="CO73" s="656"/>
      <c r="CP73" s="656"/>
      <c r="CQ73" s="656"/>
      <c r="CR73" s="656"/>
      <c r="CS73" s="656"/>
      <c r="CT73" s="656"/>
      <c r="CU73" s="656"/>
      <c r="CV73" s="656"/>
      <c r="CW73" s="656"/>
      <c r="CX73" s="656"/>
      <c r="CY73" s="656"/>
      <c r="CZ73" s="656"/>
      <c r="DA73" s="656"/>
      <c r="DB73" s="656"/>
      <c r="DC73" s="656"/>
      <c r="DD73" s="656"/>
      <c r="DE73" s="656"/>
      <c r="DF73" s="656"/>
      <c r="DG73" s="656"/>
      <c r="DH73" s="656"/>
      <c r="DI73" s="656"/>
      <c r="DJ73" s="656"/>
      <c r="DK73" s="656"/>
      <c r="DL73" s="656"/>
      <c r="DM73" s="656"/>
      <c r="DN73" s="656"/>
      <c r="DO73" s="656"/>
      <c r="DP73" s="656"/>
      <c r="DQ73" s="656"/>
      <c r="DR73" s="656"/>
      <c r="DS73" s="656"/>
      <c r="DT73" s="656"/>
      <c r="DU73" s="656"/>
      <c r="DV73" s="656"/>
      <c r="DW73" s="656"/>
      <c r="DX73" s="656"/>
      <c r="DY73" s="656"/>
      <c r="DZ73" s="656"/>
      <c r="EA73" s="656"/>
      <c r="EB73" s="656"/>
      <c r="EC73" s="656"/>
      <c r="ED73" s="656"/>
      <c r="EE73" s="656"/>
      <c r="EF73" s="656"/>
      <c r="EG73" s="656"/>
      <c r="EH73" s="656"/>
      <c r="EI73" s="656"/>
      <c r="EJ73" s="656"/>
      <c r="EK73" s="656"/>
      <c r="EL73" s="656"/>
      <c r="EM73" s="656"/>
      <c r="EN73" s="656"/>
      <c r="EO73" s="656"/>
      <c r="EP73" s="656"/>
      <c r="EQ73" s="656"/>
      <c r="ER73" s="656"/>
      <c r="ES73" s="656"/>
      <c r="ET73" s="656"/>
      <c r="EU73" s="656"/>
      <c r="EV73" s="656"/>
      <c r="EW73" s="656"/>
      <c r="EX73" s="656"/>
      <c r="EY73" s="656"/>
      <c r="EZ73" s="656"/>
      <c r="FA73" s="656"/>
      <c r="FB73" s="656"/>
      <c r="FC73" s="656"/>
      <c r="FD73" s="656"/>
      <c r="FE73" s="656"/>
      <c r="FF73" s="656"/>
      <c r="FG73" s="656"/>
      <c r="FH73" s="656"/>
      <c r="FI73" s="656"/>
      <c r="FJ73" s="656"/>
      <c r="FK73" s="656"/>
      <c r="FL73" s="656"/>
      <c r="FM73" s="656"/>
      <c r="FN73" s="656"/>
      <c r="FO73" s="656"/>
      <c r="FP73" s="656"/>
      <c r="FQ73" s="656"/>
      <c r="FR73" s="656"/>
      <c r="FS73" s="656"/>
      <c r="FT73" s="656"/>
      <c r="FU73" s="656"/>
      <c r="FV73" s="656"/>
      <c r="FW73" s="656"/>
      <c r="FX73" s="656"/>
      <c r="FY73" s="656"/>
      <c r="FZ73" s="656"/>
      <c r="GA73" s="656"/>
      <c r="GB73" s="656"/>
      <c r="GC73" s="656"/>
      <c r="GD73" s="656"/>
      <c r="GE73" s="656"/>
      <c r="GF73" s="656"/>
      <c r="GG73" s="656"/>
      <c r="GH73" s="656"/>
      <c r="GI73" s="656"/>
      <c r="GJ73" s="656"/>
      <c r="GK73" s="656"/>
      <c r="GL73" s="656"/>
      <c r="GM73" s="656"/>
      <c r="GN73" s="656"/>
      <c r="GO73" s="656"/>
      <c r="GP73" s="656"/>
      <c r="GQ73" s="656"/>
      <c r="GR73" s="656"/>
      <c r="GS73" s="656"/>
      <c r="GT73" s="656"/>
      <c r="GU73" s="656"/>
      <c r="GV73" s="656"/>
      <c r="GW73" s="656"/>
      <c r="GX73" s="656"/>
      <c r="GY73" s="656"/>
      <c r="GZ73" s="656"/>
      <c r="HA73" s="656"/>
      <c r="HB73" s="656"/>
      <c r="HC73" s="656"/>
      <c r="HD73" s="656"/>
      <c r="HE73" s="656"/>
      <c r="HF73" s="656"/>
      <c r="HG73" s="656"/>
      <c r="HH73" s="656"/>
      <c r="HI73" s="656"/>
      <c r="HJ73" s="656"/>
      <c r="HK73" s="656"/>
      <c r="HL73" s="656"/>
      <c r="HM73" s="656"/>
      <c r="HN73" s="656"/>
      <c r="HO73" s="656"/>
      <c r="HP73" s="656"/>
      <c r="HQ73" s="656"/>
      <c r="HR73" s="656"/>
      <c r="HS73" s="656"/>
      <c r="HT73" s="656"/>
      <c r="HU73" s="656"/>
      <c r="HV73" s="656"/>
      <c r="HW73" s="656"/>
      <c r="HX73" s="656"/>
      <c r="HY73" s="656"/>
      <c r="HZ73" s="656"/>
    </row>
    <row r="74" spans="1:234" s="657" customFormat="1" ht="28.5" x14ac:dyDescent="0.25">
      <c r="A74" s="1013"/>
      <c r="B74" s="1014">
        <v>48</v>
      </c>
      <c r="C74" s="1015" t="s">
        <v>409</v>
      </c>
      <c r="D74" s="1016" t="s">
        <v>847</v>
      </c>
      <c r="E74" s="1017">
        <v>1</v>
      </c>
      <c r="F74" s="1018">
        <v>149535</v>
      </c>
      <c r="G74" s="1019">
        <v>149535</v>
      </c>
      <c r="H74" s="486">
        <v>15</v>
      </c>
      <c r="I74" s="1026">
        <v>16.149999999999999</v>
      </c>
      <c r="J74" s="1020">
        <v>2414990.25</v>
      </c>
      <c r="K74" s="1021">
        <v>16.149999999999995</v>
      </c>
      <c r="L74" s="480">
        <v>2414990.2499999991</v>
      </c>
      <c r="M74" s="1029">
        <v>0</v>
      </c>
      <c r="N74" s="488">
        <v>0</v>
      </c>
      <c r="O74" s="1022">
        <v>0</v>
      </c>
      <c r="P74" s="488">
        <v>0</v>
      </c>
      <c r="Q74" s="1024">
        <v>16.149999999999995</v>
      </c>
      <c r="R74" s="488">
        <v>2414990.2499999991</v>
      </c>
      <c r="S74" s="1023"/>
      <c r="T74" s="656"/>
      <c r="U74" s="656"/>
      <c r="V74" s="656"/>
      <c r="W74" s="656"/>
      <c r="X74" s="656"/>
      <c r="Y74" s="656"/>
      <c r="Z74" s="656"/>
      <c r="AA74" s="656"/>
      <c r="AB74" s="656"/>
      <c r="AC74" s="656"/>
      <c r="AD74" s="656"/>
      <c r="AE74" s="656"/>
      <c r="AF74" s="656"/>
      <c r="AG74" s="656"/>
      <c r="AH74" s="656"/>
      <c r="AI74" s="656"/>
      <c r="AJ74" s="656"/>
      <c r="AK74" s="656"/>
      <c r="AL74" s="656"/>
      <c r="AM74" s="656"/>
      <c r="AN74" s="656"/>
      <c r="AO74" s="656"/>
      <c r="AP74" s="656"/>
      <c r="AQ74" s="656"/>
      <c r="AR74" s="656"/>
      <c r="AS74" s="656"/>
      <c r="AT74" s="656"/>
      <c r="AU74" s="656"/>
      <c r="AV74" s="656"/>
      <c r="AW74" s="656"/>
      <c r="AX74" s="656"/>
      <c r="AY74" s="656"/>
      <c r="AZ74" s="656"/>
      <c r="BA74" s="656"/>
      <c r="BB74" s="656"/>
      <c r="BC74" s="656"/>
      <c r="BD74" s="656"/>
      <c r="BE74" s="656"/>
      <c r="BF74" s="656"/>
      <c r="BG74" s="656"/>
      <c r="BH74" s="656"/>
      <c r="BI74" s="656"/>
      <c r="BJ74" s="656"/>
      <c r="BK74" s="656"/>
      <c r="BL74" s="656"/>
      <c r="BM74" s="656"/>
      <c r="BN74" s="656"/>
      <c r="BO74" s="656"/>
      <c r="BP74" s="656"/>
      <c r="BQ74" s="656"/>
      <c r="BR74" s="656"/>
      <c r="BS74" s="656"/>
      <c r="BT74" s="656"/>
      <c r="BU74" s="656"/>
      <c r="BV74" s="656"/>
      <c r="BW74" s="656"/>
      <c r="BX74" s="656"/>
      <c r="BY74" s="656"/>
      <c r="BZ74" s="656"/>
      <c r="CA74" s="656"/>
      <c r="CB74" s="656"/>
      <c r="CC74" s="656"/>
      <c r="CD74" s="656"/>
      <c r="CE74" s="656"/>
      <c r="CF74" s="656"/>
      <c r="CG74" s="656"/>
      <c r="CH74" s="656"/>
      <c r="CI74" s="656"/>
      <c r="CJ74" s="656"/>
      <c r="CK74" s="656"/>
      <c r="CL74" s="656"/>
      <c r="CM74" s="656"/>
      <c r="CN74" s="656"/>
      <c r="CO74" s="656"/>
      <c r="CP74" s="656"/>
      <c r="CQ74" s="656"/>
      <c r="CR74" s="656"/>
      <c r="CS74" s="656"/>
      <c r="CT74" s="656"/>
      <c r="CU74" s="656"/>
      <c r="CV74" s="656"/>
      <c r="CW74" s="656"/>
      <c r="CX74" s="656"/>
      <c r="CY74" s="656"/>
      <c r="CZ74" s="656"/>
      <c r="DA74" s="656"/>
      <c r="DB74" s="656"/>
      <c r="DC74" s="656"/>
      <c r="DD74" s="656"/>
      <c r="DE74" s="656"/>
      <c r="DF74" s="656"/>
      <c r="DG74" s="656"/>
      <c r="DH74" s="656"/>
      <c r="DI74" s="656"/>
      <c r="DJ74" s="656"/>
      <c r="DK74" s="656"/>
      <c r="DL74" s="656"/>
      <c r="DM74" s="656"/>
      <c r="DN74" s="656"/>
      <c r="DO74" s="656"/>
      <c r="DP74" s="656"/>
      <c r="DQ74" s="656"/>
      <c r="DR74" s="656"/>
      <c r="DS74" s="656"/>
      <c r="DT74" s="656"/>
      <c r="DU74" s="656"/>
      <c r="DV74" s="656"/>
      <c r="DW74" s="656"/>
      <c r="DX74" s="656"/>
      <c r="DY74" s="656"/>
      <c r="DZ74" s="656"/>
      <c r="EA74" s="656"/>
      <c r="EB74" s="656"/>
      <c r="EC74" s="656"/>
      <c r="ED74" s="656"/>
      <c r="EE74" s="656"/>
      <c r="EF74" s="656"/>
      <c r="EG74" s="656"/>
      <c r="EH74" s="656"/>
      <c r="EI74" s="656"/>
      <c r="EJ74" s="656"/>
      <c r="EK74" s="656"/>
      <c r="EL74" s="656"/>
      <c r="EM74" s="656"/>
      <c r="EN74" s="656"/>
      <c r="EO74" s="656"/>
      <c r="EP74" s="656"/>
      <c r="EQ74" s="656"/>
      <c r="ER74" s="656"/>
      <c r="ES74" s="656"/>
      <c r="ET74" s="656"/>
      <c r="EU74" s="656"/>
      <c r="EV74" s="656"/>
      <c r="EW74" s="656"/>
      <c r="EX74" s="656"/>
      <c r="EY74" s="656"/>
      <c r="EZ74" s="656"/>
      <c r="FA74" s="656"/>
      <c r="FB74" s="656"/>
      <c r="FC74" s="656"/>
      <c r="FD74" s="656"/>
      <c r="FE74" s="656"/>
      <c r="FF74" s="656"/>
      <c r="FG74" s="656"/>
      <c r="FH74" s="656"/>
      <c r="FI74" s="656"/>
      <c r="FJ74" s="656"/>
      <c r="FK74" s="656"/>
      <c r="FL74" s="656"/>
      <c r="FM74" s="656"/>
      <c r="FN74" s="656"/>
      <c r="FO74" s="656"/>
      <c r="FP74" s="656"/>
      <c r="FQ74" s="656"/>
      <c r="FR74" s="656"/>
      <c r="FS74" s="656"/>
      <c r="FT74" s="656"/>
      <c r="FU74" s="656"/>
      <c r="FV74" s="656"/>
      <c r="FW74" s="656"/>
      <c r="FX74" s="656"/>
      <c r="FY74" s="656"/>
      <c r="FZ74" s="656"/>
      <c r="GA74" s="656"/>
      <c r="GB74" s="656"/>
      <c r="GC74" s="656"/>
      <c r="GD74" s="656"/>
      <c r="GE74" s="656"/>
      <c r="GF74" s="656"/>
      <c r="GG74" s="656"/>
      <c r="GH74" s="656"/>
      <c r="GI74" s="656"/>
      <c r="GJ74" s="656"/>
      <c r="GK74" s="656"/>
      <c r="GL74" s="656"/>
      <c r="GM74" s="656"/>
      <c r="GN74" s="656"/>
      <c r="GO74" s="656"/>
      <c r="GP74" s="656"/>
      <c r="GQ74" s="656"/>
      <c r="GR74" s="656"/>
      <c r="GS74" s="656"/>
      <c r="GT74" s="656"/>
      <c r="GU74" s="656"/>
      <c r="GV74" s="656"/>
      <c r="GW74" s="656"/>
      <c r="GX74" s="656"/>
      <c r="GY74" s="656"/>
      <c r="GZ74" s="656"/>
      <c r="HA74" s="656"/>
      <c r="HB74" s="656"/>
      <c r="HC74" s="656"/>
      <c r="HD74" s="656"/>
      <c r="HE74" s="656"/>
      <c r="HF74" s="656"/>
      <c r="HG74" s="656"/>
      <c r="HH74" s="656"/>
      <c r="HI74" s="656"/>
      <c r="HJ74" s="656"/>
      <c r="HK74" s="656"/>
      <c r="HL74" s="656"/>
      <c r="HM74" s="656"/>
      <c r="HN74" s="656"/>
      <c r="HO74" s="656"/>
      <c r="HP74" s="656"/>
      <c r="HQ74" s="656"/>
      <c r="HR74" s="656"/>
      <c r="HS74" s="656"/>
      <c r="HT74" s="656"/>
      <c r="HU74" s="656"/>
      <c r="HV74" s="656"/>
      <c r="HW74" s="656"/>
      <c r="HX74" s="656"/>
      <c r="HY74" s="656"/>
      <c r="HZ74" s="656"/>
    </row>
    <row r="75" spans="1:234" s="657" customFormat="1" ht="42.75" x14ac:dyDescent="0.25">
      <c r="A75" s="1013"/>
      <c r="B75" s="1014">
        <v>49</v>
      </c>
      <c r="C75" s="1031" t="s">
        <v>1220</v>
      </c>
      <c r="D75" s="1027" t="s">
        <v>848</v>
      </c>
      <c r="E75" s="1017">
        <v>1</v>
      </c>
      <c r="F75" s="1018">
        <v>538020</v>
      </c>
      <c r="G75" s="1019">
        <v>538020</v>
      </c>
      <c r="H75" s="486">
        <v>13</v>
      </c>
      <c r="I75" s="1026">
        <v>10</v>
      </c>
      <c r="J75" s="1020">
        <v>5380200</v>
      </c>
      <c r="K75" s="1021">
        <v>10</v>
      </c>
      <c r="L75" s="480">
        <v>5380200</v>
      </c>
      <c r="M75" s="1029">
        <v>0</v>
      </c>
      <c r="N75" s="488">
        <v>0</v>
      </c>
      <c r="O75" s="1022">
        <v>0</v>
      </c>
      <c r="P75" s="488">
        <v>0</v>
      </c>
      <c r="Q75" s="1024">
        <v>10</v>
      </c>
      <c r="R75" s="488">
        <v>5380200</v>
      </c>
      <c r="S75" s="1023"/>
      <c r="T75" s="656"/>
      <c r="U75" s="656"/>
      <c r="V75" s="656"/>
      <c r="W75" s="656"/>
      <c r="X75" s="656"/>
      <c r="Y75" s="656"/>
      <c r="Z75" s="656"/>
      <c r="AA75" s="656"/>
      <c r="AB75" s="656"/>
      <c r="AC75" s="656"/>
      <c r="AD75" s="656"/>
      <c r="AE75" s="656"/>
      <c r="AF75" s="656"/>
      <c r="AG75" s="656"/>
      <c r="AH75" s="656"/>
      <c r="AI75" s="656"/>
      <c r="AJ75" s="656"/>
      <c r="AK75" s="656"/>
      <c r="AL75" s="656"/>
      <c r="AM75" s="656"/>
      <c r="AN75" s="656"/>
      <c r="AO75" s="656"/>
      <c r="AP75" s="656"/>
      <c r="AQ75" s="656"/>
      <c r="AR75" s="656"/>
      <c r="AS75" s="656"/>
      <c r="AT75" s="656"/>
      <c r="AU75" s="656"/>
      <c r="AV75" s="656"/>
      <c r="AW75" s="656"/>
      <c r="AX75" s="656"/>
      <c r="AY75" s="656"/>
      <c r="AZ75" s="656"/>
      <c r="BA75" s="656"/>
      <c r="BB75" s="656"/>
      <c r="BC75" s="656"/>
      <c r="BD75" s="656"/>
      <c r="BE75" s="656"/>
      <c r="BF75" s="656"/>
      <c r="BG75" s="656"/>
      <c r="BH75" s="656"/>
      <c r="BI75" s="656"/>
      <c r="BJ75" s="656"/>
      <c r="BK75" s="656"/>
      <c r="BL75" s="656"/>
      <c r="BM75" s="656"/>
      <c r="BN75" s="656"/>
      <c r="BO75" s="656"/>
      <c r="BP75" s="656"/>
      <c r="BQ75" s="656"/>
      <c r="BR75" s="656"/>
      <c r="BS75" s="656"/>
      <c r="BT75" s="656"/>
      <c r="BU75" s="656"/>
      <c r="BV75" s="656"/>
      <c r="BW75" s="656"/>
      <c r="BX75" s="656"/>
      <c r="BY75" s="656"/>
      <c r="BZ75" s="656"/>
      <c r="CA75" s="656"/>
      <c r="CB75" s="656"/>
      <c r="CC75" s="656"/>
      <c r="CD75" s="656"/>
      <c r="CE75" s="656"/>
      <c r="CF75" s="656"/>
      <c r="CG75" s="656"/>
      <c r="CH75" s="656"/>
      <c r="CI75" s="656"/>
      <c r="CJ75" s="656"/>
      <c r="CK75" s="656"/>
      <c r="CL75" s="656"/>
      <c r="CM75" s="656"/>
      <c r="CN75" s="656"/>
      <c r="CO75" s="656"/>
      <c r="CP75" s="656"/>
      <c r="CQ75" s="656"/>
      <c r="CR75" s="656"/>
      <c r="CS75" s="656"/>
      <c r="CT75" s="656"/>
      <c r="CU75" s="656"/>
      <c r="CV75" s="656"/>
      <c r="CW75" s="656"/>
      <c r="CX75" s="656"/>
      <c r="CY75" s="656"/>
      <c r="CZ75" s="656"/>
      <c r="DA75" s="656"/>
      <c r="DB75" s="656"/>
      <c r="DC75" s="656"/>
      <c r="DD75" s="656"/>
      <c r="DE75" s="656"/>
      <c r="DF75" s="656"/>
      <c r="DG75" s="656"/>
      <c r="DH75" s="656"/>
      <c r="DI75" s="656"/>
      <c r="DJ75" s="656"/>
      <c r="DK75" s="656"/>
      <c r="DL75" s="656"/>
      <c r="DM75" s="656"/>
      <c r="DN75" s="656"/>
      <c r="DO75" s="656"/>
      <c r="DP75" s="656"/>
      <c r="DQ75" s="656"/>
      <c r="DR75" s="656"/>
      <c r="DS75" s="656"/>
      <c r="DT75" s="656"/>
      <c r="DU75" s="656"/>
      <c r="DV75" s="656"/>
      <c r="DW75" s="656"/>
      <c r="DX75" s="656"/>
      <c r="DY75" s="656"/>
      <c r="DZ75" s="656"/>
      <c r="EA75" s="656"/>
      <c r="EB75" s="656"/>
      <c r="EC75" s="656"/>
      <c r="ED75" s="656"/>
      <c r="EE75" s="656"/>
      <c r="EF75" s="656"/>
      <c r="EG75" s="656"/>
      <c r="EH75" s="656"/>
      <c r="EI75" s="656"/>
      <c r="EJ75" s="656"/>
      <c r="EK75" s="656"/>
      <c r="EL75" s="656"/>
      <c r="EM75" s="656"/>
      <c r="EN75" s="656"/>
      <c r="EO75" s="656"/>
      <c r="EP75" s="656"/>
      <c r="EQ75" s="656"/>
      <c r="ER75" s="656"/>
      <c r="ES75" s="656"/>
      <c r="ET75" s="656"/>
      <c r="EU75" s="656"/>
      <c r="EV75" s="656"/>
      <c r="EW75" s="656"/>
      <c r="EX75" s="656"/>
      <c r="EY75" s="656"/>
      <c r="EZ75" s="656"/>
      <c r="FA75" s="656"/>
      <c r="FB75" s="656"/>
      <c r="FC75" s="656"/>
      <c r="FD75" s="656"/>
      <c r="FE75" s="656"/>
      <c r="FF75" s="656"/>
      <c r="FG75" s="656"/>
      <c r="FH75" s="656"/>
      <c r="FI75" s="656"/>
      <c r="FJ75" s="656"/>
      <c r="FK75" s="656"/>
      <c r="FL75" s="656"/>
      <c r="FM75" s="656"/>
      <c r="FN75" s="656"/>
      <c r="FO75" s="656"/>
      <c r="FP75" s="656"/>
      <c r="FQ75" s="656"/>
      <c r="FR75" s="656"/>
      <c r="FS75" s="656"/>
      <c r="FT75" s="656"/>
      <c r="FU75" s="656"/>
      <c r="FV75" s="656"/>
      <c r="FW75" s="656"/>
      <c r="FX75" s="656"/>
      <c r="FY75" s="656"/>
      <c r="FZ75" s="656"/>
      <c r="GA75" s="656"/>
      <c r="GB75" s="656"/>
      <c r="GC75" s="656"/>
      <c r="GD75" s="656"/>
      <c r="GE75" s="656"/>
      <c r="GF75" s="656"/>
      <c r="GG75" s="656"/>
      <c r="GH75" s="656"/>
      <c r="GI75" s="656"/>
      <c r="GJ75" s="656"/>
      <c r="GK75" s="656"/>
      <c r="GL75" s="656"/>
      <c r="GM75" s="656"/>
      <c r="GN75" s="656"/>
      <c r="GO75" s="656"/>
      <c r="GP75" s="656"/>
      <c r="GQ75" s="656"/>
      <c r="GR75" s="656"/>
      <c r="GS75" s="656"/>
      <c r="GT75" s="656"/>
      <c r="GU75" s="656"/>
      <c r="GV75" s="656"/>
      <c r="GW75" s="656"/>
      <c r="GX75" s="656"/>
      <c r="GY75" s="656"/>
      <c r="GZ75" s="656"/>
      <c r="HA75" s="656"/>
      <c r="HB75" s="656"/>
      <c r="HC75" s="656"/>
      <c r="HD75" s="656"/>
      <c r="HE75" s="656"/>
      <c r="HF75" s="656"/>
      <c r="HG75" s="656"/>
      <c r="HH75" s="656"/>
      <c r="HI75" s="656"/>
      <c r="HJ75" s="656"/>
      <c r="HK75" s="656"/>
      <c r="HL75" s="656"/>
      <c r="HM75" s="656"/>
      <c r="HN75" s="656"/>
      <c r="HO75" s="656"/>
      <c r="HP75" s="656"/>
      <c r="HQ75" s="656"/>
      <c r="HR75" s="656"/>
      <c r="HS75" s="656"/>
      <c r="HT75" s="656"/>
      <c r="HU75" s="656"/>
      <c r="HV75" s="656"/>
      <c r="HW75" s="656"/>
      <c r="HX75" s="656"/>
      <c r="HY75" s="656"/>
      <c r="HZ75" s="656"/>
    </row>
    <row r="76" spans="1:234" s="657" customFormat="1" x14ac:dyDescent="0.25">
      <c r="A76" s="1013"/>
      <c r="B76" s="996"/>
      <c r="C76" s="997" t="s">
        <v>1301</v>
      </c>
      <c r="D76" s="998"/>
      <c r="E76" s="999"/>
      <c r="F76" s="1000"/>
      <c r="G76" s="1001"/>
      <c r="H76" s="1002"/>
      <c r="I76" s="1003"/>
      <c r="J76" s="1025"/>
      <c r="K76" s="1005"/>
      <c r="L76" s="1006"/>
      <c r="M76" s="1007">
        <v>0</v>
      </c>
      <c r="N76" s="1008"/>
      <c r="O76" s="1007"/>
      <c r="P76" s="1008"/>
      <c r="Q76" s="1007"/>
      <c r="R76" s="1008"/>
      <c r="S76" s="1023"/>
      <c r="T76" s="656"/>
      <c r="U76" s="656"/>
      <c r="V76" s="656"/>
      <c r="W76" s="656"/>
      <c r="X76" s="656"/>
      <c r="Y76" s="656"/>
      <c r="Z76" s="656"/>
      <c r="AA76" s="656"/>
      <c r="AB76" s="656"/>
      <c r="AC76" s="656"/>
      <c r="AD76" s="656"/>
      <c r="AE76" s="656"/>
      <c r="AF76" s="656"/>
      <c r="AG76" s="656"/>
      <c r="AH76" s="656"/>
      <c r="AI76" s="656"/>
      <c r="AJ76" s="656"/>
      <c r="AK76" s="656"/>
      <c r="AL76" s="656"/>
      <c r="AM76" s="656"/>
      <c r="AN76" s="656"/>
      <c r="AO76" s="656"/>
      <c r="AP76" s="656"/>
      <c r="AQ76" s="656"/>
      <c r="AR76" s="656"/>
      <c r="AS76" s="656"/>
      <c r="AT76" s="656"/>
      <c r="AU76" s="656"/>
      <c r="AV76" s="656"/>
      <c r="AW76" s="656"/>
      <c r="AX76" s="656"/>
      <c r="AY76" s="656"/>
      <c r="AZ76" s="656"/>
      <c r="BA76" s="656"/>
      <c r="BB76" s="656"/>
      <c r="BC76" s="656"/>
      <c r="BD76" s="656"/>
      <c r="BE76" s="656"/>
      <c r="BF76" s="656"/>
      <c r="BG76" s="656"/>
      <c r="BH76" s="656"/>
      <c r="BI76" s="656"/>
      <c r="BJ76" s="656"/>
      <c r="BK76" s="656"/>
      <c r="BL76" s="656"/>
      <c r="BM76" s="656"/>
      <c r="BN76" s="656"/>
      <c r="BO76" s="656"/>
      <c r="BP76" s="656"/>
      <c r="BQ76" s="656"/>
      <c r="BR76" s="656"/>
      <c r="BS76" s="656"/>
      <c r="BT76" s="656"/>
      <c r="BU76" s="656"/>
      <c r="BV76" s="656"/>
      <c r="BW76" s="656"/>
      <c r="BX76" s="656"/>
      <c r="BY76" s="656"/>
      <c r="BZ76" s="656"/>
      <c r="CA76" s="656"/>
      <c r="CB76" s="656"/>
      <c r="CC76" s="656"/>
      <c r="CD76" s="656"/>
      <c r="CE76" s="656"/>
      <c r="CF76" s="656"/>
      <c r="CG76" s="656"/>
      <c r="CH76" s="656"/>
      <c r="CI76" s="656"/>
      <c r="CJ76" s="656"/>
      <c r="CK76" s="656"/>
      <c r="CL76" s="656"/>
      <c r="CM76" s="656"/>
      <c r="CN76" s="656"/>
      <c r="CO76" s="656"/>
      <c r="CP76" s="656"/>
      <c r="CQ76" s="656"/>
      <c r="CR76" s="656"/>
      <c r="CS76" s="656"/>
      <c r="CT76" s="656"/>
      <c r="CU76" s="656"/>
      <c r="CV76" s="656"/>
      <c r="CW76" s="656"/>
      <c r="CX76" s="656"/>
      <c r="CY76" s="656"/>
      <c r="CZ76" s="656"/>
      <c r="DA76" s="656"/>
      <c r="DB76" s="656"/>
      <c r="DC76" s="656"/>
      <c r="DD76" s="656"/>
      <c r="DE76" s="656"/>
      <c r="DF76" s="656"/>
      <c r="DG76" s="656"/>
      <c r="DH76" s="656"/>
      <c r="DI76" s="656"/>
      <c r="DJ76" s="656"/>
      <c r="DK76" s="656"/>
      <c r="DL76" s="656"/>
      <c r="DM76" s="656"/>
      <c r="DN76" s="656"/>
      <c r="DO76" s="656"/>
      <c r="DP76" s="656"/>
      <c r="DQ76" s="656"/>
      <c r="DR76" s="656"/>
      <c r="DS76" s="656"/>
      <c r="DT76" s="656"/>
      <c r="DU76" s="656"/>
      <c r="DV76" s="656"/>
      <c r="DW76" s="656"/>
      <c r="DX76" s="656"/>
      <c r="DY76" s="656"/>
      <c r="DZ76" s="656"/>
      <c r="EA76" s="656"/>
      <c r="EB76" s="656"/>
      <c r="EC76" s="656"/>
      <c r="ED76" s="656"/>
      <c r="EE76" s="656"/>
      <c r="EF76" s="656"/>
      <c r="EG76" s="656"/>
      <c r="EH76" s="656"/>
      <c r="EI76" s="656"/>
      <c r="EJ76" s="656"/>
      <c r="EK76" s="656"/>
      <c r="EL76" s="656"/>
      <c r="EM76" s="656"/>
      <c r="EN76" s="656"/>
      <c r="EO76" s="656"/>
      <c r="EP76" s="656"/>
      <c r="EQ76" s="656"/>
      <c r="ER76" s="656"/>
      <c r="ES76" s="656"/>
      <c r="ET76" s="656"/>
      <c r="EU76" s="656"/>
      <c r="EV76" s="656"/>
      <c r="EW76" s="656"/>
      <c r="EX76" s="656"/>
      <c r="EY76" s="656"/>
      <c r="EZ76" s="656"/>
      <c r="FA76" s="656"/>
      <c r="FB76" s="656"/>
      <c r="FC76" s="656"/>
      <c r="FD76" s="656"/>
      <c r="FE76" s="656"/>
      <c r="FF76" s="656"/>
      <c r="FG76" s="656"/>
      <c r="FH76" s="656"/>
      <c r="FI76" s="656"/>
      <c r="FJ76" s="656"/>
      <c r="FK76" s="656"/>
      <c r="FL76" s="656"/>
      <c r="FM76" s="656"/>
      <c r="FN76" s="656"/>
      <c r="FO76" s="656"/>
      <c r="FP76" s="656"/>
      <c r="FQ76" s="656"/>
      <c r="FR76" s="656"/>
      <c r="FS76" s="656"/>
      <c r="FT76" s="656"/>
      <c r="FU76" s="656"/>
      <c r="FV76" s="656"/>
      <c r="FW76" s="656"/>
      <c r="FX76" s="656"/>
      <c r="FY76" s="656"/>
      <c r="FZ76" s="656"/>
      <c r="GA76" s="656"/>
      <c r="GB76" s="656"/>
      <c r="GC76" s="656"/>
      <c r="GD76" s="656"/>
      <c r="GE76" s="656"/>
      <c r="GF76" s="656"/>
      <c r="GG76" s="656"/>
      <c r="GH76" s="656"/>
      <c r="GI76" s="656"/>
      <c r="GJ76" s="656"/>
      <c r="GK76" s="656"/>
      <c r="GL76" s="656"/>
      <c r="GM76" s="656"/>
      <c r="GN76" s="656"/>
      <c r="GO76" s="656"/>
      <c r="GP76" s="656"/>
      <c r="GQ76" s="656"/>
      <c r="GR76" s="656"/>
      <c r="GS76" s="656"/>
      <c r="GT76" s="656"/>
      <c r="GU76" s="656"/>
      <c r="GV76" s="656"/>
      <c r="GW76" s="656"/>
      <c r="GX76" s="656"/>
      <c r="GY76" s="656"/>
      <c r="GZ76" s="656"/>
      <c r="HA76" s="656"/>
      <c r="HB76" s="656"/>
      <c r="HC76" s="656"/>
      <c r="HD76" s="656"/>
      <c r="HE76" s="656"/>
      <c r="HF76" s="656"/>
      <c r="HG76" s="656"/>
      <c r="HH76" s="656"/>
      <c r="HI76" s="656"/>
      <c r="HJ76" s="656"/>
      <c r="HK76" s="656"/>
      <c r="HL76" s="656"/>
      <c r="HM76" s="656"/>
      <c r="HN76" s="656"/>
      <c r="HO76" s="656"/>
      <c r="HP76" s="656"/>
      <c r="HQ76" s="656"/>
      <c r="HR76" s="656"/>
      <c r="HS76" s="656"/>
      <c r="HT76" s="656"/>
      <c r="HU76" s="656"/>
      <c r="HV76" s="656"/>
      <c r="HW76" s="656"/>
      <c r="HX76" s="656"/>
      <c r="HY76" s="656"/>
      <c r="HZ76" s="656"/>
    </row>
    <row r="77" spans="1:234" s="657" customFormat="1" x14ac:dyDescent="0.25">
      <c r="A77" s="1013"/>
      <c r="B77" s="1014">
        <v>51</v>
      </c>
      <c r="C77" s="1015" t="s">
        <v>195</v>
      </c>
      <c r="D77" s="1016" t="s">
        <v>842</v>
      </c>
      <c r="E77" s="1017">
        <v>1</v>
      </c>
      <c r="F77" s="1018">
        <v>3444</v>
      </c>
      <c r="G77" s="1019">
        <v>3444</v>
      </c>
      <c r="H77" s="486">
        <v>250</v>
      </c>
      <c r="I77" s="1026">
        <v>650.98</v>
      </c>
      <c r="J77" s="1020">
        <v>2241975.12</v>
      </c>
      <c r="K77" s="1021">
        <v>650.98</v>
      </c>
      <c r="L77" s="480">
        <v>2241975.12</v>
      </c>
      <c r="M77" s="1029">
        <v>0</v>
      </c>
      <c r="N77" s="488">
        <v>0</v>
      </c>
      <c r="O77" s="1022">
        <v>0</v>
      </c>
      <c r="P77" s="488">
        <v>0</v>
      </c>
      <c r="Q77" s="1024">
        <v>650.98</v>
      </c>
      <c r="R77" s="488">
        <v>2241975.12</v>
      </c>
      <c r="S77" s="1023"/>
      <c r="T77" s="656"/>
      <c r="U77" s="656"/>
      <c r="V77" s="656"/>
      <c r="W77" s="656"/>
      <c r="X77" s="656"/>
      <c r="Y77" s="656"/>
      <c r="Z77" s="656"/>
      <c r="AA77" s="656"/>
      <c r="AB77" s="656"/>
      <c r="AC77" s="656"/>
      <c r="AD77" s="656"/>
      <c r="AE77" s="656"/>
      <c r="AF77" s="656"/>
      <c r="AG77" s="656"/>
      <c r="AH77" s="656"/>
      <c r="AI77" s="656"/>
      <c r="AJ77" s="656"/>
      <c r="AK77" s="656"/>
      <c r="AL77" s="656"/>
      <c r="AM77" s="656"/>
      <c r="AN77" s="656"/>
      <c r="AO77" s="656"/>
      <c r="AP77" s="656"/>
      <c r="AQ77" s="656"/>
      <c r="AR77" s="656"/>
      <c r="AS77" s="656"/>
      <c r="AT77" s="656"/>
      <c r="AU77" s="656"/>
      <c r="AV77" s="656"/>
      <c r="AW77" s="656"/>
      <c r="AX77" s="656"/>
      <c r="AY77" s="656"/>
      <c r="AZ77" s="656"/>
      <c r="BA77" s="656"/>
      <c r="BB77" s="656"/>
      <c r="BC77" s="656"/>
      <c r="BD77" s="656"/>
      <c r="BE77" s="656"/>
      <c r="BF77" s="656"/>
      <c r="BG77" s="656"/>
      <c r="BH77" s="656"/>
      <c r="BI77" s="656"/>
      <c r="BJ77" s="656"/>
      <c r="BK77" s="656"/>
      <c r="BL77" s="656"/>
      <c r="BM77" s="656"/>
      <c r="BN77" s="656"/>
      <c r="BO77" s="656"/>
      <c r="BP77" s="656"/>
      <c r="BQ77" s="656"/>
      <c r="BR77" s="656"/>
      <c r="BS77" s="656"/>
      <c r="BT77" s="656"/>
      <c r="BU77" s="656"/>
      <c r="BV77" s="656"/>
      <c r="BW77" s="656"/>
      <c r="BX77" s="656"/>
      <c r="BY77" s="656"/>
      <c r="BZ77" s="656"/>
      <c r="CA77" s="656"/>
      <c r="CB77" s="656"/>
      <c r="CC77" s="656"/>
      <c r="CD77" s="656"/>
      <c r="CE77" s="656"/>
      <c r="CF77" s="656"/>
      <c r="CG77" s="656"/>
      <c r="CH77" s="656"/>
      <c r="CI77" s="656"/>
      <c r="CJ77" s="656"/>
      <c r="CK77" s="656"/>
      <c r="CL77" s="656"/>
      <c r="CM77" s="656"/>
      <c r="CN77" s="656"/>
      <c r="CO77" s="656"/>
      <c r="CP77" s="656"/>
      <c r="CQ77" s="656"/>
      <c r="CR77" s="656"/>
      <c r="CS77" s="656"/>
      <c r="CT77" s="656"/>
      <c r="CU77" s="656"/>
      <c r="CV77" s="656"/>
      <c r="CW77" s="656"/>
      <c r="CX77" s="656"/>
      <c r="CY77" s="656"/>
      <c r="CZ77" s="656"/>
      <c r="DA77" s="656"/>
      <c r="DB77" s="656"/>
      <c r="DC77" s="656"/>
      <c r="DD77" s="656"/>
      <c r="DE77" s="656"/>
      <c r="DF77" s="656"/>
      <c r="DG77" s="656"/>
      <c r="DH77" s="656"/>
      <c r="DI77" s="656"/>
      <c r="DJ77" s="656"/>
      <c r="DK77" s="656"/>
      <c r="DL77" s="656"/>
      <c r="DM77" s="656"/>
      <c r="DN77" s="656"/>
      <c r="DO77" s="656"/>
      <c r="DP77" s="656"/>
      <c r="DQ77" s="656"/>
      <c r="DR77" s="656"/>
      <c r="DS77" s="656"/>
      <c r="DT77" s="656"/>
      <c r="DU77" s="656"/>
      <c r="DV77" s="656"/>
      <c r="DW77" s="656"/>
      <c r="DX77" s="656"/>
      <c r="DY77" s="656"/>
      <c r="DZ77" s="656"/>
      <c r="EA77" s="656"/>
      <c r="EB77" s="656"/>
      <c r="EC77" s="656"/>
      <c r="ED77" s="656"/>
      <c r="EE77" s="656"/>
      <c r="EF77" s="656"/>
      <c r="EG77" s="656"/>
      <c r="EH77" s="656"/>
      <c r="EI77" s="656"/>
      <c r="EJ77" s="656"/>
      <c r="EK77" s="656"/>
      <c r="EL77" s="656"/>
      <c r="EM77" s="656"/>
      <c r="EN77" s="656"/>
      <c r="EO77" s="656"/>
      <c r="EP77" s="656"/>
      <c r="EQ77" s="656"/>
      <c r="ER77" s="656"/>
      <c r="ES77" s="656"/>
      <c r="ET77" s="656"/>
      <c r="EU77" s="656"/>
      <c r="EV77" s="656"/>
      <c r="EW77" s="656"/>
      <c r="EX77" s="656"/>
      <c r="EY77" s="656"/>
      <c r="EZ77" s="656"/>
      <c r="FA77" s="656"/>
      <c r="FB77" s="656"/>
      <c r="FC77" s="656"/>
      <c r="FD77" s="656"/>
      <c r="FE77" s="656"/>
      <c r="FF77" s="656"/>
      <c r="FG77" s="656"/>
      <c r="FH77" s="656"/>
      <c r="FI77" s="656"/>
      <c r="FJ77" s="656"/>
      <c r="FK77" s="656"/>
      <c r="FL77" s="656"/>
      <c r="FM77" s="656"/>
      <c r="FN77" s="656"/>
      <c r="FO77" s="656"/>
      <c r="FP77" s="656"/>
      <c r="FQ77" s="656"/>
      <c r="FR77" s="656"/>
      <c r="FS77" s="656"/>
      <c r="FT77" s="656"/>
      <c r="FU77" s="656"/>
      <c r="FV77" s="656"/>
      <c r="FW77" s="656"/>
      <c r="FX77" s="656"/>
      <c r="FY77" s="656"/>
      <c r="FZ77" s="656"/>
      <c r="GA77" s="656"/>
      <c r="GB77" s="656"/>
      <c r="GC77" s="656"/>
      <c r="GD77" s="656"/>
      <c r="GE77" s="656"/>
      <c r="GF77" s="656"/>
      <c r="GG77" s="656"/>
      <c r="GH77" s="656"/>
      <c r="GI77" s="656"/>
      <c r="GJ77" s="656"/>
      <c r="GK77" s="656"/>
      <c r="GL77" s="656"/>
      <c r="GM77" s="656"/>
      <c r="GN77" s="656"/>
      <c r="GO77" s="656"/>
      <c r="GP77" s="656"/>
      <c r="GQ77" s="656"/>
      <c r="GR77" s="656"/>
      <c r="GS77" s="656"/>
      <c r="GT77" s="656"/>
      <c r="GU77" s="656"/>
      <c r="GV77" s="656"/>
      <c r="GW77" s="656"/>
      <c r="GX77" s="656"/>
      <c r="GY77" s="656"/>
      <c r="GZ77" s="656"/>
      <c r="HA77" s="656"/>
      <c r="HB77" s="656"/>
      <c r="HC77" s="656"/>
      <c r="HD77" s="656"/>
      <c r="HE77" s="656"/>
      <c r="HF77" s="656"/>
      <c r="HG77" s="656"/>
      <c r="HH77" s="656"/>
      <c r="HI77" s="656"/>
      <c r="HJ77" s="656"/>
      <c r="HK77" s="656"/>
      <c r="HL77" s="656"/>
      <c r="HM77" s="656"/>
      <c r="HN77" s="656"/>
      <c r="HO77" s="656"/>
      <c r="HP77" s="656"/>
      <c r="HQ77" s="656"/>
      <c r="HR77" s="656"/>
      <c r="HS77" s="656"/>
      <c r="HT77" s="656"/>
      <c r="HU77" s="656"/>
      <c r="HV77" s="656"/>
      <c r="HW77" s="656"/>
      <c r="HX77" s="656"/>
      <c r="HY77" s="656"/>
      <c r="HZ77" s="656"/>
    </row>
    <row r="78" spans="1:234" s="657" customFormat="1" x14ac:dyDescent="0.25">
      <c r="A78" s="1013"/>
      <c r="B78" s="1014">
        <v>52</v>
      </c>
      <c r="C78" s="1015" t="s">
        <v>166</v>
      </c>
      <c r="D78" s="1016" t="s">
        <v>904</v>
      </c>
      <c r="E78" s="1017">
        <v>1</v>
      </c>
      <c r="F78" s="1018">
        <v>49904</v>
      </c>
      <c r="G78" s="1019">
        <v>49904</v>
      </c>
      <c r="H78" s="486">
        <v>12</v>
      </c>
      <c r="I78" s="1026">
        <v>9</v>
      </c>
      <c r="J78" s="1020">
        <v>449136</v>
      </c>
      <c r="K78" s="1021">
        <v>9</v>
      </c>
      <c r="L78" s="480">
        <v>449136</v>
      </c>
      <c r="M78" s="1029">
        <v>0</v>
      </c>
      <c r="N78" s="488">
        <v>0</v>
      </c>
      <c r="O78" s="1029">
        <v>0</v>
      </c>
      <c r="P78" s="488">
        <v>0</v>
      </c>
      <c r="Q78" s="1024">
        <v>9</v>
      </c>
      <c r="R78" s="488">
        <v>449136</v>
      </c>
      <c r="S78" s="1023"/>
      <c r="T78" s="656"/>
      <c r="U78" s="656"/>
      <c r="V78" s="656"/>
      <c r="W78" s="656"/>
      <c r="X78" s="656"/>
      <c r="Y78" s="656"/>
      <c r="Z78" s="656"/>
      <c r="AA78" s="656"/>
      <c r="AB78" s="656"/>
      <c r="AC78" s="656"/>
      <c r="AD78" s="656"/>
      <c r="AE78" s="656"/>
      <c r="AF78" s="656"/>
      <c r="AG78" s="656"/>
      <c r="AH78" s="656"/>
      <c r="AI78" s="656"/>
      <c r="AJ78" s="656"/>
      <c r="AK78" s="656"/>
      <c r="AL78" s="656"/>
      <c r="AM78" s="656"/>
      <c r="AN78" s="656"/>
      <c r="AO78" s="656"/>
      <c r="AP78" s="656"/>
      <c r="AQ78" s="656"/>
      <c r="AR78" s="656"/>
      <c r="AS78" s="656"/>
      <c r="AT78" s="656"/>
      <c r="AU78" s="656"/>
      <c r="AV78" s="656"/>
      <c r="AW78" s="656"/>
      <c r="AX78" s="656"/>
      <c r="AY78" s="656"/>
      <c r="AZ78" s="656"/>
      <c r="BA78" s="656"/>
      <c r="BB78" s="656"/>
      <c r="BC78" s="656"/>
      <c r="BD78" s="656"/>
      <c r="BE78" s="656"/>
      <c r="BF78" s="656"/>
      <c r="BG78" s="656"/>
      <c r="BH78" s="656"/>
      <c r="BI78" s="656"/>
      <c r="BJ78" s="656"/>
      <c r="BK78" s="656"/>
      <c r="BL78" s="656"/>
      <c r="BM78" s="656"/>
      <c r="BN78" s="656"/>
      <c r="BO78" s="656"/>
      <c r="BP78" s="656"/>
      <c r="BQ78" s="656"/>
      <c r="BR78" s="656"/>
      <c r="BS78" s="656"/>
      <c r="BT78" s="656"/>
      <c r="BU78" s="656"/>
      <c r="BV78" s="656"/>
      <c r="BW78" s="656"/>
      <c r="BX78" s="656"/>
      <c r="BY78" s="656"/>
      <c r="BZ78" s="656"/>
      <c r="CA78" s="656"/>
      <c r="CB78" s="656"/>
      <c r="CC78" s="656"/>
      <c r="CD78" s="656"/>
      <c r="CE78" s="656"/>
      <c r="CF78" s="656"/>
      <c r="CG78" s="656"/>
      <c r="CH78" s="656"/>
      <c r="CI78" s="656"/>
      <c r="CJ78" s="656"/>
      <c r="CK78" s="656"/>
      <c r="CL78" s="656"/>
      <c r="CM78" s="656"/>
      <c r="CN78" s="656"/>
      <c r="CO78" s="656"/>
      <c r="CP78" s="656"/>
      <c r="CQ78" s="656"/>
      <c r="CR78" s="656"/>
      <c r="CS78" s="656"/>
      <c r="CT78" s="656"/>
      <c r="CU78" s="656"/>
      <c r="CV78" s="656"/>
      <c r="CW78" s="656"/>
      <c r="CX78" s="656"/>
      <c r="CY78" s="656"/>
      <c r="CZ78" s="656"/>
      <c r="DA78" s="656"/>
      <c r="DB78" s="656"/>
      <c r="DC78" s="656"/>
      <c r="DD78" s="656"/>
      <c r="DE78" s="656"/>
      <c r="DF78" s="656"/>
      <c r="DG78" s="656"/>
      <c r="DH78" s="656"/>
      <c r="DI78" s="656"/>
      <c r="DJ78" s="656"/>
      <c r="DK78" s="656"/>
      <c r="DL78" s="656"/>
      <c r="DM78" s="656"/>
      <c r="DN78" s="656"/>
      <c r="DO78" s="656"/>
      <c r="DP78" s="656"/>
      <c r="DQ78" s="656"/>
      <c r="DR78" s="656"/>
      <c r="DS78" s="656"/>
      <c r="DT78" s="656"/>
      <c r="DU78" s="656"/>
      <c r="DV78" s="656"/>
      <c r="DW78" s="656"/>
      <c r="DX78" s="656"/>
      <c r="DY78" s="656"/>
      <c r="DZ78" s="656"/>
      <c r="EA78" s="656"/>
      <c r="EB78" s="656"/>
      <c r="EC78" s="656"/>
      <c r="ED78" s="656"/>
      <c r="EE78" s="656"/>
      <c r="EF78" s="656"/>
      <c r="EG78" s="656"/>
      <c r="EH78" s="656"/>
      <c r="EI78" s="656"/>
      <c r="EJ78" s="656"/>
      <c r="EK78" s="656"/>
      <c r="EL78" s="656"/>
      <c r="EM78" s="656"/>
      <c r="EN78" s="656"/>
      <c r="EO78" s="656"/>
      <c r="EP78" s="656"/>
      <c r="EQ78" s="656"/>
      <c r="ER78" s="656"/>
      <c r="ES78" s="656"/>
      <c r="ET78" s="656"/>
      <c r="EU78" s="656"/>
      <c r="EV78" s="656"/>
      <c r="EW78" s="656"/>
      <c r="EX78" s="656"/>
      <c r="EY78" s="656"/>
      <c r="EZ78" s="656"/>
      <c r="FA78" s="656"/>
      <c r="FB78" s="656"/>
      <c r="FC78" s="656"/>
      <c r="FD78" s="656"/>
      <c r="FE78" s="656"/>
      <c r="FF78" s="656"/>
      <c r="FG78" s="656"/>
      <c r="FH78" s="656"/>
      <c r="FI78" s="656"/>
      <c r="FJ78" s="656"/>
      <c r="FK78" s="656"/>
      <c r="FL78" s="656"/>
      <c r="FM78" s="656"/>
      <c r="FN78" s="656"/>
      <c r="FO78" s="656"/>
      <c r="FP78" s="656"/>
      <c r="FQ78" s="656"/>
      <c r="FR78" s="656"/>
      <c r="FS78" s="656"/>
      <c r="FT78" s="656"/>
      <c r="FU78" s="656"/>
      <c r="FV78" s="656"/>
      <c r="FW78" s="656"/>
      <c r="FX78" s="656"/>
      <c r="FY78" s="656"/>
      <c r="FZ78" s="656"/>
      <c r="GA78" s="656"/>
      <c r="GB78" s="656"/>
      <c r="GC78" s="656"/>
      <c r="GD78" s="656"/>
      <c r="GE78" s="656"/>
      <c r="GF78" s="656"/>
      <c r="GG78" s="656"/>
      <c r="GH78" s="656"/>
      <c r="GI78" s="656"/>
      <c r="GJ78" s="656"/>
      <c r="GK78" s="656"/>
      <c r="GL78" s="656"/>
      <c r="GM78" s="656"/>
      <c r="GN78" s="656"/>
      <c r="GO78" s="656"/>
      <c r="GP78" s="656"/>
      <c r="GQ78" s="656"/>
      <c r="GR78" s="656"/>
      <c r="GS78" s="656"/>
      <c r="GT78" s="656"/>
      <c r="GU78" s="656"/>
      <c r="GV78" s="656"/>
      <c r="GW78" s="656"/>
      <c r="GX78" s="656"/>
      <c r="GY78" s="656"/>
      <c r="GZ78" s="656"/>
      <c r="HA78" s="656"/>
      <c r="HB78" s="656"/>
      <c r="HC78" s="656"/>
      <c r="HD78" s="656"/>
      <c r="HE78" s="656"/>
      <c r="HF78" s="656"/>
      <c r="HG78" s="656"/>
      <c r="HH78" s="656"/>
      <c r="HI78" s="656"/>
      <c r="HJ78" s="656"/>
      <c r="HK78" s="656"/>
      <c r="HL78" s="656"/>
      <c r="HM78" s="656"/>
      <c r="HN78" s="656"/>
      <c r="HO78" s="656"/>
      <c r="HP78" s="656"/>
      <c r="HQ78" s="656"/>
      <c r="HR78" s="656"/>
      <c r="HS78" s="656"/>
      <c r="HT78" s="656"/>
      <c r="HU78" s="656"/>
      <c r="HV78" s="656"/>
      <c r="HW78" s="656"/>
      <c r="HX78" s="656"/>
      <c r="HY78" s="656"/>
      <c r="HZ78" s="656"/>
    </row>
    <row r="79" spans="1:234" s="657" customFormat="1" ht="15.75" x14ac:dyDescent="0.25">
      <c r="A79" s="1013"/>
      <c r="B79" s="1034" t="s">
        <v>202</v>
      </c>
      <c r="C79" s="1035" t="s">
        <v>1302</v>
      </c>
      <c r="D79" s="1036"/>
      <c r="E79" s="1037"/>
      <c r="F79" s="1038"/>
      <c r="G79" s="1039"/>
      <c r="H79" s="1040"/>
      <c r="I79" s="1041"/>
      <c r="J79" s="1042"/>
      <c r="K79" s="1043"/>
      <c r="L79" s="1044"/>
      <c r="M79" s="1045"/>
      <c r="N79" s="1046"/>
      <c r="O79" s="1045"/>
      <c r="P79" s="1046"/>
      <c r="Q79" s="1045"/>
      <c r="R79" s="1046"/>
      <c r="S79" s="1023"/>
      <c r="T79" s="656"/>
      <c r="U79" s="656"/>
      <c r="V79" s="656"/>
      <c r="W79" s="656"/>
      <c r="X79" s="656"/>
      <c r="Y79" s="656"/>
      <c r="Z79" s="656"/>
      <c r="AA79" s="656"/>
      <c r="AB79" s="656"/>
      <c r="AC79" s="656"/>
      <c r="AD79" s="656"/>
      <c r="AE79" s="656"/>
      <c r="AF79" s="656"/>
      <c r="AG79" s="656"/>
      <c r="AH79" s="656"/>
      <c r="AI79" s="656"/>
      <c r="AJ79" s="656"/>
      <c r="AK79" s="656"/>
      <c r="AL79" s="656"/>
      <c r="AM79" s="656"/>
      <c r="AN79" s="656"/>
      <c r="AO79" s="656"/>
      <c r="AP79" s="656"/>
      <c r="AQ79" s="656"/>
      <c r="AR79" s="656"/>
      <c r="AS79" s="656"/>
      <c r="AT79" s="656"/>
      <c r="AU79" s="656"/>
      <c r="AV79" s="656"/>
      <c r="AW79" s="656"/>
      <c r="AX79" s="656"/>
      <c r="AY79" s="656"/>
      <c r="AZ79" s="656"/>
      <c r="BA79" s="656"/>
      <c r="BB79" s="656"/>
      <c r="BC79" s="656"/>
      <c r="BD79" s="656"/>
      <c r="BE79" s="656"/>
      <c r="BF79" s="656"/>
      <c r="BG79" s="656"/>
      <c r="BH79" s="656"/>
      <c r="BI79" s="656"/>
      <c r="BJ79" s="656"/>
      <c r="BK79" s="656"/>
      <c r="BL79" s="656"/>
      <c r="BM79" s="656"/>
      <c r="BN79" s="656"/>
      <c r="BO79" s="656"/>
      <c r="BP79" s="656"/>
      <c r="BQ79" s="656"/>
      <c r="BR79" s="656"/>
      <c r="BS79" s="656"/>
      <c r="BT79" s="656"/>
      <c r="BU79" s="656"/>
      <c r="BV79" s="656"/>
      <c r="BW79" s="656"/>
      <c r="BX79" s="656"/>
      <c r="BY79" s="656"/>
      <c r="BZ79" s="656"/>
      <c r="CA79" s="656"/>
      <c r="CB79" s="656"/>
      <c r="CC79" s="656"/>
      <c r="CD79" s="656"/>
      <c r="CE79" s="656"/>
      <c r="CF79" s="656"/>
      <c r="CG79" s="656"/>
      <c r="CH79" s="656"/>
      <c r="CI79" s="656"/>
      <c r="CJ79" s="656"/>
      <c r="CK79" s="656"/>
      <c r="CL79" s="656"/>
      <c r="CM79" s="656"/>
      <c r="CN79" s="656"/>
      <c r="CO79" s="656"/>
      <c r="CP79" s="656"/>
      <c r="CQ79" s="656"/>
      <c r="CR79" s="656"/>
      <c r="CS79" s="656"/>
      <c r="CT79" s="656"/>
      <c r="CU79" s="656"/>
      <c r="CV79" s="656"/>
      <c r="CW79" s="656"/>
      <c r="CX79" s="656"/>
      <c r="CY79" s="656"/>
      <c r="CZ79" s="656"/>
      <c r="DA79" s="656"/>
      <c r="DB79" s="656"/>
      <c r="DC79" s="656"/>
      <c r="DD79" s="656"/>
      <c r="DE79" s="656"/>
      <c r="DF79" s="656"/>
      <c r="DG79" s="656"/>
      <c r="DH79" s="656"/>
      <c r="DI79" s="656"/>
      <c r="DJ79" s="656"/>
      <c r="DK79" s="656"/>
      <c r="DL79" s="656"/>
      <c r="DM79" s="656"/>
      <c r="DN79" s="656"/>
      <c r="DO79" s="656"/>
      <c r="DP79" s="656"/>
      <c r="DQ79" s="656"/>
      <c r="DR79" s="656"/>
      <c r="DS79" s="656"/>
      <c r="DT79" s="656"/>
      <c r="DU79" s="656"/>
      <c r="DV79" s="656"/>
      <c r="DW79" s="656"/>
      <c r="DX79" s="656"/>
      <c r="DY79" s="656"/>
      <c r="DZ79" s="656"/>
      <c r="EA79" s="656"/>
      <c r="EB79" s="656"/>
      <c r="EC79" s="656"/>
      <c r="ED79" s="656"/>
      <c r="EE79" s="656"/>
      <c r="EF79" s="656"/>
      <c r="EG79" s="656"/>
      <c r="EH79" s="656"/>
      <c r="EI79" s="656"/>
      <c r="EJ79" s="656"/>
      <c r="EK79" s="656"/>
      <c r="EL79" s="656"/>
      <c r="EM79" s="656"/>
      <c r="EN79" s="656"/>
      <c r="EO79" s="656"/>
      <c r="EP79" s="656"/>
      <c r="EQ79" s="656"/>
      <c r="ER79" s="656"/>
      <c r="ES79" s="656"/>
      <c r="ET79" s="656"/>
      <c r="EU79" s="656"/>
      <c r="EV79" s="656"/>
      <c r="EW79" s="656"/>
      <c r="EX79" s="656"/>
      <c r="EY79" s="656"/>
      <c r="EZ79" s="656"/>
      <c r="FA79" s="656"/>
      <c r="FB79" s="656"/>
      <c r="FC79" s="656"/>
      <c r="FD79" s="656"/>
      <c r="FE79" s="656"/>
      <c r="FF79" s="656"/>
      <c r="FG79" s="656"/>
      <c r="FH79" s="656"/>
      <c r="FI79" s="656"/>
      <c r="FJ79" s="656"/>
      <c r="FK79" s="656"/>
      <c r="FL79" s="656"/>
      <c r="FM79" s="656"/>
      <c r="FN79" s="656"/>
      <c r="FO79" s="656"/>
      <c r="FP79" s="656"/>
      <c r="FQ79" s="656"/>
      <c r="FR79" s="656"/>
      <c r="FS79" s="656"/>
      <c r="FT79" s="656"/>
      <c r="FU79" s="656"/>
      <c r="FV79" s="656"/>
      <c r="FW79" s="656"/>
      <c r="FX79" s="656"/>
      <c r="FY79" s="656"/>
      <c r="FZ79" s="656"/>
      <c r="GA79" s="656"/>
      <c r="GB79" s="656"/>
      <c r="GC79" s="656"/>
      <c r="GD79" s="656"/>
      <c r="GE79" s="656"/>
      <c r="GF79" s="656"/>
      <c r="GG79" s="656"/>
      <c r="GH79" s="656"/>
      <c r="GI79" s="656"/>
      <c r="GJ79" s="656"/>
      <c r="GK79" s="656"/>
      <c r="GL79" s="656"/>
      <c r="GM79" s="656"/>
      <c r="GN79" s="656"/>
      <c r="GO79" s="656"/>
      <c r="GP79" s="656"/>
      <c r="GQ79" s="656"/>
      <c r="GR79" s="656"/>
      <c r="GS79" s="656"/>
      <c r="GT79" s="656"/>
      <c r="GU79" s="656"/>
      <c r="GV79" s="656"/>
      <c r="GW79" s="656"/>
      <c r="GX79" s="656"/>
      <c r="GY79" s="656"/>
      <c r="GZ79" s="656"/>
      <c r="HA79" s="656"/>
      <c r="HB79" s="656"/>
      <c r="HC79" s="656"/>
      <c r="HD79" s="656"/>
      <c r="HE79" s="656"/>
      <c r="HF79" s="656"/>
      <c r="HG79" s="656"/>
      <c r="HH79" s="656"/>
      <c r="HI79" s="656"/>
      <c r="HJ79" s="656"/>
      <c r="HK79" s="656"/>
      <c r="HL79" s="656"/>
      <c r="HM79" s="656"/>
      <c r="HN79" s="656"/>
      <c r="HO79" s="656"/>
      <c r="HP79" s="656"/>
      <c r="HQ79" s="656"/>
      <c r="HR79" s="656"/>
      <c r="HS79" s="656"/>
      <c r="HT79" s="656"/>
      <c r="HU79" s="656"/>
      <c r="HV79" s="656"/>
      <c r="HW79" s="656"/>
      <c r="HX79" s="656"/>
      <c r="HY79" s="656"/>
      <c r="HZ79" s="656"/>
    </row>
    <row r="80" spans="1:234" s="657" customFormat="1" x14ac:dyDescent="0.25">
      <c r="A80" s="1013"/>
      <c r="B80" s="1034"/>
      <c r="C80" s="1047" t="s">
        <v>1303</v>
      </c>
      <c r="D80" s="1036"/>
      <c r="E80" s="1037"/>
      <c r="F80" s="1038"/>
      <c r="G80" s="1039"/>
      <c r="H80" s="1040"/>
      <c r="I80" s="1041"/>
      <c r="J80" s="1042"/>
      <c r="K80" s="1043"/>
      <c r="L80" s="1044"/>
      <c r="M80" s="1045"/>
      <c r="N80" s="1046"/>
      <c r="O80" s="1045"/>
      <c r="P80" s="1046"/>
      <c r="Q80" s="1045"/>
      <c r="R80" s="1046"/>
      <c r="S80" s="1023"/>
      <c r="T80" s="656"/>
      <c r="U80" s="656"/>
      <c r="V80" s="656"/>
      <c r="W80" s="656"/>
      <c r="X80" s="656"/>
      <c r="Y80" s="656"/>
      <c r="Z80" s="656"/>
      <c r="AA80" s="656"/>
      <c r="AB80" s="656"/>
      <c r="AC80" s="656"/>
      <c r="AD80" s="656"/>
      <c r="AE80" s="656"/>
      <c r="AF80" s="656"/>
      <c r="AG80" s="656"/>
      <c r="AH80" s="656"/>
      <c r="AI80" s="656"/>
      <c r="AJ80" s="656"/>
      <c r="AK80" s="656"/>
      <c r="AL80" s="656"/>
      <c r="AM80" s="656"/>
      <c r="AN80" s="656"/>
      <c r="AO80" s="656"/>
      <c r="AP80" s="656"/>
      <c r="AQ80" s="656"/>
      <c r="AR80" s="656"/>
      <c r="AS80" s="656"/>
      <c r="AT80" s="656"/>
      <c r="AU80" s="656"/>
      <c r="AV80" s="656"/>
      <c r="AW80" s="656"/>
      <c r="AX80" s="656"/>
      <c r="AY80" s="656"/>
      <c r="AZ80" s="656"/>
      <c r="BA80" s="656"/>
      <c r="BB80" s="656"/>
      <c r="BC80" s="656"/>
      <c r="BD80" s="656"/>
      <c r="BE80" s="656"/>
      <c r="BF80" s="656"/>
      <c r="BG80" s="656"/>
      <c r="BH80" s="656"/>
      <c r="BI80" s="656"/>
      <c r="BJ80" s="656"/>
      <c r="BK80" s="656"/>
      <c r="BL80" s="656"/>
      <c r="BM80" s="656"/>
      <c r="BN80" s="656"/>
      <c r="BO80" s="656"/>
      <c r="BP80" s="656"/>
      <c r="BQ80" s="656"/>
      <c r="BR80" s="656"/>
      <c r="BS80" s="656"/>
      <c r="BT80" s="656"/>
      <c r="BU80" s="656"/>
      <c r="BV80" s="656"/>
      <c r="BW80" s="656"/>
      <c r="BX80" s="656"/>
      <c r="BY80" s="656"/>
      <c r="BZ80" s="656"/>
      <c r="CA80" s="656"/>
      <c r="CB80" s="656"/>
      <c r="CC80" s="656"/>
      <c r="CD80" s="656"/>
      <c r="CE80" s="656"/>
      <c r="CF80" s="656"/>
      <c r="CG80" s="656"/>
      <c r="CH80" s="656"/>
      <c r="CI80" s="656"/>
      <c r="CJ80" s="656"/>
      <c r="CK80" s="656"/>
      <c r="CL80" s="656"/>
      <c r="CM80" s="656"/>
      <c r="CN80" s="656"/>
      <c r="CO80" s="656"/>
      <c r="CP80" s="656"/>
      <c r="CQ80" s="656"/>
      <c r="CR80" s="656"/>
      <c r="CS80" s="656"/>
      <c r="CT80" s="656"/>
      <c r="CU80" s="656"/>
      <c r="CV80" s="656"/>
      <c r="CW80" s="656"/>
      <c r="CX80" s="656"/>
      <c r="CY80" s="656"/>
      <c r="CZ80" s="656"/>
      <c r="DA80" s="656"/>
      <c r="DB80" s="656"/>
      <c r="DC80" s="656"/>
      <c r="DD80" s="656"/>
      <c r="DE80" s="656"/>
      <c r="DF80" s="656"/>
      <c r="DG80" s="656"/>
      <c r="DH80" s="656"/>
      <c r="DI80" s="656"/>
      <c r="DJ80" s="656"/>
      <c r="DK80" s="656"/>
      <c r="DL80" s="656"/>
      <c r="DM80" s="656"/>
      <c r="DN80" s="656"/>
      <c r="DO80" s="656"/>
      <c r="DP80" s="656"/>
      <c r="DQ80" s="656"/>
      <c r="DR80" s="656"/>
      <c r="DS80" s="656"/>
      <c r="DT80" s="656"/>
      <c r="DU80" s="656"/>
      <c r="DV80" s="656"/>
      <c r="DW80" s="656"/>
      <c r="DX80" s="656"/>
      <c r="DY80" s="656"/>
      <c r="DZ80" s="656"/>
      <c r="EA80" s="656"/>
      <c r="EB80" s="656"/>
      <c r="EC80" s="656"/>
      <c r="ED80" s="656"/>
      <c r="EE80" s="656"/>
      <c r="EF80" s="656"/>
      <c r="EG80" s="656"/>
      <c r="EH80" s="656"/>
      <c r="EI80" s="656"/>
      <c r="EJ80" s="656"/>
      <c r="EK80" s="656"/>
      <c r="EL80" s="656"/>
      <c r="EM80" s="656"/>
      <c r="EN80" s="656"/>
      <c r="EO80" s="656"/>
      <c r="EP80" s="656"/>
      <c r="EQ80" s="656"/>
      <c r="ER80" s="656"/>
      <c r="ES80" s="656"/>
      <c r="ET80" s="656"/>
      <c r="EU80" s="656"/>
      <c r="EV80" s="656"/>
      <c r="EW80" s="656"/>
      <c r="EX80" s="656"/>
      <c r="EY80" s="656"/>
      <c r="EZ80" s="656"/>
      <c r="FA80" s="656"/>
      <c r="FB80" s="656"/>
      <c r="FC80" s="656"/>
      <c r="FD80" s="656"/>
      <c r="FE80" s="656"/>
      <c r="FF80" s="656"/>
      <c r="FG80" s="656"/>
      <c r="FH80" s="656"/>
      <c r="FI80" s="656"/>
      <c r="FJ80" s="656"/>
      <c r="FK80" s="656"/>
      <c r="FL80" s="656"/>
      <c r="FM80" s="656"/>
      <c r="FN80" s="656"/>
      <c r="FO80" s="656"/>
      <c r="FP80" s="656"/>
      <c r="FQ80" s="656"/>
      <c r="FR80" s="656"/>
      <c r="FS80" s="656"/>
      <c r="FT80" s="656"/>
      <c r="FU80" s="656"/>
      <c r="FV80" s="656"/>
      <c r="FW80" s="656"/>
      <c r="FX80" s="656"/>
      <c r="FY80" s="656"/>
      <c r="FZ80" s="656"/>
      <c r="GA80" s="656"/>
      <c r="GB80" s="656"/>
      <c r="GC80" s="656"/>
      <c r="GD80" s="656"/>
      <c r="GE80" s="656"/>
      <c r="GF80" s="656"/>
      <c r="GG80" s="656"/>
      <c r="GH80" s="656"/>
      <c r="GI80" s="656"/>
      <c r="GJ80" s="656"/>
      <c r="GK80" s="656"/>
      <c r="GL80" s="656"/>
      <c r="GM80" s="656"/>
      <c r="GN80" s="656"/>
      <c r="GO80" s="656"/>
      <c r="GP80" s="656"/>
      <c r="GQ80" s="656"/>
      <c r="GR80" s="656"/>
      <c r="GS80" s="656"/>
      <c r="GT80" s="656"/>
      <c r="GU80" s="656"/>
      <c r="GV80" s="656"/>
      <c r="GW80" s="656"/>
      <c r="GX80" s="656"/>
      <c r="GY80" s="656"/>
      <c r="GZ80" s="656"/>
      <c r="HA80" s="656"/>
      <c r="HB80" s="656"/>
      <c r="HC80" s="656"/>
      <c r="HD80" s="656"/>
      <c r="HE80" s="656"/>
      <c r="HF80" s="656"/>
      <c r="HG80" s="656"/>
      <c r="HH80" s="656"/>
      <c r="HI80" s="656"/>
      <c r="HJ80" s="656"/>
      <c r="HK80" s="656"/>
      <c r="HL80" s="656"/>
      <c r="HM80" s="656"/>
      <c r="HN80" s="656"/>
      <c r="HO80" s="656"/>
      <c r="HP80" s="656"/>
      <c r="HQ80" s="656"/>
      <c r="HR80" s="656"/>
      <c r="HS80" s="656"/>
      <c r="HT80" s="656"/>
      <c r="HU80" s="656"/>
      <c r="HV80" s="656"/>
      <c r="HW80" s="656"/>
      <c r="HX80" s="656"/>
      <c r="HY80" s="656"/>
      <c r="HZ80" s="656"/>
    </row>
    <row r="81" spans="1:234" s="657" customFormat="1" ht="42.75" x14ac:dyDescent="0.25">
      <c r="A81" s="1013"/>
      <c r="B81" s="1014">
        <v>54</v>
      </c>
      <c r="C81" s="1015" t="s">
        <v>1242</v>
      </c>
      <c r="D81" s="1027" t="s">
        <v>912</v>
      </c>
      <c r="E81" s="1017">
        <v>1</v>
      </c>
      <c r="F81" s="1018">
        <v>22001</v>
      </c>
      <c r="G81" s="1019">
        <v>22001</v>
      </c>
      <c r="H81" s="486">
        <v>40</v>
      </c>
      <c r="I81" s="1028">
        <v>171.79999999999998</v>
      </c>
      <c r="J81" s="1020">
        <v>3779771.8</v>
      </c>
      <c r="K81" s="1021">
        <v>171.79999999999998</v>
      </c>
      <c r="L81" s="480">
        <v>3779771.8</v>
      </c>
      <c r="M81" s="1029">
        <v>0</v>
      </c>
      <c r="N81" s="488">
        <v>0</v>
      </c>
      <c r="O81" s="1024">
        <v>171.79999999999998</v>
      </c>
      <c r="P81" s="488">
        <v>3779771.8</v>
      </c>
      <c r="Q81" s="1024">
        <v>0</v>
      </c>
      <c r="R81" s="488">
        <v>0</v>
      </c>
      <c r="S81" s="1023"/>
      <c r="T81" s="656"/>
      <c r="U81" s="656"/>
      <c r="V81" s="656"/>
      <c r="W81" s="656"/>
      <c r="X81" s="656"/>
      <c r="Y81" s="656"/>
      <c r="Z81" s="656"/>
      <c r="AA81" s="656"/>
      <c r="AB81" s="656"/>
      <c r="AC81" s="656"/>
      <c r="AD81" s="656"/>
      <c r="AE81" s="656"/>
      <c r="AF81" s="656"/>
      <c r="AG81" s="656"/>
      <c r="AH81" s="656"/>
      <c r="AI81" s="656"/>
      <c r="AJ81" s="656"/>
      <c r="AK81" s="656"/>
      <c r="AL81" s="656"/>
      <c r="AM81" s="656"/>
      <c r="AN81" s="656"/>
      <c r="AO81" s="656"/>
      <c r="AP81" s="656"/>
      <c r="AQ81" s="656"/>
      <c r="AR81" s="656"/>
      <c r="AS81" s="656"/>
      <c r="AT81" s="656"/>
      <c r="AU81" s="656"/>
      <c r="AV81" s="656"/>
      <c r="AW81" s="656"/>
      <c r="AX81" s="656"/>
      <c r="AY81" s="656"/>
      <c r="AZ81" s="656"/>
      <c r="BA81" s="656"/>
      <c r="BB81" s="656"/>
      <c r="BC81" s="656"/>
      <c r="BD81" s="656"/>
      <c r="BE81" s="656"/>
      <c r="BF81" s="656"/>
      <c r="BG81" s="656"/>
      <c r="BH81" s="656"/>
      <c r="BI81" s="656"/>
      <c r="BJ81" s="656"/>
      <c r="BK81" s="656"/>
      <c r="BL81" s="656"/>
      <c r="BM81" s="656"/>
      <c r="BN81" s="656"/>
      <c r="BO81" s="656"/>
      <c r="BP81" s="656"/>
      <c r="BQ81" s="656"/>
      <c r="BR81" s="656"/>
      <c r="BS81" s="656"/>
      <c r="BT81" s="656"/>
      <c r="BU81" s="656"/>
      <c r="BV81" s="656"/>
      <c r="BW81" s="656"/>
      <c r="BX81" s="656"/>
      <c r="BY81" s="656"/>
      <c r="BZ81" s="656"/>
      <c r="CA81" s="656"/>
      <c r="CB81" s="656"/>
      <c r="CC81" s="656"/>
      <c r="CD81" s="656"/>
      <c r="CE81" s="656"/>
      <c r="CF81" s="656"/>
      <c r="CG81" s="656"/>
      <c r="CH81" s="656"/>
      <c r="CI81" s="656"/>
      <c r="CJ81" s="656"/>
      <c r="CK81" s="656"/>
      <c r="CL81" s="656"/>
      <c r="CM81" s="656"/>
      <c r="CN81" s="656"/>
      <c r="CO81" s="656"/>
      <c r="CP81" s="656"/>
      <c r="CQ81" s="656"/>
      <c r="CR81" s="656"/>
      <c r="CS81" s="656"/>
      <c r="CT81" s="656"/>
      <c r="CU81" s="656"/>
      <c r="CV81" s="656"/>
      <c r="CW81" s="656"/>
      <c r="CX81" s="656"/>
      <c r="CY81" s="656"/>
      <c r="CZ81" s="656"/>
      <c r="DA81" s="656"/>
      <c r="DB81" s="656"/>
      <c r="DC81" s="656"/>
      <c r="DD81" s="656"/>
      <c r="DE81" s="656"/>
      <c r="DF81" s="656"/>
      <c r="DG81" s="656"/>
      <c r="DH81" s="656"/>
      <c r="DI81" s="656"/>
      <c r="DJ81" s="656"/>
      <c r="DK81" s="656"/>
      <c r="DL81" s="656"/>
      <c r="DM81" s="656"/>
      <c r="DN81" s="656"/>
      <c r="DO81" s="656"/>
      <c r="DP81" s="656"/>
      <c r="DQ81" s="656"/>
      <c r="DR81" s="656"/>
      <c r="DS81" s="656"/>
      <c r="DT81" s="656"/>
      <c r="DU81" s="656"/>
      <c r="DV81" s="656"/>
      <c r="DW81" s="656"/>
      <c r="DX81" s="656"/>
      <c r="DY81" s="656"/>
      <c r="DZ81" s="656"/>
      <c r="EA81" s="656"/>
      <c r="EB81" s="656"/>
      <c r="EC81" s="656"/>
      <c r="ED81" s="656"/>
      <c r="EE81" s="656"/>
      <c r="EF81" s="656"/>
      <c r="EG81" s="656"/>
      <c r="EH81" s="656"/>
      <c r="EI81" s="656"/>
      <c r="EJ81" s="656"/>
      <c r="EK81" s="656"/>
      <c r="EL81" s="656"/>
      <c r="EM81" s="656"/>
      <c r="EN81" s="656"/>
      <c r="EO81" s="656"/>
      <c r="EP81" s="656"/>
      <c r="EQ81" s="656"/>
      <c r="ER81" s="656"/>
      <c r="ES81" s="656"/>
      <c r="ET81" s="656"/>
      <c r="EU81" s="656"/>
      <c r="EV81" s="656"/>
      <c r="EW81" s="656"/>
      <c r="EX81" s="656"/>
      <c r="EY81" s="656"/>
      <c r="EZ81" s="656"/>
      <c r="FA81" s="656"/>
      <c r="FB81" s="656"/>
      <c r="FC81" s="656"/>
      <c r="FD81" s="656"/>
      <c r="FE81" s="656"/>
      <c r="FF81" s="656"/>
      <c r="FG81" s="656"/>
      <c r="FH81" s="656"/>
      <c r="FI81" s="656"/>
      <c r="FJ81" s="656"/>
      <c r="FK81" s="656"/>
      <c r="FL81" s="656"/>
      <c r="FM81" s="656"/>
      <c r="FN81" s="656"/>
      <c r="FO81" s="656"/>
      <c r="FP81" s="656"/>
      <c r="FQ81" s="656"/>
      <c r="FR81" s="656"/>
      <c r="FS81" s="656"/>
      <c r="FT81" s="656"/>
      <c r="FU81" s="656"/>
      <c r="FV81" s="656"/>
      <c r="FW81" s="656"/>
      <c r="FX81" s="656"/>
      <c r="FY81" s="656"/>
      <c r="FZ81" s="656"/>
      <c r="GA81" s="656"/>
      <c r="GB81" s="656"/>
      <c r="GC81" s="656"/>
      <c r="GD81" s="656"/>
      <c r="GE81" s="656"/>
      <c r="GF81" s="656"/>
      <c r="GG81" s="656"/>
      <c r="GH81" s="656"/>
      <c r="GI81" s="656"/>
      <c r="GJ81" s="656"/>
      <c r="GK81" s="656"/>
      <c r="GL81" s="656"/>
      <c r="GM81" s="656"/>
      <c r="GN81" s="656"/>
      <c r="GO81" s="656"/>
      <c r="GP81" s="656"/>
      <c r="GQ81" s="656"/>
      <c r="GR81" s="656"/>
      <c r="GS81" s="656"/>
      <c r="GT81" s="656"/>
      <c r="GU81" s="656"/>
      <c r="GV81" s="656"/>
      <c r="GW81" s="656"/>
      <c r="GX81" s="656"/>
      <c r="GY81" s="656"/>
      <c r="GZ81" s="656"/>
      <c r="HA81" s="656"/>
      <c r="HB81" s="656"/>
      <c r="HC81" s="656"/>
      <c r="HD81" s="656"/>
      <c r="HE81" s="656"/>
      <c r="HF81" s="656"/>
      <c r="HG81" s="656"/>
      <c r="HH81" s="656"/>
      <c r="HI81" s="656"/>
      <c r="HJ81" s="656"/>
      <c r="HK81" s="656"/>
      <c r="HL81" s="656"/>
      <c r="HM81" s="656"/>
      <c r="HN81" s="656"/>
      <c r="HO81" s="656"/>
      <c r="HP81" s="656"/>
      <c r="HQ81" s="656"/>
      <c r="HR81" s="656"/>
      <c r="HS81" s="656"/>
      <c r="HT81" s="656"/>
      <c r="HU81" s="656"/>
      <c r="HV81" s="656"/>
      <c r="HW81" s="656"/>
      <c r="HX81" s="656"/>
      <c r="HY81" s="656"/>
      <c r="HZ81" s="656"/>
    </row>
    <row r="82" spans="1:234" s="657" customFormat="1" ht="57" x14ac:dyDescent="0.25">
      <c r="A82" s="1013"/>
      <c r="B82" s="1014">
        <v>60</v>
      </c>
      <c r="C82" s="1015" t="s">
        <v>1304</v>
      </c>
      <c r="D82" s="1027" t="s">
        <v>912</v>
      </c>
      <c r="E82" s="1017">
        <v>1</v>
      </c>
      <c r="F82" s="1018">
        <v>23157</v>
      </c>
      <c r="G82" s="1019">
        <v>23157</v>
      </c>
      <c r="H82" s="486">
        <v>200</v>
      </c>
      <c r="I82" s="1028">
        <v>1200</v>
      </c>
      <c r="J82" s="1020">
        <v>27788400</v>
      </c>
      <c r="K82" s="1021">
        <v>890</v>
      </c>
      <c r="L82" s="480">
        <v>20609730</v>
      </c>
      <c r="M82" s="1029">
        <v>0</v>
      </c>
      <c r="N82" s="488">
        <v>0</v>
      </c>
      <c r="O82" s="1024">
        <v>890</v>
      </c>
      <c r="P82" s="488">
        <v>20609730</v>
      </c>
      <c r="Q82" s="1029">
        <v>0</v>
      </c>
      <c r="R82" s="488">
        <v>0</v>
      </c>
      <c r="S82" s="1023"/>
      <c r="T82" s="656"/>
      <c r="U82" s="656"/>
      <c r="V82" s="656"/>
      <c r="W82" s="656"/>
      <c r="X82" s="656"/>
      <c r="Y82" s="656"/>
      <c r="Z82" s="656"/>
      <c r="AA82" s="656"/>
      <c r="AB82" s="656"/>
      <c r="AC82" s="656"/>
      <c r="AD82" s="656"/>
      <c r="AE82" s="656"/>
      <c r="AF82" s="656"/>
      <c r="AG82" s="656"/>
      <c r="AH82" s="656"/>
      <c r="AI82" s="656"/>
      <c r="AJ82" s="656"/>
      <c r="AK82" s="656"/>
      <c r="AL82" s="656"/>
      <c r="AM82" s="656"/>
      <c r="AN82" s="656"/>
      <c r="AO82" s="656"/>
      <c r="AP82" s="656"/>
      <c r="AQ82" s="656"/>
      <c r="AR82" s="656"/>
      <c r="AS82" s="656"/>
      <c r="AT82" s="656"/>
      <c r="AU82" s="656"/>
      <c r="AV82" s="656"/>
      <c r="AW82" s="656"/>
      <c r="AX82" s="656"/>
      <c r="AY82" s="656"/>
      <c r="AZ82" s="656"/>
      <c r="BA82" s="656"/>
      <c r="BB82" s="656"/>
      <c r="BC82" s="656"/>
      <c r="BD82" s="656"/>
      <c r="BE82" s="656"/>
      <c r="BF82" s="656"/>
      <c r="BG82" s="656"/>
      <c r="BH82" s="656"/>
      <c r="BI82" s="656"/>
      <c r="BJ82" s="656"/>
      <c r="BK82" s="656"/>
      <c r="BL82" s="656"/>
      <c r="BM82" s="656"/>
      <c r="BN82" s="656"/>
      <c r="BO82" s="656"/>
      <c r="BP82" s="656"/>
      <c r="BQ82" s="656"/>
      <c r="BR82" s="656"/>
      <c r="BS82" s="656"/>
      <c r="BT82" s="656"/>
      <c r="BU82" s="656"/>
      <c r="BV82" s="656"/>
      <c r="BW82" s="656"/>
      <c r="BX82" s="656"/>
      <c r="BY82" s="656"/>
      <c r="BZ82" s="656"/>
      <c r="CA82" s="656"/>
      <c r="CB82" s="656"/>
      <c r="CC82" s="656"/>
      <c r="CD82" s="656"/>
      <c r="CE82" s="656"/>
      <c r="CF82" s="656"/>
      <c r="CG82" s="656"/>
      <c r="CH82" s="656"/>
      <c r="CI82" s="656"/>
      <c r="CJ82" s="656"/>
      <c r="CK82" s="656"/>
      <c r="CL82" s="656"/>
      <c r="CM82" s="656"/>
      <c r="CN82" s="656"/>
      <c r="CO82" s="656"/>
      <c r="CP82" s="656"/>
      <c r="CQ82" s="656"/>
      <c r="CR82" s="656"/>
      <c r="CS82" s="656"/>
      <c r="CT82" s="656"/>
      <c r="CU82" s="656"/>
      <c r="CV82" s="656"/>
      <c r="CW82" s="656"/>
      <c r="CX82" s="656"/>
      <c r="CY82" s="656"/>
      <c r="CZ82" s="656"/>
      <c r="DA82" s="656"/>
      <c r="DB82" s="656"/>
      <c r="DC82" s="656"/>
      <c r="DD82" s="656"/>
      <c r="DE82" s="656"/>
      <c r="DF82" s="656"/>
      <c r="DG82" s="656"/>
      <c r="DH82" s="656"/>
      <c r="DI82" s="656"/>
      <c r="DJ82" s="656"/>
      <c r="DK82" s="656"/>
      <c r="DL82" s="656"/>
      <c r="DM82" s="656"/>
      <c r="DN82" s="656"/>
      <c r="DO82" s="656"/>
      <c r="DP82" s="656"/>
      <c r="DQ82" s="656"/>
      <c r="DR82" s="656"/>
      <c r="DS82" s="656"/>
      <c r="DT82" s="656"/>
      <c r="DU82" s="656"/>
      <c r="DV82" s="656"/>
      <c r="DW82" s="656"/>
      <c r="DX82" s="656"/>
      <c r="DY82" s="656"/>
      <c r="DZ82" s="656"/>
      <c r="EA82" s="656"/>
      <c r="EB82" s="656"/>
      <c r="EC82" s="656"/>
      <c r="ED82" s="656"/>
      <c r="EE82" s="656"/>
      <c r="EF82" s="656"/>
      <c r="EG82" s="656"/>
      <c r="EH82" s="656"/>
      <c r="EI82" s="656"/>
      <c r="EJ82" s="656"/>
      <c r="EK82" s="656"/>
      <c r="EL82" s="656"/>
      <c r="EM82" s="656"/>
      <c r="EN82" s="656"/>
      <c r="EO82" s="656"/>
      <c r="EP82" s="656"/>
      <c r="EQ82" s="656"/>
      <c r="ER82" s="656"/>
      <c r="ES82" s="656"/>
      <c r="ET82" s="656"/>
      <c r="EU82" s="656"/>
      <c r="EV82" s="656"/>
      <c r="EW82" s="656"/>
      <c r="EX82" s="656"/>
      <c r="EY82" s="656"/>
      <c r="EZ82" s="656"/>
      <c r="FA82" s="656"/>
      <c r="FB82" s="656"/>
      <c r="FC82" s="656"/>
      <c r="FD82" s="656"/>
      <c r="FE82" s="656"/>
      <c r="FF82" s="656"/>
      <c r="FG82" s="656"/>
      <c r="FH82" s="656"/>
      <c r="FI82" s="656"/>
      <c r="FJ82" s="656"/>
      <c r="FK82" s="656"/>
      <c r="FL82" s="656"/>
      <c r="FM82" s="656"/>
      <c r="FN82" s="656"/>
      <c r="FO82" s="656"/>
      <c r="FP82" s="656"/>
      <c r="FQ82" s="656"/>
      <c r="FR82" s="656"/>
      <c r="FS82" s="656"/>
      <c r="FT82" s="656"/>
      <c r="FU82" s="656"/>
      <c r="FV82" s="656"/>
      <c r="FW82" s="656"/>
      <c r="FX82" s="656"/>
      <c r="FY82" s="656"/>
      <c r="FZ82" s="656"/>
      <c r="GA82" s="656"/>
      <c r="GB82" s="656"/>
      <c r="GC82" s="656"/>
      <c r="GD82" s="656"/>
      <c r="GE82" s="656"/>
      <c r="GF82" s="656"/>
      <c r="GG82" s="656"/>
      <c r="GH82" s="656"/>
      <c r="GI82" s="656"/>
      <c r="GJ82" s="656"/>
      <c r="GK82" s="656"/>
      <c r="GL82" s="656"/>
      <c r="GM82" s="656"/>
      <c r="GN82" s="656"/>
      <c r="GO82" s="656"/>
      <c r="GP82" s="656"/>
      <c r="GQ82" s="656"/>
      <c r="GR82" s="656"/>
      <c r="GS82" s="656"/>
      <c r="GT82" s="656"/>
      <c r="GU82" s="656"/>
      <c r="GV82" s="656"/>
      <c r="GW82" s="656"/>
      <c r="GX82" s="656"/>
      <c r="GY82" s="656"/>
      <c r="GZ82" s="656"/>
      <c r="HA82" s="656"/>
      <c r="HB82" s="656"/>
      <c r="HC82" s="656"/>
      <c r="HD82" s="656"/>
      <c r="HE82" s="656"/>
      <c r="HF82" s="656"/>
      <c r="HG82" s="656"/>
      <c r="HH82" s="656"/>
      <c r="HI82" s="656"/>
      <c r="HJ82" s="656"/>
      <c r="HK82" s="656"/>
      <c r="HL82" s="656"/>
      <c r="HM82" s="656"/>
      <c r="HN82" s="656"/>
      <c r="HO82" s="656"/>
      <c r="HP82" s="656"/>
      <c r="HQ82" s="656"/>
      <c r="HR82" s="656"/>
      <c r="HS82" s="656"/>
      <c r="HT82" s="656"/>
      <c r="HU82" s="656"/>
      <c r="HV82" s="656"/>
      <c r="HW82" s="656"/>
      <c r="HX82" s="656"/>
      <c r="HY82" s="656"/>
      <c r="HZ82" s="656"/>
    </row>
    <row r="83" spans="1:234" s="657" customFormat="1" x14ac:dyDescent="0.25">
      <c r="A83" s="698"/>
      <c r="B83" s="1048"/>
      <c r="C83" s="1047" t="s">
        <v>1305</v>
      </c>
      <c r="D83" s="1049"/>
      <c r="E83" s="1049"/>
      <c r="F83" s="1049"/>
      <c r="G83" s="1039"/>
      <c r="H83" s="1050"/>
      <c r="I83" s="1051"/>
      <c r="J83" s="1042"/>
      <c r="K83" s="1052"/>
      <c r="L83" s="1053"/>
      <c r="M83" s="1045">
        <v>0</v>
      </c>
      <c r="N83" s="1046"/>
      <c r="O83" s="1045"/>
      <c r="P83" s="1046"/>
      <c r="Q83" s="1045"/>
      <c r="R83" s="1046"/>
      <c r="S83" s="1023"/>
      <c r="T83" s="656"/>
      <c r="U83" s="656"/>
      <c r="V83" s="656"/>
      <c r="W83" s="656"/>
      <c r="X83" s="656"/>
      <c r="Y83" s="656"/>
      <c r="Z83" s="656"/>
      <c r="AA83" s="656"/>
      <c r="AB83" s="656"/>
      <c r="AC83" s="656"/>
      <c r="AD83" s="656"/>
      <c r="AE83" s="656"/>
      <c r="AF83" s="656"/>
      <c r="AG83" s="656"/>
      <c r="AH83" s="656"/>
      <c r="AI83" s="656"/>
      <c r="AJ83" s="656"/>
      <c r="AK83" s="656"/>
      <c r="AL83" s="656"/>
      <c r="AM83" s="656"/>
      <c r="AN83" s="656"/>
      <c r="AO83" s="656"/>
      <c r="AP83" s="656"/>
      <c r="AQ83" s="656"/>
      <c r="AR83" s="656"/>
      <c r="AS83" s="656"/>
      <c r="AT83" s="656"/>
      <c r="AU83" s="656"/>
      <c r="AV83" s="656"/>
      <c r="AW83" s="656"/>
      <c r="AX83" s="656"/>
      <c r="AY83" s="656"/>
      <c r="AZ83" s="656"/>
      <c r="BA83" s="656"/>
      <c r="BB83" s="656"/>
      <c r="BC83" s="656"/>
      <c r="BD83" s="656"/>
      <c r="BE83" s="656"/>
      <c r="BF83" s="656"/>
      <c r="BG83" s="656"/>
      <c r="BH83" s="656"/>
      <c r="BI83" s="656"/>
      <c r="BJ83" s="656"/>
      <c r="BK83" s="656"/>
      <c r="BL83" s="656"/>
      <c r="BM83" s="656"/>
      <c r="BN83" s="656"/>
      <c r="BO83" s="656"/>
      <c r="BP83" s="656"/>
      <c r="BQ83" s="656"/>
      <c r="BR83" s="656"/>
      <c r="BS83" s="656"/>
      <c r="BT83" s="656"/>
      <c r="BU83" s="656"/>
      <c r="BV83" s="656"/>
      <c r="BW83" s="656"/>
      <c r="BX83" s="656"/>
      <c r="BY83" s="656"/>
      <c r="BZ83" s="656"/>
      <c r="CA83" s="656"/>
      <c r="CB83" s="656"/>
      <c r="CC83" s="656"/>
      <c r="CD83" s="656"/>
      <c r="CE83" s="656"/>
      <c r="CF83" s="656"/>
      <c r="CG83" s="656"/>
      <c r="CH83" s="656"/>
      <c r="CI83" s="656"/>
      <c r="CJ83" s="656"/>
      <c r="CK83" s="656"/>
      <c r="CL83" s="656"/>
      <c r="CM83" s="656"/>
      <c r="CN83" s="656"/>
      <c r="CO83" s="656"/>
      <c r="CP83" s="656"/>
      <c r="CQ83" s="656"/>
      <c r="CR83" s="656"/>
      <c r="CS83" s="656"/>
      <c r="CT83" s="656"/>
      <c r="CU83" s="656"/>
      <c r="CV83" s="656"/>
      <c r="CW83" s="656"/>
      <c r="CX83" s="656"/>
      <c r="CY83" s="656"/>
      <c r="CZ83" s="656"/>
      <c r="DA83" s="656"/>
      <c r="DB83" s="656"/>
      <c r="DC83" s="656"/>
      <c r="DD83" s="656"/>
      <c r="DE83" s="656"/>
      <c r="DF83" s="656"/>
      <c r="DG83" s="656"/>
      <c r="DH83" s="656"/>
      <c r="DI83" s="656"/>
      <c r="DJ83" s="656"/>
      <c r="DK83" s="656"/>
      <c r="DL83" s="656"/>
      <c r="DM83" s="656"/>
      <c r="DN83" s="656"/>
      <c r="DO83" s="656"/>
      <c r="DP83" s="656"/>
      <c r="DQ83" s="656"/>
      <c r="DR83" s="656"/>
      <c r="DS83" s="656"/>
      <c r="DT83" s="656"/>
      <c r="DU83" s="656"/>
      <c r="DV83" s="656"/>
      <c r="DW83" s="656"/>
      <c r="DX83" s="656"/>
      <c r="DY83" s="656"/>
      <c r="DZ83" s="656"/>
      <c r="EA83" s="656"/>
      <c r="EB83" s="656"/>
      <c r="EC83" s="656"/>
      <c r="ED83" s="656"/>
      <c r="EE83" s="656"/>
      <c r="EF83" s="656"/>
      <c r="EG83" s="656"/>
      <c r="EH83" s="656"/>
      <c r="EI83" s="656"/>
      <c r="EJ83" s="656"/>
      <c r="EK83" s="656"/>
      <c r="EL83" s="656"/>
      <c r="EM83" s="656"/>
      <c r="EN83" s="656"/>
      <c r="EO83" s="656"/>
      <c r="EP83" s="656"/>
      <c r="EQ83" s="656"/>
      <c r="ER83" s="656"/>
      <c r="ES83" s="656"/>
      <c r="ET83" s="656"/>
      <c r="EU83" s="656"/>
      <c r="EV83" s="656"/>
      <c r="EW83" s="656"/>
      <c r="EX83" s="656"/>
      <c r="EY83" s="656"/>
      <c r="EZ83" s="656"/>
      <c r="FA83" s="656"/>
      <c r="FB83" s="656"/>
      <c r="FC83" s="656"/>
      <c r="FD83" s="656"/>
      <c r="FE83" s="656"/>
      <c r="FF83" s="656"/>
      <c r="FG83" s="656"/>
      <c r="FH83" s="656"/>
      <c r="FI83" s="656"/>
      <c r="FJ83" s="656"/>
      <c r="FK83" s="656"/>
      <c r="FL83" s="656"/>
      <c r="FM83" s="656"/>
      <c r="FN83" s="656"/>
      <c r="FO83" s="656"/>
      <c r="FP83" s="656"/>
      <c r="FQ83" s="656"/>
      <c r="FR83" s="656"/>
      <c r="FS83" s="656"/>
      <c r="FT83" s="656"/>
      <c r="FU83" s="656"/>
      <c r="FV83" s="656"/>
      <c r="FW83" s="656"/>
      <c r="FX83" s="656"/>
      <c r="FY83" s="656"/>
      <c r="FZ83" s="656"/>
      <c r="GA83" s="656"/>
      <c r="GB83" s="656"/>
      <c r="GC83" s="656"/>
      <c r="GD83" s="656"/>
      <c r="GE83" s="656"/>
      <c r="GF83" s="656"/>
      <c r="GG83" s="656"/>
      <c r="GH83" s="656"/>
      <c r="GI83" s="656"/>
      <c r="GJ83" s="656"/>
      <c r="GK83" s="656"/>
      <c r="GL83" s="656"/>
      <c r="GM83" s="656"/>
      <c r="GN83" s="656"/>
      <c r="GO83" s="656"/>
      <c r="GP83" s="656"/>
      <c r="GQ83" s="656"/>
      <c r="GR83" s="656"/>
      <c r="GS83" s="656"/>
      <c r="GT83" s="656"/>
      <c r="GU83" s="656"/>
      <c r="GV83" s="656"/>
      <c r="GW83" s="656"/>
      <c r="GX83" s="656"/>
      <c r="GY83" s="656"/>
      <c r="GZ83" s="656"/>
      <c r="HA83" s="656"/>
      <c r="HB83" s="656"/>
      <c r="HC83" s="656"/>
      <c r="HD83" s="656"/>
      <c r="HE83" s="656"/>
      <c r="HF83" s="656"/>
      <c r="HG83" s="656"/>
      <c r="HH83" s="656"/>
      <c r="HI83" s="656"/>
      <c r="HJ83" s="656"/>
      <c r="HK83" s="656"/>
      <c r="HL83" s="656"/>
      <c r="HM83" s="656"/>
      <c r="HN83" s="656"/>
      <c r="HO83" s="656"/>
      <c r="HP83" s="656"/>
      <c r="HQ83" s="656"/>
      <c r="HR83" s="656"/>
      <c r="HS83" s="656"/>
      <c r="HT83" s="656"/>
      <c r="HU83" s="656"/>
      <c r="HV83" s="656"/>
      <c r="HW83" s="656"/>
      <c r="HX83" s="656"/>
      <c r="HY83" s="656"/>
      <c r="HZ83" s="656"/>
    </row>
    <row r="84" spans="1:234" s="657" customFormat="1" ht="28.5" x14ac:dyDescent="0.25">
      <c r="A84" s="698"/>
      <c r="B84" s="1014">
        <v>27</v>
      </c>
      <c r="C84" s="1015" t="s">
        <v>1289</v>
      </c>
      <c r="D84" s="1027" t="s">
        <v>842</v>
      </c>
      <c r="E84" s="1017">
        <v>1</v>
      </c>
      <c r="F84" s="1018">
        <v>29311</v>
      </c>
      <c r="G84" s="1019">
        <v>29311</v>
      </c>
      <c r="H84" s="486">
        <v>100</v>
      </c>
      <c r="I84" s="1028">
        <v>20</v>
      </c>
      <c r="J84" s="1020">
        <v>586220</v>
      </c>
      <c r="K84" s="1021">
        <v>0</v>
      </c>
      <c r="L84" s="480">
        <v>0</v>
      </c>
      <c r="M84" s="1029">
        <v>0</v>
      </c>
      <c r="N84" s="488">
        <v>0</v>
      </c>
      <c r="O84" s="1029">
        <v>0</v>
      </c>
      <c r="P84" s="488">
        <v>0</v>
      </c>
      <c r="Q84" s="1029">
        <v>0</v>
      </c>
      <c r="R84" s="488">
        <v>0</v>
      </c>
      <c r="S84" s="1023"/>
      <c r="T84" s="656"/>
      <c r="U84" s="656"/>
      <c r="V84" s="656"/>
      <c r="W84" s="656"/>
      <c r="X84" s="656"/>
      <c r="Y84" s="656"/>
      <c r="Z84" s="656"/>
      <c r="AA84" s="656"/>
      <c r="AB84" s="656"/>
      <c r="AC84" s="656"/>
      <c r="AD84" s="656"/>
      <c r="AE84" s="656"/>
      <c r="AF84" s="656"/>
      <c r="AG84" s="656"/>
      <c r="AH84" s="656"/>
      <c r="AI84" s="656"/>
      <c r="AJ84" s="656"/>
      <c r="AK84" s="656"/>
      <c r="AL84" s="656"/>
      <c r="AM84" s="656"/>
      <c r="AN84" s="656"/>
      <c r="AO84" s="656"/>
      <c r="AP84" s="656"/>
      <c r="AQ84" s="656"/>
      <c r="AR84" s="656"/>
      <c r="AS84" s="656"/>
      <c r="AT84" s="656"/>
      <c r="AU84" s="656"/>
      <c r="AV84" s="656"/>
      <c r="AW84" s="656"/>
      <c r="AX84" s="656"/>
      <c r="AY84" s="656"/>
      <c r="AZ84" s="656"/>
      <c r="BA84" s="656"/>
      <c r="BB84" s="656"/>
      <c r="BC84" s="656"/>
      <c r="BD84" s="656"/>
      <c r="BE84" s="656"/>
      <c r="BF84" s="656"/>
      <c r="BG84" s="656"/>
      <c r="BH84" s="656"/>
      <c r="BI84" s="656"/>
      <c r="BJ84" s="656"/>
      <c r="BK84" s="656"/>
      <c r="BL84" s="656"/>
      <c r="BM84" s="656"/>
      <c r="BN84" s="656"/>
      <c r="BO84" s="656"/>
      <c r="BP84" s="656"/>
      <c r="BQ84" s="656"/>
      <c r="BR84" s="656"/>
      <c r="BS84" s="656"/>
      <c r="BT84" s="656"/>
      <c r="BU84" s="656"/>
      <c r="BV84" s="656"/>
      <c r="BW84" s="656"/>
      <c r="BX84" s="656"/>
      <c r="BY84" s="656"/>
      <c r="BZ84" s="656"/>
      <c r="CA84" s="656"/>
      <c r="CB84" s="656"/>
      <c r="CC84" s="656"/>
      <c r="CD84" s="656"/>
      <c r="CE84" s="656"/>
      <c r="CF84" s="656"/>
      <c r="CG84" s="656"/>
      <c r="CH84" s="656"/>
      <c r="CI84" s="656"/>
      <c r="CJ84" s="656"/>
      <c r="CK84" s="656"/>
      <c r="CL84" s="656"/>
      <c r="CM84" s="656"/>
      <c r="CN84" s="656"/>
      <c r="CO84" s="656"/>
      <c r="CP84" s="656"/>
      <c r="CQ84" s="656"/>
      <c r="CR84" s="656"/>
      <c r="CS84" s="656"/>
      <c r="CT84" s="656"/>
      <c r="CU84" s="656"/>
      <c r="CV84" s="656"/>
      <c r="CW84" s="656"/>
      <c r="CX84" s="656"/>
      <c r="CY84" s="656"/>
      <c r="CZ84" s="656"/>
      <c r="DA84" s="656"/>
      <c r="DB84" s="656"/>
      <c r="DC84" s="656"/>
      <c r="DD84" s="656"/>
      <c r="DE84" s="656"/>
      <c r="DF84" s="656"/>
      <c r="DG84" s="656"/>
      <c r="DH84" s="656"/>
      <c r="DI84" s="656"/>
      <c r="DJ84" s="656"/>
      <c r="DK84" s="656"/>
      <c r="DL84" s="656"/>
      <c r="DM84" s="656"/>
      <c r="DN84" s="656"/>
      <c r="DO84" s="656"/>
      <c r="DP84" s="656"/>
      <c r="DQ84" s="656"/>
      <c r="DR84" s="656"/>
      <c r="DS84" s="656"/>
      <c r="DT84" s="656"/>
      <c r="DU84" s="656"/>
      <c r="DV84" s="656"/>
      <c r="DW84" s="656"/>
      <c r="DX84" s="656"/>
      <c r="DY84" s="656"/>
      <c r="DZ84" s="656"/>
      <c r="EA84" s="656"/>
      <c r="EB84" s="656"/>
      <c r="EC84" s="656"/>
      <c r="ED84" s="656"/>
      <c r="EE84" s="656"/>
      <c r="EF84" s="656"/>
      <c r="EG84" s="656"/>
      <c r="EH84" s="656"/>
      <c r="EI84" s="656"/>
      <c r="EJ84" s="656"/>
      <c r="EK84" s="656"/>
      <c r="EL84" s="656"/>
      <c r="EM84" s="656"/>
      <c r="EN84" s="656"/>
      <c r="EO84" s="656"/>
      <c r="EP84" s="656"/>
      <c r="EQ84" s="656"/>
      <c r="ER84" s="656"/>
      <c r="ES84" s="656"/>
      <c r="ET84" s="656"/>
      <c r="EU84" s="656"/>
      <c r="EV84" s="656"/>
      <c r="EW84" s="656"/>
      <c r="EX84" s="656"/>
      <c r="EY84" s="656"/>
      <c r="EZ84" s="656"/>
      <c r="FA84" s="656"/>
      <c r="FB84" s="656"/>
      <c r="FC84" s="656"/>
      <c r="FD84" s="656"/>
      <c r="FE84" s="656"/>
      <c r="FF84" s="656"/>
      <c r="FG84" s="656"/>
      <c r="FH84" s="656"/>
      <c r="FI84" s="656"/>
      <c r="FJ84" s="656"/>
      <c r="FK84" s="656"/>
      <c r="FL84" s="656"/>
      <c r="FM84" s="656"/>
      <c r="FN84" s="656"/>
      <c r="FO84" s="656"/>
      <c r="FP84" s="656"/>
      <c r="FQ84" s="656"/>
      <c r="FR84" s="656"/>
      <c r="FS84" s="656"/>
      <c r="FT84" s="656"/>
      <c r="FU84" s="656"/>
      <c r="FV84" s="656"/>
      <c r="FW84" s="656"/>
      <c r="FX84" s="656"/>
      <c r="FY84" s="656"/>
      <c r="FZ84" s="656"/>
      <c r="GA84" s="656"/>
      <c r="GB84" s="656"/>
      <c r="GC84" s="656"/>
      <c r="GD84" s="656"/>
      <c r="GE84" s="656"/>
      <c r="GF84" s="656"/>
      <c r="GG84" s="656"/>
      <c r="GH84" s="656"/>
      <c r="GI84" s="656"/>
      <c r="GJ84" s="656"/>
      <c r="GK84" s="656"/>
      <c r="GL84" s="656"/>
      <c r="GM84" s="656"/>
      <c r="GN84" s="656"/>
      <c r="GO84" s="656"/>
      <c r="GP84" s="656"/>
      <c r="GQ84" s="656"/>
      <c r="GR84" s="656"/>
      <c r="GS84" s="656"/>
      <c r="GT84" s="656"/>
      <c r="GU84" s="656"/>
      <c r="GV84" s="656"/>
      <c r="GW84" s="656"/>
      <c r="GX84" s="656"/>
      <c r="GY84" s="656"/>
      <c r="GZ84" s="656"/>
      <c r="HA84" s="656"/>
      <c r="HB84" s="656"/>
      <c r="HC84" s="656"/>
      <c r="HD84" s="656"/>
      <c r="HE84" s="656"/>
      <c r="HF84" s="656"/>
      <c r="HG84" s="656"/>
      <c r="HH84" s="656"/>
      <c r="HI84" s="656"/>
      <c r="HJ84" s="656"/>
      <c r="HK84" s="656"/>
      <c r="HL84" s="656"/>
      <c r="HM84" s="656"/>
      <c r="HN84" s="656"/>
      <c r="HO84" s="656"/>
      <c r="HP84" s="656"/>
      <c r="HQ84" s="656"/>
      <c r="HR84" s="656"/>
      <c r="HS84" s="656"/>
      <c r="HT84" s="656"/>
      <c r="HU84" s="656"/>
      <c r="HV84" s="656"/>
      <c r="HW84" s="656"/>
      <c r="HX84" s="656"/>
      <c r="HY84" s="656"/>
      <c r="HZ84" s="656"/>
    </row>
    <row r="85" spans="1:234" s="657" customFormat="1" x14ac:dyDescent="0.25">
      <c r="A85" s="698"/>
      <c r="B85" s="1014">
        <v>53</v>
      </c>
      <c r="C85" s="1015" t="s">
        <v>211</v>
      </c>
      <c r="D85" s="1027" t="s">
        <v>842</v>
      </c>
      <c r="E85" s="1017">
        <v>1</v>
      </c>
      <c r="F85" s="1018">
        <v>7326</v>
      </c>
      <c r="G85" s="1019">
        <v>7326</v>
      </c>
      <c r="H85" s="486">
        <v>210</v>
      </c>
      <c r="I85" s="1028">
        <v>317.27999999999997</v>
      </c>
      <c r="J85" s="1020">
        <v>2324393.2799999998</v>
      </c>
      <c r="K85" s="1021">
        <v>201.18521526071206</v>
      </c>
      <c r="L85" s="480">
        <v>1473882.8869999766</v>
      </c>
      <c r="M85" s="1024">
        <v>19.874715260712041</v>
      </c>
      <c r="N85" s="488">
        <v>145602.16399997642</v>
      </c>
      <c r="O85" s="1024">
        <v>181.31050000000002</v>
      </c>
      <c r="P85" s="488">
        <v>1328280.7230000002</v>
      </c>
      <c r="Q85" s="1024">
        <v>0</v>
      </c>
      <c r="R85" s="488">
        <v>0</v>
      </c>
      <c r="S85" s="1023"/>
      <c r="T85" s="656"/>
      <c r="U85" s="656"/>
      <c r="V85" s="656"/>
      <c r="W85" s="656"/>
      <c r="X85" s="656"/>
      <c r="Y85" s="656"/>
      <c r="Z85" s="656"/>
      <c r="AA85" s="656"/>
      <c r="AB85" s="656"/>
      <c r="AC85" s="656"/>
      <c r="AD85" s="656"/>
      <c r="AE85" s="656"/>
      <c r="AF85" s="656"/>
      <c r="AG85" s="656"/>
      <c r="AH85" s="656"/>
      <c r="AI85" s="656"/>
      <c r="AJ85" s="656"/>
      <c r="AK85" s="656"/>
      <c r="AL85" s="656"/>
      <c r="AM85" s="656"/>
      <c r="AN85" s="656"/>
      <c r="AO85" s="656"/>
      <c r="AP85" s="656"/>
      <c r="AQ85" s="656"/>
      <c r="AR85" s="656"/>
      <c r="AS85" s="656"/>
      <c r="AT85" s="656"/>
      <c r="AU85" s="656"/>
      <c r="AV85" s="656"/>
      <c r="AW85" s="656"/>
      <c r="AX85" s="656"/>
      <c r="AY85" s="656"/>
      <c r="AZ85" s="656"/>
      <c r="BA85" s="656"/>
      <c r="BB85" s="656"/>
      <c r="BC85" s="656"/>
      <c r="BD85" s="656"/>
      <c r="BE85" s="656"/>
      <c r="BF85" s="656"/>
      <c r="BG85" s="656"/>
      <c r="BH85" s="656"/>
      <c r="BI85" s="656"/>
      <c r="BJ85" s="656"/>
      <c r="BK85" s="656"/>
      <c r="BL85" s="656"/>
      <c r="BM85" s="656"/>
      <c r="BN85" s="656"/>
      <c r="BO85" s="656"/>
      <c r="BP85" s="656"/>
      <c r="BQ85" s="656"/>
      <c r="BR85" s="656"/>
      <c r="BS85" s="656"/>
      <c r="BT85" s="656"/>
      <c r="BU85" s="656"/>
      <c r="BV85" s="656"/>
      <c r="BW85" s="656"/>
      <c r="BX85" s="656"/>
      <c r="BY85" s="656"/>
      <c r="BZ85" s="656"/>
      <c r="CA85" s="656"/>
      <c r="CB85" s="656"/>
      <c r="CC85" s="656"/>
      <c r="CD85" s="656"/>
      <c r="CE85" s="656"/>
      <c r="CF85" s="656"/>
      <c r="CG85" s="656"/>
      <c r="CH85" s="656"/>
      <c r="CI85" s="656"/>
      <c r="CJ85" s="656"/>
      <c r="CK85" s="656"/>
      <c r="CL85" s="656"/>
      <c r="CM85" s="656"/>
      <c r="CN85" s="656"/>
      <c r="CO85" s="656"/>
      <c r="CP85" s="656"/>
      <c r="CQ85" s="656"/>
      <c r="CR85" s="656"/>
      <c r="CS85" s="656"/>
      <c r="CT85" s="656"/>
      <c r="CU85" s="656"/>
      <c r="CV85" s="656"/>
      <c r="CW85" s="656"/>
      <c r="CX85" s="656"/>
      <c r="CY85" s="656"/>
      <c r="CZ85" s="656"/>
      <c r="DA85" s="656"/>
      <c r="DB85" s="656"/>
      <c r="DC85" s="656"/>
      <c r="DD85" s="656"/>
      <c r="DE85" s="656"/>
      <c r="DF85" s="656"/>
      <c r="DG85" s="656"/>
      <c r="DH85" s="656"/>
      <c r="DI85" s="656"/>
      <c r="DJ85" s="656"/>
      <c r="DK85" s="656"/>
      <c r="DL85" s="656"/>
      <c r="DM85" s="656"/>
      <c r="DN85" s="656"/>
      <c r="DO85" s="656"/>
      <c r="DP85" s="656"/>
      <c r="DQ85" s="656"/>
      <c r="DR85" s="656"/>
      <c r="DS85" s="656"/>
      <c r="DT85" s="656"/>
      <c r="DU85" s="656"/>
      <c r="DV85" s="656"/>
      <c r="DW85" s="656"/>
      <c r="DX85" s="656"/>
      <c r="DY85" s="656"/>
      <c r="DZ85" s="656"/>
      <c r="EA85" s="656"/>
      <c r="EB85" s="656"/>
      <c r="EC85" s="656"/>
      <c r="ED85" s="656"/>
      <c r="EE85" s="656"/>
      <c r="EF85" s="656"/>
      <c r="EG85" s="656"/>
      <c r="EH85" s="656"/>
      <c r="EI85" s="656"/>
      <c r="EJ85" s="656"/>
      <c r="EK85" s="656"/>
      <c r="EL85" s="656"/>
      <c r="EM85" s="656"/>
      <c r="EN85" s="656"/>
      <c r="EO85" s="656"/>
      <c r="EP85" s="656"/>
      <c r="EQ85" s="656"/>
      <c r="ER85" s="656"/>
      <c r="ES85" s="656"/>
      <c r="ET85" s="656"/>
      <c r="EU85" s="656"/>
      <c r="EV85" s="656"/>
      <c r="EW85" s="656"/>
      <c r="EX85" s="656"/>
      <c r="EY85" s="656"/>
      <c r="EZ85" s="656"/>
      <c r="FA85" s="656"/>
      <c r="FB85" s="656"/>
      <c r="FC85" s="656"/>
      <c r="FD85" s="656"/>
      <c r="FE85" s="656"/>
      <c r="FF85" s="656"/>
      <c r="FG85" s="656"/>
      <c r="FH85" s="656"/>
      <c r="FI85" s="656"/>
      <c r="FJ85" s="656"/>
      <c r="FK85" s="656"/>
      <c r="FL85" s="656"/>
      <c r="FM85" s="656"/>
      <c r="FN85" s="656"/>
      <c r="FO85" s="656"/>
      <c r="FP85" s="656"/>
      <c r="FQ85" s="656"/>
      <c r="FR85" s="656"/>
      <c r="FS85" s="656"/>
      <c r="FT85" s="656"/>
      <c r="FU85" s="656"/>
      <c r="FV85" s="656"/>
      <c r="FW85" s="656"/>
      <c r="FX85" s="656"/>
      <c r="FY85" s="656"/>
      <c r="FZ85" s="656"/>
      <c r="GA85" s="656"/>
      <c r="GB85" s="656"/>
      <c r="GC85" s="656"/>
      <c r="GD85" s="656"/>
      <c r="GE85" s="656"/>
      <c r="GF85" s="656"/>
      <c r="GG85" s="656"/>
      <c r="GH85" s="656"/>
      <c r="GI85" s="656"/>
      <c r="GJ85" s="656"/>
      <c r="GK85" s="656"/>
      <c r="GL85" s="656"/>
      <c r="GM85" s="656"/>
      <c r="GN85" s="656"/>
      <c r="GO85" s="656"/>
      <c r="GP85" s="656"/>
      <c r="GQ85" s="656"/>
      <c r="GR85" s="656"/>
      <c r="GS85" s="656"/>
      <c r="GT85" s="656"/>
      <c r="GU85" s="656"/>
      <c r="GV85" s="656"/>
      <c r="GW85" s="656"/>
      <c r="GX85" s="656"/>
      <c r="GY85" s="656"/>
      <c r="GZ85" s="656"/>
      <c r="HA85" s="656"/>
      <c r="HB85" s="656"/>
      <c r="HC85" s="656"/>
      <c r="HD85" s="656"/>
      <c r="HE85" s="656"/>
      <c r="HF85" s="656"/>
      <c r="HG85" s="656"/>
      <c r="HH85" s="656"/>
      <c r="HI85" s="656"/>
      <c r="HJ85" s="656"/>
      <c r="HK85" s="656"/>
      <c r="HL85" s="656"/>
      <c r="HM85" s="656"/>
      <c r="HN85" s="656"/>
      <c r="HO85" s="656"/>
      <c r="HP85" s="656"/>
      <c r="HQ85" s="656"/>
      <c r="HR85" s="656"/>
      <c r="HS85" s="656"/>
      <c r="HT85" s="656"/>
      <c r="HU85" s="656"/>
      <c r="HV85" s="656"/>
      <c r="HW85" s="656"/>
      <c r="HX85" s="656"/>
      <c r="HY85" s="656"/>
      <c r="HZ85" s="656"/>
    </row>
    <row r="86" spans="1:234" s="657" customFormat="1" ht="42.75" x14ac:dyDescent="0.25">
      <c r="A86" s="698"/>
      <c r="B86" s="1014">
        <v>55</v>
      </c>
      <c r="C86" s="1015" t="s">
        <v>86</v>
      </c>
      <c r="D86" s="1027" t="s">
        <v>842</v>
      </c>
      <c r="E86" s="1017">
        <v>1</v>
      </c>
      <c r="F86" s="1018">
        <v>31412</v>
      </c>
      <c r="G86" s="1019">
        <v>31412</v>
      </c>
      <c r="H86" s="486">
        <v>210</v>
      </c>
      <c r="I86" s="1028">
        <v>100</v>
      </c>
      <c r="J86" s="1020">
        <v>3141200</v>
      </c>
      <c r="K86" s="1021">
        <v>0</v>
      </c>
      <c r="L86" s="480">
        <v>0</v>
      </c>
      <c r="M86" s="1029">
        <v>0</v>
      </c>
      <c r="N86" s="488">
        <v>0</v>
      </c>
      <c r="O86" s="1029">
        <v>0</v>
      </c>
      <c r="P86" s="488">
        <v>0</v>
      </c>
      <c r="Q86" s="1024"/>
      <c r="R86" s="488">
        <v>0</v>
      </c>
      <c r="S86" s="1023"/>
      <c r="T86" s="656"/>
      <c r="U86" s="656"/>
      <c r="V86" s="656"/>
      <c r="W86" s="656"/>
      <c r="X86" s="656"/>
      <c r="Y86" s="656"/>
      <c r="Z86" s="656"/>
      <c r="AA86" s="656"/>
      <c r="AB86" s="656"/>
      <c r="AC86" s="656"/>
      <c r="AD86" s="656"/>
      <c r="AE86" s="656"/>
      <c r="AF86" s="656"/>
      <c r="AG86" s="656"/>
      <c r="AH86" s="656"/>
      <c r="AI86" s="656"/>
      <c r="AJ86" s="656"/>
      <c r="AK86" s="656"/>
      <c r="AL86" s="656"/>
      <c r="AM86" s="656"/>
      <c r="AN86" s="656"/>
      <c r="AO86" s="656"/>
      <c r="AP86" s="656"/>
      <c r="AQ86" s="656"/>
      <c r="AR86" s="656"/>
      <c r="AS86" s="656"/>
      <c r="AT86" s="656"/>
      <c r="AU86" s="656"/>
      <c r="AV86" s="656"/>
      <c r="AW86" s="656"/>
      <c r="AX86" s="656"/>
      <c r="AY86" s="656"/>
      <c r="AZ86" s="656"/>
      <c r="BA86" s="656"/>
      <c r="BB86" s="656"/>
      <c r="BC86" s="656"/>
      <c r="BD86" s="656"/>
      <c r="BE86" s="656"/>
      <c r="BF86" s="656"/>
      <c r="BG86" s="656"/>
      <c r="BH86" s="656"/>
      <c r="BI86" s="656"/>
      <c r="BJ86" s="656"/>
      <c r="BK86" s="656"/>
      <c r="BL86" s="656"/>
      <c r="BM86" s="656"/>
      <c r="BN86" s="656"/>
      <c r="BO86" s="656"/>
      <c r="BP86" s="656"/>
      <c r="BQ86" s="656"/>
      <c r="BR86" s="656"/>
      <c r="BS86" s="656"/>
      <c r="BT86" s="656"/>
      <c r="BU86" s="656"/>
      <c r="BV86" s="656"/>
      <c r="BW86" s="656"/>
      <c r="BX86" s="656"/>
      <c r="BY86" s="656"/>
      <c r="BZ86" s="656"/>
      <c r="CA86" s="656"/>
      <c r="CB86" s="656"/>
      <c r="CC86" s="656"/>
      <c r="CD86" s="656"/>
      <c r="CE86" s="656"/>
      <c r="CF86" s="656"/>
      <c r="CG86" s="656"/>
      <c r="CH86" s="656"/>
      <c r="CI86" s="656"/>
      <c r="CJ86" s="656"/>
      <c r="CK86" s="656"/>
      <c r="CL86" s="656"/>
      <c r="CM86" s="656"/>
      <c r="CN86" s="656"/>
      <c r="CO86" s="656"/>
      <c r="CP86" s="656"/>
      <c r="CQ86" s="656"/>
      <c r="CR86" s="656"/>
      <c r="CS86" s="656"/>
      <c r="CT86" s="656"/>
      <c r="CU86" s="656"/>
      <c r="CV86" s="656"/>
      <c r="CW86" s="656"/>
      <c r="CX86" s="656"/>
      <c r="CY86" s="656"/>
      <c r="CZ86" s="656"/>
      <c r="DA86" s="656"/>
      <c r="DB86" s="656"/>
      <c r="DC86" s="656"/>
      <c r="DD86" s="656"/>
      <c r="DE86" s="656"/>
      <c r="DF86" s="656"/>
      <c r="DG86" s="656"/>
      <c r="DH86" s="656"/>
      <c r="DI86" s="656"/>
      <c r="DJ86" s="656"/>
      <c r="DK86" s="656"/>
      <c r="DL86" s="656"/>
      <c r="DM86" s="656"/>
      <c r="DN86" s="656"/>
      <c r="DO86" s="656"/>
      <c r="DP86" s="656"/>
      <c r="DQ86" s="656"/>
      <c r="DR86" s="656"/>
      <c r="DS86" s="656"/>
      <c r="DT86" s="656"/>
      <c r="DU86" s="656"/>
      <c r="DV86" s="656"/>
      <c r="DW86" s="656"/>
      <c r="DX86" s="656"/>
      <c r="DY86" s="656"/>
      <c r="DZ86" s="656"/>
      <c r="EA86" s="656"/>
      <c r="EB86" s="656"/>
      <c r="EC86" s="656"/>
      <c r="ED86" s="656"/>
      <c r="EE86" s="656"/>
      <c r="EF86" s="656"/>
      <c r="EG86" s="656"/>
      <c r="EH86" s="656"/>
      <c r="EI86" s="656"/>
      <c r="EJ86" s="656"/>
      <c r="EK86" s="656"/>
      <c r="EL86" s="656"/>
      <c r="EM86" s="656"/>
      <c r="EN86" s="656"/>
      <c r="EO86" s="656"/>
      <c r="EP86" s="656"/>
      <c r="EQ86" s="656"/>
      <c r="ER86" s="656"/>
      <c r="ES86" s="656"/>
      <c r="ET86" s="656"/>
      <c r="EU86" s="656"/>
      <c r="EV86" s="656"/>
      <c r="EW86" s="656"/>
      <c r="EX86" s="656"/>
      <c r="EY86" s="656"/>
      <c r="EZ86" s="656"/>
      <c r="FA86" s="656"/>
      <c r="FB86" s="656"/>
      <c r="FC86" s="656"/>
      <c r="FD86" s="656"/>
      <c r="FE86" s="656"/>
      <c r="FF86" s="656"/>
      <c r="FG86" s="656"/>
      <c r="FH86" s="656"/>
      <c r="FI86" s="656"/>
      <c r="FJ86" s="656"/>
      <c r="FK86" s="656"/>
      <c r="FL86" s="656"/>
      <c r="FM86" s="656"/>
      <c r="FN86" s="656"/>
      <c r="FO86" s="656"/>
      <c r="FP86" s="656"/>
      <c r="FQ86" s="656"/>
      <c r="FR86" s="656"/>
      <c r="FS86" s="656"/>
      <c r="FT86" s="656"/>
      <c r="FU86" s="656"/>
      <c r="FV86" s="656"/>
      <c r="FW86" s="656"/>
      <c r="FX86" s="656"/>
      <c r="FY86" s="656"/>
      <c r="FZ86" s="656"/>
      <c r="GA86" s="656"/>
      <c r="GB86" s="656"/>
      <c r="GC86" s="656"/>
      <c r="GD86" s="656"/>
      <c r="GE86" s="656"/>
      <c r="GF86" s="656"/>
      <c r="GG86" s="656"/>
      <c r="GH86" s="656"/>
      <c r="GI86" s="656"/>
      <c r="GJ86" s="656"/>
      <c r="GK86" s="656"/>
      <c r="GL86" s="656"/>
      <c r="GM86" s="656"/>
      <c r="GN86" s="656"/>
      <c r="GO86" s="656"/>
      <c r="GP86" s="656"/>
      <c r="GQ86" s="656"/>
      <c r="GR86" s="656"/>
      <c r="GS86" s="656"/>
      <c r="GT86" s="656"/>
      <c r="GU86" s="656"/>
      <c r="GV86" s="656"/>
      <c r="GW86" s="656"/>
      <c r="GX86" s="656"/>
      <c r="GY86" s="656"/>
      <c r="GZ86" s="656"/>
      <c r="HA86" s="656"/>
      <c r="HB86" s="656"/>
      <c r="HC86" s="656"/>
      <c r="HD86" s="656"/>
      <c r="HE86" s="656"/>
      <c r="HF86" s="656"/>
      <c r="HG86" s="656"/>
      <c r="HH86" s="656"/>
      <c r="HI86" s="656"/>
      <c r="HJ86" s="656"/>
      <c r="HK86" s="656"/>
      <c r="HL86" s="656"/>
      <c r="HM86" s="656"/>
      <c r="HN86" s="656"/>
      <c r="HO86" s="656"/>
      <c r="HP86" s="656"/>
      <c r="HQ86" s="656"/>
      <c r="HR86" s="656"/>
      <c r="HS86" s="656"/>
      <c r="HT86" s="656"/>
      <c r="HU86" s="656"/>
      <c r="HV86" s="656"/>
      <c r="HW86" s="656"/>
      <c r="HX86" s="656"/>
      <c r="HY86" s="656"/>
      <c r="HZ86" s="656"/>
    </row>
    <row r="87" spans="1:234" s="657" customFormat="1" x14ac:dyDescent="0.25">
      <c r="A87" s="698"/>
      <c r="B87" s="1014">
        <v>56</v>
      </c>
      <c r="C87" s="1015" t="s">
        <v>88</v>
      </c>
      <c r="D87" s="1027" t="s">
        <v>842</v>
      </c>
      <c r="E87" s="1017">
        <v>1</v>
      </c>
      <c r="F87" s="1018">
        <v>12035</v>
      </c>
      <c r="G87" s="1019">
        <v>12035</v>
      </c>
      <c r="H87" s="486">
        <v>260</v>
      </c>
      <c r="I87" s="1028">
        <v>317.27999999999997</v>
      </c>
      <c r="J87" s="1020">
        <v>3818464.8</v>
      </c>
      <c r="K87" s="1021">
        <v>0</v>
      </c>
      <c r="L87" s="480">
        <v>0</v>
      </c>
      <c r="M87" s="1029">
        <v>0</v>
      </c>
      <c r="N87" s="488">
        <v>0</v>
      </c>
      <c r="O87" s="1029">
        <v>0</v>
      </c>
      <c r="P87" s="488">
        <v>0</v>
      </c>
      <c r="Q87" s="1024"/>
      <c r="R87" s="488">
        <v>0</v>
      </c>
      <c r="S87" s="1023"/>
      <c r="T87" s="656"/>
      <c r="U87" s="656"/>
      <c r="V87" s="656"/>
      <c r="W87" s="656"/>
      <c r="X87" s="656"/>
      <c r="Y87" s="656"/>
      <c r="Z87" s="656"/>
      <c r="AA87" s="656"/>
      <c r="AB87" s="656"/>
      <c r="AC87" s="656"/>
      <c r="AD87" s="656"/>
      <c r="AE87" s="656"/>
      <c r="AF87" s="656"/>
      <c r="AG87" s="656"/>
      <c r="AH87" s="656"/>
      <c r="AI87" s="656"/>
      <c r="AJ87" s="656"/>
      <c r="AK87" s="656"/>
      <c r="AL87" s="656"/>
      <c r="AM87" s="656"/>
      <c r="AN87" s="656"/>
      <c r="AO87" s="656"/>
      <c r="AP87" s="656"/>
      <c r="AQ87" s="656"/>
      <c r="AR87" s="656"/>
      <c r="AS87" s="656"/>
      <c r="AT87" s="656"/>
      <c r="AU87" s="656"/>
      <c r="AV87" s="656"/>
      <c r="AW87" s="656"/>
      <c r="AX87" s="656"/>
      <c r="AY87" s="656"/>
      <c r="AZ87" s="656"/>
      <c r="BA87" s="656"/>
      <c r="BB87" s="656"/>
      <c r="BC87" s="656"/>
      <c r="BD87" s="656"/>
      <c r="BE87" s="656"/>
      <c r="BF87" s="656"/>
      <c r="BG87" s="656"/>
      <c r="BH87" s="656"/>
      <c r="BI87" s="656"/>
      <c r="BJ87" s="656"/>
      <c r="BK87" s="656"/>
      <c r="BL87" s="656"/>
      <c r="BM87" s="656"/>
      <c r="BN87" s="656"/>
      <c r="BO87" s="656"/>
      <c r="BP87" s="656"/>
      <c r="BQ87" s="656"/>
      <c r="BR87" s="656"/>
      <c r="BS87" s="656"/>
      <c r="BT87" s="656"/>
      <c r="BU87" s="656"/>
      <c r="BV87" s="656"/>
      <c r="BW87" s="656"/>
      <c r="BX87" s="656"/>
      <c r="BY87" s="656"/>
      <c r="BZ87" s="656"/>
      <c r="CA87" s="656"/>
      <c r="CB87" s="656"/>
      <c r="CC87" s="656"/>
      <c r="CD87" s="656"/>
      <c r="CE87" s="656"/>
      <c r="CF87" s="656"/>
      <c r="CG87" s="656"/>
      <c r="CH87" s="656"/>
      <c r="CI87" s="656"/>
      <c r="CJ87" s="656"/>
      <c r="CK87" s="656"/>
      <c r="CL87" s="656"/>
      <c r="CM87" s="656"/>
      <c r="CN87" s="656"/>
      <c r="CO87" s="656"/>
      <c r="CP87" s="656"/>
      <c r="CQ87" s="656"/>
      <c r="CR87" s="656"/>
      <c r="CS87" s="656"/>
      <c r="CT87" s="656"/>
      <c r="CU87" s="656"/>
      <c r="CV87" s="656"/>
      <c r="CW87" s="656"/>
      <c r="CX87" s="656"/>
      <c r="CY87" s="656"/>
      <c r="CZ87" s="656"/>
      <c r="DA87" s="656"/>
      <c r="DB87" s="656"/>
      <c r="DC87" s="656"/>
      <c r="DD87" s="656"/>
      <c r="DE87" s="656"/>
      <c r="DF87" s="656"/>
      <c r="DG87" s="656"/>
      <c r="DH87" s="656"/>
      <c r="DI87" s="656"/>
      <c r="DJ87" s="656"/>
      <c r="DK87" s="656"/>
      <c r="DL87" s="656"/>
      <c r="DM87" s="656"/>
      <c r="DN87" s="656"/>
      <c r="DO87" s="656"/>
      <c r="DP87" s="656"/>
      <c r="DQ87" s="656"/>
      <c r="DR87" s="656"/>
      <c r="DS87" s="656"/>
      <c r="DT87" s="656"/>
      <c r="DU87" s="656"/>
      <c r="DV87" s="656"/>
      <c r="DW87" s="656"/>
      <c r="DX87" s="656"/>
      <c r="DY87" s="656"/>
      <c r="DZ87" s="656"/>
      <c r="EA87" s="656"/>
      <c r="EB87" s="656"/>
      <c r="EC87" s="656"/>
      <c r="ED87" s="656"/>
      <c r="EE87" s="656"/>
      <c r="EF87" s="656"/>
      <c r="EG87" s="656"/>
      <c r="EH87" s="656"/>
      <c r="EI87" s="656"/>
      <c r="EJ87" s="656"/>
      <c r="EK87" s="656"/>
      <c r="EL87" s="656"/>
      <c r="EM87" s="656"/>
      <c r="EN87" s="656"/>
      <c r="EO87" s="656"/>
      <c r="EP87" s="656"/>
      <c r="EQ87" s="656"/>
      <c r="ER87" s="656"/>
      <c r="ES87" s="656"/>
      <c r="ET87" s="656"/>
      <c r="EU87" s="656"/>
      <c r="EV87" s="656"/>
      <c r="EW87" s="656"/>
      <c r="EX87" s="656"/>
      <c r="EY87" s="656"/>
      <c r="EZ87" s="656"/>
      <c r="FA87" s="656"/>
      <c r="FB87" s="656"/>
      <c r="FC87" s="656"/>
      <c r="FD87" s="656"/>
      <c r="FE87" s="656"/>
      <c r="FF87" s="656"/>
      <c r="FG87" s="656"/>
      <c r="FH87" s="656"/>
      <c r="FI87" s="656"/>
      <c r="FJ87" s="656"/>
      <c r="FK87" s="656"/>
      <c r="FL87" s="656"/>
      <c r="FM87" s="656"/>
      <c r="FN87" s="656"/>
      <c r="FO87" s="656"/>
      <c r="FP87" s="656"/>
      <c r="FQ87" s="656"/>
      <c r="FR87" s="656"/>
      <c r="FS87" s="656"/>
      <c r="FT87" s="656"/>
      <c r="FU87" s="656"/>
      <c r="FV87" s="656"/>
      <c r="FW87" s="656"/>
      <c r="FX87" s="656"/>
      <c r="FY87" s="656"/>
      <c r="FZ87" s="656"/>
      <c r="GA87" s="656"/>
      <c r="GB87" s="656"/>
      <c r="GC87" s="656"/>
      <c r="GD87" s="656"/>
      <c r="GE87" s="656"/>
      <c r="GF87" s="656"/>
      <c r="GG87" s="656"/>
      <c r="GH87" s="656"/>
      <c r="GI87" s="656"/>
      <c r="GJ87" s="656"/>
      <c r="GK87" s="656"/>
      <c r="GL87" s="656"/>
      <c r="GM87" s="656"/>
      <c r="GN87" s="656"/>
      <c r="GO87" s="656"/>
      <c r="GP87" s="656"/>
      <c r="GQ87" s="656"/>
      <c r="GR87" s="656"/>
      <c r="GS87" s="656"/>
      <c r="GT87" s="656"/>
      <c r="GU87" s="656"/>
      <c r="GV87" s="656"/>
      <c r="GW87" s="656"/>
      <c r="GX87" s="656"/>
      <c r="GY87" s="656"/>
      <c r="GZ87" s="656"/>
      <c r="HA87" s="656"/>
      <c r="HB87" s="656"/>
      <c r="HC87" s="656"/>
      <c r="HD87" s="656"/>
      <c r="HE87" s="656"/>
      <c r="HF87" s="656"/>
      <c r="HG87" s="656"/>
      <c r="HH87" s="656"/>
      <c r="HI87" s="656"/>
      <c r="HJ87" s="656"/>
      <c r="HK87" s="656"/>
      <c r="HL87" s="656"/>
      <c r="HM87" s="656"/>
      <c r="HN87" s="656"/>
      <c r="HO87" s="656"/>
      <c r="HP87" s="656"/>
      <c r="HQ87" s="656"/>
      <c r="HR87" s="656"/>
      <c r="HS87" s="656"/>
      <c r="HT87" s="656"/>
      <c r="HU87" s="656"/>
      <c r="HV87" s="656"/>
      <c r="HW87" s="656"/>
      <c r="HX87" s="656"/>
      <c r="HY87" s="656"/>
      <c r="HZ87" s="656"/>
    </row>
    <row r="88" spans="1:234" s="657" customFormat="1" x14ac:dyDescent="0.25">
      <c r="A88" s="698"/>
      <c r="B88" s="1014">
        <v>57</v>
      </c>
      <c r="C88" s="1015" t="s">
        <v>1306</v>
      </c>
      <c r="D88" s="1027" t="s">
        <v>842</v>
      </c>
      <c r="E88" s="1017">
        <v>1</v>
      </c>
      <c r="F88" s="1018">
        <v>12771</v>
      </c>
      <c r="G88" s="1019">
        <v>12771</v>
      </c>
      <c r="H88" s="486">
        <v>210</v>
      </c>
      <c r="I88" s="1028">
        <v>182.74760000000003</v>
      </c>
      <c r="J88" s="1020">
        <v>2333869.5996000003</v>
      </c>
      <c r="K88" s="1021">
        <v>182.74760000000003</v>
      </c>
      <c r="L88" s="480">
        <v>2333869.5996000003</v>
      </c>
      <c r="M88" s="1029">
        <v>0</v>
      </c>
      <c r="N88" s="488">
        <v>0</v>
      </c>
      <c r="O88" s="1024">
        <v>182.74760000000003</v>
      </c>
      <c r="P88" s="488">
        <v>2333869.5996000003</v>
      </c>
      <c r="Q88" s="1024">
        <v>0</v>
      </c>
      <c r="R88" s="488">
        <v>0</v>
      </c>
      <c r="S88" s="1023"/>
      <c r="T88" s="656"/>
      <c r="U88" s="656"/>
      <c r="V88" s="656"/>
      <c r="W88" s="656"/>
      <c r="X88" s="656"/>
      <c r="Y88" s="656"/>
      <c r="Z88" s="656"/>
      <c r="AA88" s="656"/>
      <c r="AB88" s="656"/>
      <c r="AC88" s="656"/>
      <c r="AD88" s="656"/>
      <c r="AE88" s="656"/>
      <c r="AF88" s="656"/>
      <c r="AG88" s="656"/>
      <c r="AH88" s="656"/>
      <c r="AI88" s="656"/>
      <c r="AJ88" s="656"/>
      <c r="AK88" s="656"/>
      <c r="AL88" s="656"/>
      <c r="AM88" s="656"/>
      <c r="AN88" s="656"/>
      <c r="AO88" s="656"/>
      <c r="AP88" s="656"/>
      <c r="AQ88" s="656"/>
      <c r="AR88" s="656"/>
      <c r="AS88" s="656"/>
      <c r="AT88" s="656"/>
      <c r="AU88" s="656"/>
      <c r="AV88" s="656"/>
      <c r="AW88" s="656"/>
      <c r="AX88" s="656"/>
      <c r="AY88" s="656"/>
      <c r="AZ88" s="656"/>
      <c r="BA88" s="656"/>
      <c r="BB88" s="656"/>
      <c r="BC88" s="656"/>
      <c r="BD88" s="656"/>
      <c r="BE88" s="656"/>
      <c r="BF88" s="656"/>
      <c r="BG88" s="656"/>
      <c r="BH88" s="656"/>
      <c r="BI88" s="656"/>
      <c r="BJ88" s="656"/>
      <c r="BK88" s="656"/>
      <c r="BL88" s="656"/>
      <c r="BM88" s="656"/>
      <c r="BN88" s="656"/>
      <c r="BO88" s="656"/>
      <c r="BP88" s="656"/>
      <c r="BQ88" s="656"/>
      <c r="BR88" s="656"/>
      <c r="BS88" s="656"/>
      <c r="BT88" s="656"/>
      <c r="BU88" s="656"/>
      <c r="BV88" s="656"/>
      <c r="BW88" s="656"/>
      <c r="BX88" s="656"/>
      <c r="BY88" s="656"/>
      <c r="BZ88" s="656"/>
      <c r="CA88" s="656"/>
      <c r="CB88" s="656"/>
      <c r="CC88" s="656"/>
      <c r="CD88" s="656"/>
      <c r="CE88" s="656"/>
      <c r="CF88" s="656"/>
      <c r="CG88" s="656"/>
      <c r="CH88" s="656"/>
      <c r="CI88" s="656"/>
      <c r="CJ88" s="656"/>
      <c r="CK88" s="656"/>
      <c r="CL88" s="656"/>
      <c r="CM88" s="656"/>
      <c r="CN88" s="656"/>
      <c r="CO88" s="656"/>
      <c r="CP88" s="656"/>
      <c r="CQ88" s="656"/>
      <c r="CR88" s="656"/>
      <c r="CS88" s="656"/>
      <c r="CT88" s="656"/>
      <c r="CU88" s="656"/>
      <c r="CV88" s="656"/>
      <c r="CW88" s="656"/>
      <c r="CX88" s="656"/>
      <c r="CY88" s="656"/>
      <c r="CZ88" s="656"/>
      <c r="DA88" s="656"/>
      <c r="DB88" s="656"/>
      <c r="DC88" s="656"/>
      <c r="DD88" s="656"/>
      <c r="DE88" s="656"/>
      <c r="DF88" s="656"/>
      <c r="DG88" s="656"/>
      <c r="DH88" s="656"/>
      <c r="DI88" s="656"/>
      <c r="DJ88" s="656"/>
      <c r="DK88" s="656"/>
      <c r="DL88" s="656"/>
      <c r="DM88" s="656"/>
      <c r="DN88" s="656"/>
      <c r="DO88" s="656"/>
      <c r="DP88" s="656"/>
      <c r="DQ88" s="656"/>
      <c r="DR88" s="656"/>
      <c r="DS88" s="656"/>
      <c r="DT88" s="656"/>
      <c r="DU88" s="656"/>
      <c r="DV88" s="656"/>
      <c r="DW88" s="656"/>
      <c r="DX88" s="656"/>
      <c r="DY88" s="656"/>
      <c r="DZ88" s="656"/>
      <c r="EA88" s="656"/>
      <c r="EB88" s="656"/>
      <c r="EC88" s="656"/>
      <c r="ED88" s="656"/>
      <c r="EE88" s="656"/>
      <c r="EF88" s="656"/>
      <c r="EG88" s="656"/>
      <c r="EH88" s="656"/>
      <c r="EI88" s="656"/>
      <c r="EJ88" s="656"/>
      <c r="EK88" s="656"/>
      <c r="EL88" s="656"/>
      <c r="EM88" s="656"/>
      <c r="EN88" s="656"/>
      <c r="EO88" s="656"/>
      <c r="EP88" s="656"/>
      <c r="EQ88" s="656"/>
      <c r="ER88" s="656"/>
      <c r="ES88" s="656"/>
      <c r="ET88" s="656"/>
      <c r="EU88" s="656"/>
      <c r="EV88" s="656"/>
      <c r="EW88" s="656"/>
      <c r="EX88" s="656"/>
      <c r="EY88" s="656"/>
      <c r="EZ88" s="656"/>
      <c r="FA88" s="656"/>
      <c r="FB88" s="656"/>
      <c r="FC88" s="656"/>
      <c r="FD88" s="656"/>
      <c r="FE88" s="656"/>
      <c r="FF88" s="656"/>
      <c r="FG88" s="656"/>
      <c r="FH88" s="656"/>
      <c r="FI88" s="656"/>
      <c r="FJ88" s="656"/>
      <c r="FK88" s="656"/>
      <c r="FL88" s="656"/>
      <c r="FM88" s="656"/>
      <c r="FN88" s="656"/>
      <c r="FO88" s="656"/>
      <c r="FP88" s="656"/>
      <c r="FQ88" s="656"/>
      <c r="FR88" s="656"/>
      <c r="FS88" s="656"/>
      <c r="FT88" s="656"/>
      <c r="FU88" s="656"/>
      <c r="FV88" s="656"/>
      <c r="FW88" s="656"/>
      <c r="FX88" s="656"/>
      <c r="FY88" s="656"/>
      <c r="FZ88" s="656"/>
      <c r="GA88" s="656"/>
      <c r="GB88" s="656"/>
      <c r="GC88" s="656"/>
      <c r="GD88" s="656"/>
      <c r="GE88" s="656"/>
      <c r="GF88" s="656"/>
      <c r="GG88" s="656"/>
      <c r="GH88" s="656"/>
      <c r="GI88" s="656"/>
      <c r="GJ88" s="656"/>
      <c r="GK88" s="656"/>
      <c r="GL88" s="656"/>
      <c r="GM88" s="656"/>
      <c r="GN88" s="656"/>
      <c r="GO88" s="656"/>
      <c r="GP88" s="656"/>
      <c r="GQ88" s="656"/>
      <c r="GR88" s="656"/>
      <c r="GS88" s="656"/>
      <c r="GT88" s="656"/>
      <c r="GU88" s="656"/>
      <c r="GV88" s="656"/>
      <c r="GW88" s="656"/>
      <c r="GX88" s="656"/>
      <c r="GY88" s="656"/>
      <c r="GZ88" s="656"/>
      <c r="HA88" s="656"/>
      <c r="HB88" s="656"/>
      <c r="HC88" s="656"/>
      <c r="HD88" s="656"/>
      <c r="HE88" s="656"/>
      <c r="HF88" s="656"/>
      <c r="HG88" s="656"/>
      <c r="HH88" s="656"/>
      <c r="HI88" s="656"/>
      <c r="HJ88" s="656"/>
      <c r="HK88" s="656"/>
      <c r="HL88" s="656"/>
      <c r="HM88" s="656"/>
      <c r="HN88" s="656"/>
      <c r="HO88" s="656"/>
      <c r="HP88" s="656"/>
      <c r="HQ88" s="656"/>
      <c r="HR88" s="656"/>
      <c r="HS88" s="656"/>
      <c r="HT88" s="656"/>
      <c r="HU88" s="656"/>
      <c r="HV88" s="656"/>
      <c r="HW88" s="656"/>
      <c r="HX88" s="656"/>
      <c r="HY88" s="656"/>
      <c r="HZ88" s="656"/>
    </row>
    <row r="89" spans="1:234" s="657" customFormat="1" x14ac:dyDescent="0.25">
      <c r="A89" s="698"/>
      <c r="B89" s="1014">
        <v>58</v>
      </c>
      <c r="C89" s="1015" t="s">
        <v>639</v>
      </c>
      <c r="D89" s="1027" t="s">
        <v>842</v>
      </c>
      <c r="E89" s="1017">
        <v>1</v>
      </c>
      <c r="F89" s="1018">
        <v>8051</v>
      </c>
      <c r="G89" s="1019">
        <v>8051</v>
      </c>
      <c r="H89" s="486">
        <v>50</v>
      </c>
      <c r="I89" s="1028">
        <v>317.27999999999997</v>
      </c>
      <c r="J89" s="1020">
        <v>2554421.2799999998</v>
      </c>
      <c r="K89" s="1021">
        <v>150.61159999999998</v>
      </c>
      <c r="L89" s="480">
        <v>1212573.9915999998</v>
      </c>
      <c r="M89" s="1029">
        <v>0</v>
      </c>
      <c r="N89" s="488">
        <v>0</v>
      </c>
      <c r="O89" s="1024">
        <v>150.61159999999998</v>
      </c>
      <c r="P89" s="488">
        <v>1212573.9915999998</v>
      </c>
      <c r="Q89" s="1024">
        <v>0</v>
      </c>
      <c r="R89" s="488">
        <v>0</v>
      </c>
      <c r="S89" s="1023"/>
      <c r="T89" s="656"/>
      <c r="U89" s="656"/>
      <c r="V89" s="656"/>
      <c r="W89" s="656"/>
      <c r="X89" s="656"/>
      <c r="Y89" s="656"/>
      <c r="Z89" s="656"/>
      <c r="AA89" s="656"/>
      <c r="AB89" s="656"/>
      <c r="AC89" s="656"/>
      <c r="AD89" s="656"/>
      <c r="AE89" s="656"/>
      <c r="AF89" s="656"/>
      <c r="AG89" s="656"/>
      <c r="AH89" s="656"/>
      <c r="AI89" s="656"/>
      <c r="AJ89" s="656"/>
      <c r="AK89" s="656"/>
      <c r="AL89" s="656"/>
      <c r="AM89" s="656"/>
      <c r="AN89" s="656"/>
      <c r="AO89" s="656"/>
      <c r="AP89" s="656"/>
      <c r="AQ89" s="656"/>
      <c r="AR89" s="656"/>
      <c r="AS89" s="656"/>
      <c r="AT89" s="656"/>
      <c r="AU89" s="656"/>
      <c r="AV89" s="656"/>
      <c r="AW89" s="656"/>
      <c r="AX89" s="656"/>
      <c r="AY89" s="656"/>
      <c r="AZ89" s="656"/>
      <c r="BA89" s="656"/>
      <c r="BB89" s="656"/>
      <c r="BC89" s="656"/>
      <c r="BD89" s="656"/>
      <c r="BE89" s="656"/>
      <c r="BF89" s="656"/>
      <c r="BG89" s="656"/>
      <c r="BH89" s="656"/>
      <c r="BI89" s="656"/>
      <c r="BJ89" s="656"/>
      <c r="BK89" s="656"/>
      <c r="BL89" s="656"/>
      <c r="BM89" s="656"/>
      <c r="BN89" s="656"/>
      <c r="BO89" s="656"/>
      <c r="BP89" s="656"/>
      <c r="BQ89" s="656"/>
      <c r="BR89" s="656"/>
      <c r="BS89" s="656"/>
      <c r="BT89" s="656"/>
      <c r="BU89" s="656"/>
      <c r="BV89" s="656"/>
      <c r="BW89" s="656"/>
      <c r="BX89" s="656"/>
      <c r="BY89" s="656"/>
      <c r="BZ89" s="656"/>
      <c r="CA89" s="656"/>
      <c r="CB89" s="656"/>
      <c r="CC89" s="656"/>
      <c r="CD89" s="656"/>
      <c r="CE89" s="656"/>
      <c r="CF89" s="656"/>
      <c r="CG89" s="656"/>
      <c r="CH89" s="656"/>
      <c r="CI89" s="656"/>
      <c r="CJ89" s="656"/>
      <c r="CK89" s="656"/>
      <c r="CL89" s="656"/>
      <c r="CM89" s="656"/>
      <c r="CN89" s="656"/>
      <c r="CO89" s="656"/>
      <c r="CP89" s="656"/>
      <c r="CQ89" s="656"/>
      <c r="CR89" s="656"/>
      <c r="CS89" s="656"/>
      <c r="CT89" s="656"/>
      <c r="CU89" s="656"/>
      <c r="CV89" s="656"/>
      <c r="CW89" s="656"/>
      <c r="CX89" s="656"/>
      <c r="CY89" s="656"/>
      <c r="CZ89" s="656"/>
      <c r="DA89" s="656"/>
      <c r="DB89" s="656"/>
      <c r="DC89" s="656"/>
      <c r="DD89" s="656"/>
      <c r="DE89" s="656"/>
      <c r="DF89" s="656"/>
      <c r="DG89" s="656"/>
      <c r="DH89" s="656"/>
      <c r="DI89" s="656"/>
      <c r="DJ89" s="656"/>
      <c r="DK89" s="656"/>
      <c r="DL89" s="656"/>
      <c r="DM89" s="656"/>
      <c r="DN89" s="656"/>
      <c r="DO89" s="656"/>
      <c r="DP89" s="656"/>
      <c r="DQ89" s="656"/>
      <c r="DR89" s="656"/>
      <c r="DS89" s="656"/>
      <c r="DT89" s="656"/>
      <c r="DU89" s="656"/>
      <c r="DV89" s="656"/>
      <c r="DW89" s="656"/>
      <c r="DX89" s="656"/>
      <c r="DY89" s="656"/>
      <c r="DZ89" s="656"/>
      <c r="EA89" s="656"/>
      <c r="EB89" s="656"/>
      <c r="EC89" s="656"/>
      <c r="ED89" s="656"/>
      <c r="EE89" s="656"/>
      <c r="EF89" s="656"/>
      <c r="EG89" s="656"/>
      <c r="EH89" s="656"/>
      <c r="EI89" s="656"/>
      <c r="EJ89" s="656"/>
      <c r="EK89" s="656"/>
      <c r="EL89" s="656"/>
      <c r="EM89" s="656"/>
      <c r="EN89" s="656"/>
      <c r="EO89" s="656"/>
      <c r="EP89" s="656"/>
      <c r="EQ89" s="656"/>
      <c r="ER89" s="656"/>
      <c r="ES89" s="656"/>
      <c r="ET89" s="656"/>
      <c r="EU89" s="656"/>
      <c r="EV89" s="656"/>
      <c r="EW89" s="656"/>
      <c r="EX89" s="656"/>
      <c r="EY89" s="656"/>
      <c r="EZ89" s="656"/>
      <c r="FA89" s="656"/>
      <c r="FB89" s="656"/>
      <c r="FC89" s="656"/>
      <c r="FD89" s="656"/>
      <c r="FE89" s="656"/>
      <c r="FF89" s="656"/>
      <c r="FG89" s="656"/>
      <c r="FH89" s="656"/>
      <c r="FI89" s="656"/>
      <c r="FJ89" s="656"/>
      <c r="FK89" s="656"/>
      <c r="FL89" s="656"/>
      <c r="FM89" s="656"/>
      <c r="FN89" s="656"/>
      <c r="FO89" s="656"/>
      <c r="FP89" s="656"/>
      <c r="FQ89" s="656"/>
      <c r="FR89" s="656"/>
      <c r="FS89" s="656"/>
      <c r="FT89" s="656"/>
      <c r="FU89" s="656"/>
      <c r="FV89" s="656"/>
      <c r="FW89" s="656"/>
      <c r="FX89" s="656"/>
      <c r="FY89" s="656"/>
      <c r="FZ89" s="656"/>
      <c r="GA89" s="656"/>
      <c r="GB89" s="656"/>
      <c r="GC89" s="656"/>
      <c r="GD89" s="656"/>
      <c r="GE89" s="656"/>
      <c r="GF89" s="656"/>
      <c r="GG89" s="656"/>
      <c r="GH89" s="656"/>
      <c r="GI89" s="656"/>
      <c r="GJ89" s="656"/>
      <c r="GK89" s="656"/>
      <c r="GL89" s="656"/>
      <c r="GM89" s="656"/>
      <c r="GN89" s="656"/>
      <c r="GO89" s="656"/>
      <c r="GP89" s="656"/>
      <c r="GQ89" s="656"/>
      <c r="GR89" s="656"/>
      <c r="GS89" s="656"/>
      <c r="GT89" s="656"/>
      <c r="GU89" s="656"/>
      <c r="GV89" s="656"/>
      <c r="GW89" s="656"/>
      <c r="GX89" s="656"/>
      <c r="GY89" s="656"/>
      <c r="GZ89" s="656"/>
      <c r="HA89" s="656"/>
      <c r="HB89" s="656"/>
      <c r="HC89" s="656"/>
      <c r="HD89" s="656"/>
      <c r="HE89" s="656"/>
      <c r="HF89" s="656"/>
      <c r="HG89" s="656"/>
      <c r="HH89" s="656"/>
      <c r="HI89" s="656"/>
      <c r="HJ89" s="656"/>
      <c r="HK89" s="656"/>
      <c r="HL89" s="656"/>
      <c r="HM89" s="656"/>
      <c r="HN89" s="656"/>
      <c r="HO89" s="656"/>
      <c r="HP89" s="656"/>
      <c r="HQ89" s="656"/>
      <c r="HR89" s="656"/>
      <c r="HS89" s="656"/>
      <c r="HT89" s="656"/>
      <c r="HU89" s="656"/>
      <c r="HV89" s="656"/>
      <c r="HW89" s="656"/>
      <c r="HX89" s="656"/>
      <c r="HY89" s="656"/>
      <c r="HZ89" s="656"/>
    </row>
    <row r="90" spans="1:234" s="657" customFormat="1" x14ac:dyDescent="0.25">
      <c r="A90" s="698"/>
      <c r="B90" s="1014">
        <v>59</v>
      </c>
      <c r="C90" s="1015" t="s">
        <v>874</v>
      </c>
      <c r="D90" s="1027" t="s">
        <v>842</v>
      </c>
      <c r="E90" s="1017">
        <v>1</v>
      </c>
      <c r="F90" s="1018">
        <v>9832</v>
      </c>
      <c r="G90" s="1019">
        <v>9832</v>
      </c>
      <c r="H90" s="486">
        <v>150</v>
      </c>
      <c r="I90" s="1054">
        <v>0</v>
      </c>
      <c r="J90" s="1020">
        <v>0</v>
      </c>
      <c r="K90" s="1021">
        <v>0</v>
      </c>
      <c r="L90" s="480">
        <v>0</v>
      </c>
      <c r="M90" s="1029">
        <v>0</v>
      </c>
      <c r="N90" s="488">
        <v>0</v>
      </c>
      <c r="O90" s="1029">
        <v>0</v>
      </c>
      <c r="P90" s="488">
        <v>0</v>
      </c>
      <c r="Q90" s="1024"/>
      <c r="R90" s="488">
        <v>0</v>
      </c>
      <c r="S90" s="1023"/>
      <c r="T90" s="656"/>
      <c r="U90" s="656"/>
      <c r="V90" s="656"/>
      <c r="W90" s="656"/>
      <c r="X90" s="656"/>
      <c r="Y90" s="656"/>
      <c r="Z90" s="656"/>
      <c r="AA90" s="656"/>
      <c r="AB90" s="656"/>
      <c r="AC90" s="656"/>
      <c r="AD90" s="656"/>
      <c r="AE90" s="656"/>
      <c r="AF90" s="656"/>
      <c r="AG90" s="656"/>
      <c r="AH90" s="656"/>
      <c r="AI90" s="656"/>
      <c r="AJ90" s="656"/>
      <c r="AK90" s="656"/>
      <c r="AL90" s="656"/>
      <c r="AM90" s="656"/>
      <c r="AN90" s="656"/>
      <c r="AO90" s="656"/>
      <c r="AP90" s="656"/>
      <c r="AQ90" s="656"/>
      <c r="AR90" s="656"/>
      <c r="AS90" s="656"/>
      <c r="AT90" s="656"/>
      <c r="AU90" s="656"/>
      <c r="AV90" s="656"/>
      <c r="AW90" s="656"/>
      <c r="AX90" s="656"/>
      <c r="AY90" s="656"/>
      <c r="AZ90" s="656"/>
      <c r="BA90" s="656"/>
      <c r="BB90" s="656"/>
      <c r="BC90" s="656"/>
      <c r="BD90" s="656"/>
      <c r="BE90" s="656"/>
      <c r="BF90" s="656"/>
      <c r="BG90" s="656"/>
      <c r="BH90" s="656"/>
      <c r="BI90" s="656"/>
      <c r="BJ90" s="656"/>
      <c r="BK90" s="656"/>
      <c r="BL90" s="656"/>
      <c r="BM90" s="656"/>
      <c r="BN90" s="656"/>
      <c r="BO90" s="656"/>
      <c r="BP90" s="656"/>
      <c r="BQ90" s="656"/>
      <c r="BR90" s="656"/>
      <c r="BS90" s="656"/>
      <c r="BT90" s="656"/>
      <c r="BU90" s="656"/>
      <c r="BV90" s="656"/>
      <c r="BW90" s="656"/>
      <c r="BX90" s="656"/>
      <c r="BY90" s="656"/>
      <c r="BZ90" s="656"/>
      <c r="CA90" s="656"/>
      <c r="CB90" s="656"/>
      <c r="CC90" s="656"/>
      <c r="CD90" s="656"/>
      <c r="CE90" s="656"/>
      <c r="CF90" s="656"/>
      <c r="CG90" s="656"/>
      <c r="CH90" s="656"/>
      <c r="CI90" s="656"/>
      <c r="CJ90" s="656"/>
      <c r="CK90" s="656"/>
      <c r="CL90" s="656"/>
      <c r="CM90" s="656"/>
      <c r="CN90" s="656"/>
      <c r="CO90" s="656"/>
      <c r="CP90" s="656"/>
      <c r="CQ90" s="656"/>
      <c r="CR90" s="656"/>
      <c r="CS90" s="656"/>
      <c r="CT90" s="656"/>
      <c r="CU90" s="656"/>
      <c r="CV90" s="656"/>
      <c r="CW90" s="656"/>
      <c r="CX90" s="656"/>
      <c r="CY90" s="656"/>
      <c r="CZ90" s="656"/>
      <c r="DA90" s="656"/>
      <c r="DB90" s="656"/>
      <c r="DC90" s="656"/>
      <c r="DD90" s="656"/>
      <c r="DE90" s="656"/>
      <c r="DF90" s="656"/>
      <c r="DG90" s="656"/>
      <c r="DH90" s="656"/>
      <c r="DI90" s="656"/>
      <c r="DJ90" s="656"/>
      <c r="DK90" s="656"/>
      <c r="DL90" s="656"/>
      <c r="DM90" s="656"/>
      <c r="DN90" s="656"/>
      <c r="DO90" s="656"/>
      <c r="DP90" s="656"/>
      <c r="DQ90" s="656"/>
      <c r="DR90" s="656"/>
      <c r="DS90" s="656"/>
      <c r="DT90" s="656"/>
      <c r="DU90" s="656"/>
      <c r="DV90" s="656"/>
      <c r="DW90" s="656"/>
      <c r="DX90" s="656"/>
      <c r="DY90" s="656"/>
      <c r="DZ90" s="656"/>
      <c r="EA90" s="656"/>
      <c r="EB90" s="656"/>
      <c r="EC90" s="656"/>
      <c r="ED90" s="656"/>
      <c r="EE90" s="656"/>
      <c r="EF90" s="656"/>
      <c r="EG90" s="656"/>
      <c r="EH90" s="656"/>
      <c r="EI90" s="656"/>
      <c r="EJ90" s="656"/>
      <c r="EK90" s="656"/>
      <c r="EL90" s="656"/>
      <c r="EM90" s="656"/>
      <c r="EN90" s="656"/>
      <c r="EO90" s="656"/>
      <c r="EP90" s="656"/>
      <c r="EQ90" s="656"/>
      <c r="ER90" s="656"/>
      <c r="ES90" s="656"/>
      <c r="ET90" s="656"/>
      <c r="EU90" s="656"/>
      <c r="EV90" s="656"/>
      <c r="EW90" s="656"/>
      <c r="EX90" s="656"/>
      <c r="EY90" s="656"/>
      <c r="EZ90" s="656"/>
      <c r="FA90" s="656"/>
      <c r="FB90" s="656"/>
      <c r="FC90" s="656"/>
      <c r="FD90" s="656"/>
      <c r="FE90" s="656"/>
      <c r="FF90" s="656"/>
      <c r="FG90" s="656"/>
      <c r="FH90" s="656"/>
      <c r="FI90" s="656"/>
      <c r="FJ90" s="656"/>
      <c r="FK90" s="656"/>
      <c r="FL90" s="656"/>
      <c r="FM90" s="656"/>
      <c r="FN90" s="656"/>
      <c r="FO90" s="656"/>
      <c r="FP90" s="656"/>
      <c r="FQ90" s="656"/>
      <c r="FR90" s="656"/>
      <c r="FS90" s="656"/>
      <c r="FT90" s="656"/>
      <c r="FU90" s="656"/>
      <c r="FV90" s="656"/>
      <c r="FW90" s="656"/>
      <c r="FX90" s="656"/>
      <c r="FY90" s="656"/>
      <c r="FZ90" s="656"/>
      <c r="GA90" s="656"/>
      <c r="GB90" s="656"/>
      <c r="GC90" s="656"/>
      <c r="GD90" s="656"/>
      <c r="GE90" s="656"/>
      <c r="GF90" s="656"/>
      <c r="GG90" s="656"/>
      <c r="GH90" s="656"/>
      <c r="GI90" s="656"/>
      <c r="GJ90" s="656"/>
      <c r="GK90" s="656"/>
      <c r="GL90" s="656"/>
      <c r="GM90" s="656"/>
      <c r="GN90" s="656"/>
      <c r="GO90" s="656"/>
      <c r="GP90" s="656"/>
      <c r="GQ90" s="656"/>
      <c r="GR90" s="656"/>
      <c r="GS90" s="656"/>
      <c r="GT90" s="656"/>
      <c r="GU90" s="656"/>
      <c r="GV90" s="656"/>
      <c r="GW90" s="656"/>
      <c r="GX90" s="656"/>
      <c r="GY90" s="656"/>
      <c r="GZ90" s="656"/>
      <c r="HA90" s="656"/>
      <c r="HB90" s="656"/>
      <c r="HC90" s="656"/>
      <c r="HD90" s="656"/>
      <c r="HE90" s="656"/>
      <c r="HF90" s="656"/>
      <c r="HG90" s="656"/>
      <c r="HH90" s="656"/>
      <c r="HI90" s="656"/>
      <c r="HJ90" s="656"/>
      <c r="HK90" s="656"/>
      <c r="HL90" s="656"/>
      <c r="HM90" s="656"/>
      <c r="HN90" s="656"/>
      <c r="HO90" s="656"/>
      <c r="HP90" s="656"/>
      <c r="HQ90" s="656"/>
      <c r="HR90" s="656"/>
      <c r="HS90" s="656"/>
      <c r="HT90" s="656"/>
      <c r="HU90" s="656"/>
      <c r="HV90" s="656"/>
      <c r="HW90" s="656"/>
      <c r="HX90" s="656"/>
      <c r="HY90" s="656"/>
      <c r="HZ90" s="656"/>
    </row>
    <row r="91" spans="1:234" s="657" customFormat="1" x14ac:dyDescent="0.25">
      <c r="A91" s="698"/>
      <c r="B91" s="1014">
        <v>66</v>
      </c>
      <c r="C91" s="1015" t="s">
        <v>1307</v>
      </c>
      <c r="D91" s="1027" t="s">
        <v>880</v>
      </c>
      <c r="E91" s="1017">
        <v>1</v>
      </c>
      <c r="F91" s="1018">
        <v>30926</v>
      </c>
      <c r="G91" s="1019">
        <v>30926</v>
      </c>
      <c r="H91" s="486">
        <v>15</v>
      </c>
      <c r="I91" s="1028">
        <v>15</v>
      </c>
      <c r="J91" s="1020">
        <v>463890</v>
      </c>
      <c r="K91" s="1021">
        <v>0</v>
      </c>
      <c r="L91" s="480">
        <v>0</v>
      </c>
      <c r="M91" s="1029">
        <v>0</v>
      </c>
      <c r="N91" s="488">
        <v>0</v>
      </c>
      <c r="O91" s="1029">
        <v>0</v>
      </c>
      <c r="P91" s="488">
        <v>0</v>
      </c>
      <c r="Q91" s="1024"/>
      <c r="R91" s="488">
        <v>0</v>
      </c>
      <c r="S91" s="1023"/>
      <c r="T91" s="656"/>
      <c r="U91" s="656"/>
      <c r="V91" s="656"/>
      <c r="W91" s="656"/>
      <c r="X91" s="656"/>
      <c r="Y91" s="656"/>
      <c r="Z91" s="656"/>
      <c r="AA91" s="656"/>
      <c r="AB91" s="656"/>
      <c r="AC91" s="656"/>
      <c r="AD91" s="656"/>
      <c r="AE91" s="656"/>
      <c r="AF91" s="656"/>
      <c r="AG91" s="656"/>
      <c r="AH91" s="656"/>
      <c r="AI91" s="656"/>
      <c r="AJ91" s="656"/>
      <c r="AK91" s="656"/>
      <c r="AL91" s="656"/>
      <c r="AM91" s="656"/>
      <c r="AN91" s="656"/>
      <c r="AO91" s="656"/>
      <c r="AP91" s="656"/>
      <c r="AQ91" s="656"/>
      <c r="AR91" s="656"/>
      <c r="AS91" s="656"/>
      <c r="AT91" s="656"/>
      <c r="AU91" s="656"/>
      <c r="AV91" s="656"/>
      <c r="AW91" s="656"/>
      <c r="AX91" s="656"/>
      <c r="AY91" s="656"/>
      <c r="AZ91" s="656"/>
      <c r="BA91" s="656"/>
      <c r="BB91" s="656"/>
      <c r="BC91" s="656"/>
      <c r="BD91" s="656"/>
      <c r="BE91" s="656"/>
      <c r="BF91" s="656"/>
      <c r="BG91" s="656"/>
      <c r="BH91" s="656"/>
      <c r="BI91" s="656"/>
      <c r="BJ91" s="656"/>
      <c r="BK91" s="656"/>
      <c r="BL91" s="656"/>
      <c r="BM91" s="656"/>
      <c r="BN91" s="656"/>
      <c r="BO91" s="656"/>
      <c r="BP91" s="656"/>
      <c r="BQ91" s="656"/>
      <c r="BR91" s="656"/>
      <c r="BS91" s="656"/>
      <c r="BT91" s="656"/>
      <c r="BU91" s="656"/>
      <c r="BV91" s="656"/>
      <c r="BW91" s="656"/>
      <c r="BX91" s="656"/>
      <c r="BY91" s="656"/>
      <c r="BZ91" s="656"/>
      <c r="CA91" s="656"/>
      <c r="CB91" s="656"/>
      <c r="CC91" s="656"/>
      <c r="CD91" s="656"/>
      <c r="CE91" s="656"/>
      <c r="CF91" s="656"/>
      <c r="CG91" s="656"/>
      <c r="CH91" s="656"/>
      <c r="CI91" s="656"/>
      <c r="CJ91" s="656"/>
      <c r="CK91" s="656"/>
      <c r="CL91" s="656"/>
      <c r="CM91" s="656"/>
      <c r="CN91" s="656"/>
      <c r="CO91" s="656"/>
      <c r="CP91" s="656"/>
      <c r="CQ91" s="656"/>
      <c r="CR91" s="656"/>
      <c r="CS91" s="656"/>
      <c r="CT91" s="656"/>
      <c r="CU91" s="656"/>
      <c r="CV91" s="656"/>
      <c r="CW91" s="656"/>
      <c r="CX91" s="656"/>
      <c r="CY91" s="656"/>
      <c r="CZ91" s="656"/>
      <c r="DA91" s="656"/>
      <c r="DB91" s="656"/>
      <c r="DC91" s="656"/>
      <c r="DD91" s="656"/>
      <c r="DE91" s="656"/>
      <c r="DF91" s="656"/>
      <c r="DG91" s="656"/>
      <c r="DH91" s="656"/>
      <c r="DI91" s="656"/>
      <c r="DJ91" s="656"/>
      <c r="DK91" s="656"/>
      <c r="DL91" s="656"/>
      <c r="DM91" s="656"/>
      <c r="DN91" s="656"/>
      <c r="DO91" s="656"/>
      <c r="DP91" s="656"/>
      <c r="DQ91" s="656"/>
      <c r="DR91" s="656"/>
      <c r="DS91" s="656"/>
      <c r="DT91" s="656"/>
      <c r="DU91" s="656"/>
      <c r="DV91" s="656"/>
      <c r="DW91" s="656"/>
      <c r="DX91" s="656"/>
      <c r="DY91" s="656"/>
      <c r="DZ91" s="656"/>
      <c r="EA91" s="656"/>
      <c r="EB91" s="656"/>
      <c r="EC91" s="656"/>
      <c r="ED91" s="656"/>
      <c r="EE91" s="656"/>
      <c r="EF91" s="656"/>
      <c r="EG91" s="656"/>
      <c r="EH91" s="656"/>
      <c r="EI91" s="656"/>
      <c r="EJ91" s="656"/>
      <c r="EK91" s="656"/>
      <c r="EL91" s="656"/>
      <c r="EM91" s="656"/>
      <c r="EN91" s="656"/>
      <c r="EO91" s="656"/>
      <c r="EP91" s="656"/>
      <c r="EQ91" s="656"/>
      <c r="ER91" s="656"/>
      <c r="ES91" s="656"/>
      <c r="ET91" s="656"/>
      <c r="EU91" s="656"/>
      <c r="EV91" s="656"/>
      <c r="EW91" s="656"/>
      <c r="EX91" s="656"/>
      <c r="EY91" s="656"/>
      <c r="EZ91" s="656"/>
      <c r="FA91" s="656"/>
      <c r="FB91" s="656"/>
      <c r="FC91" s="656"/>
      <c r="FD91" s="656"/>
      <c r="FE91" s="656"/>
      <c r="FF91" s="656"/>
      <c r="FG91" s="656"/>
      <c r="FH91" s="656"/>
      <c r="FI91" s="656"/>
      <c r="FJ91" s="656"/>
      <c r="FK91" s="656"/>
      <c r="FL91" s="656"/>
      <c r="FM91" s="656"/>
      <c r="FN91" s="656"/>
      <c r="FO91" s="656"/>
      <c r="FP91" s="656"/>
      <c r="FQ91" s="656"/>
      <c r="FR91" s="656"/>
      <c r="FS91" s="656"/>
      <c r="FT91" s="656"/>
      <c r="FU91" s="656"/>
      <c r="FV91" s="656"/>
      <c r="FW91" s="656"/>
      <c r="FX91" s="656"/>
      <c r="FY91" s="656"/>
      <c r="FZ91" s="656"/>
      <c r="GA91" s="656"/>
      <c r="GB91" s="656"/>
      <c r="GC91" s="656"/>
      <c r="GD91" s="656"/>
      <c r="GE91" s="656"/>
      <c r="GF91" s="656"/>
      <c r="GG91" s="656"/>
      <c r="GH91" s="656"/>
      <c r="GI91" s="656"/>
      <c r="GJ91" s="656"/>
      <c r="GK91" s="656"/>
      <c r="GL91" s="656"/>
      <c r="GM91" s="656"/>
      <c r="GN91" s="656"/>
      <c r="GO91" s="656"/>
      <c r="GP91" s="656"/>
      <c r="GQ91" s="656"/>
      <c r="GR91" s="656"/>
      <c r="GS91" s="656"/>
      <c r="GT91" s="656"/>
      <c r="GU91" s="656"/>
      <c r="GV91" s="656"/>
      <c r="GW91" s="656"/>
      <c r="GX91" s="656"/>
      <c r="GY91" s="656"/>
      <c r="GZ91" s="656"/>
      <c r="HA91" s="656"/>
      <c r="HB91" s="656"/>
      <c r="HC91" s="656"/>
      <c r="HD91" s="656"/>
      <c r="HE91" s="656"/>
      <c r="HF91" s="656"/>
      <c r="HG91" s="656"/>
      <c r="HH91" s="656"/>
      <c r="HI91" s="656"/>
      <c r="HJ91" s="656"/>
      <c r="HK91" s="656"/>
      <c r="HL91" s="656"/>
      <c r="HM91" s="656"/>
      <c r="HN91" s="656"/>
      <c r="HO91" s="656"/>
      <c r="HP91" s="656"/>
      <c r="HQ91" s="656"/>
      <c r="HR91" s="656"/>
      <c r="HS91" s="656"/>
      <c r="HT91" s="656"/>
      <c r="HU91" s="656"/>
      <c r="HV91" s="656"/>
      <c r="HW91" s="656"/>
      <c r="HX91" s="656"/>
      <c r="HY91" s="656"/>
      <c r="HZ91" s="656"/>
    </row>
    <row r="92" spans="1:234" s="657" customFormat="1" x14ac:dyDescent="0.25">
      <c r="A92" s="698"/>
      <c r="B92" s="1048"/>
      <c r="C92" s="1055" t="s">
        <v>1282</v>
      </c>
      <c r="D92" s="1049"/>
      <c r="E92" s="1049"/>
      <c r="F92" s="1049"/>
      <c r="G92" s="1039"/>
      <c r="H92" s="1050"/>
      <c r="I92" s="1051"/>
      <c r="J92" s="1042"/>
      <c r="K92" s="1052"/>
      <c r="L92" s="1053"/>
      <c r="M92" s="1045"/>
      <c r="N92" s="1046"/>
      <c r="O92" s="1045"/>
      <c r="P92" s="1046"/>
      <c r="Q92" s="1045"/>
      <c r="R92" s="1046"/>
      <c r="S92" s="1023"/>
      <c r="T92" s="656"/>
      <c r="U92" s="656"/>
      <c r="V92" s="656"/>
      <c r="W92" s="656"/>
      <c r="X92" s="656"/>
      <c r="Y92" s="656"/>
      <c r="Z92" s="656"/>
      <c r="AA92" s="656"/>
      <c r="AB92" s="656"/>
      <c r="AC92" s="656"/>
      <c r="AD92" s="656"/>
      <c r="AE92" s="656"/>
      <c r="AF92" s="656"/>
      <c r="AG92" s="656"/>
      <c r="AH92" s="656"/>
      <c r="AI92" s="656"/>
      <c r="AJ92" s="656"/>
      <c r="AK92" s="656"/>
      <c r="AL92" s="656"/>
      <c r="AM92" s="656"/>
      <c r="AN92" s="656"/>
      <c r="AO92" s="656"/>
      <c r="AP92" s="656"/>
      <c r="AQ92" s="656"/>
      <c r="AR92" s="656"/>
      <c r="AS92" s="656"/>
      <c r="AT92" s="656"/>
      <c r="AU92" s="656"/>
      <c r="AV92" s="656"/>
      <c r="AW92" s="656"/>
      <c r="AX92" s="656"/>
      <c r="AY92" s="656"/>
      <c r="AZ92" s="656"/>
      <c r="BA92" s="656"/>
      <c r="BB92" s="656"/>
      <c r="BC92" s="656"/>
      <c r="BD92" s="656"/>
      <c r="BE92" s="656"/>
      <c r="BF92" s="656"/>
      <c r="BG92" s="656"/>
      <c r="BH92" s="656"/>
      <c r="BI92" s="656"/>
      <c r="BJ92" s="656"/>
      <c r="BK92" s="656"/>
      <c r="BL92" s="656"/>
      <c r="BM92" s="656"/>
      <c r="BN92" s="656"/>
      <c r="BO92" s="656"/>
      <c r="BP92" s="656"/>
      <c r="BQ92" s="656"/>
      <c r="BR92" s="656"/>
      <c r="BS92" s="656"/>
      <c r="BT92" s="656"/>
      <c r="BU92" s="656"/>
      <c r="BV92" s="656"/>
      <c r="BW92" s="656"/>
      <c r="BX92" s="656"/>
      <c r="BY92" s="656"/>
      <c r="BZ92" s="656"/>
      <c r="CA92" s="656"/>
      <c r="CB92" s="656"/>
      <c r="CC92" s="656"/>
      <c r="CD92" s="656"/>
      <c r="CE92" s="656"/>
      <c r="CF92" s="656"/>
      <c r="CG92" s="656"/>
      <c r="CH92" s="656"/>
      <c r="CI92" s="656"/>
      <c r="CJ92" s="656"/>
      <c r="CK92" s="656"/>
      <c r="CL92" s="656"/>
      <c r="CM92" s="656"/>
      <c r="CN92" s="656"/>
      <c r="CO92" s="656"/>
      <c r="CP92" s="656"/>
      <c r="CQ92" s="656"/>
      <c r="CR92" s="656"/>
      <c r="CS92" s="656"/>
      <c r="CT92" s="656"/>
      <c r="CU92" s="656"/>
      <c r="CV92" s="656"/>
      <c r="CW92" s="656"/>
      <c r="CX92" s="656"/>
      <c r="CY92" s="656"/>
      <c r="CZ92" s="656"/>
      <c r="DA92" s="656"/>
      <c r="DB92" s="656"/>
      <c r="DC92" s="656"/>
      <c r="DD92" s="656"/>
      <c r="DE92" s="656"/>
      <c r="DF92" s="656"/>
      <c r="DG92" s="656"/>
      <c r="DH92" s="656"/>
      <c r="DI92" s="656"/>
      <c r="DJ92" s="656"/>
      <c r="DK92" s="656"/>
      <c r="DL92" s="656"/>
      <c r="DM92" s="656"/>
      <c r="DN92" s="656"/>
      <c r="DO92" s="656"/>
      <c r="DP92" s="656"/>
      <c r="DQ92" s="656"/>
      <c r="DR92" s="656"/>
      <c r="DS92" s="656"/>
      <c r="DT92" s="656"/>
      <c r="DU92" s="656"/>
      <c r="DV92" s="656"/>
      <c r="DW92" s="656"/>
      <c r="DX92" s="656"/>
      <c r="DY92" s="656"/>
      <c r="DZ92" s="656"/>
      <c r="EA92" s="656"/>
      <c r="EB92" s="656"/>
      <c r="EC92" s="656"/>
      <c r="ED92" s="656"/>
      <c r="EE92" s="656"/>
      <c r="EF92" s="656"/>
      <c r="EG92" s="656"/>
      <c r="EH92" s="656"/>
      <c r="EI92" s="656"/>
      <c r="EJ92" s="656"/>
      <c r="EK92" s="656"/>
      <c r="EL92" s="656"/>
      <c r="EM92" s="656"/>
      <c r="EN92" s="656"/>
      <c r="EO92" s="656"/>
      <c r="EP92" s="656"/>
      <c r="EQ92" s="656"/>
      <c r="ER92" s="656"/>
      <c r="ES92" s="656"/>
      <c r="ET92" s="656"/>
      <c r="EU92" s="656"/>
      <c r="EV92" s="656"/>
      <c r="EW92" s="656"/>
      <c r="EX92" s="656"/>
      <c r="EY92" s="656"/>
      <c r="EZ92" s="656"/>
      <c r="FA92" s="656"/>
      <c r="FB92" s="656"/>
      <c r="FC92" s="656"/>
      <c r="FD92" s="656"/>
      <c r="FE92" s="656"/>
      <c r="FF92" s="656"/>
      <c r="FG92" s="656"/>
      <c r="FH92" s="656"/>
      <c r="FI92" s="656"/>
      <c r="FJ92" s="656"/>
      <c r="FK92" s="656"/>
      <c r="FL92" s="656"/>
      <c r="FM92" s="656"/>
      <c r="FN92" s="656"/>
      <c r="FO92" s="656"/>
      <c r="FP92" s="656"/>
      <c r="FQ92" s="656"/>
      <c r="FR92" s="656"/>
      <c r="FS92" s="656"/>
      <c r="FT92" s="656"/>
      <c r="FU92" s="656"/>
      <c r="FV92" s="656"/>
      <c r="FW92" s="656"/>
      <c r="FX92" s="656"/>
      <c r="FY92" s="656"/>
      <c r="FZ92" s="656"/>
      <c r="GA92" s="656"/>
      <c r="GB92" s="656"/>
      <c r="GC92" s="656"/>
      <c r="GD92" s="656"/>
      <c r="GE92" s="656"/>
      <c r="GF92" s="656"/>
      <c r="GG92" s="656"/>
      <c r="GH92" s="656"/>
      <c r="GI92" s="656"/>
      <c r="GJ92" s="656"/>
      <c r="GK92" s="656"/>
      <c r="GL92" s="656"/>
      <c r="GM92" s="656"/>
      <c r="GN92" s="656"/>
      <c r="GO92" s="656"/>
      <c r="GP92" s="656"/>
      <c r="GQ92" s="656"/>
      <c r="GR92" s="656"/>
      <c r="GS92" s="656"/>
      <c r="GT92" s="656"/>
      <c r="GU92" s="656"/>
      <c r="GV92" s="656"/>
      <c r="GW92" s="656"/>
      <c r="GX92" s="656"/>
      <c r="GY92" s="656"/>
      <c r="GZ92" s="656"/>
      <c r="HA92" s="656"/>
      <c r="HB92" s="656"/>
      <c r="HC92" s="656"/>
      <c r="HD92" s="656"/>
      <c r="HE92" s="656"/>
      <c r="HF92" s="656"/>
      <c r="HG92" s="656"/>
      <c r="HH92" s="656"/>
      <c r="HI92" s="656"/>
      <c r="HJ92" s="656"/>
      <c r="HK92" s="656"/>
      <c r="HL92" s="656"/>
      <c r="HM92" s="656"/>
      <c r="HN92" s="656"/>
      <c r="HO92" s="656"/>
      <c r="HP92" s="656"/>
      <c r="HQ92" s="656"/>
      <c r="HR92" s="656"/>
      <c r="HS92" s="656"/>
      <c r="HT92" s="656"/>
      <c r="HU92" s="656"/>
      <c r="HV92" s="656"/>
      <c r="HW92" s="656"/>
      <c r="HX92" s="656"/>
      <c r="HY92" s="656"/>
      <c r="HZ92" s="656"/>
    </row>
    <row r="93" spans="1:234" s="657" customFormat="1" ht="28.5" x14ac:dyDescent="0.25">
      <c r="A93" s="698"/>
      <c r="B93" s="1014">
        <v>9</v>
      </c>
      <c r="C93" s="1015" t="s">
        <v>845</v>
      </c>
      <c r="D93" s="1027" t="s">
        <v>14</v>
      </c>
      <c r="E93" s="1017">
        <v>1</v>
      </c>
      <c r="F93" s="1018">
        <v>29577</v>
      </c>
      <c r="G93" s="1019">
        <v>29577</v>
      </c>
      <c r="H93" s="486">
        <v>55</v>
      </c>
      <c r="I93" s="1028">
        <v>116.66099999999999</v>
      </c>
      <c r="J93" s="1020">
        <v>3450482.3969999994</v>
      </c>
      <c r="K93" s="1021">
        <v>116.66099999999999</v>
      </c>
      <c r="L93" s="480">
        <v>3450482.3969999994</v>
      </c>
      <c r="M93" s="1029">
        <v>0</v>
      </c>
      <c r="N93" s="488">
        <v>0</v>
      </c>
      <c r="O93" s="1024">
        <v>116.66099999999999</v>
      </c>
      <c r="P93" s="488">
        <v>3450482.3969999994</v>
      </c>
      <c r="Q93" s="1024">
        <v>0</v>
      </c>
      <c r="R93" s="488">
        <v>0</v>
      </c>
      <c r="S93" s="1023"/>
      <c r="T93" s="656"/>
      <c r="U93" s="656"/>
      <c r="V93" s="656"/>
      <c r="W93" s="656"/>
      <c r="X93" s="656"/>
      <c r="Y93" s="656"/>
      <c r="Z93" s="656"/>
      <c r="AA93" s="656"/>
      <c r="AB93" s="656"/>
      <c r="AC93" s="656"/>
      <c r="AD93" s="656"/>
      <c r="AE93" s="656"/>
      <c r="AF93" s="656"/>
      <c r="AG93" s="656"/>
      <c r="AH93" s="656"/>
      <c r="AI93" s="656"/>
      <c r="AJ93" s="656"/>
      <c r="AK93" s="656"/>
      <c r="AL93" s="656"/>
      <c r="AM93" s="656"/>
      <c r="AN93" s="656"/>
      <c r="AO93" s="656"/>
      <c r="AP93" s="656"/>
      <c r="AQ93" s="656"/>
      <c r="AR93" s="656"/>
      <c r="AS93" s="656"/>
      <c r="AT93" s="656"/>
      <c r="AU93" s="656"/>
      <c r="AV93" s="656"/>
      <c r="AW93" s="656"/>
      <c r="AX93" s="656"/>
      <c r="AY93" s="656"/>
      <c r="AZ93" s="656"/>
      <c r="BA93" s="656"/>
      <c r="BB93" s="656"/>
      <c r="BC93" s="656"/>
      <c r="BD93" s="656"/>
      <c r="BE93" s="656"/>
      <c r="BF93" s="656"/>
      <c r="BG93" s="656"/>
      <c r="BH93" s="656"/>
      <c r="BI93" s="656"/>
      <c r="BJ93" s="656"/>
      <c r="BK93" s="656"/>
      <c r="BL93" s="656"/>
      <c r="BM93" s="656"/>
      <c r="BN93" s="656"/>
      <c r="BO93" s="656"/>
      <c r="BP93" s="656"/>
      <c r="BQ93" s="656"/>
      <c r="BR93" s="656"/>
      <c r="BS93" s="656"/>
      <c r="BT93" s="656"/>
      <c r="BU93" s="656"/>
      <c r="BV93" s="656"/>
      <c r="BW93" s="656"/>
      <c r="BX93" s="656"/>
      <c r="BY93" s="656"/>
      <c r="BZ93" s="656"/>
      <c r="CA93" s="656"/>
      <c r="CB93" s="656"/>
      <c r="CC93" s="656"/>
      <c r="CD93" s="656"/>
      <c r="CE93" s="656"/>
      <c r="CF93" s="656"/>
      <c r="CG93" s="656"/>
      <c r="CH93" s="656"/>
      <c r="CI93" s="656"/>
      <c r="CJ93" s="656"/>
      <c r="CK93" s="656"/>
      <c r="CL93" s="656"/>
      <c r="CM93" s="656"/>
      <c r="CN93" s="656"/>
      <c r="CO93" s="656"/>
      <c r="CP93" s="656"/>
      <c r="CQ93" s="656"/>
      <c r="CR93" s="656"/>
      <c r="CS93" s="656"/>
      <c r="CT93" s="656"/>
      <c r="CU93" s="656"/>
      <c r="CV93" s="656"/>
      <c r="CW93" s="656"/>
      <c r="CX93" s="656"/>
      <c r="CY93" s="656"/>
      <c r="CZ93" s="656"/>
      <c r="DA93" s="656"/>
      <c r="DB93" s="656"/>
      <c r="DC93" s="656"/>
      <c r="DD93" s="656"/>
      <c r="DE93" s="656"/>
      <c r="DF93" s="656"/>
      <c r="DG93" s="656"/>
      <c r="DH93" s="656"/>
      <c r="DI93" s="656"/>
      <c r="DJ93" s="656"/>
      <c r="DK93" s="656"/>
      <c r="DL93" s="656"/>
      <c r="DM93" s="656"/>
      <c r="DN93" s="656"/>
      <c r="DO93" s="656"/>
      <c r="DP93" s="656"/>
      <c r="DQ93" s="656"/>
      <c r="DR93" s="656"/>
      <c r="DS93" s="656"/>
      <c r="DT93" s="656"/>
      <c r="DU93" s="656"/>
      <c r="DV93" s="656"/>
      <c r="DW93" s="656"/>
      <c r="DX93" s="656"/>
      <c r="DY93" s="656"/>
      <c r="DZ93" s="656"/>
      <c r="EA93" s="656"/>
      <c r="EB93" s="656"/>
      <c r="EC93" s="656"/>
      <c r="ED93" s="656"/>
      <c r="EE93" s="656"/>
      <c r="EF93" s="656"/>
      <c r="EG93" s="656"/>
      <c r="EH93" s="656"/>
      <c r="EI93" s="656"/>
      <c r="EJ93" s="656"/>
      <c r="EK93" s="656"/>
      <c r="EL93" s="656"/>
      <c r="EM93" s="656"/>
      <c r="EN93" s="656"/>
      <c r="EO93" s="656"/>
      <c r="EP93" s="656"/>
      <c r="EQ93" s="656"/>
      <c r="ER93" s="656"/>
      <c r="ES93" s="656"/>
      <c r="ET93" s="656"/>
      <c r="EU93" s="656"/>
      <c r="EV93" s="656"/>
      <c r="EW93" s="656"/>
      <c r="EX93" s="656"/>
      <c r="EY93" s="656"/>
      <c r="EZ93" s="656"/>
      <c r="FA93" s="656"/>
      <c r="FB93" s="656"/>
      <c r="FC93" s="656"/>
      <c r="FD93" s="656"/>
      <c r="FE93" s="656"/>
      <c r="FF93" s="656"/>
      <c r="FG93" s="656"/>
      <c r="FH93" s="656"/>
      <c r="FI93" s="656"/>
      <c r="FJ93" s="656"/>
      <c r="FK93" s="656"/>
      <c r="FL93" s="656"/>
      <c r="FM93" s="656"/>
      <c r="FN93" s="656"/>
      <c r="FO93" s="656"/>
      <c r="FP93" s="656"/>
      <c r="FQ93" s="656"/>
      <c r="FR93" s="656"/>
      <c r="FS93" s="656"/>
      <c r="FT93" s="656"/>
      <c r="FU93" s="656"/>
      <c r="FV93" s="656"/>
      <c r="FW93" s="656"/>
      <c r="FX93" s="656"/>
      <c r="FY93" s="656"/>
      <c r="FZ93" s="656"/>
      <c r="GA93" s="656"/>
      <c r="GB93" s="656"/>
      <c r="GC93" s="656"/>
      <c r="GD93" s="656"/>
      <c r="GE93" s="656"/>
      <c r="GF93" s="656"/>
      <c r="GG93" s="656"/>
      <c r="GH93" s="656"/>
      <c r="GI93" s="656"/>
      <c r="GJ93" s="656"/>
      <c r="GK93" s="656"/>
      <c r="GL93" s="656"/>
      <c r="GM93" s="656"/>
      <c r="GN93" s="656"/>
      <c r="GO93" s="656"/>
      <c r="GP93" s="656"/>
      <c r="GQ93" s="656"/>
      <c r="GR93" s="656"/>
      <c r="GS93" s="656"/>
      <c r="GT93" s="656"/>
      <c r="GU93" s="656"/>
      <c r="GV93" s="656"/>
      <c r="GW93" s="656"/>
      <c r="GX93" s="656"/>
      <c r="GY93" s="656"/>
      <c r="GZ93" s="656"/>
      <c r="HA93" s="656"/>
      <c r="HB93" s="656"/>
      <c r="HC93" s="656"/>
      <c r="HD93" s="656"/>
      <c r="HE93" s="656"/>
      <c r="HF93" s="656"/>
      <c r="HG93" s="656"/>
      <c r="HH93" s="656"/>
      <c r="HI93" s="656"/>
      <c r="HJ93" s="656"/>
      <c r="HK93" s="656"/>
      <c r="HL93" s="656"/>
      <c r="HM93" s="656"/>
      <c r="HN93" s="656"/>
      <c r="HO93" s="656"/>
      <c r="HP93" s="656"/>
      <c r="HQ93" s="656"/>
      <c r="HR93" s="656"/>
      <c r="HS93" s="656"/>
      <c r="HT93" s="656"/>
      <c r="HU93" s="656"/>
      <c r="HV93" s="656"/>
      <c r="HW93" s="656"/>
      <c r="HX93" s="656"/>
      <c r="HY93" s="656"/>
      <c r="HZ93" s="656"/>
    </row>
    <row r="94" spans="1:234" s="657" customFormat="1" x14ac:dyDescent="0.25">
      <c r="A94" s="698"/>
      <c r="B94" s="1014">
        <v>29</v>
      </c>
      <c r="C94" s="1015" t="s">
        <v>1218</v>
      </c>
      <c r="D94" s="1016" t="s">
        <v>842</v>
      </c>
      <c r="E94" s="1017">
        <v>1</v>
      </c>
      <c r="F94" s="1018">
        <v>57419</v>
      </c>
      <c r="G94" s="1019">
        <v>57419</v>
      </c>
      <c r="H94" s="486">
        <v>10</v>
      </c>
      <c r="I94" s="1054">
        <v>0</v>
      </c>
      <c r="J94" s="1020">
        <v>0</v>
      </c>
      <c r="K94" s="1021">
        <v>31.280000000000005</v>
      </c>
      <c r="L94" s="480">
        <v>1796066.3200000003</v>
      </c>
      <c r="M94" s="1022">
        <v>0</v>
      </c>
      <c r="N94" s="488">
        <v>0</v>
      </c>
      <c r="O94" s="1024">
        <v>31.280000000000005</v>
      </c>
      <c r="P94" s="488">
        <v>1796066.3200000003</v>
      </c>
      <c r="Q94" s="1022">
        <v>0</v>
      </c>
      <c r="R94" s="488">
        <v>0</v>
      </c>
      <c r="S94" s="1023"/>
      <c r="T94" s="656"/>
      <c r="U94" s="656"/>
      <c r="V94" s="656"/>
      <c r="W94" s="656"/>
      <c r="X94" s="656"/>
      <c r="Y94" s="656"/>
      <c r="Z94" s="656"/>
      <c r="AA94" s="656"/>
      <c r="AB94" s="656"/>
      <c r="AC94" s="656"/>
      <c r="AD94" s="656"/>
      <c r="AE94" s="656"/>
      <c r="AF94" s="656"/>
      <c r="AG94" s="656"/>
      <c r="AH94" s="656"/>
      <c r="AI94" s="656"/>
      <c r="AJ94" s="656"/>
      <c r="AK94" s="656"/>
      <c r="AL94" s="656"/>
      <c r="AM94" s="656"/>
      <c r="AN94" s="656"/>
      <c r="AO94" s="656"/>
      <c r="AP94" s="656"/>
      <c r="AQ94" s="656"/>
      <c r="AR94" s="656"/>
      <c r="AS94" s="656"/>
      <c r="AT94" s="656"/>
      <c r="AU94" s="656"/>
      <c r="AV94" s="656"/>
      <c r="AW94" s="656"/>
      <c r="AX94" s="656"/>
      <c r="AY94" s="656"/>
      <c r="AZ94" s="656"/>
      <c r="BA94" s="656"/>
      <c r="BB94" s="656"/>
      <c r="BC94" s="656"/>
      <c r="BD94" s="656"/>
      <c r="BE94" s="656"/>
      <c r="BF94" s="656"/>
      <c r="BG94" s="656"/>
      <c r="BH94" s="656"/>
      <c r="BI94" s="656"/>
      <c r="BJ94" s="656"/>
      <c r="BK94" s="656"/>
      <c r="BL94" s="656"/>
      <c r="BM94" s="656"/>
      <c r="BN94" s="656"/>
      <c r="BO94" s="656"/>
      <c r="BP94" s="656"/>
      <c r="BQ94" s="656"/>
      <c r="BR94" s="656"/>
      <c r="BS94" s="656"/>
      <c r="BT94" s="656"/>
      <c r="BU94" s="656"/>
      <c r="BV94" s="656"/>
      <c r="BW94" s="656"/>
      <c r="BX94" s="656"/>
      <c r="BY94" s="656"/>
      <c r="BZ94" s="656"/>
      <c r="CA94" s="656"/>
      <c r="CB94" s="656"/>
      <c r="CC94" s="656"/>
      <c r="CD94" s="656"/>
      <c r="CE94" s="656"/>
      <c r="CF94" s="656"/>
      <c r="CG94" s="656"/>
      <c r="CH94" s="656"/>
      <c r="CI94" s="656"/>
      <c r="CJ94" s="656"/>
      <c r="CK94" s="656"/>
      <c r="CL94" s="656"/>
      <c r="CM94" s="656"/>
      <c r="CN94" s="656"/>
      <c r="CO94" s="656"/>
      <c r="CP94" s="656"/>
      <c r="CQ94" s="656"/>
      <c r="CR94" s="656"/>
      <c r="CS94" s="656"/>
      <c r="CT94" s="656"/>
      <c r="CU94" s="656"/>
      <c r="CV94" s="656"/>
      <c r="CW94" s="656"/>
      <c r="CX94" s="656"/>
      <c r="CY94" s="656"/>
      <c r="CZ94" s="656"/>
      <c r="DA94" s="656"/>
      <c r="DB94" s="656"/>
      <c r="DC94" s="656"/>
      <c r="DD94" s="656"/>
      <c r="DE94" s="656"/>
      <c r="DF94" s="656"/>
      <c r="DG94" s="656"/>
      <c r="DH94" s="656"/>
      <c r="DI94" s="656"/>
      <c r="DJ94" s="656"/>
      <c r="DK94" s="656"/>
      <c r="DL94" s="656"/>
      <c r="DM94" s="656"/>
      <c r="DN94" s="656"/>
      <c r="DO94" s="656"/>
      <c r="DP94" s="656"/>
      <c r="DQ94" s="656"/>
      <c r="DR94" s="656"/>
      <c r="DS94" s="656"/>
      <c r="DT94" s="656"/>
      <c r="DU94" s="656"/>
      <c r="DV94" s="656"/>
      <c r="DW94" s="656"/>
      <c r="DX94" s="656"/>
      <c r="DY94" s="656"/>
      <c r="DZ94" s="656"/>
      <c r="EA94" s="656"/>
      <c r="EB94" s="656"/>
      <c r="EC94" s="656"/>
      <c r="ED94" s="656"/>
      <c r="EE94" s="656"/>
      <c r="EF94" s="656"/>
      <c r="EG94" s="656"/>
      <c r="EH94" s="656"/>
      <c r="EI94" s="656"/>
      <c r="EJ94" s="656"/>
      <c r="EK94" s="656"/>
      <c r="EL94" s="656"/>
      <c r="EM94" s="656"/>
      <c r="EN94" s="656"/>
      <c r="EO94" s="656"/>
      <c r="EP94" s="656"/>
      <c r="EQ94" s="656"/>
      <c r="ER94" s="656"/>
      <c r="ES94" s="656"/>
      <c r="ET94" s="656"/>
      <c r="EU94" s="656"/>
      <c r="EV94" s="656"/>
      <c r="EW94" s="656"/>
      <c r="EX94" s="656"/>
      <c r="EY94" s="656"/>
      <c r="EZ94" s="656"/>
      <c r="FA94" s="656"/>
      <c r="FB94" s="656"/>
      <c r="FC94" s="656"/>
      <c r="FD94" s="656"/>
      <c r="FE94" s="656"/>
      <c r="FF94" s="656"/>
      <c r="FG94" s="656"/>
      <c r="FH94" s="656"/>
      <c r="FI94" s="656"/>
      <c r="FJ94" s="656"/>
      <c r="FK94" s="656"/>
      <c r="FL94" s="656"/>
      <c r="FM94" s="656"/>
      <c r="FN94" s="656"/>
      <c r="FO94" s="656"/>
      <c r="FP94" s="656"/>
      <c r="FQ94" s="656"/>
      <c r="FR94" s="656"/>
      <c r="FS94" s="656"/>
      <c r="FT94" s="656"/>
      <c r="FU94" s="656"/>
      <c r="FV94" s="656"/>
      <c r="FW94" s="656"/>
      <c r="FX94" s="656"/>
      <c r="FY94" s="656"/>
      <c r="FZ94" s="656"/>
      <c r="GA94" s="656"/>
      <c r="GB94" s="656"/>
      <c r="GC94" s="656"/>
      <c r="GD94" s="656"/>
      <c r="GE94" s="656"/>
      <c r="GF94" s="656"/>
      <c r="GG94" s="656"/>
      <c r="GH94" s="656"/>
      <c r="GI94" s="656"/>
      <c r="GJ94" s="656"/>
      <c r="GK94" s="656"/>
      <c r="GL94" s="656"/>
      <c r="GM94" s="656"/>
      <c r="GN94" s="656"/>
      <c r="GO94" s="656"/>
      <c r="GP94" s="656"/>
      <c r="GQ94" s="656"/>
      <c r="GR94" s="656"/>
      <c r="GS94" s="656"/>
      <c r="GT94" s="656"/>
      <c r="GU94" s="656"/>
      <c r="GV94" s="656"/>
      <c r="GW94" s="656"/>
      <c r="GX94" s="656"/>
      <c r="GY94" s="656"/>
      <c r="GZ94" s="656"/>
      <c r="HA94" s="656"/>
      <c r="HB94" s="656"/>
      <c r="HC94" s="656"/>
      <c r="HD94" s="656"/>
      <c r="HE94" s="656"/>
      <c r="HF94" s="656"/>
      <c r="HG94" s="656"/>
      <c r="HH94" s="656"/>
      <c r="HI94" s="656"/>
      <c r="HJ94" s="656"/>
      <c r="HK94" s="656"/>
      <c r="HL94" s="656"/>
      <c r="HM94" s="656"/>
      <c r="HN94" s="656"/>
      <c r="HO94" s="656"/>
      <c r="HP94" s="656"/>
      <c r="HQ94" s="656"/>
      <c r="HR94" s="656"/>
      <c r="HS94" s="656"/>
      <c r="HT94" s="656"/>
      <c r="HU94" s="656"/>
      <c r="HV94" s="656"/>
      <c r="HW94" s="656"/>
      <c r="HX94" s="656"/>
      <c r="HY94" s="656"/>
      <c r="HZ94" s="656"/>
    </row>
    <row r="95" spans="1:234" s="657" customFormat="1" x14ac:dyDescent="0.25">
      <c r="A95" s="698"/>
      <c r="B95" s="1014">
        <v>61</v>
      </c>
      <c r="C95" s="1015" t="s">
        <v>1308</v>
      </c>
      <c r="D95" s="1027" t="s">
        <v>912</v>
      </c>
      <c r="E95" s="1017">
        <v>1</v>
      </c>
      <c r="F95" s="1018">
        <v>5188</v>
      </c>
      <c r="G95" s="1019">
        <v>5188</v>
      </c>
      <c r="H95" s="486">
        <v>60</v>
      </c>
      <c r="I95" s="1028">
        <v>116.66099999999999</v>
      </c>
      <c r="J95" s="1020">
        <v>605237.26799999992</v>
      </c>
      <c r="K95" s="1021">
        <v>116.66099999999999</v>
      </c>
      <c r="L95" s="480">
        <v>605237.26799999992</v>
      </c>
      <c r="M95" s="1024">
        <v>116.66099999999999</v>
      </c>
      <c r="N95" s="488">
        <v>605237.26799999992</v>
      </c>
      <c r="O95" s="1029">
        <v>0</v>
      </c>
      <c r="P95" s="488">
        <v>0</v>
      </c>
      <c r="Q95" s="1024">
        <v>0</v>
      </c>
      <c r="R95" s="488">
        <v>0</v>
      </c>
      <c r="S95" s="1023"/>
      <c r="T95" s="656"/>
      <c r="U95" s="656"/>
      <c r="V95" s="656"/>
      <c r="W95" s="656"/>
      <c r="X95" s="656"/>
      <c r="Y95" s="656"/>
      <c r="Z95" s="656"/>
      <c r="AA95" s="656"/>
      <c r="AB95" s="656"/>
      <c r="AC95" s="656"/>
      <c r="AD95" s="656"/>
      <c r="AE95" s="656"/>
      <c r="AF95" s="656"/>
      <c r="AG95" s="656"/>
      <c r="AH95" s="656"/>
      <c r="AI95" s="656"/>
      <c r="AJ95" s="656"/>
      <c r="AK95" s="656"/>
      <c r="AL95" s="656"/>
      <c r="AM95" s="656"/>
      <c r="AN95" s="656"/>
      <c r="AO95" s="656"/>
      <c r="AP95" s="656"/>
      <c r="AQ95" s="656"/>
      <c r="AR95" s="656"/>
      <c r="AS95" s="656"/>
      <c r="AT95" s="656"/>
      <c r="AU95" s="656"/>
      <c r="AV95" s="656"/>
      <c r="AW95" s="656"/>
      <c r="AX95" s="656"/>
      <c r="AY95" s="656"/>
      <c r="AZ95" s="656"/>
      <c r="BA95" s="656"/>
      <c r="BB95" s="656"/>
      <c r="BC95" s="656"/>
      <c r="BD95" s="656"/>
      <c r="BE95" s="656"/>
      <c r="BF95" s="656"/>
      <c r="BG95" s="656"/>
      <c r="BH95" s="656"/>
      <c r="BI95" s="656"/>
      <c r="BJ95" s="656"/>
      <c r="BK95" s="656"/>
      <c r="BL95" s="656"/>
      <c r="BM95" s="656"/>
      <c r="BN95" s="656"/>
      <c r="BO95" s="656"/>
      <c r="BP95" s="656"/>
      <c r="BQ95" s="656"/>
      <c r="BR95" s="656"/>
      <c r="BS95" s="656"/>
      <c r="BT95" s="656"/>
      <c r="BU95" s="656"/>
      <c r="BV95" s="656"/>
      <c r="BW95" s="656"/>
      <c r="BX95" s="656"/>
      <c r="BY95" s="656"/>
      <c r="BZ95" s="656"/>
      <c r="CA95" s="656"/>
      <c r="CB95" s="656"/>
      <c r="CC95" s="656"/>
      <c r="CD95" s="656"/>
      <c r="CE95" s="656"/>
      <c r="CF95" s="656"/>
      <c r="CG95" s="656"/>
      <c r="CH95" s="656"/>
      <c r="CI95" s="656"/>
      <c r="CJ95" s="656"/>
      <c r="CK95" s="656"/>
      <c r="CL95" s="656"/>
      <c r="CM95" s="656"/>
      <c r="CN95" s="656"/>
      <c r="CO95" s="656"/>
      <c r="CP95" s="656"/>
      <c r="CQ95" s="656"/>
      <c r="CR95" s="656"/>
      <c r="CS95" s="656"/>
      <c r="CT95" s="656"/>
      <c r="CU95" s="656"/>
      <c r="CV95" s="656"/>
      <c r="CW95" s="656"/>
      <c r="CX95" s="656"/>
      <c r="CY95" s="656"/>
      <c r="CZ95" s="656"/>
      <c r="DA95" s="656"/>
      <c r="DB95" s="656"/>
      <c r="DC95" s="656"/>
      <c r="DD95" s="656"/>
      <c r="DE95" s="656"/>
      <c r="DF95" s="656"/>
      <c r="DG95" s="656"/>
      <c r="DH95" s="656"/>
      <c r="DI95" s="656"/>
      <c r="DJ95" s="656"/>
      <c r="DK95" s="656"/>
      <c r="DL95" s="656"/>
      <c r="DM95" s="656"/>
      <c r="DN95" s="656"/>
      <c r="DO95" s="656"/>
      <c r="DP95" s="656"/>
      <c r="DQ95" s="656"/>
      <c r="DR95" s="656"/>
      <c r="DS95" s="656"/>
      <c r="DT95" s="656"/>
      <c r="DU95" s="656"/>
      <c r="DV95" s="656"/>
      <c r="DW95" s="656"/>
      <c r="DX95" s="656"/>
      <c r="DY95" s="656"/>
      <c r="DZ95" s="656"/>
      <c r="EA95" s="656"/>
      <c r="EB95" s="656"/>
      <c r="EC95" s="656"/>
      <c r="ED95" s="656"/>
      <c r="EE95" s="656"/>
      <c r="EF95" s="656"/>
      <c r="EG95" s="656"/>
      <c r="EH95" s="656"/>
      <c r="EI95" s="656"/>
      <c r="EJ95" s="656"/>
      <c r="EK95" s="656"/>
      <c r="EL95" s="656"/>
      <c r="EM95" s="656"/>
      <c r="EN95" s="656"/>
      <c r="EO95" s="656"/>
      <c r="EP95" s="656"/>
      <c r="EQ95" s="656"/>
      <c r="ER95" s="656"/>
      <c r="ES95" s="656"/>
      <c r="ET95" s="656"/>
      <c r="EU95" s="656"/>
      <c r="EV95" s="656"/>
      <c r="EW95" s="656"/>
      <c r="EX95" s="656"/>
      <c r="EY95" s="656"/>
      <c r="EZ95" s="656"/>
      <c r="FA95" s="656"/>
      <c r="FB95" s="656"/>
      <c r="FC95" s="656"/>
      <c r="FD95" s="656"/>
      <c r="FE95" s="656"/>
      <c r="FF95" s="656"/>
      <c r="FG95" s="656"/>
      <c r="FH95" s="656"/>
      <c r="FI95" s="656"/>
      <c r="FJ95" s="656"/>
      <c r="FK95" s="656"/>
      <c r="FL95" s="656"/>
      <c r="FM95" s="656"/>
      <c r="FN95" s="656"/>
      <c r="FO95" s="656"/>
      <c r="FP95" s="656"/>
      <c r="FQ95" s="656"/>
      <c r="FR95" s="656"/>
      <c r="FS95" s="656"/>
      <c r="FT95" s="656"/>
      <c r="FU95" s="656"/>
      <c r="FV95" s="656"/>
      <c r="FW95" s="656"/>
      <c r="FX95" s="656"/>
      <c r="FY95" s="656"/>
      <c r="FZ95" s="656"/>
      <c r="GA95" s="656"/>
      <c r="GB95" s="656"/>
      <c r="GC95" s="656"/>
      <c r="GD95" s="656"/>
      <c r="GE95" s="656"/>
      <c r="GF95" s="656"/>
      <c r="GG95" s="656"/>
      <c r="GH95" s="656"/>
      <c r="GI95" s="656"/>
      <c r="GJ95" s="656"/>
      <c r="GK95" s="656"/>
      <c r="GL95" s="656"/>
      <c r="GM95" s="656"/>
      <c r="GN95" s="656"/>
      <c r="GO95" s="656"/>
      <c r="GP95" s="656"/>
      <c r="GQ95" s="656"/>
      <c r="GR95" s="656"/>
      <c r="GS95" s="656"/>
      <c r="GT95" s="656"/>
      <c r="GU95" s="656"/>
      <c r="GV95" s="656"/>
      <c r="GW95" s="656"/>
      <c r="GX95" s="656"/>
      <c r="GY95" s="656"/>
      <c r="GZ95" s="656"/>
      <c r="HA95" s="656"/>
      <c r="HB95" s="656"/>
      <c r="HC95" s="656"/>
      <c r="HD95" s="656"/>
      <c r="HE95" s="656"/>
      <c r="HF95" s="656"/>
      <c r="HG95" s="656"/>
      <c r="HH95" s="656"/>
      <c r="HI95" s="656"/>
      <c r="HJ95" s="656"/>
      <c r="HK95" s="656"/>
      <c r="HL95" s="656"/>
      <c r="HM95" s="656"/>
      <c r="HN95" s="656"/>
      <c r="HO95" s="656"/>
      <c r="HP95" s="656"/>
      <c r="HQ95" s="656"/>
      <c r="HR95" s="656"/>
      <c r="HS95" s="656"/>
      <c r="HT95" s="656"/>
      <c r="HU95" s="656"/>
      <c r="HV95" s="656"/>
      <c r="HW95" s="656"/>
      <c r="HX95" s="656"/>
      <c r="HY95" s="656"/>
      <c r="HZ95" s="656"/>
    </row>
    <row r="96" spans="1:234" s="657" customFormat="1" x14ac:dyDescent="0.25">
      <c r="A96" s="698"/>
      <c r="B96" s="1014">
        <v>64</v>
      </c>
      <c r="C96" s="1015" t="s">
        <v>877</v>
      </c>
      <c r="D96" s="1027" t="s">
        <v>1290</v>
      </c>
      <c r="E96" s="1017">
        <v>1</v>
      </c>
      <c r="F96" s="1018">
        <v>11838</v>
      </c>
      <c r="G96" s="1019">
        <v>11838</v>
      </c>
      <c r="H96" s="486">
        <v>55</v>
      </c>
      <c r="I96" s="1028">
        <v>116.66099999999999</v>
      </c>
      <c r="J96" s="1020">
        <v>1381032.9179999998</v>
      </c>
      <c r="K96" s="1021">
        <v>116.66099999999999</v>
      </c>
      <c r="L96" s="480">
        <v>1381032.9179999998</v>
      </c>
      <c r="M96" s="1029">
        <v>0</v>
      </c>
      <c r="N96" s="488">
        <v>0</v>
      </c>
      <c r="O96" s="1024">
        <v>116.66099999999999</v>
      </c>
      <c r="P96" s="488">
        <v>1381032.9179999998</v>
      </c>
      <c r="Q96" s="1024">
        <v>0</v>
      </c>
      <c r="R96" s="488">
        <v>0</v>
      </c>
      <c r="S96" s="1023"/>
      <c r="T96" s="656"/>
      <c r="U96" s="656"/>
      <c r="V96" s="656"/>
      <c r="W96" s="656"/>
      <c r="X96" s="656"/>
      <c r="Y96" s="656"/>
      <c r="Z96" s="656"/>
      <c r="AA96" s="656"/>
      <c r="AB96" s="656"/>
      <c r="AC96" s="656"/>
      <c r="AD96" s="656"/>
      <c r="AE96" s="656"/>
      <c r="AF96" s="656"/>
      <c r="AG96" s="656"/>
      <c r="AH96" s="656"/>
      <c r="AI96" s="656"/>
      <c r="AJ96" s="656"/>
      <c r="AK96" s="656"/>
      <c r="AL96" s="656"/>
      <c r="AM96" s="656"/>
      <c r="AN96" s="656"/>
      <c r="AO96" s="656"/>
      <c r="AP96" s="656"/>
      <c r="AQ96" s="656"/>
      <c r="AR96" s="656"/>
      <c r="AS96" s="656"/>
      <c r="AT96" s="656"/>
      <c r="AU96" s="656"/>
      <c r="AV96" s="656"/>
      <c r="AW96" s="656"/>
      <c r="AX96" s="656"/>
      <c r="AY96" s="656"/>
      <c r="AZ96" s="656"/>
      <c r="BA96" s="656"/>
      <c r="BB96" s="656"/>
      <c r="BC96" s="656"/>
      <c r="BD96" s="656"/>
      <c r="BE96" s="656"/>
      <c r="BF96" s="656"/>
      <c r="BG96" s="656"/>
      <c r="BH96" s="656"/>
      <c r="BI96" s="656"/>
      <c r="BJ96" s="656"/>
      <c r="BK96" s="656"/>
      <c r="BL96" s="656"/>
      <c r="BM96" s="656"/>
      <c r="BN96" s="656"/>
      <c r="BO96" s="656"/>
      <c r="BP96" s="656"/>
      <c r="BQ96" s="656"/>
      <c r="BR96" s="656"/>
      <c r="BS96" s="656"/>
      <c r="BT96" s="656"/>
      <c r="BU96" s="656"/>
      <c r="BV96" s="656"/>
      <c r="BW96" s="656"/>
      <c r="BX96" s="656"/>
      <c r="BY96" s="656"/>
      <c r="BZ96" s="656"/>
      <c r="CA96" s="656"/>
      <c r="CB96" s="656"/>
      <c r="CC96" s="656"/>
      <c r="CD96" s="656"/>
      <c r="CE96" s="656"/>
      <c r="CF96" s="656"/>
      <c r="CG96" s="656"/>
      <c r="CH96" s="656"/>
      <c r="CI96" s="656"/>
      <c r="CJ96" s="656"/>
      <c r="CK96" s="656"/>
      <c r="CL96" s="656"/>
      <c r="CM96" s="656"/>
      <c r="CN96" s="656"/>
      <c r="CO96" s="656"/>
      <c r="CP96" s="656"/>
      <c r="CQ96" s="656"/>
      <c r="CR96" s="656"/>
      <c r="CS96" s="656"/>
      <c r="CT96" s="656"/>
      <c r="CU96" s="656"/>
      <c r="CV96" s="656"/>
      <c r="CW96" s="656"/>
      <c r="CX96" s="656"/>
      <c r="CY96" s="656"/>
      <c r="CZ96" s="656"/>
      <c r="DA96" s="656"/>
      <c r="DB96" s="656"/>
      <c r="DC96" s="656"/>
      <c r="DD96" s="656"/>
      <c r="DE96" s="656"/>
      <c r="DF96" s="656"/>
      <c r="DG96" s="656"/>
      <c r="DH96" s="656"/>
      <c r="DI96" s="656"/>
      <c r="DJ96" s="656"/>
      <c r="DK96" s="656"/>
      <c r="DL96" s="656"/>
      <c r="DM96" s="656"/>
      <c r="DN96" s="656"/>
      <c r="DO96" s="656"/>
      <c r="DP96" s="656"/>
      <c r="DQ96" s="656"/>
      <c r="DR96" s="656"/>
      <c r="DS96" s="656"/>
      <c r="DT96" s="656"/>
      <c r="DU96" s="656"/>
      <c r="DV96" s="656"/>
      <c r="DW96" s="656"/>
      <c r="DX96" s="656"/>
      <c r="DY96" s="656"/>
      <c r="DZ96" s="656"/>
      <c r="EA96" s="656"/>
      <c r="EB96" s="656"/>
      <c r="EC96" s="656"/>
      <c r="ED96" s="656"/>
      <c r="EE96" s="656"/>
      <c r="EF96" s="656"/>
      <c r="EG96" s="656"/>
      <c r="EH96" s="656"/>
      <c r="EI96" s="656"/>
      <c r="EJ96" s="656"/>
      <c r="EK96" s="656"/>
      <c r="EL96" s="656"/>
      <c r="EM96" s="656"/>
      <c r="EN96" s="656"/>
      <c r="EO96" s="656"/>
      <c r="EP96" s="656"/>
      <c r="EQ96" s="656"/>
      <c r="ER96" s="656"/>
      <c r="ES96" s="656"/>
      <c r="ET96" s="656"/>
      <c r="EU96" s="656"/>
      <c r="EV96" s="656"/>
      <c r="EW96" s="656"/>
      <c r="EX96" s="656"/>
      <c r="EY96" s="656"/>
      <c r="EZ96" s="656"/>
      <c r="FA96" s="656"/>
      <c r="FB96" s="656"/>
      <c r="FC96" s="656"/>
      <c r="FD96" s="656"/>
      <c r="FE96" s="656"/>
      <c r="FF96" s="656"/>
      <c r="FG96" s="656"/>
      <c r="FH96" s="656"/>
      <c r="FI96" s="656"/>
      <c r="FJ96" s="656"/>
      <c r="FK96" s="656"/>
      <c r="FL96" s="656"/>
      <c r="FM96" s="656"/>
      <c r="FN96" s="656"/>
      <c r="FO96" s="656"/>
      <c r="FP96" s="656"/>
      <c r="FQ96" s="656"/>
      <c r="FR96" s="656"/>
      <c r="FS96" s="656"/>
      <c r="FT96" s="656"/>
      <c r="FU96" s="656"/>
      <c r="FV96" s="656"/>
      <c r="FW96" s="656"/>
      <c r="FX96" s="656"/>
      <c r="FY96" s="656"/>
      <c r="FZ96" s="656"/>
      <c r="GA96" s="656"/>
      <c r="GB96" s="656"/>
      <c r="GC96" s="656"/>
      <c r="GD96" s="656"/>
      <c r="GE96" s="656"/>
      <c r="GF96" s="656"/>
      <c r="GG96" s="656"/>
      <c r="GH96" s="656"/>
      <c r="GI96" s="656"/>
      <c r="GJ96" s="656"/>
      <c r="GK96" s="656"/>
      <c r="GL96" s="656"/>
      <c r="GM96" s="656"/>
      <c r="GN96" s="656"/>
      <c r="GO96" s="656"/>
      <c r="GP96" s="656"/>
      <c r="GQ96" s="656"/>
      <c r="GR96" s="656"/>
      <c r="GS96" s="656"/>
      <c r="GT96" s="656"/>
      <c r="GU96" s="656"/>
      <c r="GV96" s="656"/>
      <c r="GW96" s="656"/>
      <c r="GX96" s="656"/>
      <c r="GY96" s="656"/>
      <c r="GZ96" s="656"/>
      <c r="HA96" s="656"/>
      <c r="HB96" s="656"/>
      <c r="HC96" s="656"/>
      <c r="HD96" s="656"/>
      <c r="HE96" s="656"/>
      <c r="HF96" s="656"/>
      <c r="HG96" s="656"/>
      <c r="HH96" s="656"/>
      <c r="HI96" s="656"/>
      <c r="HJ96" s="656"/>
      <c r="HK96" s="656"/>
      <c r="HL96" s="656"/>
      <c r="HM96" s="656"/>
      <c r="HN96" s="656"/>
      <c r="HO96" s="656"/>
      <c r="HP96" s="656"/>
      <c r="HQ96" s="656"/>
      <c r="HR96" s="656"/>
      <c r="HS96" s="656"/>
      <c r="HT96" s="656"/>
      <c r="HU96" s="656"/>
      <c r="HV96" s="656"/>
      <c r="HW96" s="656"/>
      <c r="HX96" s="656"/>
      <c r="HY96" s="656"/>
      <c r="HZ96" s="656"/>
    </row>
    <row r="97" spans="1:234" s="657" customFormat="1" x14ac:dyDescent="0.25">
      <c r="A97" s="698"/>
      <c r="B97" s="1014">
        <v>65</v>
      </c>
      <c r="C97" s="1015" t="s">
        <v>878</v>
      </c>
      <c r="D97" s="1027" t="s">
        <v>1290</v>
      </c>
      <c r="E97" s="1017">
        <v>1</v>
      </c>
      <c r="F97" s="1018">
        <v>7800</v>
      </c>
      <c r="G97" s="1019">
        <v>7800</v>
      </c>
      <c r="H97" s="486">
        <v>55</v>
      </c>
      <c r="I97" s="1028">
        <v>116.66099999999999</v>
      </c>
      <c r="J97" s="1020">
        <v>909955.79999999993</v>
      </c>
      <c r="K97" s="1021">
        <v>116.66099999999999</v>
      </c>
      <c r="L97" s="480">
        <v>909955.79999999993</v>
      </c>
      <c r="M97" s="1029">
        <v>0</v>
      </c>
      <c r="N97" s="488">
        <v>0</v>
      </c>
      <c r="O97" s="1024">
        <v>116.66099999999999</v>
      </c>
      <c r="P97" s="488">
        <v>909955.79999999993</v>
      </c>
      <c r="Q97" s="1024">
        <v>0</v>
      </c>
      <c r="R97" s="488">
        <v>0</v>
      </c>
      <c r="S97" s="1023"/>
      <c r="T97" s="656"/>
      <c r="U97" s="656"/>
      <c r="V97" s="656"/>
      <c r="W97" s="656"/>
      <c r="X97" s="656"/>
      <c r="Y97" s="656"/>
      <c r="Z97" s="656"/>
      <c r="AA97" s="656"/>
      <c r="AB97" s="656"/>
      <c r="AC97" s="656"/>
      <c r="AD97" s="656"/>
      <c r="AE97" s="656"/>
      <c r="AF97" s="656"/>
      <c r="AG97" s="656"/>
      <c r="AH97" s="656"/>
      <c r="AI97" s="656"/>
      <c r="AJ97" s="656"/>
      <c r="AK97" s="656"/>
      <c r="AL97" s="656"/>
      <c r="AM97" s="656"/>
      <c r="AN97" s="656"/>
      <c r="AO97" s="656"/>
      <c r="AP97" s="656"/>
      <c r="AQ97" s="656"/>
      <c r="AR97" s="656"/>
      <c r="AS97" s="656"/>
      <c r="AT97" s="656"/>
      <c r="AU97" s="656"/>
      <c r="AV97" s="656"/>
      <c r="AW97" s="656"/>
      <c r="AX97" s="656"/>
      <c r="AY97" s="656"/>
      <c r="AZ97" s="656"/>
      <c r="BA97" s="656"/>
      <c r="BB97" s="656"/>
      <c r="BC97" s="656"/>
      <c r="BD97" s="656"/>
      <c r="BE97" s="656"/>
      <c r="BF97" s="656"/>
      <c r="BG97" s="656"/>
      <c r="BH97" s="656"/>
      <c r="BI97" s="656"/>
      <c r="BJ97" s="656"/>
      <c r="BK97" s="656"/>
      <c r="BL97" s="656"/>
      <c r="BM97" s="656"/>
      <c r="BN97" s="656"/>
      <c r="BO97" s="656"/>
      <c r="BP97" s="656"/>
      <c r="BQ97" s="656"/>
      <c r="BR97" s="656"/>
      <c r="BS97" s="656"/>
      <c r="BT97" s="656"/>
      <c r="BU97" s="656"/>
      <c r="BV97" s="656"/>
      <c r="BW97" s="656"/>
      <c r="BX97" s="656"/>
      <c r="BY97" s="656"/>
      <c r="BZ97" s="656"/>
      <c r="CA97" s="656"/>
      <c r="CB97" s="656"/>
      <c r="CC97" s="656"/>
      <c r="CD97" s="656"/>
      <c r="CE97" s="656"/>
      <c r="CF97" s="656"/>
      <c r="CG97" s="656"/>
      <c r="CH97" s="656"/>
      <c r="CI97" s="656"/>
      <c r="CJ97" s="656"/>
      <c r="CK97" s="656"/>
      <c r="CL97" s="656"/>
      <c r="CM97" s="656"/>
      <c r="CN97" s="656"/>
      <c r="CO97" s="656"/>
      <c r="CP97" s="656"/>
      <c r="CQ97" s="656"/>
      <c r="CR97" s="656"/>
      <c r="CS97" s="656"/>
      <c r="CT97" s="656"/>
      <c r="CU97" s="656"/>
      <c r="CV97" s="656"/>
      <c r="CW97" s="656"/>
      <c r="CX97" s="656"/>
      <c r="CY97" s="656"/>
      <c r="CZ97" s="656"/>
      <c r="DA97" s="656"/>
      <c r="DB97" s="656"/>
      <c r="DC97" s="656"/>
      <c r="DD97" s="656"/>
      <c r="DE97" s="656"/>
      <c r="DF97" s="656"/>
      <c r="DG97" s="656"/>
      <c r="DH97" s="656"/>
      <c r="DI97" s="656"/>
      <c r="DJ97" s="656"/>
      <c r="DK97" s="656"/>
      <c r="DL97" s="656"/>
      <c r="DM97" s="656"/>
      <c r="DN97" s="656"/>
      <c r="DO97" s="656"/>
      <c r="DP97" s="656"/>
      <c r="DQ97" s="656"/>
      <c r="DR97" s="656"/>
      <c r="DS97" s="656"/>
      <c r="DT97" s="656"/>
      <c r="DU97" s="656"/>
      <c r="DV97" s="656"/>
      <c r="DW97" s="656"/>
      <c r="DX97" s="656"/>
      <c r="DY97" s="656"/>
      <c r="DZ97" s="656"/>
      <c r="EA97" s="656"/>
      <c r="EB97" s="656"/>
      <c r="EC97" s="656"/>
      <c r="ED97" s="656"/>
      <c r="EE97" s="656"/>
      <c r="EF97" s="656"/>
      <c r="EG97" s="656"/>
      <c r="EH97" s="656"/>
      <c r="EI97" s="656"/>
      <c r="EJ97" s="656"/>
      <c r="EK97" s="656"/>
      <c r="EL97" s="656"/>
      <c r="EM97" s="656"/>
      <c r="EN97" s="656"/>
      <c r="EO97" s="656"/>
      <c r="EP97" s="656"/>
      <c r="EQ97" s="656"/>
      <c r="ER97" s="656"/>
      <c r="ES97" s="656"/>
      <c r="ET97" s="656"/>
      <c r="EU97" s="656"/>
      <c r="EV97" s="656"/>
      <c r="EW97" s="656"/>
      <c r="EX97" s="656"/>
      <c r="EY97" s="656"/>
      <c r="EZ97" s="656"/>
      <c r="FA97" s="656"/>
      <c r="FB97" s="656"/>
      <c r="FC97" s="656"/>
      <c r="FD97" s="656"/>
      <c r="FE97" s="656"/>
      <c r="FF97" s="656"/>
      <c r="FG97" s="656"/>
      <c r="FH97" s="656"/>
      <c r="FI97" s="656"/>
      <c r="FJ97" s="656"/>
      <c r="FK97" s="656"/>
      <c r="FL97" s="656"/>
      <c r="FM97" s="656"/>
      <c r="FN97" s="656"/>
      <c r="FO97" s="656"/>
      <c r="FP97" s="656"/>
      <c r="FQ97" s="656"/>
      <c r="FR97" s="656"/>
      <c r="FS97" s="656"/>
      <c r="FT97" s="656"/>
      <c r="FU97" s="656"/>
      <c r="FV97" s="656"/>
      <c r="FW97" s="656"/>
      <c r="FX97" s="656"/>
      <c r="FY97" s="656"/>
      <c r="FZ97" s="656"/>
      <c r="GA97" s="656"/>
      <c r="GB97" s="656"/>
      <c r="GC97" s="656"/>
      <c r="GD97" s="656"/>
      <c r="GE97" s="656"/>
      <c r="GF97" s="656"/>
      <c r="GG97" s="656"/>
      <c r="GH97" s="656"/>
      <c r="GI97" s="656"/>
      <c r="GJ97" s="656"/>
      <c r="GK97" s="656"/>
      <c r="GL97" s="656"/>
      <c r="GM97" s="656"/>
      <c r="GN97" s="656"/>
      <c r="GO97" s="656"/>
      <c r="GP97" s="656"/>
      <c r="GQ97" s="656"/>
      <c r="GR97" s="656"/>
      <c r="GS97" s="656"/>
      <c r="GT97" s="656"/>
      <c r="GU97" s="656"/>
      <c r="GV97" s="656"/>
      <c r="GW97" s="656"/>
      <c r="GX97" s="656"/>
      <c r="GY97" s="656"/>
      <c r="GZ97" s="656"/>
      <c r="HA97" s="656"/>
      <c r="HB97" s="656"/>
      <c r="HC97" s="656"/>
      <c r="HD97" s="656"/>
      <c r="HE97" s="656"/>
      <c r="HF97" s="656"/>
      <c r="HG97" s="656"/>
      <c r="HH97" s="656"/>
      <c r="HI97" s="656"/>
      <c r="HJ97" s="656"/>
      <c r="HK97" s="656"/>
      <c r="HL97" s="656"/>
      <c r="HM97" s="656"/>
      <c r="HN97" s="656"/>
      <c r="HO97" s="656"/>
      <c r="HP97" s="656"/>
      <c r="HQ97" s="656"/>
      <c r="HR97" s="656"/>
      <c r="HS97" s="656"/>
      <c r="HT97" s="656"/>
      <c r="HU97" s="656"/>
      <c r="HV97" s="656"/>
      <c r="HW97" s="656"/>
      <c r="HX97" s="656"/>
      <c r="HY97" s="656"/>
      <c r="HZ97" s="656"/>
    </row>
    <row r="98" spans="1:234" s="657" customFormat="1" x14ac:dyDescent="0.25">
      <c r="A98" s="698"/>
      <c r="B98" s="1048"/>
      <c r="C98" s="1055" t="s">
        <v>1309</v>
      </c>
      <c r="D98" s="1049"/>
      <c r="E98" s="1049"/>
      <c r="F98" s="1049"/>
      <c r="G98" s="1039"/>
      <c r="H98" s="1050"/>
      <c r="I98" s="1051"/>
      <c r="J98" s="1042"/>
      <c r="K98" s="1052"/>
      <c r="L98" s="1053"/>
      <c r="M98" s="1045"/>
      <c r="N98" s="1046"/>
      <c r="O98" s="1045"/>
      <c r="P98" s="1046"/>
      <c r="Q98" s="1045"/>
      <c r="R98" s="1046"/>
      <c r="S98" s="1023"/>
      <c r="T98" s="656"/>
      <c r="U98" s="656"/>
      <c r="V98" s="656"/>
      <c r="W98" s="656"/>
      <c r="X98" s="656"/>
      <c r="Y98" s="656"/>
      <c r="Z98" s="656"/>
      <c r="AA98" s="656"/>
      <c r="AB98" s="656"/>
      <c r="AC98" s="656"/>
      <c r="AD98" s="656"/>
      <c r="AE98" s="656"/>
      <c r="AF98" s="656"/>
      <c r="AG98" s="656"/>
      <c r="AH98" s="656"/>
      <c r="AI98" s="656"/>
      <c r="AJ98" s="656"/>
      <c r="AK98" s="656"/>
      <c r="AL98" s="656"/>
      <c r="AM98" s="656"/>
      <c r="AN98" s="656"/>
      <c r="AO98" s="656"/>
      <c r="AP98" s="656"/>
      <c r="AQ98" s="656"/>
      <c r="AR98" s="656"/>
      <c r="AS98" s="656"/>
      <c r="AT98" s="656"/>
      <c r="AU98" s="656"/>
      <c r="AV98" s="656"/>
      <c r="AW98" s="656"/>
      <c r="AX98" s="656"/>
      <c r="AY98" s="656"/>
      <c r="AZ98" s="656"/>
      <c r="BA98" s="656"/>
      <c r="BB98" s="656"/>
      <c r="BC98" s="656"/>
      <c r="BD98" s="656"/>
      <c r="BE98" s="656"/>
      <c r="BF98" s="656"/>
      <c r="BG98" s="656"/>
      <c r="BH98" s="656"/>
      <c r="BI98" s="656"/>
      <c r="BJ98" s="656"/>
      <c r="BK98" s="656"/>
      <c r="BL98" s="656"/>
      <c r="BM98" s="656"/>
      <c r="BN98" s="656"/>
      <c r="BO98" s="656"/>
      <c r="BP98" s="656"/>
      <c r="BQ98" s="656"/>
      <c r="BR98" s="656"/>
      <c r="BS98" s="656"/>
      <c r="BT98" s="656"/>
      <c r="BU98" s="656"/>
      <c r="BV98" s="656"/>
      <c r="BW98" s="656"/>
      <c r="BX98" s="656"/>
      <c r="BY98" s="656"/>
      <c r="BZ98" s="656"/>
      <c r="CA98" s="656"/>
      <c r="CB98" s="656"/>
      <c r="CC98" s="656"/>
      <c r="CD98" s="656"/>
      <c r="CE98" s="656"/>
      <c r="CF98" s="656"/>
      <c r="CG98" s="656"/>
      <c r="CH98" s="656"/>
      <c r="CI98" s="656"/>
      <c r="CJ98" s="656"/>
      <c r="CK98" s="656"/>
      <c r="CL98" s="656"/>
      <c r="CM98" s="656"/>
      <c r="CN98" s="656"/>
      <c r="CO98" s="656"/>
      <c r="CP98" s="656"/>
      <c r="CQ98" s="656"/>
      <c r="CR98" s="656"/>
      <c r="CS98" s="656"/>
      <c r="CT98" s="656"/>
      <c r="CU98" s="656"/>
      <c r="CV98" s="656"/>
      <c r="CW98" s="656"/>
      <c r="CX98" s="656"/>
      <c r="CY98" s="656"/>
      <c r="CZ98" s="656"/>
      <c r="DA98" s="656"/>
      <c r="DB98" s="656"/>
      <c r="DC98" s="656"/>
      <c r="DD98" s="656"/>
      <c r="DE98" s="656"/>
      <c r="DF98" s="656"/>
      <c r="DG98" s="656"/>
      <c r="DH98" s="656"/>
      <c r="DI98" s="656"/>
      <c r="DJ98" s="656"/>
      <c r="DK98" s="656"/>
      <c r="DL98" s="656"/>
      <c r="DM98" s="656"/>
      <c r="DN98" s="656"/>
      <c r="DO98" s="656"/>
      <c r="DP98" s="656"/>
      <c r="DQ98" s="656"/>
      <c r="DR98" s="656"/>
      <c r="DS98" s="656"/>
      <c r="DT98" s="656"/>
      <c r="DU98" s="656"/>
      <c r="DV98" s="656"/>
      <c r="DW98" s="656"/>
      <c r="DX98" s="656"/>
      <c r="DY98" s="656"/>
      <c r="DZ98" s="656"/>
      <c r="EA98" s="656"/>
      <c r="EB98" s="656"/>
      <c r="EC98" s="656"/>
      <c r="ED98" s="656"/>
      <c r="EE98" s="656"/>
      <c r="EF98" s="656"/>
      <c r="EG98" s="656"/>
      <c r="EH98" s="656"/>
      <c r="EI98" s="656"/>
      <c r="EJ98" s="656"/>
      <c r="EK98" s="656"/>
      <c r="EL98" s="656"/>
      <c r="EM98" s="656"/>
      <c r="EN98" s="656"/>
      <c r="EO98" s="656"/>
      <c r="EP98" s="656"/>
      <c r="EQ98" s="656"/>
      <c r="ER98" s="656"/>
      <c r="ES98" s="656"/>
      <c r="ET98" s="656"/>
      <c r="EU98" s="656"/>
      <c r="EV98" s="656"/>
      <c r="EW98" s="656"/>
      <c r="EX98" s="656"/>
      <c r="EY98" s="656"/>
      <c r="EZ98" s="656"/>
      <c r="FA98" s="656"/>
      <c r="FB98" s="656"/>
      <c r="FC98" s="656"/>
      <c r="FD98" s="656"/>
      <c r="FE98" s="656"/>
      <c r="FF98" s="656"/>
      <c r="FG98" s="656"/>
      <c r="FH98" s="656"/>
      <c r="FI98" s="656"/>
      <c r="FJ98" s="656"/>
      <c r="FK98" s="656"/>
      <c r="FL98" s="656"/>
      <c r="FM98" s="656"/>
      <c r="FN98" s="656"/>
      <c r="FO98" s="656"/>
      <c r="FP98" s="656"/>
      <c r="FQ98" s="656"/>
      <c r="FR98" s="656"/>
      <c r="FS98" s="656"/>
      <c r="FT98" s="656"/>
      <c r="FU98" s="656"/>
      <c r="FV98" s="656"/>
      <c r="FW98" s="656"/>
      <c r="FX98" s="656"/>
      <c r="FY98" s="656"/>
      <c r="FZ98" s="656"/>
      <c r="GA98" s="656"/>
      <c r="GB98" s="656"/>
      <c r="GC98" s="656"/>
      <c r="GD98" s="656"/>
      <c r="GE98" s="656"/>
      <c r="GF98" s="656"/>
      <c r="GG98" s="656"/>
      <c r="GH98" s="656"/>
      <c r="GI98" s="656"/>
      <c r="GJ98" s="656"/>
      <c r="GK98" s="656"/>
      <c r="GL98" s="656"/>
      <c r="GM98" s="656"/>
      <c r="GN98" s="656"/>
      <c r="GO98" s="656"/>
      <c r="GP98" s="656"/>
      <c r="GQ98" s="656"/>
      <c r="GR98" s="656"/>
      <c r="GS98" s="656"/>
      <c r="GT98" s="656"/>
      <c r="GU98" s="656"/>
      <c r="GV98" s="656"/>
      <c r="GW98" s="656"/>
      <c r="GX98" s="656"/>
      <c r="GY98" s="656"/>
      <c r="GZ98" s="656"/>
      <c r="HA98" s="656"/>
      <c r="HB98" s="656"/>
      <c r="HC98" s="656"/>
      <c r="HD98" s="656"/>
      <c r="HE98" s="656"/>
      <c r="HF98" s="656"/>
      <c r="HG98" s="656"/>
      <c r="HH98" s="656"/>
      <c r="HI98" s="656"/>
      <c r="HJ98" s="656"/>
      <c r="HK98" s="656"/>
      <c r="HL98" s="656"/>
      <c r="HM98" s="656"/>
      <c r="HN98" s="656"/>
      <c r="HO98" s="656"/>
      <c r="HP98" s="656"/>
      <c r="HQ98" s="656"/>
      <c r="HR98" s="656"/>
      <c r="HS98" s="656"/>
      <c r="HT98" s="656"/>
      <c r="HU98" s="656"/>
      <c r="HV98" s="656"/>
      <c r="HW98" s="656"/>
      <c r="HX98" s="656"/>
      <c r="HY98" s="656"/>
      <c r="HZ98" s="656"/>
    </row>
    <row r="99" spans="1:234" s="657" customFormat="1" ht="28.5" x14ac:dyDescent="0.25">
      <c r="A99" s="698"/>
      <c r="B99" s="1014">
        <v>67</v>
      </c>
      <c r="C99" s="1015" t="s">
        <v>1310</v>
      </c>
      <c r="D99" s="1027" t="s">
        <v>882</v>
      </c>
      <c r="E99" s="1017">
        <v>1</v>
      </c>
      <c r="F99" s="1018">
        <v>57673</v>
      </c>
      <c r="G99" s="1019">
        <v>57673</v>
      </c>
      <c r="H99" s="486">
        <v>15</v>
      </c>
      <c r="I99" s="1054">
        <v>0</v>
      </c>
      <c r="J99" s="1020">
        <v>0</v>
      </c>
      <c r="K99" s="1021">
        <v>0</v>
      </c>
      <c r="L99" s="480"/>
      <c r="M99" s="1029">
        <v>0</v>
      </c>
      <c r="N99" s="488">
        <v>0</v>
      </c>
      <c r="O99" s="1029">
        <v>0</v>
      </c>
      <c r="P99" s="488">
        <v>0</v>
      </c>
      <c r="Q99" s="1029">
        <v>0</v>
      </c>
      <c r="R99" s="488">
        <v>0</v>
      </c>
      <c r="S99" s="1023"/>
      <c r="T99" s="656"/>
      <c r="U99" s="656"/>
      <c r="V99" s="656"/>
      <c r="W99" s="656"/>
      <c r="X99" s="656"/>
      <c r="Y99" s="656"/>
      <c r="Z99" s="656"/>
      <c r="AA99" s="656"/>
      <c r="AB99" s="656"/>
      <c r="AC99" s="656"/>
      <c r="AD99" s="656"/>
      <c r="AE99" s="656"/>
      <c r="AF99" s="656"/>
      <c r="AG99" s="656"/>
      <c r="AH99" s="656"/>
      <c r="AI99" s="656"/>
      <c r="AJ99" s="656"/>
      <c r="AK99" s="656"/>
      <c r="AL99" s="656"/>
      <c r="AM99" s="656"/>
      <c r="AN99" s="656"/>
      <c r="AO99" s="656"/>
      <c r="AP99" s="656"/>
      <c r="AQ99" s="656"/>
      <c r="AR99" s="656"/>
      <c r="AS99" s="656"/>
      <c r="AT99" s="656"/>
      <c r="AU99" s="656"/>
      <c r="AV99" s="656"/>
      <c r="AW99" s="656"/>
      <c r="AX99" s="656"/>
      <c r="AY99" s="656"/>
      <c r="AZ99" s="656"/>
      <c r="BA99" s="656"/>
      <c r="BB99" s="656"/>
      <c r="BC99" s="656"/>
      <c r="BD99" s="656"/>
      <c r="BE99" s="656"/>
      <c r="BF99" s="656"/>
      <c r="BG99" s="656"/>
      <c r="BH99" s="656"/>
      <c r="BI99" s="656"/>
      <c r="BJ99" s="656"/>
      <c r="BK99" s="656"/>
      <c r="BL99" s="656"/>
      <c r="BM99" s="656"/>
      <c r="BN99" s="656"/>
      <c r="BO99" s="656"/>
      <c r="BP99" s="656"/>
      <c r="BQ99" s="656"/>
      <c r="BR99" s="656"/>
      <c r="BS99" s="656"/>
      <c r="BT99" s="656"/>
      <c r="BU99" s="656"/>
      <c r="BV99" s="656"/>
      <c r="BW99" s="656"/>
      <c r="BX99" s="656"/>
      <c r="BY99" s="656"/>
      <c r="BZ99" s="656"/>
      <c r="CA99" s="656"/>
      <c r="CB99" s="656"/>
      <c r="CC99" s="656"/>
      <c r="CD99" s="656"/>
      <c r="CE99" s="656"/>
      <c r="CF99" s="656"/>
      <c r="CG99" s="656"/>
      <c r="CH99" s="656"/>
      <c r="CI99" s="656"/>
      <c r="CJ99" s="656"/>
      <c r="CK99" s="656"/>
      <c r="CL99" s="656"/>
      <c r="CM99" s="656"/>
      <c r="CN99" s="656"/>
      <c r="CO99" s="656"/>
      <c r="CP99" s="656"/>
      <c r="CQ99" s="656"/>
      <c r="CR99" s="656"/>
      <c r="CS99" s="656"/>
      <c r="CT99" s="656"/>
      <c r="CU99" s="656"/>
      <c r="CV99" s="656"/>
      <c r="CW99" s="656"/>
      <c r="CX99" s="656"/>
      <c r="CY99" s="656"/>
      <c r="CZ99" s="656"/>
      <c r="DA99" s="656"/>
      <c r="DB99" s="656"/>
      <c r="DC99" s="656"/>
      <c r="DD99" s="656"/>
      <c r="DE99" s="656"/>
      <c r="DF99" s="656"/>
      <c r="DG99" s="656"/>
      <c r="DH99" s="656"/>
      <c r="DI99" s="656"/>
      <c r="DJ99" s="656"/>
      <c r="DK99" s="656"/>
      <c r="DL99" s="656"/>
      <c r="DM99" s="656"/>
      <c r="DN99" s="656"/>
      <c r="DO99" s="656"/>
      <c r="DP99" s="656"/>
      <c r="DQ99" s="656"/>
      <c r="DR99" s="656"/>
      <c r="DS99" s="656"/>
      <c r="DT99" s="656"/>
      <c r="DU99" s="656"/>
      <c r="DV99" s="656"/>
      <c r="DW99" s="656"/>
      <c r="DX99" s="656"/>
      <c r="DY99" s="656"/>
      <c r="DZ99" s="656"/>
      <c r="EA99" s="656"/>
      <c r="EB99" s="656"/>
      <c r="EC99" s="656"/>
      <c r="ED99" s="656"/>
      <c r="EE99" s="656"/>
      <c r="EF99" s="656"/>
      <c r="EG99" s="656"/>
      <c r="EH99" s="656"/>
      <c r="EI99" s="656"/>
      <c r="EJ99" s="656"/>
      <c r="EK99" s="656"/>
      <c r="EL99" s="656"/>
      <c r="EM99" s="656"/>
      <c r="EN99" s="656"/>
      <c r="EO99" s="656"/>
      <c r="EP99" s="656"/>
      <c r="EQ99" s="656"/>
      <c r="ER99" s="656"/>
      <c r="ES99" s="656"/>
      <c r="ET99" s="656"/>
      <c r="EU99" s="656"/>
      <c r="EV99" s="656"/>
      <c r="EW99" s="656"/>
      <c r="EX99" s="656"/>
      <c r="EY99" s="656"/>
      <c r="EZ99" s="656"/>
      <c r="FA99" s="656"/>
      <c r="FB99" s="656"/>
      <c r="FC99" s="656"/>
      <c r="FD99" s="656"/>
      <c r="FE99" s="656"/>
      <c r="FF99" s="656"/>
      <c r="FG99" s="656"/>
      <c r="FH99" s="656"/>
      <c r="FI99" s="656"/>
      <c r="FJ99" s="656"/>
      <c r="FK99" s="656"/>
      <c r="FL99" s="656"/>
      <c r="FM99" s="656"/>
      <c r="FN99" s="656"/>
      <c r="FO99" s="656"/>
      <c r="FP99" s="656"/>
      <c r="FQ99" s="656"/>
      <c r="FR99" s="656"/>
      <c r="FS99" s="656"/>
      <c r="FT99" s="656"/>
      <c r="FU99" s="656"/>
      <c r="FV99" s="656"/>
      <c r="FW99" s="656"/>
      <c r="FX99" s="656"/>
      <c r="FY99" s="656"/>
      <c r="FZ99" s="656"/>
      <c r="GA99" s="656"/>
      <c r="GB99" s="656"/>
      <c r="GC99" s="656"/>
      <c r="GD99" s="656"/>
      <c r="GE99" s="656"/>
      <c r="GF99" s="656"/>
      <c r="GG99" s="656"/>
      <c r="GH99" s="656"/>
      <c r="GI99" s="656"/>
      <c r="GJ99" s="656"/>
      <c r="GK99" s="656"/>
      <c r="GL99" s="656"/>
      <c r="GM99" s="656"/>
      <c r="GN99" s="656"/>
      <c r="GO99" s="656"/>
      <c r="GP99" s="656"/>
      <c r="GQ99" s="656"/>
      <c r="GR99" s="656"/>
      <c r="GS99" s="656"/>
      <c r="GT99" s="656"/>
      <c r="GU99" s="656"/>
      <c r="GV99" s="656"/>
      <c r="GW99" s="656"/>
      <c r="GX99" s="656"/>
      <c r="GY99" s="656"/>
      <c r="GZ99" s="656"/>
      <c r="HA99" s="656"/>
      <c r="HB99" s="656"/>
      <c r="HC99" s="656"/>
      <c r="HD99" s="656"/>
      <c r="HE99" s="656"/>
      <c r="HF99" s="656"/>
      <c r="HG99" s="656"/>
      <c r="HH99" s="656"/>
      <c r="HI99" s="656"/>
      <c r="HJ99" s="656"/>
      <c r="HK99" s="656"/>
      <c r="HL99" s="656"/>
      <c r="HM99" s="656"/>
      <c r="HN99" s="656"/>
      <c r="HO99" s="656"/>
      <c r="HP99" s="656"/>
      <c r="HQ99" s="656"/>
      <c r="HR99" s="656"/>
      <c r="HS99" s="656"/>
      <c r="HT99" s="656"/>
      <c r="HU99" s="656"/>
      <c r="HV99" s="656"/>
      <c r="HW99" s="656"/>
      <c r="HX99" s="656"/>
      <c r="HY99" s="656"/>
      <c r="HZ99" s="656"/>
    </row>
    <row r="100" spans="1:234" s="657" customFormat="1" ht="28.5" x14ac:dyDescent="0.25">
      <c r="A100" s="698"/>
      <c r="B100" s="1014">
        <v>72</v>
      </c>
      <c r="C100" s="1015" t="s">
        <v>884</v>
      </c>
      <c r="D100" s="1027" t="s">
        <v>880</v>
      </c>
      <c r="E100" s="1017">
        <v>1</v>
      </c>
      <c r="F100" s="1018">
        <v>61293</v>
      </c>
      <c r="G100" s="1019">
        <v>61293</v>
      </c>
      <c r="H100" s="486">
        <v>7</v>
      </c>
      <c r="I100" s="1054">
        <v>0</v>
      </c>
      <c r="J100" s="1020">
        <v>0</v>
      </c>
      <c r="K100" s="1021">
        <v>0</v>
      </c>
      <c r="L100" s="1056"/>
      <c r="M100" s="1029">
        <v>0</v>
      </c>
      <c r="N100" s="488">
        <v>0</v>
      </c>
      <c r="O100" s="1029">
        <v>0</v>
      </c>
      <c r="P100" s="488">
        <v>0</v>
      </c>
      <c r="Q100" s="1029">
        <v>0</v>
      </c>
      <c r="R100" s="488">
        <v>0</v>
      </c>
      <c r="S100" s="1023"/>
      <c r="T100" s="656"/>
      <c r="U100" s="656"/>
      <c r="V100" s="656"/>
      <c r="W100" s="656"/>
      <c r="X100" s="656"/>
      <c r="Y100" s="656"/>
      <c r="Z100" s="656"/>
      <c r="AA100" s="656"/>
      <c r="AB100" s="656"/>
      <c r="AC100" s="656"/>
      <c r="AD100" s="656"/>
      <c r="AE100" s="656"/>
      <c r="AF100" s="656"/>
      <c r="AG100" s="656"/>
      <c r="AH100" s="656"/>
      <c r="AI100" s="656"/>
      <c r="AJ100" s="656"/>
      <c r="AK100" s="656"/>
      <c r="AL100" s="656"/>
      <c r="AM100" s="656"/>
      <c r="AN100" s="656"/>
      <c r="AO100" s="656"/>
      <c r="AP100" s="656"/>
      <c r="AQ100" s="656"/>
      <c r="AR100" s="656"/>
      <c r="AS100" s="656"/>
      <c r="AT100" s="656"/>
      <c r="AU100" s="656"/>
      <c r="AV100" s="656"/>
      <c r="AW100" s="656"/>
      <c r="AX100" s="656"/>
      <c r="AY100" s="656"/>
      <c r="AZ100" s="656"/>
      <c r="BA100" s="656"/>
      <c r="BB100" s="656"/>
      <c r="BC100" s="656"/>
      <c r="BD100" s="656"/>
      <c r="BE100" s="656"/>
      <c r="BF100" s="656"/>
      <c r="BG100" s="656"/>
      <c r="BH100" s="656"/>
      <c r="BI100" s="656"/>
      <c r="BJ100" s="656"/>
      <c r="BK100" s="656"/>
      <c r="BL100" s="656"/>
      <c r="BM100" s="656"/>
      <c r="BN100" s="656"/>
      <c r="BO100" s="656"/>
      <c r="BP100" s="656"/>
      <c r="BQ100" s="656"/>
      <c r="BR100" s="656"/>
      <c r="BS100" s="656"/>
      <c r="BT100" s="656"/>
      <c r="BU100" s="656"/>
      <c r="BV100" s="656"/>
      <c r="BW100" s="656"/>
      <c r="BX100" s="656"/>
      <c r="BY100" s="656"/>
      <c r="BZ100" s="656"/>
      <c r="CA100" s="656"/>
      <c r="CB100" s="656"/>
      <c r="CC100" s="656"/>
      <c r="CD100" s="656"/>
      <c r="CE100" s="656"/>
      <c r="CF100" s="656"/>
      <c r="CG100" s="656"/>
      <c r="CH100" s="656"/>
      <c r="CI100" s="656"/>
      <c r="CJ100" s="656"/>
      <c r="CK100" s="656"/>
      <c r="CL100" s="656"/>
      <c r="CM100" s="656"/>
      <c r="CN100" s="656"/>
      <c r="CO100" s="656"/>
      <c r="CP100" s="656"/>
      <c r="CQ100" s="656"/>
      <c r="CR100" s="656"/>
      <c r="CS100" s="656"/>
      <c r="CT100" s="656"/>
      <c r="CU100" s="656"/>
      <c r="CV100" s="656"/>
      <c r="CW100" s="656"/>
      <c r="CX100" s="656"/>
      <c r="CY100" s="656"/>
      <c r="CZ100" s="656"/>
      <c r="DA100" s="656"/>
      <c r="DB100" s="656"/>
      <c r="DC100" s="656"/>
      <c r="DD100" s="656"/>
      <c r="DE100" s="656"/>
      <c r="DF100" s="656"/>
      <c r="DG100" s="656"/>
      <c r="DH100" s="656"/>
      <c r="DI100" s="656"/>
      <c r="DJ100" s="656"/>
      <c r="DK100" s="656"/>
      <c r="DL100" s="656"/>
      <c r="DM100" s="656"/>
      <c r="DN100" s="656"/>
      <c r="DO100" s="656"/>
      <c r="DP100" s="656"/>
      <c r="DQ100" s="656"/>
      <c r="DR100" s="656"/>
      <c r="DS100" s="656"/>
      <c r="DT100" s="656"/>
      <c r="DU100" s="656"/>
      <c r="DV100" s="656"/>
      <c r="DW100" s="656"/>
      <c r="DX100" s="656"/>
      <c r="DY100" s="656"/>
      <c r="DZ100" s="656"/>
      <c r="EA100" s="656"/>
      <c r="EB100" s="656"/>
      <c r="EC100" s="656"/>
      <c r="ED100" s="656"/>
      <c r="EE100" s="656"/>
      <c r="EF100" s="656"/>
      <c r="EG100" s="656"/>
      <c r="EH100" s="656"/>
      <c r="EI100" s="656"/>
      <c r="EJ100" s="656"/>
      <c r="EK100" s="656"/>
      <c r="EL100" s="656"/>
      <c r="EM100" s="656"/>
      <c r="EN100" s="656"/>
      <c r="EO100" s="656"/>
      <c r="EP100" s="656"/>
      <c r="EQ100" s="656"/>
      <c r="ER100" s="656"/>
      <c r="ES100" s="656"/>
      <c r="ET100" s="656"/>
      <c r="EU100" s="656"/>
      <c r="EV100" s="656"/>
      <c r="EW100" s="656"/>
      <c r="EX100" s="656"/>
      <c r="EY100" s="656"/>
      <c r="EZ100" s="656"/>
      <c r="FA100" s="656"/>
      <c r="FB100" s="656"/>
      <c r="FC100" s="656"/>
      <c r="FD100" s="656"/>
      <c r="FE100" s="656"/>
      <c r="FF100" s="656"/>
      <c r="FG100" s="656"/>
      <c r="FH100" s="656"/>
      <c r="FI100" s="656"/>
      <c r="FJ100" s="656"/>
      <c r="FK100" s="656"/>
      <c r="FL100" s="656"/>
      <c r="FM100" s="656"/>
      <c r="FN100" s="656"/>
      <c r="FO100" s="656"/>
      <c r="FP100" s="656"/>
      <c r="FQ100" s="656"/>
      <c r="FR100" s="656"/>
      <c r="FS100" s="656"/>
      <c r="FT100" s="656"/>
      <c r="FU100" s="656"/>
      <c r="FV100" s="656"/>
      <c r="FW100" s="656"/>
      <c r="FX100" s="656"/>
      <c r="FY100" s="656"/>
      <c r="FZ100" s="656"/>
      <c r="GA100" s="656"/>
      <c r="GB100" s="656"/>
      <c r="GC100" s="656"/>
      <c r="GD100" s="656"/>
      <c r="GE100" s="656"/>
      <c r="GF100" s="656"/>
      <c r="GG100" s="656"/>
      <c r="GH100" s="656"/>
      <c r="GI100" s="656"/>
      <c r="GJ100" s="656"/>
      <c r="GK100" s="656"/>
      <c r="GL100" s="656"/>
      <c r="GM100" s="656"/>
      <c r="GN100" s="656"/>
      <c r="GO100" s="656"/>
      <c r="GP100" s="656"/>
      <c r="GQ100" s="656"/>
      <c r="GR100" s="656"/>
      <c r="GS100" s="656"/>
      <c r="GT100" s="656"/>
      <c r="GU100" s="656"/>
      <c r="GV100" s="656"/>
      <c r="GW100" s="656"/>
      <c r="GX100" s="656"/>
      <c r="GY100" s="656"/>
      <c r="GZ100" s="656"/>
      <c r="HA100" s="656"/>
      <c r="HB100" s="656"/>
      <c r="HC100" s="656"/>
      <c r="HD100" s="656"/>
      <c r="HE100" s="656"/>
      <c r="HF100" s="656"/>
      <c r="HG100" s="656"/>
      <c r="HH100" s="656"/>
      <c r="HI100" s="656"/>
      <c r="HJ100" s="656"/>
      <c r="HK100" s="656"/>
      <c r="HL100" s="656"/>
      <c r="HM100" s="656"/>
      <c r="HN100" s="656"/>
      <c r="HO100" s="656"/>
      <c r="HP100" s="656"/>
      <c r="HQ100" s="656"/>
      <c r="HR100" s="656"/>
      <c r="HS100" s="656"/>
      <c r="HT100" s="656"/>
      <c r="HU100" s="656"/>
      <c r="HV100" s="656"/>
      <c r="HW100" s="656"/>
      <c r="HX100" s="656"/>
      <c r="HY100" s="656"/>
      <c r="HZ100" s="656"/>
    </row>
    <row r="101" spans="1:234" s="657" customFormat="1" x14ac:dyDescent="0.25">
      <c r="A101" s="698"/>
      <c r="B101" s="1057"/>
      <c r="C101" s="1055" t="s">
        <v>1311</v>
      </c>
      <c r="D101" s="1049"/>
      <c r="E101" s="1049"/>
      <c r="F101" s="1049"/>
      <c r="G101" s="1039"/>
      <c r="H101" s="1050"/>
      <c r="I101" s="1051"/>
      <c r="J101" s="1042"/>
      <c r="K101" s="1052"/>
      <c r="L101" s="1053"/>
      <c r="M101" s="1045"/>
      <c r="N101" s="1046"/>
      <c r="O101" s="1045"/>
      <c r="P101" s="1046"/>
      <c r="Q101" s="1045"/>
      <c r="R101" s="1046"/>
      <c r="S101" s="1023"/>
      <c r="T101" s="656"/>
      <c r="U101" s="656"/>
      <c r="V101" s="656"/>
      <c r="W101" s="656"/>
      <c r="X101" s="656"/>
      <c r="Y101" s="656"/>
      <c r="Z101" s="656"/>
      <c r="AA101" s="656"/>
      <c r="AB101" s="656"/>
      <c r="AC101" s="656"/>
      <c r="AD101" s="656"/>
      <c r="AE101" s="656"/>
      <c r="AF101" s="656"/>
      <c r="AG101" s="656"/>
      <c r="AH101" s="656"/>
      <c r="AI101" s="656"/>
      <c r="AJ101" s="656"/>
      <c r="AK101" s="656"/>
      <c r="AL101" s="656"/>
      <c r="AM101" s="656"/>
      <c r="AN101" s="656"/>
      <c r="AO101" s="656"/>
      <c r="AP101" s="656"/>
      <c r="AQ101" s="656"/>
      <c r="AR101" s="656"/>
      <c r="AS101" s="656"/>
      <c r="AT101" s="656"/>
      <c r="AU101" s="656"/>
      <c r="AV101" s="656"/>
      <c r="AW101" s="656"/>
      <c r="AX101" s="656"/>
      <c r="AY101" s="656"/>
      <c r="AZ101" s="656"/>
      <c r="BA101" s="656"/>
      <c r="BB101" s="656"/>
      <c r="BC101" s="656"/>
      <c r="BD101" s="656"/>
      <c r="BE101" s="656"/>
      <c r="BF101" s="656"/>
      <c r="BG101" s="656"/>
      <c r="BH101" s="656"/>
      <c r="BI101" s="656"/>
      <c r="BJ101" s="656"/>
      <c r="BK101" s="656"/>
      <c r="BL101" s="656"/>
      <c r="BM101" s="656"/>
      <c r="BN101" s="656"/>
      <c r="BO101" s="656"/>
      <c r="BP101" s="656"/>
      <c r="BQ101" s="656"/>
      <c r="BR101" s="656"/>
      <c r="BS101" s="656"/>
      <c r="BT101" s="656"/>
      <c r="BU101" s="656"/>
      <c r="BV101" s="656"/>
      <c r="BW101" s="656"/>
      <c r="BX101" s="656"/>
      <c r="BY101" s="656"/>
      <c r="BZ101" s="656"/>
      <c r="CA101" s="656"/>
      <c r="CB101" s="656"/>
      <c r="CC101" s="656"/>
      <c r="CD101" s="656"/>
      <c r="CE101" s="656"/>
      <c r="CF101" s="656"/>
      <c r="CG101" s="656"/>
      <c r="CH101" s="656"/>
      <c r="CI101" s="656"/>
      <c r="CJ101" s="656"/>
      <c r="CK101" s="656"/>
      <c r="CL101" s="656"/>
      <c r="CM101" s="656"/>
      <c r="CN101" s="656"/>
      <c r="CO101" s="656"/>
      <c r="CP101" s="656"/>
      <c r="CQ101" s="656"/>
      <c r="CR101" s="656"/>
      <c r="CS101" s="656"/>
      <c r="CT101" s="656"/>
      <c r="CU101" s="656"/>
      <c r="CV101" s="656"/>
      <c r="CW101" s="656"/>
      <c r="CX101" s="656"/>
      <c r="CY101" s="656"/>
      <c r="CZ101" s="656"/>
      <c r="DA101" s="656"/>
      <c r="DB101" s="656"/>
      <c r="DC101" s="656"/>
      <c r="DD101" s="656"/>
      <c r="DE101" s="656"/>
      <c r="DF101" s="656"/>
      <c r="DG101" s="656"/>
      <c r="DH101" s="656"/>
      <c r="DI101" s="656"/>
      <c r="DJ101" s="656"/>
      <c r="DK101" s="656"/>
      <c r="DL101" s="656"/>
      <c r="DM101" s="656"/>
      <c r="DN101" s="656"/>
      <c r="DO101" s="656"/>
      <c r="DP101" s="656"/>
      <c r="DQ101" s="656"/>
      <c r="DR101" s="656"/>
      <c r="DS101" s="656"/>
      <c r="DT101" s="656"/>
      <c r="DU101" s="656"/>
      <c r="DV101" s="656"/>
      <c r="DW101" s="656"/>
      <c r="DX101" s="656"/>
      <c r="DY101" s="656"/>
      <c r="DZ101" s="656"/>
      <c r="EA101" s="656"/>
      <c r="EB101" s="656"/>
      <c r="EC101" s="656"/>
      <c r="ED101" s="656"/>
      <c r="EE101" s="656"/>
      <c r="EF101" s="656"/>
      <c r="EG101" s="656"/>
      <c r="EH101" s="656"/>
      <c r="EI101" s="656"/>
      <c r="EJ101" s="656"/>
      <c r="EK101" s="656"/>
      <c r="EL101" s="656"/>
      <c r="EM101" s="656"/>
      <c r="EN101" s="656"/>
      <c r="EO101" s="656"/>
      <c r="EP101" s="656"/>
      <c r="EQ101" s="656"/>
      <c r="ER101" s="656"/>
      <c r="ES101" s="656"/>
      <c r="ET101" s="656"/>
      <c r="EU101" s="656"/>
      <c r="EV101" s="656"/>
      <c r="EW101" s="656"/>
      <c r="EX101" s="656"/>
      <c r="EY101" s="656"/>
      <c r="EZ101" s="656"/>
      <c r="FA101" s="656"/>
      <c r="FB101" s="656"/>
      <c r="FC101" s="656"/>
      <c r="FD101" s="656"/>
      <c r="FE101" s="656"/>
      <c r="FF101" s="656"/>
      <c r="FG101" s="656"/>
      <c r="FH101" s="656"/>
      <c r="FI101" s="656"/>
      <c r="FJ101" s="656"/>
      <c r="FK101" s="656"/>
      <c r="FL101" s="656"/>
      <c r="FM101" s="656"/>
      <c r="FN101" s="656"/>
      <c r="FO101" s="656"/>
      <c r="FP101" s="656"/>
      <c r="FQ101" s="656"/>
      <c r="FR101" s="656"/>
      <c r="FS101" s="656"/>
      <c r="FT101" s="656"/>
      <c r="FU101" s="656"/>
      <c r="FV101" s="656"/>
      <c r="FW101" s="656"/>
      <c r="FX101" s="656"/>
      <c r="FY101" s="656"/>
      <c r="FZ101" s="656"/>
      <c r="GA101" s="656"/>
      <c r="GB101" s="656"/>
      <c r="GC101" s="656"/>
      <c r="GD101" s="656"/>
      <c r="GE101" s="656"/>
      <c r="GF101" s="656"/>
      <c r="GG101" s="656"/>
      <c r="GH101" s="656"/>
      <c r="GI101" s="656"/>
      <c r="GJ101" s="656"/>
      <c r="GK101" s="656"/>
      <c r="GL101" s="656"/>
      <c r="GM101" s="656"/>
      <c r="GN101" s="656"/>
      <c r="GO101" s="656"/>
      <c r="GP101" s="656"/>
      <c r="GQ101" s="656"/>
      <c r="GR101" s="656"/>
      <c r="GS101" s="656"/>
      <c r="GT101" s="656"/>
      <c r="GU101" s="656"/>
      <c r="GV101" s="656"/>
      <c r="GW101" s="656"/>
      <c r="GX101" s="656"/>
      <c r="GY101" s="656"/>
      <c r="GZ101" s="656"/>
      <c r="HA101" s="656"/>
      <c r="HB101" s="656"/>
      <c r="HC101" s="656"/>
      <c r="HD101" s="656"/>
      <c r="HE101" s="656"/>
      <c r="HF101" s="656"/>
      <c r="HG101" s="656"/>
      <c r="HH101" s="656"/>
      <c r="HI101" s="656"/>
      <c r="HJ101" s="656"/>
      <c r="HK101" s="656"/>
      <c r="HL101" s="656"/>
      <c r="HM101" s="656"/>
      <c r="HN101" s="656"/>
      <c r="HO101" s="656"/>
      <c r="HP101" s="656"/>
      <c r="HQ101" s="656"/>
      <c r="HR101" s="656"/>
      <c r="HS101" s="656"/>
      <c r="HT101" s="656"/>
      <c r="HU101" s="656"/>
      <c r="HV101" s="656"/>
      <c r="HW101" s="656"/>
      <c r="HX101" s="656"/>
      <c r="HY101" s="656"/>
      <c r="HZ101" s="656"/>
    </row>
    <row r="102" spans="1:234" s="657" customFormat="1" ht="28.5" x14ac:dyDescent="0.25">
      <c r="A102" s="698"/>
      <c r="B102" s="1014">
        <v>24</v>
      </c>
      <c r="C102" s="1015" t="s">
        <v>850</v>
      </c>
      <c r="D102" s="1027" t="s">
        <v>912</v>
      </c>
      <c r="E102" s="1017">
        <v>1</v>
      </c>
      <c r="F102" s="1018">
        <v>26344</v>
      </c>
      <c r="G102" s="1019">
        <v>26344</v>
      </c>
      <c r="H102" s="486">
        <v>15</v>
      </c>
      <c r="I102" s="1054">
        <v>0</v>
      </c>
      <c r="J102" s="1020">
        <v>0</v>
      </c>
      <c r="K102" s="1021">
        <v>0</v>
      </c>
      <c r="L102" s="480"/>
      <c r="M102" s="1029">
        <v>0</v>
      </c>
      <c r="N102" s="488">
        <v>0</v>
      </c>
      <c r="O102" s="1029">
        <v>0</v>
      </c>
      <c r="P102" s="488">
        <v>0</v>
      </c>
      <c r="Q102" s="1029">
        <v>0</v>
      </c>
      <c r="R102" s="488">
        <v>0</v>
      </c>
      <c r="S102" s="1023"/>
      <c r="T102" s="656"/>
      <c r="U102" s="656"/>
      <c r="V102" s="656"/>
      <c r="W102" s="656"/>
      <c r="X102" s="656"/>
      <c r="Y102" s="656"/>
      <c r="Z102" s="656"/>
      <c r="AA102" s="656"/>
      <c r="AB102" s="656"/>
      <c r="AC102" s="656"/>
      <c r="AD102" s="656"/>
      <c r="AE102" s="656"/>
      <c r="AF102" s="656"/>
      <c r="AG102" s="656"/>
      <c r="AH102" s="656"/>
      <c r="AI102" s="656"/>
      <c r="AJ102" s="656"/>
      <c r="AK102" s="656"/>
      <c r="AL102" s="656"/>
      <c r="AM102" s="656"/>
      <c r="AN102" s="656"/>
      <c r="AO102" s="656"/>
      <c r="AP102" s="656"/>
      <c r="AQ102" s="656"/>
      <c r="AR102" s="656"/>
      <c r="AS102" s="656"/>
      <c r="AT102" s="656"/>
      <c r="AU102" s="656"/>
      <c r="AV102" s="656"/>
      <c r="AW102" s="656"/>
      <c r="AX102" s="656"/>
      <c r="AY102" s="656"/>
      <c r="AZ102" s="656"/>
      <c r="BA102" s="656"/>
      <c r="BB102" s="656"/>
      <c r="BC102" s="656"/>
      <c r="BD102" s="656"/>
      <c r="BE102" s="656"/>
      <c r="BF102" s="656"/>
      <c r="BG102" s="656"/>
      <c r="BH102" s="656"/>
      <c r="BI102" s="656"/>
      <c r="BJ102" s="656"/>
      <c r="BK102" s="656"/>
      <c r="BL102" s="656"/>
      <c r="BM102" s="656"/>
      <c r="BN102" s="656"/>
      <c r="BO102" s="656"/>
      <c r="BP102" s="656"/>
      <c r="BQ102" s="656"/>
      <c r="BR102" s="656"/>
      <c r="BS102" s="656"/>
      <c r="BT102" s="656"/>
      <c r="BU102" s="656"/>
      <c r="BV102" s="656"/>
      <c r="BW102" s="656"/>
      <c r="BX102" s="656"/>
      <c r="BY102" s="656"/>
      <c r="BZ102" s="656"/>
      <c r="CA102" s="656"/>
      <c r="CB102" s="656"/>
      <c r="CC102" s="656"/>
      <c r="CD102" s="656"/>
      <c r="CE102" s="656"/>
      <c r="CF102" s="656"/>
      <c r="CG102" s="656"/>
      <c r="CH102" s="656"/>
      <c r="CI102" s="656"/>
      <c r="CJ102" s="656"/>
      <c r="CK102" s="656"/>
      <c r="CL102" s="656"/>
      <c r="CM102" s="656"/>
      <c r="CN102" s="656"/>
      <c r="CO102" s="656"/>
      <c r="CP102" s="656"/>
      <c r="CQ102" s="656"/>
      <c r="CR102" s="656"/>
      <c r="CS102" s="656"/>
      <c r="CT102" s="656"/>
      <c r="CU102" s="656"/>
      <c r="CV102" s="656"/>
      <c r="CW102" s="656"/>
      <c r="CX102" s="656"/>
      <c r="CY102" s="656"/>
      <c r="CZ102" s="656"/>
      <c r="DA102" s="656"/>
      <c r="DB102" s="656"/>
      <c r="DC102" s="656"/>
      <c r="DD102" s="656"/>
      <c r="DE102" s="656"/>
      <c r="DF102" s="656"/>
      <c r="DG102" s="656"/>
      <c r="DH102" s="656"/>
      <c r="DI102" s="656"/>
      <c r="DJ102" s="656"/>
      <c r="DK102" s="656"/>
      <c r="DL102" s="656"/>
      <c r="DM102" s="656"/>
      <c r="DN102" s="656"/>
      <c r="DO102" s="656"/>
      <c r="DP102" s="656"/>
      <c r="DQ102" s="656"/>
      <c r="DR102" s="656"/>
      <c r="DS102" s="656"/>
      <c r="DT102" s="656"/>
      <c r="DU102" s="656"/>
      <c r="DV102" s="656"/>
      <c r="DW102" s="656"/>
      <c r="DX102" s="656"/>
      <c r="DY102" s="656"/>
      <c r="DZ102" s="656"/>
      <c r="EA102" s="656"/>
      <c r="EB102" s="656"/>
      <c r="EC102" s="656"/>
      <c r="ED102" s="656"/>
      <c r="EE102" s="656"/>
      <c r="EF102" s="656"/>
      <c r="EG102" s="656"/>
      <c r="EH102" s="656"/>
      <c r="EI102" s="656"/>
      <c r="EJ102" s="656"/>
      <c r="EK102" s="656"/>
      <c r="EL102" s="656"/>
      <c r="EM102" s="656"/>
      <c r="EN102" s="656"/>
      <c r="EO102" s="656"/>
      <c r="EP102" s="656"/>
      <c r="EQ102" s="656"/>
      <c r="ER102" s="656"/>
      <c r="ES102" s="656"/>
      <c r="ET102" s="656"/>
      <c r="EU102" s="656"/>
      <c r="EV102" s="656"/>
      <c r="EW102" s="656"/>
      <c r="EX102" s="656"/>
      <c r="EY102" s="656"/>
      <c r="EZ102" s="656"/>
      <c r="FA102" s="656"/>
      <c r="FB102" s="656"/>
      <c r="FC102" s="656"/>
      <c r="FD102" s="656"/>
      <c r="FE102" s="656"/>
      <c r="FF102" s="656"/>
      <c r="FG102" s="656"/>
      <c r="FH102" s="656"/>
      <c r="FI102" s="656"/>
      <c r="FJ102" s="656"/>
      <c r="FK102" s="656"/>
      <c r="FL102" s="656"/>
      <c r="FM102" s="656"/>
      <c r="FN102" s="656"/>
      <c r="FO102" s="656"/>
      <c r="FP102" s="656"/>
      <c r="FQ102" s="656"/>
      <c r="FR102" s="656"/>
      <c r="FS102" s="656"/>
      <c r="FT102" s="656"/>
      <c r="FU102" s="656"/>
      <c r="FV102" s="656"/>
      <c r="FW102" s="656"/>
      <c r="FX102" s="656"/>
      <c r="FY102" s="656"/>
      <c r="FZ102" s="656"/>
      <c r="GA102" s="656"/>
      <c r="GB102" s="656"/>
      <c r="GC102" s="656"/>
      <c r="GD102" s="656"/>
      <c r="GE102" s="656"/>
      <c r="GF102" s="656"/>
      <c r="GG102" s="656"/>
      <c r="GH102" s="656"/>
      <c r="GI102" s="656"/>
      <c r="GJ102" s="656"/>
      <c r="GK102" s="656"/>
      <c r="GL102" s="656"/>
      <c r="GM102" s="656"/>
      <c r="GN102" s="656"/>
      <c r="GO102" s="656"/>
      <c r="GP102" s="656"/>
      <c r="GQ102" s="656"/>
      <c r="GR102" s="656"/>
      <c r="GS102" s="656"/>
      <c r="GT102" s="656"/>
      <c r="GU102" s="656"/>
      <c r="GV102" s="656"/>
      <c r="GW102" s="656"/>
      <c r="GX102" s="656"/>
      <c r="GY102" s="656"/>
      <c r="GZ102" s="656"/>
      <c r="HA102" s="656"/>
      <c r="HB102" s="656"/>
      <c r="HC102" s="656"/>
      <c r="HD102" s="656"/>
      <c r="HE102" s="656"/>
      <c r="HF102" s="656"/>
      <c r="HG102" s="656"/>
      <c r="HH102" s="656"/>
      <c r="HI102" s="656"/>
      <c r="HJ102" s="656"/>
      <c r="HK102" s="656"/>
      <c r="HL102" s="656"/>
      <c r="HM102" s="656"/>
      <c r="HN102" s="656"/>
      <c r="HO102" s="656"/>
      <c r="HP102" s="656"/>
      <c r="HQ102" s="656"/>
      <c r="HR102" s="656"/>
      <c r="HS102" s="656"/>
      <c r="HT102" s="656"/>
      <c r="HU102" s="656"/>
      <c r="HV102" s="656"/>
      <c r="HW102" s="656"/>
      <c r="HX102" s="656"/>
      <c r="HY102" s="656"/>
      <c r="HZ102" s="656"/>
    </row>
    <row r="103" spans="1:234" s="657" customFormat="1" x14ac:dyDescent="0.25">
      <c r="A103" s="698"/>
      <c r="B103" s="1014">
        <v>68</v>
      </c>
      <c r="C103" s="1015" t="s">
        <v>1312</v>
      </c>
      <c r="D103" s="1027" t="s">
        <v>1313</v>
      </c>
      <c r="E103" s="1017">
        <v>1</v>
      </c>
      <c r="F103" s="1018">
        <v>30607</v>
      </c>
      <c r="G103" s="1019">
        <v>30607</v>
      </c>
      <c r="H103" s="486">
        <v>1</v>
      </c>
      <c r="I103" s="1054">
        <v>0</v>
      </c>
      <c r="J103" s="1020">
        <v>0</v>
      </c>
      <c r="K103" s="1021">
        <v>0</v>
      </c>
      <c r="L103" s="480"/>
      <c r="M103" s="1029">
        <v>0</v>
      </c>
      <c r="N103" s="488">
        <v>0</v>
      </c>
      <c r="O103" s="1029">
        <v>0</v>
      </c>
      <c r="P103" s="488">
        <v>0</v>
      </c>
      <c r="Q103" s="1029">
        <v>0</v>
      </c>
      <c r="R103" s="488">
        <v>0</v>
      </c>
      <c r="S103" s="1023"/>
      <c r="T103" s="656"/>
      <c r="U103" s="656"/>
      <c r="V103" s="656"/>
      <c r="W103" s="656"/>
      <c r="X103" s="656"/>
      <c r="Y103" s="656"/>
      <c r="Z103" s="656"/>
      <c r="AA103" s="656"/>
      <c r="AB103" s="656"/>
      <c r="AC103" s="656"/>
      <c r="AD103" s="656"/>
      <c r="AE103" s="656"/>
      <c r="AF103" s="656"/>
      <c r="AG103" s="656"/>
      <c r="AH103" s="656"/>
      <c r="AI103" s="656"/>
      <c r="AJ103" s="656"/>
      <c r="AK103" s="656"/>
      <c r="AL103" s="656"/>
      <c r="AM103" s="656"/>
      <c r="AN103" s="656"/>
      <c r="AO103" s="656"/>
      <c r="AP103" s="656"/>
      <c r="AQ103" s="656"/>
      <c r="AR103" s="656"/>
      <c r="AS103" s="656"/>
      <c r="AT103" s="656"/>
      <c r="AU103" s="656"/>
      <c r="AV103" s="656"/>
      <c r="AW103" s="656"/>
      <c r="AX103" s="656"/>
      <c r="AY103" s="656"/>
      <c r="AZ103" s="656"/>
      <c r="BA103" s="656"/>
      <c r="BB103" s="656"/>
      <c r="BC103" s="656"/>
      <c r="BD103" s="656"/>
      <c r="BE103" s="656"/>
      <c r="BF103" s="656"/>
      <c r="BG103" s="656"/>
      <c r="BH103" s="656"/>
      <c r="BI103" s="656"/>
      <c r="BJ103" s="656"/>
      <c r="BK103" s="656"/>
      <c r="BL103" s="656"/>
      <c r="BM103" s="656"/>
      <c r="BN103" s="656"/>
      <c r="BO103" s="656"/>
      <c r="BP103" s="656"/>
      <c r="BQ103" s="656"/>
      <c r="BR103" s="656"/>
      <c r="BS103" s="656"/>
      <c r="BT103" s="656"/>
      <c r="BU103" s="656"/>
      <c r="BV103" s="656"/>
      <c r="BW103" s="656"/>
      <c r="BX103" s="656"/>
      <c r="BY103" s="656"/>
      <c r="BZ103" s="656"/>
      <c r="CA103" s="656"/>
      <c r="CB103" s="656"/>
      <c r="CC103" s="656"/>
      <c r="CD103" s="656"/>
      <c r="CE103" s="656"/>
      <c r="CF103" s="656"/>
      <c r="CG103" s="656"/>
      <c r="CH103" s="656"/>
      <c r="CI103" s="656"/>
      <c r="CJ103" s="656"/>
      <c r="CK103" s="656"/>
      <c r="CL103" s="656"/>
      <c r="CM103" s="656"/>
      <c r="CN103" s="656"/>
      <c r="CO103" s="656"/>
      <c r="CP103" s="656"/>
      <c r="CQ103" s="656"/>
      <c r="CR103" s="656"/>
      <c r="CS103" s="656"/>
      <c r="CT103" s="656"/>
      <c r="CU103" s="656"/>
      <c r="CV103" s="656"/>
      <c r="CW103" s="656"/>
      <c r="CX103" s="656"/>
      <c r="CY103" s="656"/>
      <c r="CZ103" s="656"/>
      <c r="DA103" s="656"/>
      <c r="DB103" s="656"/>
      <c r="DC103" s="656"/>
      <c r="DD103" s="656"/>
      <c r="DE103" s="656"/>
      <c r="DF103" s="656"/>
      <c r="DG103" s="656"/>
      <c r="DH103" s="656"/>
      <c r="DI103" s="656"/>
      <c r="DJ103" s="656"/>
      <c r="DK103" s="656"/>
      <c r="DL103" s="656"/>
      <c r="DM103" s="656"/>
      <c r="DN103" s="656"/>
      <c r="DO103" s="656"/>
      <c r="DP103" s="656"/>
      <c r="DQ103" s="656"/>
      <c r="DR103" s="656"/>
      <c r="DS103" s="656"/>
      <c r="DT103" s="656"/>
      <c r="DU103" s="656"/>
      <c r="DV103" s="656"/>
      <c r="DW103" s="656"/>
      <c r="DX103" s="656"/>
      <c r="DY103" s="656"/>
      <c r="DZ103" s="656"/>
      <c r="EA103" s="656"/>
      <c r="EB103" s="656"/>
      <c r="EC103" s="656"/>
      <c r="ED103" s="656"/>
      <c r="EE103" s="656"/>
      <c r="EF103" s="656"/>
      <c r="EG103" s="656"/>
      <c r="EH103" s="656"/>
      <c r="EI103" s="656"/>
      <c r="EJ103" s="656"/>
      <c r="EK103" s="656"/>
      <c r="EL103" s="656"/>
      <c r="EM103" s="656"/>
      <c r="EN103" s="656"/>
      <c r="EO103" s="656"/>
      <c r="EP103" s="656"/>
      <c r="EQ103" s="656"/>
      <c r="ER103" s="656"/>
      <c r="ES103" s="656"/>
      <c r="ET103" s="656"/>
      <c r="EU103" s="656"/>
      <c r="EV103" s="656"/>
      <c r="EW103" s="656"/>
      <c r="EX103" s="656"/>
      <c r="EY103" s="656"/>
      <c r="EZ103" s="656"/>
      <c r="FA103" s="656"/>
      <c r="FB103" s="656"/>
      <c r="FC103" s="656"/>
      <c r="FD103" s="656"/>
      <c r="FE103" s="656"/>
      <c r="FF103" s="656"/>
      <c r="FG103" s="656"/>
      <c r="FH103" s="656"/>
      <c r="FI103" s="656"/>
      <c r="FJ103" s="656"/>
      <c r="FK103" s="656"/>
      <c r="FL103" s="656"/>
      <c r="FM103" s="656"/>
      <c r="FN103" s="656"/>
      <c r="FO103" s="656"/>
      <c r="FP103" s="656"/>
      <c r="FQ103" s="656"/>
      <c r="FR103" s="656"/>
      <c r="FS103" s="656"/>
      <c r="FT103" s="656"/>
      <c r="FU103" s="656"/>
      <c r="FV103" s="656"/>
      <c r="FW103" s="656"/>
      <c r="FX103" s="656"/>
      <c r="FY103" s="656"/>
      <c r="FZ103" s="656"/>
      <c r="GA103" s="656"/>
      <c r="GB103" s="656"/>
      <c r="GC103" s="656"/>
      <c r="GD103" s="656"/>
      <c r="GE103" s="656"/>
      <c r="GF103" s="656"/>
      <c r="GG103" s="656"/>
      <c r="GH103" s="656"/>
      <c r="GI103" s="656"/>
      <c r="GJ103" s="656"/>
      <c r="GK103" s="656"/>
      <c r="GL103" s="656"/>
      <c r="GM103" s="656"/>
      <c r="GN103" s="656"/>
      <c r="GO103" s="656"/>
      <c r="GP103" s="656"/>
      <c r="GQ103" s="656"/>
      <c r="GR103" s="656"/>
      <c r="GS103" s="656"/>
      <c r="GT103" s="656"/>
      <c r="GU103" s="656"/>
      <c r="GV103" s="656"/>
      <c r="GW103" s="656"/>
      <c r="GX103" s="656"/>
      <c r="GY103" s="656"/>
      <c r="GZ103" s="656"/>
      <c r="HA103" s="656"/>
      <c r="HB103" s="656"/>
      <c r="HC103" s="656"/>
      <c r="HD103" s="656"/>
      <c r="HE103" s="656"/>
      <c r="HF103" s="656"/>
      <c r="HG103" s="656"/>
      <c r="HH103" s="656"/>
      <c r="HI103" s="656"/>
      <c r="HJ103" s="656"/>
      <c r="HK103" s="656"/>
      <c r="HL103" s="656"/>
      <c r="HM103" s="656"/>
      <c r="HN103" s="656"/>
      <c r="HO103" s="656"/>
      <c r="HP103" s="656"/>
      <c r="HQ103" s="656"/>
      <c r="HR103" s="656"/>
      <c r="HS103" s="656"/>
      <c r="HT103" s="656"/>
      <c r="HU103" s="656"/>
      <c r="HV103" s="656"/>
      <c r="HW103" s="656"/>
      <c r="HX103" s="656"/>
      <c r="HY103" s="656"/>
      <c r="HZ103" s="656"/>
    </row>
    <row r="104" spans="1:234" s="657" customFormat="1" x14ac:dyDescent="0.25">
      <c r="A104" s="698"/>
      <c r="B104" s="1014">
        <v>69</v>
      </c>
      <c r="C104" s="1015" t="s">
        <v>1314</v>
      </c>
      <c r="D104" s="1027" t="s">
        <v>1313</v>
      </c>
      <c r="E104" s="1017">
        <v>1</v>
      </c>
      <c r="F104" s="1018">
        <v>37127</v>
      </c>
      <c r="G104" s="1019">
        <v>37127</v>
      </c>
      <c r="H104" s="486">
        <v>1</v>
      </c>
      <c r="I104" s="1054">
        <v>0</v>
      </c>
      <c r="J104" s="1020">
        <v>0</v>
      </c>
      <c r="K104" s="1021">
        <v>0</v>
      </c>
      <c r="L104" s="480"/>
      <c r="M104" s="1029">
        <v>0</v>
      </c>
      <c r="N104" s="488">
        <v>0</v>
      </c>
      <c r="O104" s="1029">
        <v>0</v>
      </c>
      <c r="P104" s="488">
        <v>0</v>
      </c>
      <c r="Q104" s="1029">
        <v>0</v>
      </c>
      <c r="R104" s="488">
        <v>0</v>
      </c>
      <c r="S104" s="1023"/>
      <c r="T104" s="656"/>
      <c r="U104" s="656"/>
      <c r="V104" s="656"/>
      <c r="W104" s="656"/>
      <c r="X104" s="656"/>
      <c r="Y104" s="656"/>
      <c r="Z104" s="656"/>
      <c r="AA104" s="656"/>
      <c r="AB104" s="656"/>
      <c r="AC104" s="656"/>
      <c r="AD104" s="656"/>
      <c r="AE104" s="656"/>
      <c r="AF104" s="656"/>
      <c r="AG104" s="656"/>
      <c r="AH104" s="656"/>
      <c r="AI104" s="656"/>
      <c r="AJ104" s="656"/>
      <c r="AK104" s="656"/>
      <c r="AL104" s="656"/>
      <c r="AM104" s="656"/>
      <c r="AN104" s="656"/>
      <c r="AO104" s="656"/>
      <c r="AP104" s="656"/>
      <c r="AQ104" s="656"/>
      <c r="AR104" s="656"/>
      <c r="AS104" s="656"/>
      <c r="AT104" s="656"/>
      <c r="AU104" s="656"/>
      <c r="AV104" s="656"/>
      <c r="AW104" s="656"/>
      <c r="AX104" s="656"/>
      <c r="AY104" s="656"/>
      <c r="AZ104" s="656"/>
      <c r="BA104" s="656"/>
      <c r="BB104" s="656"/>
      <c r="BC104" s="656"/>
      <c r="BD104" s="656"/>
      <c r="BE104" s="656"/>
      <c r="BF104" s="656"/>
      <c r="BG104" s="656"/>
      <c r="BH104" s="656"/>
      <c r="BI104" s="656"/>
      <c r="BJ104" s="656"/>
      <c r="BK104" s="656"/>
      <c r="BL104" s="656"/>
      <c r="BM104" s="656"/>
      <c r="BN104" s="656"/>
      <c r="BO104" s="656"/>
      <c r="BP104" s="656"/>
      <c r="BQ104" s="656"/>
      <c r="BR104" s="656"/>
      <c r="BS104" s="656"/>
      <c r="BT104" s="656"/>
      <c r="BU104" s="656"/>
      <c r="BV104" s="656"/>
      <c r="BW104" s="656"/>
      <c r="BX104" s="656"/>
      <c r="BY104" s="656"/>
      <c r="BZ104" s="656"/>
      <c r="CA104" s="656"/>
      <c r="CB104" s="656"/>
      <c r="CC104" s="656"/>
      <c r="CD104" s="656"/>
      <c r="CE104" s="656"/>
      <c r="CF104" s="656"/>
      <c r="CG104" s="656"/>
      <c r="CH104" s="656"/>
      <c r="CI104" s="656"/>
      <c r="CJ104" s="656"/>
      <c r="CK104" s="656"/>
      <c r="CL104" s="656"/>
      <c r="CM104" s="656"/>
      <c r="CN104" s="656"/>
      <c r="CO104" s="656"/>
      <c r="CP104" s="656"/>
      <c r="CQ104" s="656"/>
      <c r="CR104" s="656"/>
      <c r="CS104" s="656"/>
      <c r="CT104" s="656"/>
      <c r="CU104" s="656"/>
      <c r="CV104" s="656"/>
      <c r="CW104" s="656"/>
      <c r="CX104" s="656"/>
      <c r="CY104" s="656"/>
      <c r="CZ104" s="656"/>
      <c r="DA104" s="656"/>
      <c r="DB104" s="656"/>
      <c r="DC104" s="656"/>
      <c r="DD104" s="656"/>
      <c r="DE104" s="656"/>
      <c r="DF104" s="656"/>
      <c r="DG104" s="656"/>
      <c r="DH104" s="656"/>
      <c r="DI104" s="656"/>
      <c r="DJ104" s="656"/>
      <c r="DK104" s="656"/>
      <c r="DL104" s="656"/>
      <c r="DM104" s="656"/>
      <c r="DN104" s="656"/>
      <c r="DO104" s="656"/>
      <c r="DP104" s="656"/>
      <c r="DQ104" s="656"/>
      <c r="DR104" s="656"/>
      <c r="DS104" s="656"/>
      <c r="DT104" s="656"/>
      <c r="DU104" s="656"/>
      <c r="DV104" s="656"/>
      <c r="DW104" s="656"/>
      <c r="DX104" s="656"/>
      <c r="DY104" s="656"/>
      <c r="DZ104" s="656"/>
      <c r="EA104" s="656"/>
      <c r="EB104" s="656"/>
      <c r="EC104" s="656"/>
      <c r="ED104" s="656"/>
      <c r="EE104" s="656"/>
      <c r="EF104" s="656"/>
      <c r="EG104" s="656"/>
      <c r="EH104" s="656"/>
      <c r="EI104" s="656"/>
      <c r="EJ104" s="656"/>
      <c r="EK104" s="656"/>
      <c r="EL104" s="656"/>
      <c r="EM104" s="656"/>
      <c r="EN104" s="656"/>
      <c r="EO104" s="656"/>
      <c r="EP104" s="656"/>
      <c r="EQ104" s="656"/>
      <c r="ER104" s="656"/>
      <c r="ES104" s="656"/>
      <c r="ET104" s="656"/>
      <c r="EU104" s="656"/>
      <c r="EV104" s="656"/>
      <c r="EW104" s="656"/>
      <c r="EX104" s="656"/>
      <c r="EY104" s="656"/>
      <c r="EZ104" s="656"/>
      <c r="FA104" s="656"/>
      <c r="FB104" s="656"/>
      <c r="FC104" s="656"/>
      <c r="FD104" s="656"/>
      <c r="FE104" s="656"/>
      <c r="FF104" s="656"/>
      <c r="FG104" s="656"/>
      <c r="FH104" s="656"/>
      <c r="FI104" s="656"/>
      <c r="FJ104" s="656"/>
      <c r="FK104" s="656"/>
      <c r="FL104" s="656"/>
      <c r="FM104" s="656"/>
      <c r="FN104" s="656"/>
      <c r="FO104" s="656"/>
      <c r="FP104" s="656"/>
      <c r="FQ104" s="656"/>
      <c r="FR104" s="656"/>
      <c r="FS104" s="656"/>
      <c r="FT104" s="656"/>
      <c r="FU104" s="656"/>
      <c r="FV104" s="656"/>
      <c r="FW104" s="656"/>
      <c r="FX104" s="656"/>
      <c r="FY104" s="656"/>
      <c r="FZ104" s="656"/>
      <c r="GA104" s="656"/>
      <c r="GB104" s="656"/>
      <c r="GC104" s="656"/>
      <c r="GD104" s="656"/>
      <c r="GE104" s="656"/>
      <c r="GF104" s="656"/>
      <c r="GG104" s="656"/>
      <c r="GH104" s="656"/>
      <c r="GI104" s="656"/>
      <c r="GJ104" s="656"/>
      <c r="GK104" s="656"/>
      <c r="GL104" s="656"/>
      <c r="GM104" s="656"/>
      <c r="GN104" s="656"/>
      <c r="GO104" s="656"/>
      <c r="GP104" s="656"/>
      <c r="GQ104" s="656"/>
      <c r="GR104" s="656"/>
      <c r="GS104" s="656"/>
      <c r="GT104" s="656"/>
      <c r="GU104" s="656"/>
      <c r="GV104" s="656"/>
      <c r="GW104" s="656"/>
      <c r="GX104" s="656"/>
      <c r="GY104" s="656"/>
      <c r="GZ104" s="656"/>
      <c r="HA104" s="656"/>
      <c r="HB104" s="656"/>
      <c r="HC104" s="656"/>
      <c r="HD104" s="656"/>
      <c r="HE104" s="656"/>
      <c r="HF104" s="656"/>
      <c r="HG104" s="656"/>
      <c r="HH104" s="656"/>
      <c r="HI104" s="656"/>
      <c r="HJ104" s="656"/>
      <c r="HK104" s="656"/>
      <c r="HL104" s="656"/>
      <c r="HM104" s="656"/>
      <c r="HN104" s="656"/>
      <c r="HO104" s="656"/>
      <c r="HP104" s="656"/>
      <c r="HQ104" s="656"/>
      <c r="HR104" s="656"/>
      <c r="HS104" s="656"/>
      <c r="HT104" s="656"/>
      <c r="HU104" s="656"/>
      <c r="HV104" s="656"/>
      <c r="HW104" s="656"/>
      <c r="HX104" s="656"/>
      <c r="HY104" s="656"/>
      <c r="HZ104" s="656"/>
    </row>
    <row r="105" spans="1:234" s="657" customFormat="1" x14ac:dyDescent="0.25">
      <c r="A105" s="698"/>
      <c r="B105" s="1057"/>
      <c r="C105" s="1055" t="s">
        <v>1295</v>
      </c>
      <c r="D105" s="1049"/>
      <c r="E105" s="1049"/>
      <c r="F105" s="1049"/>
      <c r="G105" s="1039"/>
      <c r="H105" s="1050"/>
      <c r="I105" s="1041"/>
      <c r="J105" s="1042"/>
      <c r="K105" s="1052"/>
      <c r="L105" s="1044"/>
      <c r="M105" s="1045"/>
      <c r="N105" s="1046"/>
      <c r="O105" s="1045"/>
      <c r="P105" s="1046"/>
      <c r="Q105" s="1045"/>
      <c r="R105" s="1046"/>
      <c r="S105" s="1023"/>
      <c r="T105" s="656"/>
      <c r="U105" s="656"/>
      <c r="V105" s="656"/>
      <c r="W105" s="656"/>
      <c r="X105" s="656"/>
      <c r="Y105" s="656"/>
      <c r="Z105" s="656"/>
      <c r="AA105" s="656"/>
      <c r="AB105" s="656"/>
      <c r="AC105" s="656"/>
      <c r="AD105" s="656"/>
      <c r="AE105" s="656"/>
      <c r="AF105" s="656"/>
      <c r="AG105" s="656"/>
      <c r="AH105" s="656"/>
      <c r="AI105" s="656"/>
      <c r="AJ105" s="656"/>
      <c r="AK105" s="656"/>
      <c r="AL105" s="656"/>
      <c r="AM105" s="656"/>
      <c r="AN105" s="656"/>
      <c r="AO105" s="656"/>
      <c r="AP105" s="656"/>
      <c r="AQ105" s="656"/>
      <c r="AR105" s="656"/>
      <c r="AS105" s="656"/>
      <c r="AT105" s="656"/>
      <c r="AU105" s="656"/>
      <c r="AV105" s="656"/>
      <c r="AW105" s="656"/>
      <c r="AX105" s="656"/>
      <c r="AY105" s="656"/>
      <c r="AZ105" s="656"/>
      <c r="BA105" s="656"/>
      <c r="BB105" s="656"/>
      <c r="BC105" s="656"/>
      <c r="BD105" s="656"/>
      <c r="BE105" s="656"/>
      <c r="BF105" s="656"/>
      <c r="BG105" s="656"/>
      <c r="BH105" s="656"/>
      <c r="BI105" s="656"/>
      <c r="BJ105" s="656"/>
      <c r="BK105" s="656"/>
      <c r="BL105" s="656"/>
      <c r="BM105" s="656"/>
      <c r="BN105" s="656"/>
      <c r="BO105" s="656"/>
      <c r="BP105" s="656"/>
      <c r="BQ105" s="656"/>
      <c r="BR105" s="656"/>
      <c r="BS105" s="656"/>
      <c r="BT105" s="656"/>
      <c r="BU105" s="656"/>
      <c r="BV105" s="656"/>
      <c r="BW105" s="656"/>
      <c r="BX105" s="656"/>
      <c r="BY105" s="656"/>
      <c r="BZ105" s="656"/>
      <c r="CA105" s="656"/>
      <c r="CB105" s="656"/>
      <c r="CC105" s="656"/>
      <c r="CD105" s="656"/>
      <c r="CE105" s="656"/>
      <c r="CF105" s="656"/>
      <c r="CG105" s="656"/>
      <c r="CH105" s="656"/>
      <c r="CI105" s="656"/>
      <c r="CJ105" s="656"/>
      <c r="CK105" s="656"/>
      <c r="CL105" s="656"/>
      <c r="CM105" s="656"/>
      <c r="CN105" s="656"/>
      <c r="CO105" s="656"/>
      <c r="CP105" s="656"/>
      <c r="CQ105" s="656"/>
      <c r="CR105" s="656"/>
      <c r="CS105" s="656"/>
      <c r="CT105" s="656"/>
      <c r="CU105" s="656"/>
      <c r="CV105" s="656"/>
      <c r="CW105" s="656"/>
      <c r="CX105" s="656"/>
      <c r="CY105" s="656"/>
      <c r="CZ105" s="656"/>
      <c r="DA105" s="656"/>
      <c r="DB105" s="656"/>
      <c r="DC105" s="656"/>
      <c r="DD105" s="656"/>
      <c r="DE105" s="656"/>
      <c r="DF105" s="656"/>
      <c r="DG105" s="656"/>
      <c r="DH105" s="656"/>
      <c r="DI105" s="656"/>
      <c r="DJ105" s="656"/>
      <c r="DK105" s="656"/>
      <c r="DL105" s="656"/>
      <c r="DM105" s="656"/>
      <c r="DN105" s="656"/>
      <c r="DO105" s="656"/>
      <c r="DP105" s="656"/>
      <c r="DQ105" s="656"/>
      <c r="DR105" s="656"/>
      <c r="DS105" s="656"/>
      <c r="DT105" s="656"/>
      <c r="DU105" s="656"/>
      <c r="DV105" s="656"/>
      <c r="DW105" s="656"/>
      <c r="DX105" s="656"/>
      <c r="DY105" s="656"/>
      <c r="DZ105" s="656"/>
      <c r="EA105" s="656"/>
      <c r="EB105" s="656"/>
      <c r="EC105" s="656"/>
      <c r="ED105" s="656"/>
      <c r="EE105" s="656"/>
      <c r="EF105" s="656"/>
      <c r="EG105" s="656"/>
      <c r="EH105" s="656"/>
      <c r="EI105" s="656"/>
      <c r="EJ105" s="656"/>
      <c r="EK105" s="656"/>
      <c r="EL105" s="656"/>
      <c r="EM105" s="656"/>
      <c r="EN105" s="656"/>
      <c r="EO105" s="656"/>
      <c r="EP105" s="656"/>
      <c r="EQ105" s="656"/>
      <c r="ER105" s="656"/>
      <c r="ES105" s="656"/>
      <c r="ET105" s="656"/>
      <c r="EU105" s="656"/>
      <c r="EV105" s="656"/>
      <c r="EW105" s="656"/>
      <c r="EX105" s="656"/>
      <c r="EY105" s="656"/>
      <c r="EZ105" s="656"/>
      <c r="FA105" s="656"/>
      <c r="FB105" s="656"/>
      <c r="FC105" s="656"/>
      <c r="FD105" s="656"/>
      <c r="FE105" s="656"/>
      <c r="FF105" s="656"/>
      <c r="FG105" s="656"/>
      <c r="FH105" s="656"/>
      <c r="FI105" s="656"/>
      <c r="FJ105" s="656"/>
      <c r="FK105" s="656"/>
      <c r="FL105" s="656"/>
      <c r="FM105" s="656"/>
      <c r="FN105" s="656"/>
      <c r="FO105" s="656"/>
      <c r="FP105" s="656"/>
      <c r="FQ105" s="656"/>
      <c r="FR105" s="656"/>
      <c r="FS105" s="656"/>
      <c r="FT105" s="656"/>
      <c r="FU105" s="656"/>
      <c r="FV105" s="656"/>
      <c r="FW105" s="656"/>
      <c r="FX105" s="656"/>
      <c r="FY105" s="656"/>
      <c r="FZ105" s="656"/>
      <c r="GA105" s="656"/>
      <c r="GB105" s="656"/>
      <c r="GC105" s="656"/>
      <c r="GD105" s="656"/>
      <c r="GE105" s="656"/>
      <c r="GF105" s="656"/>
      <c r="GG105" s="656"/>
      <c r="GH105" s="656"/>
      <c r="GI105" s="656"/>
      <c r="GJ105" s="656"/>
      <c r="GK105" s="656"/>
      <c r="GL105" s="656"/>
      <c r="GM105" s="656"/>
      <c r="GN105" s="656"/>
      <c r="GO105" s="656"/>
      <c r="GP105" s="656"/>
      <c r="GQ105" s="656"/>
      <c r="GR105" s="656"/>
      <c r="GS105" s="656"/>
      <c r="GT105" s="656"/>
      <c r="GU105" s="656"/>
      <c r="GV105" s="656"/>
      <c r="GW105" s="656"/>
      <c r="GX105" s="656"/>
      <c r="GY105" s="656"/>
      <c r="GZ105" s="656"/>
      <c r="HA105" s="656"/>
      <c r="HB105" s="656"/>
      <c r="HC105" s="656"/>
      <c r="HD105" s="656"/>
      <c r="HE105" s="656"/>
      <c r="HF105" s="656"/>
      <c r="HG105" s="656"/>
      <c r="HH105" s="656"/>
      <c r="HI105" s="656"/>
      <c r="HJ105" s="656"/>
      <c r="HK105" s="656"/>
      <c r="HL105" s="656"/>
      <c r="HM105" s="656"/>
      <c r="HN105" s="656"/>
      <c r="HO105" s="656"/>
      <c r="HP105" s="656"/>
      <c r="HQ105" s="656"/>
      <c r="HR105" s="656"/>
      <c r="HS105" s="656"/>
      <c r="HT105" s="656"/>
      <c r="HU105" s="656"/>
      <c r="HV105" s="656"/>
      <c r="HW105" s="656"/>
      <c r="HX105" s="656"/>
      <c r="HY105" s="656"/>
      <c r="HZ105" s="656"/>
    </row>
    <row r="106" spans="1:234" s="657" customFormat="1" ht="28.5" x14ac:dyDescent="0.25">
      <c r="A106" s="698"/>
      <c r="B106" s="1014">
        <v>26</v>
      </c>
      <c r="C106" s="1015" t="s">
        <v>1315</v>
      </c>
      <c r="D106" s="1027" t="s">
        <v>848</v>
      </c>
      <c r="E106" s="1017">
        <v>1</v>
      </c>
      <c r="F106" s="1018">
        <v>185727</v>
      </c>
      <c r="G106" s="1019">
        <v>185727</v>
      </c>
      <c r="H106" s="486">
        <v>6</v>
      </c>
      <c r="I106" s="1054">
        <v>0</v>
      </c>
      <c r="J106" s="1020">
        <v>0</v>
      </c>
      <c r="K106" s="1021">
        <v>0</v>
      </c>
      <c r="L106" s="480"/>
      <c r="M106" s="1029">
        <v>0</v>
      </c>
      <c r="N106" s="488">
        <v>0</v>
      </c>
      <c r="O106" s="1029">
        <v>0</v>
      </c>
      <c r="P106" s="488">
        <v>0</v>
      </c>
      <c r="Q106" s="1029">
        <v>0</v>
      </c>
      <c r="R106" s="488">
        <v>0</v>
      </c>
      <c r="S106" s="1023"/>
      <c r="T106" s="656"/>
      <c r="U106" s="656"/>
      <c r="V106" s="656"/>
      <c r="W106" s="656"/>
      <c r="X106" s="656"/>
      <c r="Y106" s="656"/>
      <c r="Z106" s="656"/>
      <c r="AA106" s="656"/>
      <c r="AB106" s="656"/>
      <c r="AC106" s="656"/>
      <c r="AD106" s="656"/>
      <c r="AE106" s="656"/>
      <c r="AF106" s="656"/>
      <c r="AG106" s="656"/>
      <c r="AH106" s="656"/>
      <c r="AI106" s="656"/>
      <c r="AJ106" s="656"/>
      <c r="AK106" s="656"/>
      <c r="AL106" s="656"/>
      <c r="AM106" s="656"/>
      <c r="AN106" s="656"/>
      <c r="AO106" s="656"/>
      <c r="AP106" s="656"/>
      <c r="AQ106" s="656"/>
      <c r="AR106" s="656"/>
      <c r="AS106" s="656"/>
      <c r="AT106" s="656"/>
      <c r="AU106" s="656"/>
      <c r="AV106" s="656"/>
      <c r="AW106" s="656"/>
      <c r="AX106" s="656"/>
      <c r="AY106" s="656"/>
      <c r="AZ106" s="656"/>
      <c r="BA106" s="656"/>
      <c r="BB106" s="656"/>
      <c r="BC106" s="656"/>
      <c r="BD106" s="656"/>
      <c r="BE106" s="656"/>
      <c r="BF106" s="656"/>
      <c r="BG106" s="656"/>
      <c r="BH106" s="656"/>
      <c r="BI106" s="656"/>
      <c r="BJ106" s="656"/>
      <c r="BK106" s="656"/>
      <c r="BL106" s="656"/>
      <c r="BM106" s="656"/>
      <c r="BN106" s="656"/>
      <c r="BO106" s="656"/>
      <c r="BP106" s="656"/>
      <c r="BQ106" s="656"/>
      <c r="BR106" s="656"/>
      <c r="BS106" s="656"/>
      <c r="BT106" s="656"/>
      <c r="BU106" s="656"/>
      <c r="BV106" s="656"/>
      <c r="BW106" s="656"/>
      <c r="BX106" s="656"/>
      <c r="BY106" s="656"/>
      <c r="BZ106" s="656"/>
      <c r="CA106" s="656"/>
      <c r="CB106" s="656"/>
      <c r="CC106" s="656"/>
      <c r="CD106" s="656"/>
      <c r="CE106" s="656"/>
      <c r="CF106" s="656"/>
      <c r="CG106" s="656"/>
      <c r="CH106" s="656"/>
      <c r="CI106" s="656"/>
      <c r="CJ106" s="656"/>
      <c r="CK106" s="656"/>
      <c r="CL106" s="656"/>
      <c r="CM106" s="656"/>
      <c r="CN106" s="656"/>
      <c r="CO106" s="656"/>
      <c r="CP106" s="656"/>
      <c r="CQ106" s="656"/>
      <c r="CR106" s="656"/>
      <c r="CS106" s="656"/>
      <c r="CT106" s="656"/>
      <c r="CU106" s="656"/>
      <c r="CV106" s="656"/>
      <c r="CW106" s="656"/>
      <c r="CX106" s="656"/>
      <c r="CY106" s="656"/>
      <c r="CZ106" s="656"/>
      <c r="DA106" s="656"/>
      <c r="DB106" s="656"/>
      <c r="DC106" s="656"/>
      <c r="DD106" s="656"/>
      <c r="DE106" s="656"/>
      <c r="DF106" s="656"/>
      <c r="DG106" s="656"/>
      <c r="DH106" s="656"/>
      <c r="DI106" s="656"/>
      <c r="DJ106" s="656"/>
      <c r="DK106" s="656"/>
      <c r="DL106" s="656"/>
      <c r="DM106" s="656"/>
      <c r="DN106" s="656"/>
      <c r="DO106" s="656"/>
      <c r="DP106" s="656"/>
      <c r="DQ106" s="656"/>
      <c r="DR106" s="656"/>
      <c r="DS106" s="656"/>
      <c r="DT106" s="656"/>
      <c r="DU106" s="656"/>
      <c r="DV106" s="656"/>
      <c r="DW106" s="656"/>
      <c r="DX106" s="656"/>
      <c r="DY106" s="656"/>
      <c r="DZ106" s="656"/>
      <c r="EA106" s="656"/>
      <c r="EB106" s="656"/>
      <c r="EC106" s="656"/>
      <c r="ED106" s="656"/>
      <c r="EE106" s="656"/>
      <c r="EF106" s="656"/>
      <c r="EG106" s="656"/>
      <c r="EH106" s="656"/>
      <c r="EI106" s="656"/>
      <c r="EJ106" s="656"/>
      <c r="EK106" s="656"/>
      <c r="EL106" s="656"/>
      <c r="EM106" s="656"/>
      <c r="EN106" s="656"/>
      <c r="EO106" s="656"/>
      <c r="EP106" s="656"/>
      <c r="EQ106" s="656"/>
      <c r="ER106" s="656"/>
      <c r="ES106" s="656"/>
      <c r="ET106" s="656"/>
      <c r="EU106" s="656"/>
      <c r="EV106" s="656"/>
      <c r="EW106" s="656"/>
      <c r="EX106" s="656"/>
      <c r="EY106" s="656"/>
      <c r="EZ106" s="656"/>
      <c r="FA106" s="656"/>
      <c r="FB106" s="656"/>
      <c r="FC106" s="656"/>
      <c r="FD106" s="656"/>
      <c r="FE106" s="656"/>
      <c r="FF106" s="656"/>
      <c r="FG106" s="656"/>
      <c r="FH106" s="656"/>
      <c r="FI106" s="656"/>
      <c r="FJ106" s="656"/>
      <c r="FK106" s="656"/>
      <c r="FL106" s="656"/>
      <c r="FM106" s="656"/>
      <c r="FN106" s="656"/>
      <c r="FO106" s="656"/>
      <c r="FP106" s="656"/>
      <c r="FQ106" s="656"/>
      <c r="FR106" s="656"/>
      <c r="FS106" s="656"/>
      <c r="FT106" s="656"/>
      <c r="FU106" s="656"/>
      <c r="FV106" s="656"/>
      <c r="FW106" s="656"/>
      <c r="FX106" s="656"/>
      <c r="FY106" s="656"/>
      <c r="FZ106" s="656"/>
      <c r="GA106" s="656"/>
      <c r="GB106" s="656"/>
      <c r="GC106" s="656"/>
      <c r="GD106" s="656"/>
      <c r="GE106" s="656"/>
      <c r="GF106" s="656"/>
      <c r="GG106" s="656"/>
      <c r="GH106" s="656"/>
      <c r="GI106" s="656"/>
      <c r="GJ106" s="656"/>
      <c r="GK106" s="656"/>
      <c r="GL106" s="656"/>
      <c r="GM106" s="656"/>
      <c r="GN106" s="656"/>
      <c r="GO106" s="656"/>
      <c r="GP106" s="656"/>
      <c r="GQ106" s="656"/>
      <c r="GR106" s="656"/>
      <c r="GS106" s="656"/>
      <c r="GT106" s="656"/>
      <c r="GU106" s="656"/>
      <c r="GV106" s="656"/>
      <c r="GW106" s="656"/>
      <c r="GX106" s="656"/>
      <c r="GY106" s="656"/>
      <c r="GZ106" s="656"/>
      <c r="HA106" s="656"/>
      <c r="HB106" s="656"/>
      <c r="HC106" s="656"/>
      <c r="HD106" s="656"/>
      <c r="HE106" s="656"/>
      <c r="HF106" s="656"/>
      <c r="HG106" s="656"/>
      <c r="HH106" s="656"/>
      <c r="HI106" s="656"/>
      <c r="HJ106" s="656"/>
      <c r="HK106" s="656"/>
      <c r="HL106" s="656"/>
      <c r="HM106" s="656"/>
      <c r="HN106" s="656"/>
      <c r="HO106" s="656"/>
      <c r="HP106" s="656"/>
      <c r="HQ106" s="656"/>
      <c r="HR106" s="656"/>
      <c r="HS106" s="656"/>
      <c r="HT106" s="656"/>
      <c r="HU106" s="656"/>
      <c r="HV106" s="656"/>
      <c r="HW106" s="656"/>
      <c r="HX106" s="656"/>
      <c r="HY106" s="656"/>
      <c r="HZ106" s="656"/>
    </row>
    <row r="107" spans="1:234" s="657" customFormat="1" ht="57" x14ac:dyDescent="0.25">
      <c r="A107" s="698"/>
      <c r="B107" s="1014">
        <v>31</v>
      </c>
      <c r="C107" s="1015" t="s">
        <v>854</v>
      </c>
      <c r="D107" s="1027" t="s">
        <v>847</v>
      </c>
      <c r="E107" s="1017">
        <v>1</v>
      </c>
      <c r="F107" s="1018">
        <v>137520</v>
      </c>
      <c r="G107" s="1019">
        <v>137520</v>
      </c>
      <c r="H107" s="486">
        <v>3</v>
      </c>
      <c r="I107" s="1054">
        <v>0</v>
      </c>
      <c r="J107" s="1020">
        <v>0</v>
      </c>
      <c r="K107" s="1021">
        <v>0</v>
      </c>
      <c r="L107" s="480"/>
      <c r="M107" s="1029">
        <v>0</v>
      </c>
      <c r="N107" s="488">
        <v>0</v>
      </c>
      <c r="O107" s="1029">
        <v>0</v>
      </c>
      <c r="P107" s="488">
        <v>0</v>
      </c>
      <c r="Q107" s="1029">
        <v>0</v>
      </c>
      <c r="R107" s="488">
        <v>0</v>
      </c>
      <c r="S107" s="1023"/>
      <c r="T107" s="656"/>
      <c r="U107" s="656"/>
      <c r="V107" s="656"/>
      <c r="W107" s="656"/>
      <c r="X107" s="656"/>
      <c r="Y107" s="656"/>
      <c r="Z107" s="656"/>
      <c r="AA107" s="656"/>
      <c r="AB107" s="656"/>
      <c r="AC107" s="656"/>
      <c r="AD107" s="656"/>
      <c r="AE107" s="656"/>
      <c r="AF107" s="656"/>
      <c r="AG107" s="656"/>
      <c r="AH107" s="656"/>
      <c r="AI107" s="656"/>
      <c r="AJ107" s="656"/>
      <c r="AK107" s="656"/>
      <c r="AL107" s="656"/>
      <c r="AM107" s="656"/>
      <c r="AN107" s="656"/>
      <c r="AO107" s="656"/>
      <c r="AP107" s="656"/>
      <c r="AQ107" s="656"/>
      <c r="AR107" s="656"/>
      <c r="AS107" s="656"/>
      <c r="AT107" s="656"/>
      <c r="AU107" s="656"/>
      <c r="AV107" s="656"/>
      <c r="AW107" s="656"/>
      <c r="AX107" s="656"/>
      <c r="AY107" s="656"/>
      <c r="AZ107" s="656"/>
      <c r="BA107" s="656"/>
      <c r="BB107" s="656"/>
      <c r="BC107" s="656"/>
      <c r="BD107" s="656"/>
      <c r="BE107" s="656"/>
      <c r="BF107" s="656"/>
      <c r="BG107" s="656"/>
      <c r="BH107" s="656"/>
      <c r="BI107" s="656"/>
      <c r="BJ107" s="656"/>
      <c r="BK107" s="656"/>
      <c r="BL107" s="656"/>
      <c r="BM107" s="656"/>
      <c r="BN107" s="656"/>
      <c r="BO107" s="656"/>
      <c r="BP107" s="656"/>
      <c r="BQ107" s="656"/>
      <c r="BR107" s="656"/>
      <c r="BS107" s="656"/>
      <c r="BT107" s="656"/>
      <c r="BU107" s="656"/>
      <c r="BV107" s="656"/>
      <c r="BW107" s="656"/>
      <c r="BX107" s="656"/>
      <c r="BY107" s="656"/>
      <c r="BZ107" s="656"/>
      <c r="CA107" s="656"/>
      <c r="CB107" s="656"/>
      <c r="CC107" s="656"/>
      <c r="CD107" s="656"/>
      <c r="CE107" s="656"/>
      <c r="CF107" s="656"/>
      <c r="CG107" s="656"/>
      <c r="CH107" s="656"/>
      <c r="CI107" s="656"/>
      <c r="CJ107" s="656"/>
      <c r="CK107" s="656"/>
      <c r="CL107" s="656"/>
      <c r="CM107" s="656"/>
      <c r="CN107" s="656"/>
      <c r="CO107" s="656"/>
      <c r="CP107" s="656"/>
      <c r="CQ107" s="656"/>
      <c r="CR107" s="656"/>
      <c r="CS107" s="656"/>
      <c r="CT107" s="656"/>
      <c r="CU107" s="656"/>
      <c r="CV107" s="656"/>
      <c r="CW107" s="656"/>
      <c r="CX107" s="656"/>
      <c r="CY107" s="656"/>
      <c r="CZ107" s="656"/>
      <c r="DA107" s="656"/>
      <c r="DB107" s="656"/>
      <c r="DC107" s="656"/>
      <c r="DD107" s="656"/>
      <c r="DE107" s="656"/>
      <c r="DF107" s="656"/>
      <c r="DG107" s="656"/>
      <c r="DH107" s="656"/>
      <c r="DI107" s="656"/>
      <c r="DJ107" s="656"/>
      <c r="DK107" s="656"/>
      <c r="DL107" s="656"/>
      <c r="DM107" s="656"/>
      <c r="DN107" s="656"/>
      <c r="DO107" s="656"/>
      <c r="DP107" s="656"/>
      <c r="DQ107" s="656"/>
      <c r="DR107" s="656"/>
      <c r="DS107" s="656"/>
      <c r="DT107" s="656"/>
      <c r="DU107" s="656"/>
      <c r="DV107" s="656"/>
      <c r="DW107" s="656"/>
      <c r="DX107" s="656"/>
      <c r="DY107" s="656"/>
      <c r="DZ107" s="656"/>
      <c r="EA107" s="656"/>
      <c r="EB107" s="656"/>
      <c r="EC107" s="656"/>
      <c r="ED107" s="656"/>
      <c r="EE107" s="656"/>
      <c r="EF107" s="656"/>
      <c r="EG107" s="656"/>
      <c r="EH107" s="656"/>
      <c r="EI107" s="656"/>
      <c r="EJ107" s="656"/>
      <c r="EK107" s="656"/>
      <c r="EL107" s="656"/>
      <c r="EM107" s="656"/>
      <c r="EN107" s="656"/>
      <c r="EO107" s="656"/>
      <c r="EP107" s="656"/>
      <c r="EQ107" s="656"/>
      <c r="ER107" s="656"/>
      <c r="ES107" s="656"/>
      <c r="ET107" s="656"/>
      <c r="EU107" s="656"/>
      <c r="EV107" s="656"/>
      <c r="EW107" s="656"/>
      <c r="EX107" s="656"/>
      <c r="EY107" s="656"/>
      <c r="EZ107" s="656"/>
      <c r="FA107" s="656"/>
      <c r="FB107" s="656"/>
      <c r="FC107" s="656"/>
      <c r="FD107" s="656"/>
      <c r="FE107" s="656"/>
      <c r="FF107" s="656"/>
      <c r="FG107" s="656"/>
      <c r="FH107" s="656"/>
      <c r="FI107" s="656"/>
      <c r="FJ107" s="656"/>
      <c r="FK107" s="656"/>
      <c r="FL107" s="656"/>
      <c r="FM107" s="656"/>
      <c r="FN107" s="656"/>
      <c r="FO107" s="656"/>
      <c r="FP107" s="656"/>
      <c r="FQ107" s="656"/>
      <c r="FR107" s="656"/>
      <c r="FS107" s="656"/>
      <c r="FT107" s="656"/>
      <c r="FU107" s="656"/>
      <c r="FV107" s="656"/>
      <c r="FW107" s="656"/>
      <c r="FX107" s="656"/>
      <c r="FY107" s="656"/>
      <c r="FZ107" s="656"/>
      <c r="GA107" s="656"/>
      <c r="GB107" s="656"/>
      <c r="GC107" s="656"/>
      <c r="GD107" s="656"/>
      <c r="GE107" s="656"/>
      <c r="GF107" s="656"/>
      <c r="GG107" s="656"/>
      <c r="GH107" s="656"/>
      <c r="GI107" s="656"/>
      <c r="GJ107" s="656"/>
      <c r="GK107" s="656"/>
      <c r="GL107" s="656"/>
      <c r="GM107" s="656"/>
      <c r="GN107" s="656"/>
      <c r="GO107" s="656"/>
      <c r="GP107" s="656"/>
      <c r="GQ107" s="656"/>
      <c r="GR107" s="656"/>
      <c r="GS107" s="656"/>
      <c r="GT107" s="656"/>
      <c r="GU107" s="656"/>
      <c r="GV107" s="656"/>
      <c r="GW107" s="656"/>
      <c r="GX107" s="656"/>
      <c r="GY107" s="656"/>
      <c r="GZ107" s="656"/>
      <c r="HA107" s="656"/>
      <c r="HB107" s="656"/>
      <c r="HC107" s="656"/>
      <c r="HD107" s="656"/>
      <c r="HE107" s="656"/>
      <c r="HF107" s="656"/>
      <c r="HG107" s="656"/>
      <c r="HH107" s="656"/>
      <c r="HI107" s="656"/>
      <c r="HJ107" s="656"/>
      <c r="HK107" s="656"/>
      <c r="HL107" s="656"/>
      <c r="HM107" s="656"/>
      <c r="HN107" s="656"/>
      <c r="HO107" s="656"/>
      <c r="HP107" s="656"/>
      <c r="HQ107" s="656"/>
      <c r="HR107" s="656"/>
      <c r="HS107" s="656"/>
      <c r="HT107" s="656"/>
      <c r="HU107" s="656"/>
      <c r="HV107" s="656"/>
      <c r="HW107" s="656"/>
      <c r="HX107" s="656"/>
      <c r="HY107" s="656"/>
      <c r="HZ107" s="656"/>
    </row>
    <row r="108" spans="1:234" s="657" customFormat="1" x14ac:dyDescent="0.25">
      <c r="A108" s="698"/>
      <c r="B108" s="1014">
        <v>70</v>
      </c>
      <c r="C108" s="1015" t="s">
        <v>607</v>
      </c>
      <c r="D108" s="1027" t="s">
        <v>880</v>
      </c>
      <c r="E108" s="1017">
        <v>1</v>
      </c>
      <c r="F108" s="1018">
        <v>13170</v>
      </c>
      <c r="G108" s="1019">
        <v>13170</v>
      </c>
      <c r="H108" s="486">
        <v>24</v>
      </c>
      <c r="I108" s="1054">
        <v>0</v>
      </c>
      <c r="J108" s="1020">
        <v>0</v>
      </c>
      <c r="K108" s="1021">
        <v>0</v>
      </c>
      <c r="L108" s="480"/>
      <c r="M108" s="1029">
        <v>0</v>
      </c>
      <c r="N108" s="488">
        <v>0</v>
      </c>
      <c r="O108" s="1029">
        <v>0</v>
      </c>
      <c r="P108" s="488">
        <v>0</v>
      </c>
      <c r="Q108" s="1029">
        <v>0</v>
      </c>
      <c r="R108" s="488">
        <v>0</v>
      </c>
      <c r="S108" s="1023"/>
      <c r="T108" s="656"/>
      <c r="U108" s="656"/>
      <c r="V108" s="656"/>
      <c r="W108" s="656"/>
      <c r="X108" s="656"/>
      <c r="Y108" s="656"/>
      <c r="Z108" s="656"/>
      <c r="AA108" s="656"/>
      <c r="AB108" s="656"/>
      <c r="AC108" s="656"/>
      <c r="AD108" s="656"/>
      <c r="AE108" s="656"/>
      <c r="AF108" s="656"/>
      <c r="AG108" s="656"/>
      <c r="AH108" s="656"/>
      <c r="AI108" s="656"/>
      <c r="AJ108" s="656"/>
      <c r="AK108" s="656"/>
      <c r="AL108" s="656"/>
      <c r="AM108" s="656"/>
      <c r="AN108" s="656"/>
      <c r="AO108" s="656"/>
      <c r="AP108" s="656"/>
      <c r="AQ108" s="656"/>
      <c r="AR108" s="656"/>
      <c r="AS108" s="656"/>
      <c r="AT108" s="656"/>
      <c r="AU108" s="656"/>
      <c r="AV108" s="656"/>
      <c r="AW108" s="656"/>
      <c r="AX108" s="656"/>
      <c r="AY108" s="656"/>
      <c r="AZ108" s="656"/>
      <c r="BA108" s="656"/>
      <c r="BB108" s="656"/>
      <c r="BC108" s="656"/>
      <c r="BD108" s="656"/>
      <c r="BE108" s="656"/>
      <c r="BF108" s="656"/>
      <c r="BG108" s="656"/>
      <c r="BH108" s="656"/>
      <c r="BI108" s="656"/>
      <c r="BJ108" s="656"/>
      <c r="BK108" s="656"/>
      <c r="BL108" s="656"/>
      <c r="BM108" s="656"/>
      <c r="BN108" s="656"/>
      <c r="BO108" s="656"/>
      <c r="BP108" s="656"/>
      <c r="BQ108" s="656"/>
      <c r="BR108" s="656"/>
      <c r="BS108" s="656"/>
      <c r="BT108" s="656"/>
      <c r="BU108" s="656"/>
      <c r="BV108" s="656"/>
      <c r="BW108" s="656"/>
      <c r="BX108" s="656"/>
      <c r="BY108" s="656"/>
      <c r="BZ108" s="656"/>
      <c r="CA108" s="656"/>
      <c r="CB108" s="656"/>
      <c r="CC108" s="656"/>
      <c r="CD108" s="656"/>
      <c r="CE108" s="656"/>
      <c r="CF108" s="656"/>
      <c r="CG108" s="656"/>
      <c r="CH108" s="656"/>
      <c r="CI108" s="656"/>
      <c r="CJ108" s="656"/>
      <c r="CK108" s="656"/>
      <c r="CL108" s="656"/>
      <c r="CM108" s="656"/>
      <c r="CN108" s="656"/>
      <c r="CO108" s="656"/>
      <c r="CP108" s="656"/>
      <c r="CQ108" s="656"/>
      <c r="CR108" s="656"/>
      <c r="CS108" s="656"/>
      <c r="CT108" s="656"/>
      <c r="CU108" s="656"/>
      <c r="CV108" s="656"/>
      <c r="CW108" s="656"/>
      <c r="CX108" s="656"/>
      <c r="CY108" s="656"/>
      <c r="CZ108" s="656"/>
      <c r="DA108" s="656"/>
      <c r="DB108" s="656"/>
      <c r="DC108" s="656"/>
      <c r="DD108" s="656"/>
      <c r="DE108" s="656"/>
      <c r="DF108" s="656"/>
      <c r="DG108" s="656"/>
      <c r="DH108" s="656"/>
      <c r="DI108" s="656"/>
      <c r="DJ108" s="656"/>
      <c r="DK108" s="656"/>
      <c r="DL108" s="656"/>
      <c r="DM108" s="656"/>
      <c r="DN108" s="656"/>
      <c r="DO108" s="656"/>
      <c r="DP108" s="656"/>
      <c r="DQ108" s="656"/>
      <c r="DR108" s="656"/>
      <c r="DS108" s="656"/>
      <c r="DT108" s="656"/>
      <c r="DU108" s="656"/>
      <c r="DV108" s="656"/>
      <c r="DW108" s="656"/>
      <c r="DX108" s="656"/>
      <c r="DY108" s="656"/>
      <c r="DZ108" s="656"/>
      <c r="EA108" s="656"/>
      <c r="EB108" s="656"/>
      <c r="EC108" s="656"/>
      <c r="ED108" s="656"/>
      <c r="EE108" s="656"/>
      <c r="EF108" s="656"/>
      <c r="EG108" s="656"/>
      <c r="EH108" s="656"/>
      <c r="EI108" s="656"/>
      <c r="EJ108" s="656"/>
      <c r="EK108" s="656"/>
      <c r="EL108" s="656"/>
      <c r="EM108" s="656"/>
      <c r="EN108" s="656"/>
      <c r="EO108" s="656"/>
      <c r="EP108" s="656"/>
      <c r="EQ108" s="656"/>
      <c r="ER108" s="656"/>
      <c r="ES108" s="656"/>
      <c r="ET108" s="656"/>
      <c r="EU108" s="656"/>
      <c r="EV108" s="656"/>
      <c r="EW108" s="656"/>
      <c r="EX108" s="656"/>
      <c r="EY108" s="656"/>
      <c r="EZ108" s="656"/>
      <c r="FA108" s="656"/>
      <c r="FB108" s="656"/>
      <c r="FC108" s="656"/>
      <c r="FD108" s="656"/>
      <c r="FE108" s="656"/>
      <c r="FF108" s="656"/>
      <c r="FG108" s="656"/>
      <c r="FH108" s="656"/>
      <c r="FI108" s="656"/>
      <c r="FJ108" s="656"/>
      <c r="FK108" s="656"/>
      <c r="FL108" s="656"/>
      <c r="FM108" s="656"/>
      <c r="FN108" s="656"/>
      <c r="FO108" s="656"/>
      <c r="FP108" s="656"/>
      <c r="FQ108" s="656"/>
      <c r="FR108" s="656"/>
      <c r="FS108" s="656"/>
      <c r="FT108" s="656"/>
      <c r="FU108" s="656"/>
      <c r="FV108" s="656"/>
      <c r="FW108" s="656"/>
      <c r="FX108" s="656"/>
      <c r="FY108" s="656"/>
      <c r="FZ108" s="656"/>
      <c r="GA108" s="656"/>
      <c r="GB108" s="656"/>
      <c r="GC108" s="656"/>
      <c r="GD108" s="656"/>
      <c r="GE108" s="656"/>
      <c r="GF108" s="656"/>
      <c r="GG108" s="656"/>
      <c r="GH108" s="656"/>
      <c r="GI108" s="656"/>
      <c r="GJ108" s="656"/>
      <c r="GK108" s="656"/>
      <c r="GL108" s="656"/>
      <c r="GM108" s="656"/>
      <c r="GN108" s="656"/>
      <c r="GO108" s="656"/>
      <c r="GP108" s="656"/>
      <c r="GQ108" s="656"/>
      <c r="GR108" s="656"/>
      <c r="GS108" s="656"/>
      <c r="GT108" s="656"/>
      <c r="GU108" s="656"/>
      <c r="GV108" s="656"/>
      <c r="GW108" s="656"/>
      <c r="GX108" s="656"/>
      <c r="GY108" s="656"/>
      <c r="GZ108" s="656"/>
      <c r="HA108" s="656"/>
      <c r="HB108" s="656"/>
      <c r="HC108" s="656"/>
      <c r="HD108" s="656"/>
      <c r="HE108" s="656"/>
      <c r="HF108" s="656"/>
      <c r="HG108" s="656"/>
      <c r="HH108" s="656"/>
      <c r="HI108" s="656"/>
      <c r="HJ108" s="656"/>
      <c r="HK108" s="656"/>
      <c r="HL108" s="656"/>
      <c r="HM108" s="656"/>
      <c r="HN108" s="656"/>
      <c r="HO108" s="656"/>
      <c r="HP108" s="656"/>
      <c r="HQ108" s="656"/>
      <c r="HR108" s="656"/>
      <c r="HS108" s="656"/>
      <c r="HT108" s="656"/>
      <c r="HU108" s="656"/>
      <c r="HV108" s="656"/>
      <c r="HW108" s="656"/>
      <c r="HX108" s="656"/>
      <c r="HY108" s="656"/>
      <c r="HZ108" s="656"/>
    </row>
    <row r="109" spans="1:234" s="657" customFormat="1" ht="28.5" x14ac:dyDescent="0.25">
      <c r="A109" s="698"/>
      <c r="B109" s="1014">
        <v>71</v>
      </c>
      <c r="C109" s="1015" t="s">
        <v>609</v>
      </c>
      <c r="D109" s="1027" t="s">
        <v>880</v>
      </c>
      <c r="E109" s="1017">
        <v>1</v>
      </c>
      <c r="F109" s="1018">
        <v>76301</v>
      </c>
      <c r="G109" s="1019">
        <v>76301</v>
      </c>
      <c r="H109" s="486">
        <v>24</v>
      </c>
      <c r="I109" s="1054">
        <v>0</v>
      </c>
      <c r="J109" s="1020">
        <v>0</v>
      </c>
      <c r="K109" s="1021">
        <v>0</v>
      </c>
      <c r="L109" s="480"/>
      <c r="M109" s="1029">
        <v>0</v>
      </c>
      <c r="N109" s="488">
        <v>0</v>
      </c>
      <c r="O109" s="1029">
        <v>0</v>
      </c>
      <c r="P109" s="488">
        <v>0</v>
      </c>
      <c r="Q109" s="1029">
        <v>0</v>
      </c>
      <c r="R109" s="488">
        <v>0</v>
      </c>
      <c r="S109" s="1023"/>
      <c r="T109" s="656"/>
      <c r="U109" s="656"/>
      <c r="V109" s="656"/>
      <c r="W109" s="656"/>
      <c r="X109" s="656"/>
      <c r="Y109" s="656"/>
      <c r="Z109" s="656"/>
      <c r="AA109" s="656"/>
      <c r="AB109" s="656"/>
      <c r="AC109" s="656"/>
      <c r="AD109" s="656"/>
      <c r="AE109" s="656"/>
      <c r="AF109" s="656"/>
      <c r="AG109" s="656"/>
      <c r="AH109" s="656"/>
      <c r="AI109" s="656"/>
      <c r="AJ109" s="656"/>
      <c r="AK109" s="656"/>
      <c r="AL109" s="656"/>
      <c r="AM109" s="656"/>
      <c r="AN109" s="656"/>
      <c r="AO109" s="656"/>
      <c r="AP109" s="656"/>
      <c r="AQ109" s="656"/>
      <c r="AR109" s="656"/>
      <c r="AS109" s="656"/>
      <c r="AT109" s="656"/>
      <c r="AU109" s="656"/>
      <c r="AV109" s="656"/>
      <c r="AW109" s="656"/>
      <c r="AX109" s="656"/>
      <c r="AY109" s="656"/>
      <c r="AZ109" s="656"/>
      <c r="BA109" s="656"/>
      <c r="BB109" s="656"/>
      <c r="BC109" s="656"/>
      <c r="BD109" s="656"/>
      <c r="BE109" s="656"/>
      <c r="BF109" s="656"/>
      <c r="BG109" s="656"/>
      <c r="BH109" s="656"/>
      <c r="BI109" s="656"/>
      <c r="BJ109" s="656"/>
      <c r="BK109" s="656"/>
      <c r="BL109" s="656"/>
      <c r="BM109" s="656"/>
      <c r="BN109" s="656"/>
      <c r="BO109" s="656"/>
      <c r="BP109" s="656"/>
      <c r="BQ109" s="656"/>
      <c r="BR109" s="656"/>
      <c r="BS109" s="656"/>
      <c r="BT109" s="656"/>
      <c r="BU109" s="656"/>
      <c r="BV109" s="656"/>
      <c r="BW109" s="656"/>
      <c r="BX109" s="656"/>
      <c r="BY109" s="656"/>
      <c r="BZ109" s="656"/>
      <c r="CA109" s="656"/>
      <c r="CB109" s="656"/>
      <c r="CC109" s="656"/>
      <c r="CD109" s="656"/>
      <c r="CE109" s="656"/>
      <c r="CF109" s="656"/>
      <c r="CG109" s="656"/>
      <c r="CH109" s="656"/>
      <c r="CI109" s="656"/>
      <c r="CJ109" s="656"/>
      <c r="CK109" s="656"/>
      <c r="CL109" s="656"/>
      <c r="CM109" s="656"/>
      <c r="CN109" s="656"/>
      <c r="CO109" s="656"/>
      <c r="CP109" s="656"/>
      <c r="CQ109" s="656"/>
      <c r="CR109" s="656"/>
      <c r="CS109" s="656"/>
      <c r="CT109" s="656"/>
      <c r="CU109" s="656"/>
      <c r="CV109" s="656"/>
      <c r="CW109" s="656"/>
      <c r="CX109" s="656"/>
      <c r="CY109" s="656"/>
      <c r="CZ109" s="656"/>
      <c r="DA109" s="656"/>
      <c r="DB109" s="656"/>
      <c r="DC109" s="656"/>
      <c r="DD109" s="656"/>
      <c r="DE109" s="656"/>
      <c r="DF109" s="656"/>
      <c r="DG109" s="656"/>
      <c r="DH109" s="656"/>
      <c r="DI109" s="656"/>
      <c r="DJ109" s="656"/>
      <c r="DK109" s="656"/>
      <c r="DL109" s="656"/>
      <c r="DM109" s="656"/>
      <c r="DN109" s="656"/>
      <c r="DO109" s="656"/>
      <c r="DP109" s="656"/>
      <c r="DQ109" s="656"/>
      <c r="DR109" s="656"/>
      <c r="DS109" s="656"/>
      <c r="DT109" s="656"/>
      <c r="DU109" s="656"/>
      <c r="DV109" s="656"/>
      <c r="DW109" s="656"/>
      <c r="DX109" s="656"/>
      <c r="DY109" s="656"/>
      <c r="DZ109" s="656"/>
      <c r="EA109" s="656"/>
      <c r="EB109" s="656"/>
      <c r="EC109" s="656"/>
      <c r="ED109" s="656"/>
      <c r="EE109" s="656"/>
      <c r="EF109" s="656"/>
      <c r="EG109" s="656"/>
      <c r="EH109" s="656"/>
      <c r="EI109" s="656"/>
      <c r="EJ109" s="656"/>
      <c r="EK109" s="656"/>
      <c r="EL109" s="656"/>
      <c r="EM109" s="656"/>
      <c r="EN109" s="656"/>
      <c r="EO109" s="656"/>
      <c r="EP109" s="656"/>
      <c r="EQ109" s="656"/>
      <c r="ER109" s="656"/>
      <c r="ES109" s="656"/>
      <c r="ET109" s="656"/>
      <c r="EU109" s="656"/>
      <c r="EV109" s="656"/>
      <c r="EW109" s="656"/>
      <c r="EX109" s="656"/>
      <c r="EY109" s="656"/>
      <c r="EZ109" s="656"/>
      <c r="FA109" s="656"/>
      <c r="FB109" s="656"/>
      <c r="FC109" s="656"/>
      <c r="FD109" s="656"/>
      <c r="FE109" s="656"/>
      <c r="FF109" s="656"/>
      <c r="FG109" s="656"/>
      <c r="FH109" s="656"/>
      <c r="FI109" s="656"/>
      <c r="FJ109" s="656"/>
      <c r="FK109" s="656"/>
      <c r="FL109" s="656"/>
      <c r="FM109" s="656"/>
      <c r="FN109" s="656"/>
      <c r="FO109" s="656"/>
      <c r="FP109" s="656"/>
      <c r="FQ109" s="656"/>
      <c r="FR109" s="656"/>
      <c r="FS109" s="656"/>
      <c r="FT109" s="656"/>
      <c r="FU109" s="656"/>
      <c r="FV109" s="656"/>
      <c r="FW109" s="656"/>
      <c r="FX109" s="656"/>
      <c r="FY109" s="656"/>
      <c r="FZ109" s="656"/>
      <c r="GA109" s="656"/>
      <c r="GB109" s="656"/>
      <c r="GC109" s="656"/>
      <c r="GD109" s="656"/>
      <c r="GE109" s="656"/>
      <c r="GF109" s="656"/>
      <c r="GG109" s="656"/>
      <c r="GH109" s="656"/>
      <c r="GI109" s="656"/>
      <c r="GJ109" s="656"/>
      <c r="GK109" s="656"/>
      <c r="GL109" s="656"/>
      <c r="GM109" s="656"/>
      <c r="GN109" s="656"/>
      <c r="GO109" s="656"/>
      <c r="GP109" s="656"/>
      <c r="GQ109" s="656"/>
      <c r="GR109" s="656"/>
      <c r="GS109" s="656"/>
      <c r="GT109" s="656"/>
      <c r="GU109" s="656"/>
      <c r="GV109" s="656"/>
      <c r="GW109" s="656"/>
      <c r="GX109" s="656"/>
      <c r="GY109" s="656"/>
      <c r="GZ109" s="656"/>
      <c r="HA109" s="656"/>
      <c r="HB109" s="656"/>
      <c r="HC109" s="656"/>
      <c r="HD109" s="656"/>
      <c r="HE109" s="656"/>
      <c r="HF109" s="656"/>
      <c r="HG109" s="656"/>
      <c r="HH109" s="656"/>
      <c r="HI109" s="656"/>
      <c r="HJ109" s="656"/>
      <c r="HK109" s="656"/>
      <c r="HL109" s="656"/>
      <c r="HM109" s="656"/>
      <c r="HN109" s="656"/>
      <c r="HO109" s="656"/>
      <c r="HP109" s="656"/>
      <c r="HQ109" s="656"/>
      <c r="HR109" s="656"/>
      <c r="HS109" s="656"/>
      <c r="HT109" s="656"/>
      <c r="HU109" s="656"/>
      <c r="HV109" s="656"/>
      <c r="HW109" s="656"/>
      <c r="HX109" s="656"/>
      <c r="HY109" s="656"/>
      <c r="HZ109" s="656"/>
    </row>
    <row r="110" spans="1:234" s="657" customFormat="1" x14ac:dyDescent="0.25">
      <c r="A110" s="698"/>
      <c r="B110" s="1057"/>
      <c r="C110" s="1055" t="s">
        <v>1316</v>
      </c>
      <c r="D110" s="1049"/>
      <c r="E110" s="1049"/>
      <c r="F110" s="1049"/>
      <c r="G110" s="1039"/>
      <c r="H110" s="1050"/>
      <c r="I110" s="1041"/>
      <c r="J110" s="1042"/>
      <c r="K110" s="1052"/>
      <c r="L110" s="1044"/>
      <c r="M110" s="1045"/>
      <c r="N110" s="1046"/>
      <c r="O110" s="1045"/>
      <c r="P110" s="1046"/>
      <c r="Q110" s="1045"/>
      <c r="R110" s="1046"/>
      <c r="S110" s="1023"/>
      <c r="T110" s="656"/>
      <c r="U110" s="656"/>
      <c r="V110" s="656"/>
      <c r="W110" s="656"/>
      <c r="X110" s="656"/>
      <c r="Y110" s="656"/>
      <c r="Z110" s="656"/>
      <c r="AA110" s="656"/>
      <c r="AB110" s="656"/>
      <c r="AC110" s="656"/>
      <c r="AD110" s="656"/>
      <c r="AE110" s="656"/>
      <c r="AF110" s="656"/>
      <c r="AG110" s="656"/>
      <c r="AH110" s="656"/>
      <c r="AI110" s="656"/>
      <c r="AJ110" s="656"/>
      <c r="AK110" s="656"/>
      <c r="AL110" s="656"/>
      <c r="AM110" s="656"/>
      <c r="AN110" s="656"/>
      <c r="AO110" s="656"/>
      <c r="AP110" s="656"/>
      <c r="AQ110" s="656"/>
      <c r="AR110" s="656"/>
      <c r="AS110" s="656"/>
      <c r="AT110" s="656"/>
      <c r="AU110" s="656"/>
      <c r="AV110" s="656"/>
      <c r="AW110" s="656"/>
      <c r="AX110" s="656"/>
      <c r="AY110" s="656"/>
      <c r="AZ110" s="656"/>
      <c r="BA110" s="656"/>
      <c r="BB110" s="656"/>
      <c r="BC110" s="656"/>
      <c r="BD110" s="656"/>
      <c r="BE110" s="656"/>
      <c r="BF110" s="656"/>
      <c r="BG110" s="656"/>
      <c r="BH110" s="656"/>
      <c r="BI110" s="656"/>
      <c r="BJ110" s="656"/>
      <c r="BK110" s="656"/>
      <c r="BL110" s="656"/>
      <c r="BM110" s="656"/>
      <c r="BN110" s="656"/>
      <c r="BO110" s="656"/>
      <c r="BP110" s="656"/>
      <c r="BQ110" s="656"/>
      <c r="BR110" s="656"/>
      <c r="BS110" s="656"/>
      <c r="BT110" s="656"/>
      <c r="BU110" s="656"/>
      <c r="BV110" s="656"/>
      <c r="BW110" s="656"/>
      <c r="BX110" s="656"/>
      <c r="BY110" s="656"/>
      <c r="BZ110" s="656"/>
      <c r="CA110" s="656"/>
      <c r="CB110" s="656"/>
      <c r="CC110" s="656"/>
      <c r="CD110" s="656"/>
      <c r="CE110" s="656"/>
      <c r="CF110" s="656"/>
      <c r="CG110" s="656"/>
      <c r="CH110" s="656"/>
      <c r="CI110" s="656"/>
      <c r="CJ110" s="656"/>
      <c r="CK110" s="656"/>
      <c r="CL110" s="656"/>
      <c r="CM110" s="656"/>
      <c r="CN110" s="656"/>
      <c r="CO110" s="656"/>
      <c r="CP110" s="656"/>
      <c r="CQ110" s="656"/>
      <c r="CR110" s="656"/>
      <c r="CS110" s="656"/>
      <c r="CT110" s="656"/>
      <c r="CU110" s="656"/>
      <c r="CV110" s="656"/>
      <c r="CW110" s="656"/>
      <c r="CX110" s="656"/>
      <c r="CY110" s="656"/>
      <c r="CZ110" s="656"/>
      <c r="DA110" s="656"/>
      <c r="DB110" s="656"/>
      <c r="DC110" s="656"/>
      <c r="DD110" s="656"/>
      <c r="DE110" s="656"/>
      <c r="DF110" s="656"/>
      <c r="DG110" s="656"/>
      <c r="DH110" s="656"/>
      <c r="DI110" s="656"/>
      <c r="DJ110" s="656"/>
      <c r="DK110" s="656"/>
      <c r="DL110" s="656"/>
      <c r="DM110" s="656"/>
      <c r="DN110" s="656"/>
      <c r="DO110" s="656"/>
      <c r="DP110" s="656"/>
      <c r="DQ110" s="656"/>
      <c r="DR110" s="656"/>
      <c r="DS110" s="656"/>
      <c r="DT110" s="656"/>
      <c r="DU110" s="656"/>
      <c r="DV110" s="656"/>
      <c r="DW110" s="656"/>
      <c r="DX110" s="656"/>
      <c r="DY110" s="656"/>
      <c r="DZ110" s="656"/>
      <c r="EA110" s="656"/>
      <c r="EB110" s="656"/>
      <c r="EC110" s="656"/>
      <c r="ED110" s="656"/>
      <c r="EE110" s="656"/>
      <c r="EF110" s="656"/>
      <c r="EG110" s="656"/>
      <c r="EH110" s="656"/>
      <c r="EI110" s="656"/>
      <c r="EJ110" s="656"/>
      <c r="EK110" s="656"/>
      <c r="EL110" s="656"/>
      <c r="EM110" s="656"/>
      <c r="EN110" s="656"/>
      <c r="EO110" s="656"/>
      <c r="EP110" s="656"/>
      <c r="EQ110" s="656"/>
      <c r="ER110" s="656"/>
      <c r="ES110" s="656"/>
      <c r="ET110" s="656"/>
      <c r="EU110" s="656"/>
      <c r="EV110" s="656"/>
      <c r="EW110" s="656"/>
      <c r="EX110" s="656"/>
      <c r="EY110" s="656"/>
      <c r="EZ110" s="656"/>
      <c r="FA110" s="656"/>
      <c r="FB110" s="656"/>
      <c r="FC110" s="656"/>
      <c r="FD110" s="656"/>
      <c r="FE110" s="656"/>
      <c r="FF110" s="656"/>
      <c r="FG110" s="656"/>
      <c r="FH110" s="656"/>
      <c r="FI110" s="656"/>
      <c r="FJ110" s="656"/>
      <c r="FK110" s="656"/>
      <c r="FL110" s="656"/>
      <c r="FM110" s="656"/>
      <c r="FN110" s="656"/>
      <c r="FO110" s="656"/>
      <c r="FP110" s="656"/>
      <c r="FQ110" s="656"/>
      <c r="FR110" s="656"/>
      <c r="FS110" s="656"/>
      <c r="FT110" s="656"/>
      <c r="FU110" s="656"/>
      <c r="FV110" s="656"/>
      <c r="FW110" s="656"/>
      <c r="FX110" s="656"/>
      <c r="FY110" s="656"/>
      <c r="FZ110" s="656"/>
      <c r="GA110" s="656"/>
      <c r="GB110" s="656"/>
      <c r="GC110" s="656"/>
      <c r="GD110" s="656"/>
      <c r="GE110" s="656"/>
      <c r="GF110" s="656"/>
      <c r="GG110" s="656"/>
      <c r="GH110" s="656"/>
      <c r="GI110" s="656"/>
      <c r="GJ110" s="656"/>
      <c r="GK110" s="656"/>
      <c r="GL110" s="656"/>
      <c r="GM110" s="656"/>
      <c r="GN110" s="656"/>
      <c r="GO110" s="656"/>
      <c r="GP110" s="656"/>
      <c r="GQ110" s="656"/>
      <c r="GR110" s="656"/>
      <c r="GS110" s="656"/>
      <c r="GT110" s="656"/>
      <c r="GU110" s="656"/>
      <c r="GV110" s="656"/>
      <c r="GW110" s="656"/>
      <c r="GX110" s="656"/>
      <c r="GY110" s="656"/>
      <c r="GZ110" s="656"/>
      <c r="HA110" s="656"/>
      <c r="HB110" s="656"/>
      <c r="HC110" s="656"/>
      <c r="HD110" s="656"/>
      <c r="HE110" s="656"/>
      <c r="HF110" s="656"/>
      <c r="HG110" s="656"/>
      <c r="HH110" s="656"/>
      <c r="HI110" s="656"/>
      <c r="HJ110" s="656"/>
      <c r="HK110" s="656"/>
      <c r="HL110" s="656"/>
      <c r="HM110" s="656"/>
      <c r="HN110" s="656"/>
      <c r="HO110" s="656"/>
      <c r="HP110" s="656"/>
      <c r="HQ110" s="656"/>
      <c r="HR110" s="656"/>
      <c r="HS110" s="656"/>
      <c r="HT110" s="656"/>
      <c r="HU110" s="656"/>
      <c r="HV110" s="656"/>
      <c r="HW110" s="656"/>
      <c r="HX110" s="656"/>
      <c r="HY110" s="656"/>
      <c r="HZ110" s="656"/>
    </row>
    <row r="111" spans="1:234" s="657" customFormat="1" ht="71.25" x14ac:dyDescent="0.25">
      <c r="A111" s="698"/>
      <c r="B111" s="1014">
        <v>62</v>
      </c>
      <c r="C111" s="1015" t="s">
        <v>1317</v>
      </c>
      <c r="D111" s="1027" t="s">
        <v>848</v>
      </c>
      <c r="E111" s="1017">
        <v>1</v>
      </c>
      <c r="F111" s="1018">
        <v>306843</v>
      </c>
      <c r="G111" s="1019">
        <v>306843</v>
      </c>
      <c r="H111" s="486">
        <v>5</v>
      </c>
      <c r="I111" s="1054">
        <v>0</v>
      </c>
      <c r="J111" s="1020">
        <v>0</v>
      </c>
      <c r="K111" s="1021">
        <v>0</v>
      </c>
      <c r="L111" s="480"/>
      <c r="M111" s="1029">
        <v>0</v>
      </c>
      <c r="N111" s="488">
        <v>0</v>
      </c>
      <c r="O111" s="1029">
        <v>0</v>
      </c>
      <c r="P111" s="488">
        <v>0</v>
      </c>
      <c r="Q111" s="1029">
        <v>0</v>
      </c>
      <c r="R111" s="488">
        <v>0</v>
      </c>
      <c r="S111" s="1023"/>
      <c r="T111" s="656"/>
      <c r="U111" s="656"/>
      <c r="V111" s="656"/>
      <c r="W111" s="656"/>
      <c r="X111" s="656"/>
      <c r="Y111" s="656"/>
      <c r="Z111" s="656"/>
      <c r="AA111" s="656"/>
      <c r="AB111" s="656"/>
      <c r="AC111" s="656"/>
      <c r="AD111" s="656"/>
      <c r="AE111" s="656"/>
      <c r="AF111" s="656"/>
      <c r="AG111" s="656"/>
      <c r="AH111" s="656"/>
      <c r="AI111" s="656"/>
      <c r="AJ111" s="656"/>
      <c r="AK111" s="656"/>
      <c r="AL111" s="656"/>
      <c r="AM111" s="656"/>
      <c r="AN111" s="656"/>
      <c r="AO111" s="656"/>
      <c r="AP111" s="656"/>
      <c r="AQ111" s="656"/>
      <c r="AR111" s="656"/>
      <c r="AS111" s="656"/>
      <c r="AT111" s="656"/>
      <c r="AU111" s="656"/>
      <c r="AV111" s="656"/>
      <c r="AW111" s="656"/>
      <c r="AX111" s="656"/>
      <c r="AY111" s="656"/>
      <c r="AZ111" s="656"/>
      <c r="BA111" s="656"/>
      <c r="BB111" s="656"/>
      <c r="BC111" s="656"/>
      <c r="BD111" s="656"/>
      <c r="BE111" s="656"/>
      <c r="BF111" s="656"/>
      <c r="BG111" s="656"/>
      <c r="BH111" s="656"/>
      <c r="BI111" s="656"/>
      <c r="BJ111" s="656"/>
      <c r="BK111" s="656"/>
      <c r="BL111" s="656"/>
      <c r="BM111" s="656"/>
      <c r="BN111" s="656"/>
      <c r="BO111" s="656"/>
      <c r="BP111" s="656"/>
      <c r="BQ111" s="656"/>
      <c r="BR111" s="656"/>
      <c r="BS111" s="656"/>
      <c r="BT111" s="656"/>
      <c r="BU111" s="656"/>
      <c r="BV111" s="656"/>
      <c r="BW111" s="656"/>
      <c r="BX111" s="656"/>
      <c r="BY111" s="656"/>
      <c r="BZ111" s="656"/>
      <c r="CA111" s="656"/>
      <c r="CB111" s="656"/>
      <c r="CC111" s="656"/>
      <c r="CD111" s="656"/>
      <c r="CE111" s="656"/>
      <c r="CF111" s="656"/>
      <c r="CG111" s="656"/>
      <c r="CH111" s="656"/>
      <c r="CI111" s="656"/>
      <c r="CJ111" s="656"/>
      <c r="CK111" s="656"/>
      <c r="CL111" s="656"/>
      <c r="CM111" s="656"/>
      <c r="CN111" s="656"/>
      <c r="CO111" s="656"/>
      <c r="CP111" s="656"/>
      <c r="CQ111" s="656"/>
      <c r="CR111" s="656"/>
      <c r="CS111" s="656"/>
      <c r="CT111" s="656"/>
      <c r="CU111" s="656"/>
      <c r="CV111" s="656"/>
      <c r="CW111" s="656"/>
      <c r="CX111" s="656"/>
      <c r="CY111" s="656"/>
      <c r="CZ111" s="656"/>
      <c r="DA111" s="656"/>
      <c r="DB111" s="656"/>
      <c r="DC111" s="656"/>
      <c r="DD111" s="656"/>
      <c r="DE111" s="656"/>
      <c r="DF111" s="656"/>
      <c r="DG111" s="656"/>
      <c r="DH111" s="656"/>
      <c r="DI111" s="656"/>
      <c r="DJ111" s="656"/>
      <c r="DK111" s="656"/>
      <c r="DL111" s="656"/>
      <c r="DM111" s="656"/>
      <c r="DN111" s="656"/>
      <c r="DO111" s="656"/>
      <c r="DP111" s="656"/>
      <c r="DQ111" s="656"/>
      <c r="DR111" s="656"/>
      <c r="DS111" s="656"/>
      <c r="DT111" s="656"/>
      <c r="DU111" s="656"/>
      <c r="DV111" s="656"/>
      <c r="DW111" s="656"/>
      <c r="DX111" s="656"/>
      <c r="DY111" s="656"/>
      <c r="DZ111" s="656"/>
      <c r="EA111" s="656"/>
      <c r="EB111" s="656"/>
      <c r="EC111" s="656"/>
      <c r="ED111" s="656"/>
      <c r="EE111" s="656"/>
      <c r="EF111" s="656"/>
      <c r="EG111" s="656"/>
      <c r="EH111" s="656"/>
      <c r="EI111" s="656"/>
      <c r="EJ111" s="656"/>
      <c r="EK111" s="656"/>
      <c r="EL111" s="656"/>
      <c r="EM111" s="656"/>
      <c r="EN111" s="656"/>
      <c r="EO111" s="656"/>
      <c r="EP111" s="656"/>
      <c r="EQ111" s="656"/>
      <c r="ER111" s="656"/>
      <c r="ES111" s="656"/>
      <c r="ET111" s="656"/>
      <c r="EU111" s="656"/>
      <c r="EV111" s="656"/>
      <c r="EW111" s="656"/>
      <c r="EX111" s="656"/>
      <c r="EY111" s="656"/>
      <c r="EZ111" s="656"/>
      <c r="FA111" s="656"/>
      <c r="FB111" s="656"/>
      <c r="FC111" s="656"/>
      <c r="FD111" s="656"/>
      <c r="FE111" s="656"/>
      <c r="FF111" s="656"/>
      <c r="FG111" s="656"/>
      <c r="FH111" s="656"/>
      <c r="FI111" s="656"/>
      <c r="FJ111" s="656"/>
      <c r="FK111" s="656"/>
      <c r="FL111" s="656"/>
      <c r="FM111" s="656"/>
      <c r="FN111" s="656"/>
      <c r="FO111" s="656"/>
      <c r="FP111" s="656"/>
      <c r="FQ111" s="656"/>
      <c r="FR111" s="656"/>
      <c r="FS111" s="656"/>
      <c r="FT111" s="656"/>
      <c r="FU111" s="656"/>
      <c r="FV111" s="656"/>
      <c r="FW111" s="656"/>
      <c r="FX111" s="656"/>
      <c r="FY111" s="656"/>
      <c r="FZ111" s="656"/>
      <c r="GA111" s="656"/>
      <c r="GB111" s="656"/>
      <c r="GC111" s="656"/>
      <c r="GD111" s="656"/>
      <c r="GE111" s="656"/>
      <c r="GF111" s="656"/>
      <c r="GG111" s="656"/>
      <c r="GH111" s="656"/>
      <c r="GI111" s="656"/>
      <c r="GJ111" s="656"/>
      <c r="GK111" s="656"/>
      <c r="GL111" s="656"/>
      <c r="GM111" s="656"/>
      <c r="GN111" s="656"/>
      <c r="GO111" s="656"/>
      <c r="GP111" s="656"/>
      <c r="GQ111" s="656"/>
      <c r="GR111" s="656"/>
      <c r="GS111" s="656"/>
      <c r="GT111" s="656"/>
      <c r="GU111" s="656"/>
      <c r="GV111" s="656"/>
      <c r="GW111" s="656"/>
      <c r="GX111" s="656"/>
      <c r="GY111" s="656"/>
      <c r="GZ111" s="656"/>
      <c r="HA111" s="656"/>
      <c r="HB111" s="656"/>
      <c r="HC111" s="656"/>
      <c r="HD111" s="656"/>
      <c r="HE111" s="656"/>
      <c r="HF111" s="656"/>
      <c r="HG111" s="656"/>
      <c r="HH111" s="656"/>
      <c r="HI111" s="656"/>
      <c r="HJ111" s="656"/>
      <c r="HK111" s="656"/>
      <c r="HL111" s="656"/>
      <c r="HM111" s="656"/>
      <c r="HN111" s="656"/>
      <c r="HO111" s="656"/>
      <c r="HP111" s="656"/>
      <c r="HQ111" s="656"/>
      <c r="HR111" s="656"/>
      <c r="HS111" s="656"/>
      <c r="HT111" s="656"/>
      <c r="HU111" s="656"/>
      <c r="HV111" s="656"/>
      <c r="HW111" s="656"/>
      <c r="HX111" s="656"/>
      <c r="HY111" s="656"/>
      <c r="HZ111" s="656"/>
    </row>
    <row r="112" spans="1:234" s="657" customFormat="1" ht="57" x14ac:dyDescent="0.25">
      <c r="A112" s="698"/>
      <c r="B112" s="1014">
        <v>63</v>
      </c>
      <c r="C112" s="1015" t="s">
        <v>1318</v>
      </c>
      <c r="D112" s="1027" t="s">
        <v>848</v>
      </c>
      <c r="E112" s="1017">
        <v>1</v>
      </c>
      <c r="F112" s="1018">
        <v>135908</v>
      </c>
      <c r="G112" s="1019">
        <v>135908</v>
      </c>
      <c r="H112" s="486">
        <v>10</v>
      </c>
      <c r="I112" s="1054">
        <v>0</v>
      </c>
      <c r="J112" s="1020">
        <v>0</v>
      </c>
      <c r="K112" s="1021">
        <v>0</v>
      </c>
      <c r="L112" s="480"/>
      <c r="M112" s="1029">
        <v>0</v>
      </c>
      <c r="N112" s="488">
        <v>0</v>
      </c>
      <c r="O112" s="1029">
        <v>0</v>
      </c>
      <c r="P112" s="488">
        <v>0</v>
      </c>
      <c r="Q112" s="1029">
        <v>0</v>
      </c>
      <c r="R112" s="488">
        <v>0</v>
      </c>
      <c r="S112" s="1023"/>
      <c r="T112" s="656"/>
      <c r="U112" s="656"/>
      <c r="V112" s="656"/>
      <c r="W112" s="656"/>
      <c r="X112" s="656"/>
      <c r="Y112" s="656"/>
      <c r="Z112" s="656"/>
      <c r="AA112" s="656"/>
      <c r="AB112" s="656"/>
      <c r="AC112" s="656"/>
      <c r="AD112" s="656"/>
      <c r="AE112" s="656"/>
      <c r="AF112" s="656"/>
      <c r="AG112" s="656"/>
      <c r="AH112" s="656"/>
      <c r="AI112" s="656"/>
      <c r="AJ112" s="656"/>
      <c r="AK112" s="656"/>
      <c r="AL112" s="656"/>
      <c r="AM112" s="656"/>
      <c r="AN112" s="656"/>
      <c r="AO112" s="656"/>
      <c r="AP112" s="656"/>
      <c r="AQ112" s="656"/>
      <c r="AR112" s="656"/>
      <c r="AS112" s="656"/>
      <c r="AT112" s="656"/>
      <c r="AU112" s="656"/>
      <c r="AV112" s="656"/>
      <c r="AW112" s="656"/>
      <c r="AX112" s="656"/>
      <c r="AY112" s="656"/>
      <c r="AZ112" s="656"/>
      <c r="BA112" s="656"/>
      <c r="BB112" s="656"/>
      <c r="BC112" s="656"/>
      <c r="BD112" s="656"/>
      <c r="BE112" s="656"/>
      <c r="BF112" s="656"/>
      <c r="BG112" s="656"/>
      <c r="BH112" s="656"/>
      <c r="BI112" s="656"/>
      <c r="BJ112" s="656"/>
      <c r="BK112" s="656"/>
      <c r="BL112" s="656"/>
      <c r="BM112" s="656"/>
      <c r="BN112" s="656"/>
      <c r="BO112" s="656"/>
      <c r="BP112" s="656"/>
      <c r="BQ112" s="656"/>
      <c r="BR112" s="656"/>
      <c r="BS112" s="656"/>
      <c r="BT112" s="656"/>
      <c r="BU112" s="656"/>
      <c r="BV112" s="656"/>
      <c r="BW112" s="656"/>
      <c r="BX112" s="656"/>
      <c r="BY112" s="656"/>
      <c r="BZ112" s="656"/>
      <c r="CA112" s="656"/>
      <c r="CB112" s="656"/>
      <c r="CC112" s="656"/>
      <c r="CD112" s="656"/>
      <c r="CE112" s="656"/>
      <c r="CF112" s="656"/>
      <c r="CG112" s="656"/>
      <c r="CH112" s="656"/>
      <c r="CI112" s="656"/>
      <c r="CJ112" s="656"/>
      <c r="CK112" s="656"/>
      <c r="CL112" s="656"/>
      <c r="CM112" s="656"/>
      <c r="CN112" s="656"/>
      <c r="CO112" s="656"/>
      <c r="CP112" s="656"/>
      <c r="CQ112" s="656"/>
      <c r="CR112" s="656"/>
      <c r="CS112" s="656"/>
      <c r="CT112" s="656"/>
      <c r="CU112" s="656"/>
      <c r="CV112" s="656"/>
      <c r="CW112" s="656"/>
      <c r="CX112" s="656"/>
      <c r="CY112" s="656"/>
      <c r="CZ112" s="656"/>
      <c r="DA112" s="656"/>
      <c r="DB112" s="656"/>
      <c r="DC112" s="656"/>
      <c r="DD112" s="656"/>
      <c r="DE112" s="656"/>
      <c r="DF112" s="656"/>
      <c r="DG112" s="656"/>
      <c r="DH112" s="656"/>
      <c r="DI112" s="656"/>
      <c r="DJ112" s="656"/>
      <c r="DK112" s="656"/>
      <c r="DL112" s="656"/>
      <c r="DM112" s="656"/>
      <c r="DN112" s="656"/>
      <c r="DO112" s="656"/>
      <c r="DP112" s="656"/>
      <c r="DQ112" s="656"/>
      <c r="DR112" s="656"/>
      <c r="DS112" s="656"/>
      <c r="DT112" s="656"/>
      <c r="DU112" s="656"/>
      <c r="DV112" s="656"/>
      <c r="DW112" s="656"/>
      <c r="DX112" s="656"/>
      <c r="DY112" s="656"/>
      <c r="DZ112" s="656"/>
      <c r="EA112" s="656"/>
      <c r="EB112" s="656"/>
      <c r="EC112" s="656"/>
      <c r="ED112" s="656"/>
      <c r="EE112" s="656"/>
      <c r="EF112" s="656"/>
      <c r="EG112" s="656"/>
      <c r="EH112" s="656"/>
      <c r="EI112" s="656"/>
      <c r="EJ112" s="656"/>
      <c r="EK112" s="656"/>
      <c r="EL112" s="656"/>
      <c r="EM112" s="656"/>
      <c r="EN112" s="656"/>
      <c r="EO112" s="656"/>
      <c r="EP112" s="656"/>
      <c r="EQ112" s="656"/>
      <c r="ER112" s="656"/>
      <c r="ES112" s="656"/>
      <c r="ET112" s="656"/>
      <c r="EU112" s="656"/>
      <c r="EV112" s="656"/>
      <c r="EW112" s="656"/>
      <c r="EX112" s="656"/>
      <c r="EY112" s="656"/>
      <c r="EZ112" s="656"/>
      <c r="FA112" s="656"/>
      <c r="FB112" s="656"/>
      <c r="FC112" s="656"/>
      <c r="FD112" s="656"/>
      <c r="FE112" s="656"/>
      <c r="FF112" s="656"/>
      <c r="FG112" s="656"/>
      <c r="FH112" s="656"/>
      <c r="FI112" s="656"/>
      <c r="FJ112" s="656"/>
      <c r="FK112" s="656"/>
      <c r="FL112" s="656"/>
      <c r="FM112" s="656"/>
      <c r="FN112" s="656"/>
      <c r="FO112" s="656"/>
      <c r="FP112" s="656"/>
      <c r="FQ112" s="656"/>
      <c r="FR112" s="656"/>
      <c r="FS112" s="656"/>
      <c r="FT112" s="656"/>
      <c r="FU112" s="656"/>
      <c r="FV112" s="656"/>
      <c r="FW112" s="656"/>
      <c r="FX112" s="656"/>
      <c r="FY112" s="656"/>
      <c r="FZ112" s="656"/>
      <c r="GA112" s="656"/>
      <c r="GB112" s="656"/>
      <c r="GC112" s="656"/>
      <c r="GD112" s="656"/>
      <c r="GE112" s="656"/>
      <c r="GF112" s="656"/>
      <c r="GG112" s="656"/>
      <c r="GH112" s="656"/>
      <c r="GI112" s="656"/>
      <c r="GJ112" s="656"/>
      <c r="GK112" s="656"/>
      <c r="GL112" s="656"/>
      <c r="GM112" s="656"/>
      <c r="GN112" s="656"/>
      <c r="GO112" s="656"/>
      <c r="GP112" s="656"/>
      <c r="GQ112" s="656"/>
      <c r="GR112" s="656"/>
      <c r="GS112" s="656"/>
      <c r="GT112" s="656"/>
      <c r="GU112" s="656"/>
      <c r="GV112" s="656"/>
      <c r="GW112" s="656"/>
      <c r="GX112" s="656"/>
      <c r="GY112" s="656"/>
      <c r="GZ112" s="656"/>
      <c r="HA112" s="656"/>
      <c r="HB112" s="656"/>
      <c r="HC112" s="656"/>
      <c r="HD112" s="656"/>
      <c r="HE112" s="656"/>
      <c r="HF112" s="656"/>
      <c r="HG112" s="656"/>
      <c r="HH112" s="656"/>
      <c r="HI112" s="656"/>
      <c r="HJ112" s="656"/>
      <c r="HK112" s="656"/>
      <c r="HL112" s="656"/>
      <c r="HM112" s="656"/>
      <c r="HN112" s="656"/>
      <c r="HO112" s="656"/>
      <c r="HP112" s="656"/>
      <c r="HQ112" s="656"/>
      <c r="HR112" s="656"/>
      <c r="HS112" s="656"/>
      <c r="HT112" s="656"/>
      <c r="HU112" s="656"/>
      <c r="HV112" s="656"/>
      <c r="HW112" s="656"/>
      <c r="HX112" s="656"/>
      <c r="HY112" s="656"/>
      <c r="HZ112" s="656"/>
    </row>
    <row r="113" spans="1:234" s="657" customFormat="1" x14ac:dyDescent="0.25">
      <c r="A113" s="698"/>
      <c r="B113" s="1057"/>
      <c r="C113" s="1055" t="s">
        <v>1319</v>
      </c>
      <c r="D113" s="1049"/>
      <c r="E113" s="1049"/>
      <c r="F113" s="1049"/>
      <c r="G113" s="1039"/>
      <c r="H113" s="1050"/>
      <c r="I113" s="1041"/>
      <c r="J113" s="1042"/>
      <c r="K113" s="1052"/>
      <c r="L113" s="1044"/>
      <c r="M113" s="1045"/>
      <c r="N113" s="1046"/>
      <c r="O113" s="1045"/>
      <c r="P113" s="1046"/>
      <c r="Q113" s="1045"/>
      <c r="R113" s="1046"/>
      <c r="S113" s="1023"/>
      <c r="T113" s="656"/>
      <c r="U113" s="656"/>
      <c r="V113" s="656"/>
      <c r="W113" s="656"/>
      <c r="X113" s="656"/>
      <c r="Y113" s="656"/>
      <c r="Z113" s="656"/>
      <c r="AA113" s="656"/>
      <c r="AB113" s="656"/>
      <c r="AC113" s="656"/>
      <c r="AD113" s="656"/>
      <c r="AE113" s="656"/>
      <c r="AF113" s="656"/>
      <c r="AG113" s="656"/>
      <c r="AH113" s="656"/>
      <c r="AI113" s="656"/>
      <c r="AJ113" s="656"/>
      <c r="AK113" s="656"/>
      <c r="AL113" s="656"/>
      <c r="AM113" s="656"/>
      <c r="AN113" s="656"/>
      <c r="AO113" s="656"/>
      <c r="AP113" s="656"/>
      <c r="AQ113" s="656"/>
      <c r="AR113" s="656"/>
      <c r="AS113" s="656"/>
      <c r="AT113" s="656"/>
      <c r="AU113" s="656"/>
      <c r="AV113" s="656"/>
      <c r="AW113" s="656"/>
      <c r="AX113" s="656"/>
      <c r="AY113" s="656"/>
      <c r="AZ113" s="656"/>
      <c r="BA113" s="656"/>
      <c r="BB113" s="656"/>
      <c r="BC113" s="656"/>
      <c r="BD113" s="656"/>
      <c r="BE113" s="656"/>
      <c r="BF113" s="656"/>
      <c r="BG113" s="656"/>
      <c r="BH113" s="656"/>
      <c r="BI113" s="656"/>
      <c r="BJ113" s="656"/>
      <c r="BK113" s="656"/>
      <c r="BL113" s="656"/>
      <c r="BM113" s="656"/>
      <c r="BN113" s="656"/>
      <c r="BO113" s="656"/>
      <c r="BP113" s="656"/>
      <c r="BQ113" s="656"/>
      <c r="BR113" s="656"/>
      <c r="BS113" s="656"/>
      <c r="BT113" s="656"/>
      <c r="BU113" s="656"/>
      <c r="BV113" s="656"/>
      <c r="BW113" s="656"/>
      <c r="BX113" s="656"/>
      <c r="BY113" s="656"/>
      <c r="BZ113" s="656"/>
      <c r="CA113" s="656"/>
      <c r="CB113" s="656"/>
      <c r="CC113" s="656"/>
      <c r="CD113" s="656"/>
      <c r="CE113" s="656"/>
      <c r="CF113" s="656"/>
      <c r="CG113" s="656"/>
      <c r="CH113" s="656"/>
      <c r="CI113" s="656"/>
      <c r="CJ113" s="656"/>
      <c r="CK113" s="656"/>
      <c r="CL113" s="656"/>
      <c r="CM113" s="656"/>
      <c r="CN113" s="656"/>
      <c r="CO113" s="656"/>
      <c r="CP113" s="656"/>
      <c r="CQ113" s="656"/>
      <c r="CR113" s="656"/>
      <c r="CS113" s="656"/>
      <c r="CT113" s="656"/>
      <c r="CU113" s="656"/>
      <c r="CV113" s="656"/>
      <c r="CW113" s="656"/>
      <c r="CX113" s="656"/>
      <c r="CY113" s="656"/>
      <c r="CZ113" s="656"/>
      <c r="DA113" s="656"/>
      <c r="DB113" s="656"/>
      <c r="DC113" s="656"/>
      <c r="DD113" s="656"/>
      <c r="DE113" s="656"/>
      <c r="DF113" s="656"/>
      <c r="DG113" s="656"/>
      <c r="DH113" s="656"/>
      <c r="DI113" s="656"/>
      <c r="DJ113" s="656"/>
      <c r="DK113" s="656"/>
      <c r="DL113" s="656"/>
      <c r="DM113" s="656"/>
      <c r="DN113" s="656"/>
      <c r="DO113" s="656"/>
      <c r="DP113" s="656"/>
      <c r="DQ113" s="656"/>
      <c r="DR113" s="656"/>
      <c r="DS113" s="656"/>
      <c r="DT113" s="656"/>
      <c r="DU113" s="656"/>
      <c r="DV113" s="656"/>
      <c r="DW113" s="656"/>
      <c r="DX113" s="656"/>
      <c r="DY113" s="656"/>
      <c r="DZ113" s="656"/>
      <c r="EA113" s="656"/>
      <c r="EB113" s="656"/>
      <c r="EC113" s="656"/>
      <c r="ED113" s="656"/>
      <c r="EE113" s="656"/>
      <c r="EF113" s="656"/>
      <c r="EG113" s="656"/>
      <c r="EH113" s="656"/>
      <c r="EI113" s="656"/>
      <c r="EJ113" s="656"/>
      <c r="EK113" s="656"/>
      <c r="EL113" s="656"/>
      <c r="EM113" s="656"/>
      <c r="EN113" s="656"/>
      <c r="EO113" s="656"/>
      <c r="EP113" s="656"/>
      <c r="EQ113" s="656"/>
      <c r="ER113" s="656"/>
      <c r="ES113" s="656"/>
      <c r="ET113" s="656"/>
      <c r="EU113" s="656"/>
      <c r="EV113" s="656"/>
      <c r="EW113" s="656"/>
      <c r="EX113" s="656"/>
      <c r="EY113" s="656"/>
      <c r="EZ113" s="656"/>
      <c r="FA113" s="656"/>
      <c r="FB113" s="656"/>
      <c r="FC113" s="656"/>
      <c r="FD113" s="656"/>
      <c r="FE113" s="656"/>
      <c r="FF113" s="656"/>
      <c r="FG113" s="656"/>
      <c r="FH113" s="656"/>
      <c r="FI113" s="656"/>
      <c r="FJ113" s="656"/>
      <c r="FK113" s="656"/>
      <c r="FL113" s="656"/>
      <c r="FM113" s="656"/>
      <c r="FN113" s="656"/>
      <c r="FO113" s="656"/>
      <c r="FP113" s="656"/>
      <c r="FQ113" s="656"/>
      <c r="FR113" s="656"/>
      <c r="FS113" s="656"/>
      <c r="FT113" s="656"/>
      <c r="FU113" s="656"/>
      <c r="FV113" s="656"/>
      <c r="FW113" s="656"/>
      <c r="FX113" s="656"/>
      <c r="FY113" s="656"/>
      <c r="FZ113" s="656"/>
      <c r="GA113" s="656"/>
      <c r="GB113" s="656"/>
      <c r="GC113" s="656"/>
      <c r="GD113" s="656"/>
      <c r="GE113" s="656"/>
      <c r="GF113" s="656"/>
      <c r="GG113" s="656"/>
      <c r="GH113" s="656"/>
      <c r="GI113" s="656"/>
      <c r="GJ113" s="656"/>
      <c r="GK113" s="656"/>
      <c r="GL113" s="656"/>
      <c r="GM113" s="656"/>
      <c r="GN113" s="656"/>
      <c r="GO113" s="656"/>
      <c r="GP113" s="656"/>
      <c r="GQ113" s="656"/>
      <c r="GR113" s="656"/>
      <c r="GS113" s="656"/>
      <c r="GT113" s="656"/>
      <c r="GU113" s="656"/>
      <c r="GV113" s="656"/>
      <c r="GW113" s="656"/>
      <c r="GX113" s="656"/>
      <c r="GY113" s="656"/>
      <c r="GZ113" s="656"/>
      <c r="HA113" s="656"/>
      <c r="HB113" s="656"/>
      <c r="HC113" s="656"/>
      <c r="HD113" s="656"/>
      <c r="HE113" s="656"/>
      <c r="HF113" s="656"/>
      <c r="HG113" s="656"/>
      <c r="HH113" s="656"/>
      <c r="HI113" s="656"/>
      <c r="HJ113" s="656"/>
      <c r="HK113" s="656"/>
      <c r="HL113" s="656"/>
      <c r="HM113" s="656"/>
      <c r="HN113" s="656"/>
      <c r="HO113" s="656"/>
      <c r="HP113" s="656"/>
      <c r="HQ113" s="656"/>
      <c r="HR113" s="656"/>
      <c r="HS113" s="656"/>
      <c r="HT113" s="656"/>
      <c r="HU113" s="656"/>
      <c r="HV113" s="656"/>
      <c r="HW113" s="656"/>
      <c r="HX113" s="656"/>
      <c r="HY113" s="656"/>
      <c r="HZ113" s="656"/>
    </row>
    <row r="114" spans="1:234" s="657" customFormat="1" x14ac:dyDescent="0.25">
      <c r="A114" s="698"/>
      <c r="B114" s="1014">
        <v>51</v>
      </c>
      <c r="C114" s="1015" t="s">
        <v>195</v>
      </c>
      <c r="D114" s="1027" t="s">
        <v>842</v>
      </c>
      <c r="E114" s="1017">
        <v>1</v>
      </c>
      <c r="F114" s="1018">
        <v>3444</v>
      </c>
      <c r="G114" s="1019">
        <v>3444</v>
      </c>
      <c r="H114" s="486">
        <v>350</v>
      </c>
      <c r="I114" s="1058">
        <v>350</v>
      </c>
      <c r="J114" s="1020">
        <v>1205400</v>
      </c>
      <c r="K114" s="1021">
        <v>0</v>
      </c>
      <c r="L114" s="480"/>
      <c r="M114" s="1029">
        <v>0</v>
      </c>
      <c r="N114" s="488">
        <v>0</v>
      </c>
      <c r="O114" s="1029">
        <v>0</v>
      </c>
      <c r="P114" s="488">
        <v>0</v>
      </c>
      <c r="Q114" s="1029">
        <v>0</v>
      </c>
      <c r="R114" s="488">
        <v>0</v>
      </c>
      <c r="S114" s="1023"/>
      <c r="T114" s="656"/>
      <c r="U114" s="656"/>
      <c r="V114" s="656"/>
      <c r="W114" s="656"/>
      <c r="X114" s="656"/>
      <c r="Y114" s="656"/>
      <c r="Z114" s="656"/>
      <c r="AA114" s="656"/>
      <c r="AB114" s="656"/>
      <c r="AC114" s="656"/>
      <c r="AD114" s="656"/>
      <c r="AE114" s="656"/>
      <c r="AF114" s="656"/>
      <c r="AG114" s="656"/>
      <c r="AH114" s="656"/>
      <c r="AI114" s="656"/>
      <c r="AJ114" s="656"/>
      <c r="AK114" s="656"/>
      <c r="AL114" s="656"/>
      <c r="AM114" s="656"/>
      <c r="AN114" s="656"/>
      <c r="AO114" s="656"/>
      <c r="AP114" s="656"/>
      <c r="AQ114" s="656"/>
      <c r="AR114" s="656"/>
      <c r="AS114" s="656"/>
      <c r="AT114" s="656"/>
      <c r="AU114" s="656"/>
      <c r="AV114" s="656"/>
      <c r="AW114" s="656"/>
      <c r="AX114" s="656"/>
      <c r="AY114" s="656"/>
      <c r="AZ114" s="656"/>
      <c r="BA114" s="656"/>
      <c r="BB114" s="656"/>
      <c r="BC114" s="656"/>
      <c r="BD114" s="656"/>
      <c r="BE114" s="656"/>
      <c r="BF114" s="656"/>
      <c r="BG114" s="656"/>
      <c r="BH114" s="656"/>
      <c r="BI114" s="656"/>
      <c r="BJ114" s="656"/>
      <c r="BK114" s="656"/>
      <c r="BL114" s="656"/>
      <c r="BM114" s="656"/>
      <c r="BN114" s="656"/>
      <c r="BO114" s="656"/>
      <c r="BP114" s="656"/>
      <c r="BQ114" s="656"/>
      <c r="BR114" s="656"/>
      <c r="BS114" s="656"/>
      <c r="BT114" s="656"/>
      <c r="BU114" s="656"/>
      <c r="BV114" s="656"/>
      <c r="BW114" s="656"/>
      <c r="BX114" s="656"/>
      <c r="BY114" s="656"/>
      <c r="BZ114" s="656"/>
      <c r="CA114" s="656"/>
      <c r="CB114" s="656"/>
      <c r="CC114" s="656"/>
      <c r="CD114" s="656"/>
      <c r="CE114" s="656"/>
      <c r="CF114" s="656"/>
      <c r="CG114" s="656"/>
      <c r="CH114" s="656"/>
      <c r="CI114" s="656"/>
      <c r="CJ114" s="656"/>
      <c r="CK114" s="656"/>
      <c r="CL114" s="656"/>
      <c r="CM114" s="656"/>
      <c r="CN114" s="656"/>
      <c r="CO114" s="656"/>
      <c r="CP114" s="656"/>
      <c r="CQ114" s="656"/>
      <c r="CR114" s="656"/>
      <c r="CS114" s="656"/>
      <c r="CT114" s="656"/>
      <c r="CU114" s="656"/>
      <c r="CV114" s="656"/>
      <c r="CW114" s="656"/>
      <c r="CX114" s="656"/>
      <c r="CY114" s="656"/>
      <c r="CZ114" s="656"/>
      <c r="DA114" s="656"/>
      <c r="DB114" s="656"/>
      <c r="DC114" s="656"/>
      <c r="DD114" s="656"/>
      <c r="DE114" s="656"/>
      <c r="DF114" s="656"/>
      <c r="DG114" s="656"/>
      <c r="DH114" s="656"/>
      <c r="DI114" s="656"/>
      <c r="DJ114" s="656"/>
      <c r="DK114" s="656"/>
      <c r="DL114" s="656"/>
      <c r="DM114" s="656"/>
      <c r="DN114" s="656"/>
      <c r="DO114" s="656"/>
      <c r="DP114" s="656"/>
      <c r="DQ114" s="656"/>
      <c r="DR114" s="656"/>
      <c r="DS114" s="656"/>
      <c r="DT114" s="656"/>
      <c r="DU114" s="656"/>
      <c r="DV114" s="656"/>
      <c r="DW114" s="656"/>
      <c r="DX114" s="656"/>
      <c r="DY114" s="656"/>
      <c r="DZ114" s="656"/>
      <c r="EA114" s="656"/>
      <c r="EB114" s="656"/>
      <c r="EC114" s="656"/>
      <c r="ED114" s="656"/>
      <c r="EE114" s="656"/>
      <c r="EF114" s="656"/>
      <c r="EG114" s="656"/>
      <c r="EH114" s="656"/>
      <c r="EI114" s="656"/>
      <c r="EJ114" s="656"/>
      <c r="EK114" s="656"/>
      <c r="EL114" s="656"/>
      <c r="EM114" s="656"/>
      <c r="EN114" s="656"/>
      <c r="EO114" s="656"/>
      <c r="EP114" s="656"/>
      <c r="EQ114" s="656"/>
      <c r="ER114" s="656"/>
      <c r="ES114" s="656"/>
      <c r="ET114" s="656"/>
      <c r="EU114" s="656"/>
      <c r="EV114" s="656"/>
      <c r="EW114" s="656"/>
      <c r="EX114" s="656"/>
      <c r="EY114" s="656"/>
      <c r="EZ114" s="656"/>
      <c r="FA114" s="656"/>
      <c r="FB114" s="656"/>
      <c r="FC114" s="656"/>
      <c r="FD114" s="656"/>
      <c r="FE114" s="656"/>
      <c r="FF114" s="656"/>
      <c r="FG114" s="656"/>
      <c r="FH114" s="656"/>
      <c r="FI114" s="656"/>
      <c r="FJ114" s="656"/>
      <c r="FK114" s="656"/>
      <c r="FL114" s="656"/>
      <c r="FM114" s="656"/>
      <c r="FN114" s="656"/>
      <c r="FO114" s="656"/>
      <c r="FP114" s="656"/>
      <c r="FQ114" s="656"/>
      <c r="FR114" s="656"/>
      <c r="FS114" s="656"/>
      <c r="FT114" s="656"/>
      <c r="FU114" s="656"/>
      <c r="FV114" s="656"/>
      <c r="FW114" s="656"/>
      <c r="FX114" s="656"/>
      <c r="FY114" s="656"/>
      <c r="FZ114" s="656"/>
      <c r="GA114" s="656"/>
      <c r="GB114" s="656"/>
      <c r="GC114" s="656"/>
      <c r="GD114" s="656"/>
      <c r="GE114" s="656"/>
      <c r="GF114" s="656"/>
      <c r="GG114" s="656"/>
      <c r="GH114" s="656"/>
      <c r="GI114" s="656"/>
      <c r="GJ114" s="656"/>
      <c r="GK114" s="656"/>
      <c r="GL114" s="656"/>
      <c r="GM114" s="656"/>
      <c r="GN114" s="656"/>
      <c r="GO114" s="656"/>
      <c r="GP114" s="656"/>
      <c r="GQ114" s="656"/>
      <c r="GR114" s="656"/>
      <c r="GS114" s="656"/>
      <c r="GT114" s="656"/>
      <c r="GU114" s="656"/>
      <c r="GV114" s="656"/>
      <c r="GW114" s="656"/>
      <c r="GX114" s="656"/>
      <c r="GY114" s="656"/>
      <c r="GZ114" s="656"/>
      <c r="HA114" s="656"/>
      <c r="HB114" s="656"/>
      <c r="HC114" s="656"/>
      <c r="HD114" s="656"/>
      <c r="HE114" s="656"/>
      <c r="HF114" s="656"/>
      <c r="HG114" s="656"/>
      <c r="HH114" s="656"/>
      <c r="HI114" s="656"/>
      <c r="HJ114" s="656"/>
      <c r="HK114" s="656"/>
      <c r="HL114" s="656"/>
      <c r="HM114" s="656"/>
      <c r="HN114" s="656"/>
      <c r="HO114" s="656"/>
      <c r="HP114" s="656"/>
      <c r="HQ114" s="656"/>
      <c r="HR114" s="656"/>
      <c r="HS114" s="656"/>
      <c r="HT114" s="656"/>
      <c r="HU114" s="656"/>
      <c r="HV114" s="656"/>
      <c r="HW114" s="656"/>
      <c r="HX114" s="656"/>
      <c r="HY114" s="656"/>
      <c r="HZ114" s="656"/>
    </row>
    <row r="115" spans="1:234" s="657" customFormat="1" x14ac:dyDescent="0.25">
      <c r="A115" s="698"/>
      <c r="B115" s="1014">
        <v>52</v>
      </c>
      <c r="C115" s="1015" t="s">
        <v>166</v>
      </c>
      <c r="D115" s="1027" t="s">
        <v>904</v>
      </c>
      <c r="E115" s="1017">
        <v>1</v>
      </c>
      <c r="F115" s="1018">
        <v>49904</v>
      </c>
      <c r="G115" s="1019">
        <v>49904</v>
      </c>
      <c r="H115" s="486">
        <v>6</v>
      </c>
      <c r="I115" s="1058">
        <v>6</v>
      </c>
      <c r="J115" s="1020">
        <v>299424</v>
      </c>
      <c r="K115" s="1021">
        <v>0</v>
      </c>
      <c r="L115" s="1059"/>
      <c r="M115" s="1060">
        <v>0</v>
      </c>
      <c r="N115" s="488">
        <v>0</v>
      </c>
      <c r="O115" s="1060">
        <v>0</v>
      </c>
      <c r="P115" s="488">
        <v>0</v>
      </c>
      <c r="Q115" s="1060">
        <v>0</v>
      </c>
      <c r="R115" s="488">
        <v>0</v>
      </c>
      <c r="S115" s="1023"/>
      <c r="T115" s="656"/>
      <c r="U115" s="656"/>
      <c r="V115" s="656"/>
      <c r="W115" s="656"/>
      <c r="X115" s="656"/>
      <c r="Y115" s="656"/>
      <c r="Z115" s="656"/>
      <c r="AA115" s="656"/>
      <c r="AB115" s="656"/>
      <c r="AC115" s="656"/>
      <c r="AD115" s="656"/>
      <c r="AE115" s="656"/>
      <c r="AF115" s="656"/>
      <c r="AG115" s="656"/>
      <c r="AH115" s="656"/>
      <c r="AI115" s="656"/>
      <c r="AJ115" s="656"/>
      <c r="AK115" s="656"/>
      <c r="AL115" s="656"/>
      <c r="AM115" s="656"/>
      <c r="AN115" s="656"/>
      <c r="AO115" s="656"/>
      <c r="AP115" s="656"/>
      <c r="AQ115" s="656"/>
      <c r="AR115" s="656"/>
      <c r="AS115" s="656"/>
      <c r="AT115" s="656"/>
      <c r="AU115" s="656"/>
      <c r="AV115" s="656"/>
      <c r="AW115" s="656"/>
      <c r="AX115" s="656"/>
      <c r="AY115" s="656"/>
      <c r="AZ115" s="656"/>
      <c r="BA115" s="656"/>
      <c r="BB115" s="656"/>
      <c r="BC115" s="656"/>
      <c r="BD115" s="656"/>
      <c r="BE115" s="656"/>
      <c r="BF115" s="656"/>
      <c r="BG115" s="656"/>
      <c r="BH115" s="656"/>
      <c r="BI115" s="656"/>
      <c r="BJ115" s="656"/>
      <c r="BK115" s="656"/>
      <c r="BL115" s="656"/>
      <c r="BM115" s="656"/>
      <c r="BN115" s="656"/>
      <c r="BO115" s="656"/>
      <c r="BP115" s="656"/>
      <c r="BQ115" s="656"/>
      <c r="BR115" s="656"/>
      <c r="BS115" s="656"/>
      <c r="BT115" s="656"/>
      <c r="BU115" s="656"/>
      <c r="BV115" s="656"/>
      <c r="BW115" s="656"/>
      <c r="BX115" s="656"/>
      <c r="BY115" s="656"/>
      <c r="BZ115" s="656"/>
      <c r="CA115" s="656"/>
      <c r="CB115" s="656"/>
      <c r="CC115" s="656"/>
      <c r="CD115" s="656"/>
      <c r="CE115" s="656"/>
      <c r="CF115" s="656"/>
      <c r="CG115" s="656"/>
      <c r="CH115" s="656"/>
      <c r="CI115" s="656"/>
      <c r="CJ115" s="656"/>
      <c r="CK115" s="656"/>
      <c r="CL115" s="656"/>
      <c r="CM115" s="656"/>
      <c r="CN115" s="656"/>
      <c r="CO115" s="656"/>
      <c r="CP115" s="656"/>
      <c r="CQ115" s="656"/>
      <c r="CR115" s="656"/>
      <c r="CS115" s="656"/>
      <c r="CT115" s="656"/>
      <c r="CU115" s="656"/>
      <c r="CV115" s="656"/>
      <c r="CW115" s="656"/>
      <c r="CX115" s="656"/>
      <c r="CY115" s="656"/>
      <c r="CZ115" s="656"/>
      <c r="DA115" s="656"/>
      <c r="DB115" s="656"/>
      <c r="DC115" s="656"/>
      <c r="DD115" s="656"/>
      <c r="DE115" s="656"/>
      <c r="DF115" s="656"/>
      <c r="DG115" s="656"/>
      <c r="DH115" s="656"/>
      <c r="DI115" s="656"/>
      <c r="DJ115" s="656"/>
      <c r="DK115" s="656"/>
      <c r="DL115" s="656"/>
      <c r="DM115" s="656"/>
      <c r="DN115" s="656"/>
      <c r="DO115" s="656"/>
      <c r="DP115" s="656"/>
      <c r="DQ115" s="656"/>
      <c r="DR115" s="656"/>
      <c r="DS115" s="656"/>
      <c r="DT115" s="656"/>
      <c r="DU115" s="656"/>
      <c r="DV115" s="656"/>
      <c r="DW115" s="656"/>
      <c r="DX115" s="656"/>
      <c r="DY115" s="656"/>
      <c r="DZ115" s="656"/>
      <c r="EA115" s="656"/>
      <c r="EB115" s="656"/>
      <c r="EC115" s="656"/>
      <c r="ED115" s="656"/>
      <c r="EE115" s="656"/>
      <c r="EF115" s="656"/>
      <c r="EG115" s="656"/>
      <c r="EH115" s="656"/>
      <c r="EI115" s="656"/>
      <c r="EJ115" s="656"/>
      <c r="EK115" s="656"/>
      <c r="EL115" s="656"/>
      <c r="EM115" s="656"/>
      <c r="EN115" s="656"/>
      <c r="EO115" s="656"/>
      <c r="EP115" s="656"/>
      <c r="EQ115" s="656"/>
      <c r="ER115" s="656"/>
      <c r="ES115" s="656"/>
      <c r="ET115" s="656"/>
      <c r="EU115" s="656"/>
      <c r="EV115" s="656"/>
      <c r="EW115" s="656"/>
      <c r="EX115" s="656"/>
      <c r="EY115" s="656"/>
      <c r="EZ115" s="656"/>
      <c r="FA115" s="656"/>
      <c r="FB115" s="656"/>
      <c r="FC115" s="656"/>
      <c r="FD115" s="656"/>
      <c r="FE115" s="656"/>
      <c r="FF115" s="656"/>
      <c r="FG115" s="656"/>
      <c r="FH115" s="656"/>
      <c r="FI115" s="656"/>
      <c r="FJ115" s="656"/>
      <c r="FK115" s="656"/>
      <c r="FL115" s="656"/>
      <c r="FM115" s="656"/>
      <c r="FN115" s="656"/>
      <c r="FO115" s="656"/>
      <c r="FP115" s="656"/>
      <c r="FQ115" s="656"/>
      <c r="FR115" s="656"/>
      <c r="FS115" s="656"/>
      <c r="FT115" s="656"/>
      <c r="FU115" s="656"/>
      <c r="FV115" s="656"/>
      <c r="FW115" s="656"/>
      <c r="FX115" s="656"/>
      <c r="FY115" s="656"/>
      <c r="FZ115" s="656"/>
      <c r="GA115" s="656"/>
      <c r="GB115" s="656"/>
      <c r="GC115" s="656"/>
      <c r="GD115" s="656"/>
      <c r="GE115" s="656"/>
      <c r="GF115" s="656"/>
      <c r="GG115" s="656"/>
      <c r="GH115" s="656"/>
      <c r="GI115" s="656"/>
      <c r="GJ115" s="656"/>
      <c r="GK115" s="656"/>
      <c r="GL115" s="656"/>
      <c r="GM115" s="656"/>
      <c r="GN115" s="656"/>
      <c r="GO115" s="656"/>
      <c r="GP115" s="656"/>
      <c r="GQ115" s="656"/>
      <c r="GR115" s="656"/>
      <c r="GS115" s="656"/>
      <c r="GT115" s="656"/>
      <c r="GU115" s="656"/>
      <c r="GV115" s="656"/>
      <c r="GW115" s="656"/>
      <c r="GX115" s="656"/>
      <c r="GY115" s="656"/>
      <c r="GZ115" s="656"/>
      <c r="HA115" s="656"/>
      <c r="HB115" s="656"/>
      <c r="HC115" s="656"/>
      <c r="HD115" s="656"/>
      <c r="HE115" s="656"/>
      <c r="HF115" s="656"/>
      <c r="HG115" s="656"/>
      <c r="HH115" s="656"/>
      <c r="HI115" s="656"/>
      <c r="HJ115" s="656"/>
      <c r="HK115" s="656"/>
      <c r="HL115" s="656"/>
      <c r="HM115" s="656"/>
      <c r="HN115" s="656"/>
      <c r="HO115" s="656"/>
      <c r="HP115" s="656"/>
      <c r="HQ115" s="656"/>
      <c r="HR115" s="656"/>
      <c r="HS115" s="656"/>
      <c r="HT115" s="656"/>
      <c r="HU115" s="656"/>
      <c r="HV115" s="656"/>
      <c r="HW115" s="656"/>
      <c r="HX115" s="656"/>
      <c r="HY115" s="656"/>
      <c r="HZ115" s="656"/>
    </row>
    <row r="116" spans="1:234" s="657" customFormat="1" x14ac:dyDescent="0.25">
      <c r="A116" s="698"/>
      <c r="B116" s="1061" t="s">
        <v>217</v>
      </c>
      <c r="C116" s="1062" t="s">
        <v>1320</v>
      </c>
      <c r="D116" s="1063"/>
      <c r="E116" s="1064"/>
      <c r="F116" s="1065"/>
      <c r="G116" s="1066"/>
      <c r="H116" s="1067"/>
      <c r="I116" s="1068"/>
      <c r="J116" s="1069"/>
      <c r="K116" s="1070"/>
      <c r="L116" s="1071"/>
      <c r="M116" s="1072"/>
      <c r="N116" s="1073"/>
      <c r="O116" s="1072"/>
      <c r="P116" s="1073"/>
      <c r="Q116" s="1072"/>
      <c r="R116" s="1073"/>
      <c r="S116" s="1023"/>
      <c r="T116" s="656"/>
      <c r="U116" s="656"/>
      <c r="V116" s="656"/>
      <c r="W116" s="656"/>
      <c r="X116" s="656"/>
      <c r="Y116" s="656"/>
      <c r="Z116" s="656"/>
      <c r="AA116" s="656"/>
      <c r="AB116" s="656"/>
      <c r="AC116" s="656"/>
      <c r="AD116" s="656"/>
      <c r="AE116" s="656"/>
      <c r="AF116" s="656"/>
      <c r="AG116" s="656"/>
      <c r="AH116" s="656"/>
      <c r="AI116" s="656"/>
      <c r="AJ116" s="656"/>
      <c r="AK116" s="656"/>
      <c r="AL116" s="656"/>
      <c r="AM116" s="656"/>
      <c r="AN116" s="656"/>
      <c r="AO116" s="656"/>
      <c r="AP116" s="656"/>
      <c r="AQ116" s="656"/>
      <c r="AR116" s="656"/>
      <c r="AS116" s="656"/>
      <c r="AT116" s="656"/>
      <c r="AU116" s="656"/>
      <c r="AV116" s="656"/>
      <c r="AW116" s="656"/>
      <c r="AX116" s="656"/>
      <c r="AY116" s="656"/>
      <c r="AZ116" s="656"/>
      <c r="BA116" s="656"/>
      <c r="BB116" s="656"/>
      <c r="BC116" s="656"/>
      <c r="BD116" s="656"/>
      <c r="BE116" s="656"/>
      <c r="BF116" s="656"/>
      <c r="BG116" s="656"/>
      <c r="BH116" s="656"/>
      <c r="BI116" s="656"/>
      <c r="BJ116" s="656"/>
      <c r="BK116" s="656"/>
      <c r="BL116" s="656"/>
      <c r="BM116" s="656"/>
      <c r="BN116" s="656"/>
      <c r="BO116" s="656"/>
      <c r="BP116" s="656"/>
      <c r="BQ116" s="656"/>
      <c r="BR116" s="656"/>
      <c r="BS116" s="656"/>
      <c r="BT116" s="656"/>
      <c r="BU116" s="656"/>
      <c r="BV116" s="656"/>
      <c r="BW116" s="656"/>
      <c r="BX116" s="656"/>
      <c r="BY116" s="656"/>
      <c r="BZ116" s="656"/>
      <c r="CA116" s="656"/>
      <c r="CB116" s="656"/>
      <c r="CC116" s="656"/>
      <c r="CD116" s="656"/>
      <c r="CE116" s="656"/>
      <c r="CF116" s="656"/>
      <c r="CG116" s="656"/>
      <c r="CH116" s="656"/>
      <c r="CI116" s="656"/>
      <c r="CJ116" s="656"/>
      <c r="CK116" s="656"/>
      <c r="CL116" s="656"/>
      <c r="CM116" s="656"/>
      <c r="CN116" s="656"/>
      <c r="CO116" s="656"/>
      <c r="CP116" s="656"/>
      <c r="CQ116" s="656"/>
      <c r="CR116" s="656"/>
      <c r="CS116" s="656"/>
      <c r="CT116" s="656"/>
      <c r="CU116" s="656"/>
      <c r="CV116" s="656"/>
      <c r="CW116" s="656"/>
      <c r="CX116" s="656"/>
      <c r="CY116" s="656"/>
      <c r="CZ116" s="656"/>
      <c r="DA116" s="656"/>
      <c r="DB116" s="656"/>
      <c r="DC116" s="656"/>
      <c r="DD116" s="656"/>
      <c r="DE116" s="656"/>
      <c r="DF116" s="656"/>
      <c r="DG116" s="656"/>
      <c r="DH116" s="656"/>
      <c r="DI116" s="656"/>
      <c r="DJ116" s="656"/>
      <c r="DK116" s="656"/>
      <c r="DL116" s="656"/>
      <c r="DM116" s="656"/>
      <c r="DN116" s="656"/>
      <c r="DO116" s="656"/>
      <c r="DP116" s="656"/>
      <c r="DQ116" s="656"/>
      <c r="DR116" s="656"/>
      <c r="DS116" s="656"/>
      <c r="DT116" s="656"/>
      <c r="DU116" s="656"/>
      <c r="DV116" s="656"/>
      <c r="DW116" s="656"/>
      <c r="DX116" s="656"/>
      <c r="DY116" s="656"/>
      <c r="DZ116" s="656"/>
      <c r="EA116" s="656"/>
      <c r="EB116" s="656"/>
      <c r="EC116" s="656"/>
      <c r="ED116" s="656"/>
      <c r="EE116" s="656"/>
      <c r="EF116" s="656"/>
      <c r="EG116" s="656"/>
      <c r="EH116" s="656"/>
      <c r="EI116" s="656"/>
      <c r="EJ116" s="656"/>
      <c r="EK116" s="656"/>
      <c r="EL116" s="656"/>
      <c r="EM116" s="656"/>
      <c r="EN116" s="656"/>
      <c r="EO116" s="656"/>
      <c r="EP116" s="656"/>
      <c r="EQ116" s="656"/>
      <c r="ER116" s="656"/>
      <c r="ES116" s="656"/>
      <c r="ET116" s="656"/>
      <c r="EU116" s="656"/>
      <c r="EV116" s="656"/>
      <c r="EW116" s="656"/>
      <c r="EX116" s="656"/>
      <c r="EY116" s="656"/>
      <c r="EZ116" s="656"/>
      <c r="FA116" s="656"/>
      <c r="FB116" s="656"/>
      <c r="FC116" s="656"/>
      <c r="FD116" s="656"/>
      <c r="FE116" s="656"/>
      <c r="FF116" s="656"/>
      <c r="FG116" s="656"/>
      <c r="FH116" s="656"/>
      <c r="FI116" s="656"/>
      <c r="FJ116" s="656"/>
      <c r="FK116" s="656"/>
      <c r="FL116" s="656"/>
      <c r="FM116" s="656"/>
      <c r="FN116" s="656"/>
      <c r="FO116" s="656"/>
      <c r="FP116" s="656"/>
      <c r="FQ116" s="656"/>
      <c r="FR116" s="656"/>
      <c r="FS116" s="656"/>
      <c r="FT116" s="656"/>
      <c r="FU116" s="656"/>
      <c r="FV116" s="656"/>
      <c r="FW116" s="656"/>
      <c r="FX116" s="656"/>
      <c r="FY116" s="656"/>
      <c r="FZ116" s="656"/>
      <c r="GA116" s="656"/>
      <c r="GB116" s="656"/>
      <c r="GC116" s="656"/>
      <c r="GD116" s="656"/>
      <c r="GE116" s="656"/>
      <c r="GF116" s="656"/>
      <c r="GG116" s="656"/>
      <c r="GH116" s="656"/>
      <c r="GI116" s="656"/>
      <c r="GJ116" s="656"/>
      <c r="GK116" s="656"/>
      <c r="GL116" s="656"/>
      <c r="GM116" s="656"/>
      <c r="GN116" s="656"/>
      <c r="GO116" s="656"/>
      <c r="GP116" s="656"/>
      <c r="GQ116" s="656"/>
      <c r="GR116" s="656"/>
      <c r="GS116" s="656"/>
      <c r="GT116" s="656"/>
      <c r="GU116" s="656"/>
      <c r="GV116" s="656"/>
      <c r="GW116" s="656"/>
      <c r="GX116" s="656"/>
      <c r="GY116" s="656"/>
      <c r="GZ116" s="656"/>
      <c r="HA116" s="656"/>
      <c r="HB116" s="656"/>
      <c r="HC116" s="656"/>
      <c r="HD116" s="656"/>
      <c r="HE116" s="656"/>
      <c r="HF116" s="656"/>
      <c r="HG116" s="656"/>
      <c r="HH116" s="656"/>
      <c r="HI116" s="656"/>
      <c r="HJ116" s="656"/>
      <c r="HK116" s="656"/>
      <c r="HL116" s="656"/>
      <c r="HM116" s="656"/>
      <c r="HN116" s="656"/>
      <c r="HO116" s="656"/>
      <c r="HP116" s="656"/>
      <c r="HQ116" s="656"/>
      <c r="HR116" s="656"/>
      <c r="HS116" s="656"/>
      <c r="HT116" s="656"/>
      <c r="HU116" s="656"/>
      <c r="HV116" s="656"/>
      <c r="HW116" s="656"/>
      <c r="HX116" s="656"/>
      <c r="HY116" s="656"/>
      <c r="HZ116" s="656"/>
    </row>
    <row r="117" spans="1:234" ht="15.75" x14ac:dyDescent="0.25">
      <c r="B117" s="1074">
        <v>53</v>
      </c>
      <c r="C117" s="1075" t="s">
        <v>211</v>
      </c>
      <c r="D117" s="1076" t="s">
        <v>842</v>
      </c>
      <c r="E117" s="1077">
        <v>1</v>
      </c>
      <c r="F117" s="1078">
        <v>7326</v>
      </c>
      <c r="G117" s="1079">
        <v>7326</v>
      </c>
      <c r="H117" s="1080">
        <v>30</v>
      </c>
      <c r="I117" s="1058">
        <v>0</v>
      </c>
      <c r="J117" s="1020">
        <v>0</v>
      </c>
      <c r="K117" s="1081">
        <v>0</v>
      </c>
      <c r="L117" s="1082"/>
      <c r="M117" s="1029">
        <v>0</v>
      </c>
      <c r="N117" s="488">
        <v>0</v>
      </c>
      <c r="O117" s="1029">
        <v>0</v>
      </c>
      <c r="P117" s="488">
        <v>0</v>
      </c>
      <c r="Q117" s="1029">
        <v>0</v>
      </c>
      <c r="R117" s="488">
        <v>0</v>
      </c>
      <c r="S117" s="1023"/>
      <c r="T117" s="645"/>
      <c r="U117" s="645"/>
      <c r="V117" s="645"/>
      <c r="W117" s="645"/>
      <c r="X117" s="645"/>
      <c r="Y117" s="645"/>
      <c r="Z117" s="645"/>
      <c r="AA117" s="645"/>
      <c r="AB117" s="645"/>
      <c r="AC117" s="645"/>
      <c r="AD117" s="645"/>
      <c r="AE117" s="645"/>
      <c r="AF117" s="645"/>
      <c r="AG117" s="645"/>
      <c r="AH117" s="645"/>
      <c r="AI117" s="645"/>
      <c r="AJ117" s="645"/>
      <c r="AK117" s="645"/>
      <c r="AL117" s="645"/>
      <c r="AM117" s="645"/>
      <c r="AN117" s="645"/>
      <c r="AO117" s="645"/>
      <c r="AP117" s="645"/>
      <c r="AQ117" s="645"/>
      <c r="AR117" s="645"/>
      <c r="AS117" s="645"/>
      <c r="AT117" s="645"/>
      <c r="AU117" s="645"/>
      <c r="AV117" s="645"/>
      <c r="AW117" s="645"/>
      <c r="AX117" s="645"/>
      <c r="AY117" s="645"/>
      <c r="AZ117" s="645"/>
      <c r="BA117" s="645"/>
      <c r="BB117" s="645"/>
      <c r="BC117" s="645"/>
      <c r="BD117" s="645"/>
      <c r="BE117" s="645"/>
      <c r="BF117" s="645"/>
      <c r="BG117" s="645"/>
      <c r="BH117" s="645"/>
      <c r="BI117" s="645"/>
      <c r="BJ117" s="645"/>
      <c r="BK117" s="645"/>
      <c r="BL117" s="645"/>
      <c r="BM117" s="645"/>
      <c r="BN117" s="645"/>
      <c r="BO117" s="645"/>
      <c r="BP117" s="645"/>
      <c r="BQ117" s="645"/>
      <c r="BR117" s="645"/>
      <c r="BS117" s="645"/>
      <c r="BT117" s="645"/>
      <c r="BU117" s="645"/>
      <c r="BV117" s="645"/>
      <c r="BW117" s="645"/>
      <c r="BX117" s="645"/>
      <c r="BY117" s="645"/>
      <c r="BZ117" s="645"/>
      <c r="CA117" s="645"/>
      <c r="CB117" s="645"/>
      <c r="CC117" s="645"/>
      <c r="CD117" s="645"/>
      <c r="CE117" s="645"/>
      <c r="CF117" s="645"/>
      <c r="CG117" s="645"/>
      <c r="CH117" s="645"/>
      <c r="CI117" s="645"/>
      <c r="CJ117" s="645"/>
      <c r="CK117" s="645"/>
      <c r="CL117" s="645"/>
      <c r="CM117" s="645"/>
      <c r="CN117" s="645"/>
      <c r="CO117" s="645"/>
      <c r="CP117" s="645"/>
      <c r="CQ117" s="645"/>
      <c r="CR117" s="645"/>
      <c r="CS117" s="645"/>
      <c r="CT117" s="645"/>
      <c r="CU117" s="645"/>
      <c r="CV117" s="645"/>
      <c r="CW117" s="645"/>
      <c r="CX117" s="645"/>
      <c r="CY117" s="645"/>
      <c r="CZ117" s="645"/>
      <c r="DA117" s="645"/>
      <c r="DB117" s="645"/>
      <c r="DC117" s="645"/>
      <c r="DD117" s="645"/>
      <c r="DE117" s="645"/>
      <c r="DF117" s="645"/>
      <c r="DG117" s="645"/>
      <c r="DH117" s="645"/>
      <c r="DI117" s="645"/>
      <c r="DJ117" s="645"/>
      <c r="DK117" s="645"/>
      <c r="DL117" s="645"/>
      <c r="DM117" s="645"/>
      <c r="DN117" s="645"/>
      <c r="DO117" s="645"/>
      <c r="DP117" s="645"/>
      <c r="DQ117" s="645"/>
      <c r="DR117" s="645"/>
      <c r="DS117" s="645"/>
      <c r="DT117" s="645"/>
      <c r="DU117" s="645"/>
      <c r="DV117" s="645"/>
      <c r="DW117" s="645"/>
      <c r="DX117" s="645"/>
      <c r="DY117" s="645"/>
      <c r="DZ117" s="645"/>
      <c r="EA117" s="645"/>
      <c r="EB117" s="645"/>
      <c r="EC117" s="645"/>
      <c r="ED117" s="645"/>
      <c r="EE117" s="645"/>
      <c r="EF117" s="645"/>
      <c r="EG117" s="645"/>
      <c r="EH117" s="645"/>
      <c r="EI117" s="645"/>
      <c r="EJ117" s="645"/>
      <c r="EK117" s="645"/>
      <c r="EL117" s="645"/>
      <c r="EM117" s="645"/>
      <c r="EN117" s="645"/>
      <c r="EO117" s="645"/>
      <c r="EP117" s="645"/>
      <c r="EQ117" s="645"/>
      <c r="ER117" s="645"/>
      <c r="ES117" s="645"/>
      <c r="ET117" s="645"/>
      <c r="EU117" s="645"/>
      <c r="EV117" s="645"/>
      <c r="EW117" s="645"/>
      <c r="EX117" s="645"/>
      <c r="EY117" s="645"/>
      <c r="EZ117" s="645"/>
      <c r="FA117" s="645"/>
      <c r="FB117" s="645"/>
      <c r="FC117" s="645"/>
      <c r="FD117" s="645"/>
      <c r="FE117" s="645"/>
      <c r="FF117" s="645"/>
      <c r="FG117" s="645"/>
      <c r="FH117" s="645"/>
      <c r="FI117" s="645"/>
      <c r="FJ117" s="645"/>
      <c r="FK117" s="645"/>
      <c r="FL117" s="645"/>
      <c r="FM117" s="645"/>
      <c r="FN117" s="645"/>
      <c r="FO117" s="645"/>
      <c r="FP117" s="645"/>
      <c r="FQ117" s="645"/>
      <c r="FR117" s="645"/>
      <c r="FS117" s="645"/>
      <c r="FT117" s="645"/>
      <c r="FU117" s="645"/>
      <c r="FV117" s="645"/>
      <c r="FW117" s="645"/>
      <c r="FX117" s="645"/>
      <c r="FY117" s="645"/>
      <c r="FZ117" s="645"/>
      <c r="GA117" s="645"/>
      <c r="GB117" s="645"/>
      <c r="GC117" s="645"/>
      <c r="GD117" s="645"/>
      <c r="GE117" s="645"/>
      <c r="GF117" s="645"/>
      <c r="GG117" s="645"/>
      <c r="GH117" s="645"/>
      <c r="GI117" s="645"/>
      <c r="GJ117" s="645"/>
      <c r="GK117" s="645"/>
      <c r="GL117" s="645"/>
      <c r="GM117" s="645"/>
      <c r="GN117" s="645"/>
      <c r="GO117" s="645"/>
      <c r="GP117" s="645"/>
      <c r="GQ117" s="645"/>
      <c r="GR117" s="645"/>
      <c r="GS117" s="645"/>
      <c r="GT117" s="645"/>
      <c r="GU117" s="645"/>
      <c r="GV117" s="645"/>
      <c r="GW117" s="645"/>
      <c r="GX117" s="645"/>
      <c r="GY117" s="645"/>
      <c r="GZ117" s="645"/>
      <c r="HA117" s="645"/>
      <c r="HB117" s="645"/>
      <c r="HC117" s="645"/>
      <c r="HD117" s="645"/>
      <c r="HE117" s="645"/>
      <c r="HF117" s="645"/>
      <c r="HG117" s="645"/>
      <c r="HH117" s="645"/>
      <c r="HI117" s="645"/>
      <c r="HJ117" s="645"/>
      <c r="HK117" s="645"/>
      <c r="HL117" s="645"/>
      <c r="HM117" s="645"/>
      <c r="HN117" s="645"/>
      <c r="HO117" s="645"/>
      <c r="HP117" s="645"/>
      <c r="HQ117" s="645"/>
      <c r="HR117" s="645"/>
      <c r="HS117" s="645"/>
      <c r="HT117" s="645"/>
      <c r="HU117" s="645"/>
      <c r="HV117" s="645"/>
      <c r="HW117" s="645"/>
      <c r="HX117" s="645"/>
    </row>
    <row r="118" spans="1:234" ht="42.75" x14ac:dyDescent="0.25">
      <c r="B118" s="1074">
        <v>55</v>
      </c>
      <c r="C118" s="1075" t="s">
        <v>86</v>
      </c>
      <c r="D118" s="1076" t="s">
        <v>842</v>
      </c>
      <c r="E118" s="1077">
        <v>1</v>
      </c>
      <c r="F118" s="1078">
        <v>31412</v>
      </c>
      <c r="G118" s="1079">
        <v>31412</v>
      </c>
      <c r="H118" s="1080">
        <v>10</v>
      </c>
      <c r="I118" s="1058">
        <v>0</v>
      </c>
      <c r="J118" s="1020">
        <v>0</v>
      </c>
      <c r="K118" s="1081">
        <v>0</v>
      </c>
      <c r="L118" s="1082"/>
      <c r="M118" s="1029">
        <v>0</v>
      </c>
      <c r="N118" s="488">
        <v>0</v>
      </c>
      <c r="O118" s="1029">
        <v>0</v>
      </c>
      <c r="P118" s="488">
        <v>0</v>
      </c>
      <c r="Q118" s="1029">
        <v>0</v>
      </c>
      <c r="R118" s="488">
        <v>0</v>
      </c>
      <c r="S118" s="1023"/>
      <c r="T118" s="645"/>
      <c r="U118" s="645"/>
      <c r="V118" s="645"/>
      <c r="W118" s="645"/>
      <c r="X118" s="645"/>
      <c r="Y118" s="645"/>
      <c r="Z118" s="645"/>
      <c r="AA118" s="645"/>
      <c r="AB118" s="645"/>
      <c r="AC118" s="645"/>
      <c r="AD118" s="645"/>
      <c r="AE118" s="645"/>
      <c r="AF118" s="645"/>
      <c r="AG118" s="645"/>
      <c r="AH118" s="645"/>
      <c r="AI118" s="645"/>
      <c r="AJ118" s="645"/>
      <c r="AK118" s="645"/>
      <c r="AL118" s="645"/>
      <c r="AM118" s="645"/>
      <c r="AN118" s="645"/>
      <c r="AO118" s="645"/>
      <c r="AP118" s="645"/>
      <c r="AQ118" s="645"/>
      <c r="AR118" s="645"/>
      <c r="AS118" s="645"/>
      <c r="AT118" s="645"/>
      <c r="AU118" s="645"/>
      <c r="AV118" s="645"/>
      <c r="AW118" s="645"/>
      <c r="AX118" s="645"/>
      <c r="AY118" s="645"/>
      <c r="AZ118" s="645"/>
      <c r="BA118" s="645"/>
      <c r="BB118" s="645"/>
      <c r="BC118" s="645"/>
      <c r="BD118" s="645"/>
      <c r="BE118" s="645"/>
      <c r="BF118" s="645"/>
      <c r="BG118" s="645"/>
      <c r="BH118" s="645"/>
      <c r="BI118" s="645"/>
      <c r="BJ118" s="645"/>
      <c r="BK118" s="645"/>
      <c r="BL118" s="645"/>
      <c r="BM118" s="645"/>
      <c r="BN118" s="645"/>
      <c r="BO118" s="645"/>
      <c r="BP118" s="645"/>
      <c r="BQ118" s="645"/>
      <c r="BR118" s="645"/>
      <c r="BS118" s="645"/>
      <c r="BT118" s="645"/>
      <c r="BU118" s="645"/>
      <c r="BV118" s="645"/>
      <c r="BW118" s="645"/>
      <c r="BX118" s="645"/>
      <c r="BY118" s="645"/>
      <c r="BZ118" s="645"/>
      <c r="CA118" s="645"/>
      <c r="CB118" s="645"/>
      <c r="CC118" s="645"/>
      <c r="CD118" s="645"/>
      <c r="CE118" s="645"/>
      <c r="CF118" s="645"/>
      <c r="CG118" s="645"/>
      <c r="CH118" s="645"/>
      <c r="CI118" s="645"/>
      <c r="CJ118" s="645"/>
      <c r="CK118" s="645"/>
      <c r="CL118" s="645"/>
      <c r="CM118" s="645"/>
      <c r="CN118" s="645"/>
      <c r="CO118" s="645"/>
      <c r="CP118" s="645"/>
      <c r="CQ118" s="645"/>
      <c r="CR118" s="645"/>
      <c r="CS118" s="645"/>
      <c r="CT118" s="645"/>
      <c r="CU118" s="645"/>
      <c r="CV118" s="645"/>
      <c r="CW118" s="645"/>
      <c r="CX118" s="645"/>
      <c r="CY118" s="645"/>
      <c r="CZ118" s="645"/>
      <c r="DA118" s="645"/>
      <c r="DB118" s="645"/>
      <c r="DC118" s="645"/>
      <c r="DD118" s="645"/>
      <c r="DE118" s="645"/>
      <c r="DF118" s="645"/>
      <c r="DG118" s="645"/>
      <c r="DH118" s="645"/>
      <c r="DI118" s="645"/>
      <c r="DJ118" s="645"/>
      <c r="DK118" s="645"/>
      <c r="DL118" s="645"/>
      <c r="DM118" s="645"/>
      <c r="DN118" s="645"/>
      <c r="DO118" s="645"/>
      <c r="DP118" s="645"/>
      <c r="DQ118" s="645"/>
      <c r="DR118" s="645"/>
      <c r="DS118" s="645"/>
      <c r="DT118" s="645"/>
      <c r="DU118" s="645"/>
      <c r="DV118" s="645"/>
      <c r="DW118" s="645"/>
      <c r="DX118" s="645"/>
      <c r="DY118" s="645"/>
      <c r="DZ118" s="645"/>
      <c r="EA118" s="645"/>
      <c r="EB118" s="645"/>
      <c r="EC118" s="645"/>
      <c r="ED118" s="645"/>
      <c r="EE118" s="645"/>
      <c r="EF118" s="645"/>
      <c r="EG118" s="645"/>
      <c r="EH118" s="645"/>
      <c r="EI118" s="645"/>
      <c r="EJ118" s="645"/>
      <c r="EK118" s="645"/>
      <c r="EL118" s="645"/>
      <c r="EM118" s="645"/>
      <c r="EN118" s="645"/>
      <c r="EO118" s="645"/>
      <c r="EP118" s="645"/>
      <c r="EQ118" s="645"/>
      <c r="ER118" s="645"/>
      <c r="ES118" s="645"/>
      <c r="ET118" s="645"/>
      <c r="EU118" s="645"/>
      <c r="EV118" s="645"/>
      <c r="EW118" s="645"/>
      <c r="EX118" s="645"/>
      <c r="EY118" s="645"/>
      <c r="EZ118" s="645"/>
      <c r="FA118" s="645"/>
      <c r="FB118" s="645"/>
      <c r="FC118" s="645"/>
      <c r="FD118" s="645"/>
      <c r="FE118" s="645"/>
      <c r="FF118" s="645"/>
      <c r="FG118" s="645"/>
      <c r="FH118" s="645"/>
      <c r="FI118" s="645"/>
      <c r="FJ118" s="645"/>
      <c r="FK118" s="645"/>
      <c r="FL118" s="645"/>
      <c r="FM118" s="645"/>
      <c r="FN118" s="645"/>
      <c r="FO118" s="645"/>
      <c r="FP118" s="645"/>
      <c r="FQ118" s="645"/>
      <c r="FR118" s="645"/>
      <c r="FS118" s="645"/>
      <c r="FT118" s="645"/>
      <c r="FU118" s="645"/>
      <c r="FV118" s="645"/>
      <c r="FW118" s="645"/>
      <c r="FX118" s="645"/>
      <c r="FY118" s="645"/>
      <c r="FZ118" s="645"/>
      <c r="GA118" s="645"/>
      <c r="GB118" s="645"/>
      <c r="GC118" s="645"/>
      <c r="GD118" s="645"/>
      <c r="GE118" s="645"/>
      <c r="GF118" s="645"/>
      <c r="GG118" s="645"/>
      <c r="GH118" s="645"/>
      <c r="GI118" s="645"/>
      <c r="GJ118" s="645"/>
      <c r="GK118" s="645"/>
      <c r="GL118" s="645"/>
      <c r="GM118" s="645"/>
      <c r="GN118" s="645"/>
      <c r="GO118" s="645"/>
      <c r="GP118" s="645"/>
      <c r="GQ118" s="645"/>
      <c r="GR118" s="645"/>
      <c r="GS118" s="645"/>
      <c r="GT118" s="645"/>
      <c r="GU118" s="645"/>
      <c r="GV118" s="645"/>
      <c r="GW118" s="645"/>
      <c r="GX118" s="645"/>
      <c r="GY118" s="645"/>
      <c r="GZ118" s="645"/>
      <c r="HA118" s="645"/>
      <c r="HB118" s="645"/>
      <c r="HC118" s="645"/>
      <c r="HD118" s="645"/>
      <c r="HE118" s="645"/>
      <c r="HF118" s="645"/>
      <c r="HG118" s="645"/>
      <c r="HH118" s="645"/>
      <c r="HI118" s="645"/>
      <c r="HJ118" s="645"/>
      <c r="HK118" s="645"/>
      <c r="HL118" s="645"/>
      <c r="HM118" s="645"/>
      <c r="HN118" s="645"/>
      <c r="HO118" s="645"/>
      <c r="HP118" s="645"/>
      <c r="HQ118" s="645"/>
      <c r="HR118" s="645"/>
      <c r="HS118" s="645"/>
      <c r="HT118" s="645"/>
      <c r="HU118" s="645"/>
      <c r="HV118" s="645"/>
      <c r="HW118" s="645"/>
      <c r="HX118" s="645"/>
    </row>
    <row r="119" spans="1:234" ht="15.75" x14ac:dyDescent="0.25">
      <c r="B119" s="1074">
        <v>56</v>
      </c>
      <c r="C119" s="1075" t="s">
        <v>88</v>
      </c>
      <c r="D119" s="1076" t="s">
        <v>842</v>
      </c>
      <c r="E119" s="1077">
        <v>1</v>
      </c>
      <c r="F119" s="1078">
        <v>12035</v>
      </c>
      <c r="G119" s="1079">
        <v>12035</v>
      </c>
      <c r="H119" s="1080">
        <v>20</v>
      </c>
      <c r="I119" s="1058">
        <v>0</v>
      </c>
      <c r="J119" s="1020">
        <v>0</v>
      </c>
      <c r="K119" s="1081">
        <v>0</v>
      </c>
      <c r="L119" s="1082"/>
      <c r="M119" s="1029">
        <v>0</v>
      </c>
      <c r="N119" s="488">
        <v>0</v>
      </c>
      <c r="O119" s="1029">
        <v>0</v>
      </c>
      <c r="P119" s="488">
        <v>0</v>
      </c>
      <c r="Q119" s="1029">
        <v>0</v>
      </c>
      <c r="R119" s="488">
        <v>0</v>
      </c>
      <c r="S119" s="1023"/>
      <c r="T119" s="645"/>
      <c r="U119" s="645"/>
      <c r="V119" s="645"/>
      <c r="W119" s="645"/>
      <c r="X119" s="645"/>
      <c r="Y119" s="645"/>
      <c r="Z119" s="645"/>
      <c r="AA119" s="645"/>
      <c r="AB119" s="645"/>
      <c r="AC119" s="645"/>
      <c r="AD119" s="645"/>
      <c r="AE119" s="645"/>
      <c r="AF119" s="645"/>
      <c r="AG119" s="645"/>
      <c r="AH119" s="645"/>
      <c r="AI119" s="645"/>
      <c r="AJ119" s="645"/>
      <c r="AK119" s="645"/>
      <c r="AL119" s="645"/>
      <c r="AM119" s="645"/>
      <c r="AN119" s="645"/>
      <c r="AO119" s="645"/>
      <c r="AP119" s="645"/>
      <c r="AQ119" s="645"/>
      <c r="AR119" s="645"/>
      <c r="AS119" s="645"/>
      <c r="AT119" s="645"/>
      <c r="AU119" s="645"/>
      <c r="AV119" s="645"/>
      <c r="AW119" s="645"/>
      <c r="AX119" s="645"/>
      <c r="AY119" s="645"/>
      <c r="AZ119" s="645"/>
      <c r="BA119" s="645"/>
      <c r="BB119" s="645"/>
      <c r="BC119" s="645"/>
      <c r="BD119" s="645"/>
      <c r="BE119" s="645"/>
      <c r="BF119" s="645"/>
      <c r="BG119" s="645"/>
      <c r="BH119" s="645"/>
      <c r="BI119" s="645"/>
      <c r="BJ119" s="645"/>
      <c r="BK119" s="645"/>
      <c r="BL119" s="645"/>
      <c r="BM119" s="645"/>
      <c r="BN119" s="645"/>
      <c r="BO119" s="645"/>
      <c r="BP119" s="645"/>
      <c r="BQ119" s="645"/>
      <c r="BR119" s="645"/>
      <c r="BS119" s="645"/>
      <c r="BT119" s="645"/>
      <c r="BU119" s="645"/>
      <c r="BV119" s="645"/>
      <c r="BW119" s="645"/>
      <c r="BX119" s="645"/>
      <c r="BY119" s="645"/>
      <c r="BZ119" s="645"/>
      <c r="CA119" s="645"/>
      <c r="CB119" s="645"/>
      <c r="CC119" s="645"/>
      <c r="CD119" s="645"/>
      <c r="CE119" s="645"/>
      <c r="CF119" s="645"/>
      <c r="CG119" s="645"/>
      <c r="CH119" s="645"/>
      <c r="CI119" s="645"/>
      <c r="CJ119" s="645"/>
      <c r="CK119" s="645"/>
      <c r="CL119" s="645"/>
      <c r="CM119" s="645"/>
      <c r="CN119" s="645"/>
      <c r="CO119" s="645"/>
      <c r="CP119" s="645"/>
      <c r="CQ119" s="645"/>
      <c r="CR119" s="645"/>
      <c r="CS119" s="645"/>
      <c r="CT119" s="645"/>
      <c r="CU119" s="645"/>
      <c r="CV119" s="645"/>
      <c r="CW119" s="645"/>
      <c r="CX119" s="645"/>
      <c r="CY119" s="645"/>
      <c r="CZ119" s="645"/>
      <c r="DA119" s="645"/>
      <c r="DB119" s="645"/>
      <c r="DC119" s="645"/>
      <c r="DD119" s="645"/>
      <c r="DE119" s="645"/>
      <c r="DF119" s="645"/>
      <c r="DG119" s="645"/>
      <c r="DH119" s="645"/>
      <c r="DI119" s="645"/>
      <c r="DJ119" s="645"/>
      <c r="DK119" s="645"/>
      <c r="DL119" s="645"/>
      <c r="DM119" s="645"/>
      <c r="DN119" s="645"/>
      <c r="DO119" s="645"/>
      <c r="DP119" s="645"/>
      <c r="DQ119" s="645"/>
      <c r="DR119" s="645"/>
      <c r="DS119" s="645"/>
      <c r="DT119" s="645"/>
      <c r="DU119" s="645"/>
      <c r="DV119" s="645"/>
      <c r="DW119" s="645"/>
      <c r="DX119" s="645"/>
      <c r="DY119" s="645"/>
      <c r="DZ119" s="645"/>
      <c r="EA119" s="645"/>
      <c r="EB119" s="645"/>
      <c r="EC119" s="645"/>
      <c r="ED119" s="645"/>
      <c r="EE119" s="645"/>
      <c r="EF119" s="645"/>
      <c r="EG119" s="645"/>
      <c r="EH119" s="645"/>
      <c r="EI119" s="645"/>
      <c r="EJ119" s="645"/>
      <c r="EK119" s="645"/>
      <c r="EL119" s="645"/>
      <c r="EM119" s="645"/>
      <c r="EN119" s="645"/>
      <c r="EO119" s="645"/>
      <c r="EP119" s="645"/>
      <c r="EQ119" s="645"/>
      <c r="ER119" s="645"/>
      <c r="ES119" s="645"/>
      <c r="ET119" s="645"/>
      <c r="EU119" s="645"/>
      <c r="EV119" s="645"/>
      <c r="EW119" s="645"/>
      <c r="EX119" s="645"/>
      <c r="EY119" s="645"/>
      <c r="EZ119" s="645"/>
      <c r="FA119" s="645"/>
      <c r="FB119" s="645"/>
      <c r="FC119" s="645"/>
      <c r="FD119" s="645"/>
      <c r="FE119" s="645"/>
      <c r="FF119" s="645"/>
      <c r="FG119" s="645"/>
      <c r="FH119" s="645"/>
      <c r="FI119" s="645"/>
      <c r="FJ119" s="645"/>
      <c r="FK119" s="645"/>
      <c r="FL119" s="645"/>
      <c r="FM119" s="645"/>
      <c r="FN119" s="645"/>
      <c r="FO119" s="645"/>
      <c r="FP119" s="645"/>
      <c r="FQ119" s="645"/>
      <c r="FR119" s="645"/>
      <c r="FS119" s="645"/>
      <c r="FT119" s="645"/>
      <c r="FU119" s="645"/>
      <c r="FV119" s="645"/>
      <c r="FW119" s="645"/>
      <c r="FX119" s="645"/>
      <c r="FY119" s="645"/>
      <c r="FZ119" s="645"/>
      <c r="GA119" s="645"/>
      <c r="GB119" s="645"/>
      <c r="GC119" s="645"/>
      <c r="GD119" s="645"/>
      <c r="GE119" s="645"/>
      <c r="GF119" s="645"/>
      <c r="GG119" s="645"/>
      <c r="GH119" s="645"/>
      <c r="GI119" s="645"/>
      <c r="GJ119" s="645"/>
      <c r="GK119" s="645"/>
      <c r="GL119" s="645"/>
      <c r="GM119" s="645"/>
      <c r="GN119" s="645"/>
      <c r="GO119" s="645"/>
      <c r="GP119" s="645"/>
      <c r="GQ119" s="645"/>
      <c r="GR119" s="645"/>
      <c r="GS119" s="645"/>
      <c r="GT119" s="645"/>
      <c r="GU119" s="645"/>
      <c r="GV119" s="645"/>
      <c r="GW119" s="645"/>
      <c r="GX119" s="645"/>
      <c r="GY119" s="645"/>
      <c r="GZ119" s="645"/>
      <c r="HA119" s="645"/>
      <c r="HB119" s="645"/>
      <c r="HC119" s="645"/>
      <c r="HD119" s="645"/>
      <c r="HE119" s="645"/>
      <c r="HF119" s="645"/>
      <c r="HG119" s="645"/>
      <c r="HH119" s="645"/>
      <c r="HI119" s="645"/>
      <c r="HJ119" s="645"/>
      <c r="HK119" s="645"/>
      <c r="HL119" s="645"/>
      <c r="HM119" s="645"/>
      <c r="HN119" s="645"/>
      <c r="HO119" s="645"/>
      <c r="HP119" s="645"/>
      <c r="HQ119" s="645"/>
      <c r="HR119" s="645"/>
      <c r="HS119" s="645"/>
      <c r="HT119" s="645"/>
      <c r="HU119" s="645"/>
      <c r="HV119" s="645"/>
      <c r="HW119" s="645"/>
      <c r="HX119" s="645"/>
    </row>
    <row r="120" spans="1:234" ht="15.75" x14ac:dyDescent="0.25">
      <c r="B120" s="1074">
        <v>58</v>
      </c>
      <c r="C120" s="1075" t="s">
        <v>639</v>
      </c>
      <c r="D120" s="1076" t="s">
        <v>842</v>
      </c>
      <c r="E120" s="1077">
        <v>1</v>
      </c>
      <c r="F120" s="1078">
        <v>8051</v>
      </c>
      <c r="G120" s="1079">
        <v>8051</v>
      </c>
      <c r="H120" s="1080">
        <v>150</v>
      </c>
      <c r="I120" s="1058">
        <v>0</v>
      </c>
      <c r="J120" s="1020">
        <v>0</v>
      </c>
      <c r="K120" s="1081">
        <v>0</v>
      </c>
      <c r="L120" s="1083"/>
      <c r="M120" s="1029">
        <v>0</v>
      </c>
      <c r="N120" s="488">
        <v>0</v>
      </c>
      <c r="O120" s="1029">
        <v>0</v>
      </c>
      <c r="P120" s="488">
        <v>0</v>
      </c>
      <c r="Q120" s="1029">
        <v>0</v>
      </c>
      <c r="R120" s="488">
        <v>0</v>
      </c>
      <c r="S120" s="1023"/>
      <c r="T120" s="645"/>
      <c r="U120" s="645"/>
      <c r="V120" s="645"/>
      <c r="W120" s="645"/>
      <c r="X120" s="645"/>
      <c r="Y120" s="645"/>
      <c r="Z120" s="645"/>
      <c r="AA120" s="645"/>
      <c r="AB120" s="645"/>
      <c r="AC120" s="645"/>
      <c r="AD120" s="645"/>
      <c r="AE120" s="645"/>
      <c r="AF120" s="645"/>
      <c r="AG120" s="645"/>
      <c r="AH120" s="645"/>
      <c r="AI120" s="645"/>
      <c r="AJ120" s="645"/>
      <c r="AK120" s="645"/>
      <c r="AL120" s="645"/>
      <c r="AM120" s="645"/>
      <c r="AN120" s="645"/>
      <c r="AO120" s="645"/>
      <c r="AP120" s="645"/>
      <c r="AQ120" s="645"/>
      <c r="AR120" s="645"/>
      <c r="AS120" s="645"/>
      <c r="AT120" s="645"/>
      <c r="AU120" s="645"/>
      <c r="AV120" s="645"/>
      <c r="AW120" s="645"/>
      <c r="AX120" s="645"/>
      <c r="AY120" s="645"/>
      <c r="AZ120" s="645"/>
      <c r="BA120" s="645"/>
      <c r="BB120" s="645"/>
      <c r="BC120" s="645"/>
      <c r="BD120" s="645"/>
      <c r="BE120" s="645"/>
      <c r="BF120" s="645"/>
      <c r="BG120" s="645"/>
      <c r="BH120" s="645"/>
      <c r="BI120" s="645"/>
      <c r="BJ120" s="645"/>
      <c r="BK120" s="645"/>
      <c r="BL120" s="645"/>
      <c r="BM120" s="645"/>
      <c r="BN120" s="645"/>
      <c r="BO120" s="645"/>
      <c r="BP120" s="645"/>
      <c r="BQ120" s="645"/>
      <c r="BR120" s="645"/>
      <c r="BS120" s="645"/>
      <c r="BT120" s="645"/>
      <c r="BU120" s="645"/>
      <c r="BV120" s="645"/>
      <c r="BW120" s="645"/>
      <c r="BX120" s="645"/>
      <c r="BY120" s="645"/>
      <c r="BZ120" s="645"/>
      <c r="CA120" s="645"/>
      <c r="CB120" s="645"/>
      <c r="CC120" s="645"/>
      <c r="CD120" s="645"/>
      <c r="CE120" s="645"/>
      <c r="CF120" s="645"/>
      <c r="CG120" s="645"/>
      <c r="CH120" s="645"/>
      <c r="CI120" s="645"/>
      <c r="CJ120" s="645"/>
      <c r="CK120" s="645"/>
      <c r="CL120" s="645"/>
      <c r="CM120" s="645"/>
      <c r="CN120" s="645"/>
      <c r="CO120" s="645"/>
      <c r="CP120" s="645"/>
      <c r="CQ120" s="645"/>
      <c r="CR120" s="645"/>
      <c r="CS120" s="645"/>
      <c r="CT120" s="645"/>
      <c r="CU120" s="645"/>
      <c r="CV120" s="645"/>
      <c r="CW120" s="645"/>
      <c r="CX120" s="645"/>
      <c r="CY120" s="645"/>
      <c r="CZ120" s="645"/>
      <c r="DA120" s="645"/>
      <c r="DB120" s="645"/>
      <c r="DC120" s="645"/>
      <c r="DD120" s="645"/>
      <c r="DE120" s="645"/>
      <c r="DF120" s="645"/>
      <c r="DG120" s="645"/>
      <c r="DH120" s="645"/>
      <c r="DI120" s="645"/>
      <c r="DJ120" s="645"/>
      <c r="DK120" s="645"/>
      <c r="DL120" s="645"/>
      <c r="DM120" s="645"/>
      <c r="DN120" s="645"/>
      <c r="DO120" s="645"/>
      <c r="DP120" s="645"/>
      <c r="DQ120" s="645"/>
      <c r="DR120" s="645"/>
      <c r="DS120" s="645"/>
      <c r="DT120" s="645"/>
      <c r="DU120" s="645"/>
      <c r="DV120" s="645"/>
      <c r="DW120" s="645"/>
      <c r="DX120" s="645"/>
      <c r="DY120" s="645"/>
      <c r="DZ120" s="645"/>
      <c r="EA120" s="645"/>
      <c r="EB120" s="645"/>
      <c r="EC120" s="645"/>
      <c r="ED120" s="645"/>
      <c r="EE120" s="645"/>
      <c r="EF120" s="645"/>
      <c r="EG120" s="645"/>
      <c r="EH120" s="645"/>
      <c r="EI120" s="645"/>
      <c r="EJ120" s="645"/>
      <c r="EK120" s="645"/>
      <c r="EL120" s="645"/>
      <c r="EM120" s="645"/>
      <c r="EN120" s="645"/>
      <c r="EO120" s="645"/>
      <c r="EP120" s="645"/>
      <c r="EQ120" s="645"/>
      <c r="ER120" s="645"/>
      <c r="ES120" s="645"/>
      <c r="ET120" s="645"/>
      <c r="EU120" s="645"/>
      <c r="EV120" s="645"/>
      <c r="EW120" s="645"/>
      <c r="EX120" s="645"/>
      <c r="EY120" s="645"/>
      <c r="EZ120" s="645"/>
      <c r="FA120" s="645"/>
      <c r="FB120" s="645"/>
      <c r="FC120" s="645"/>
      <c r="FD120" s="645"/>
      <c r="FE120" s="645"/>
      <c r="FF120" s="645"/>
      <c r="FG120" s="645"/>
      <c r="FH120" s="645"/>
      <c r="FI120" s="645"/>
      <c r="FJ120" s="645"/>
      <c r="FK120" s="645"/>
      <c r="FL120" s="645"/>
      <c r="FM120" s="645"/>
      <c r="FN120" s="645"/>
      <c r="FO120" s="645"/>
      <c r="FP120" s="645"/>
      <c r="FQ120" s="645"/>
      <c r="FR120" s="645"/>
      <c r="FS120" s="645"/>
      <c r="FT120" s="645"/>
      <c r="FU120" s="645"/>
      <c r="FV120" s="645"/>
      <c r="FW120" s="645"/>
      <c r="FX120" s="645"/>
      <c r="FY120" s="645"/>
      <c r="FZ120" s="645"/>
      <c r="GA120" s="645"/>
      <c r="GB120" s="645"/>
      <c r="GC120" s="645"/>
      <c r="GD120" s="645"/>
      <c r="GE120" s="645"/>
      <c r="GF120" s="645"/>
      <c r="GG120" s="645"/>
      <c r="GH120" s="645"/>
      <c r="GI120" s="645"/>
      <c r="GJ120" s="645"/>
      <c r="GK120" s="645"/>
      <c r="GL120" s="645"/>
      <c r="GM120" s="645"/>
      <c r="GN120" s="645"/>
      <c r="GO120" s="645"/>
      <c r="GP120" s="645"/>
      <c r="GQ120" s="645"/>
      <c r="GR120" s="645"/>
      <c r="GS120" s="645"/>
      <c r="GT120" s="645"/>
      <c r="GU120" s="645"/>
      <c r="GV120" s="645"/>
      <c r="GW120" s="645"/>
      <c r="GX120" s="645"/>
      <c r="GY120" s="645"/>
      <c r="GZ120" s="645"/>
      <c r="HA120" s="645"/>
      <c r="HB120" s="645"/>
      <c r="HC120" s="645"/>
      <c r="HD120" s="645"/>
      <c r="HE120" s="645"/>
      <c r="HF120" s="645"/>
      <c r="HG120" s="645"/>
      <c r="HH120" s="645"/>
      <c r="HI120" s="645"/>
      <c r="HJ120" s="645"/>
      <c r="HK120" s="645"/>
      <c r="HL120" s="645"/>
      <c r="HM120" s="645"/>
      <c r="HN120" s="645"/>
      <c r="HO120" s="645"/>
      <c r="HP120" s="645"/>
      <c r="HQ120" s="645"/>
      <c r="HR120" s="645"/>
      <c r="HS120" s="645"/>
      <c r="HT120" s="645"/>
      <c r="HU120" s="645"/>
      <c r="HV120" s="645"/>
      <c r="HW120" s="645"/>
      <c r="HX120" s="645"/>
    </row>
    <row r="121" spans="1:234" ht="28.5" x14ac:dyDescent="0.25">
      <c r="B121" s="1074">
        <v>72</v>
      </c>
      <c r="C121" s="1075" t="s">
        <v>884</v>
      </c>
      <c r="D121" s="1076" t="s">
        <v>880</v>
      </c>
      <c r="E121" s="1077">
        <v>1</v>
      </c>
      <c r="F121" s="1078">
        <v>61293</v>
      </c>
      <c r="G121" s="1079">
        <v>61293</v>
      </c>
      <c r="H121" s="1080">
        <v>5</v>
      </c>
      <c r="I121" s="1058">
        <v>0</v>
      </c>
      <c r="J121" s="1020">
        <v>0</v>
      </c>
      <c r="K121" s="1081">
        <v>0</v>
      </c>
      <c r="L121" s="1082"/>
      <c r="M121" s="1029">
        <v>0</v>
      </c>
      <c r="N121" s="488">
        <v>0</v>
      </c>
      <c r="O121" s="1029">
        <v>0</v>
      </c>
      <c r="P121" s="488">
        <v>0</v>
      </c>
      <c r="Q121" s="1029">
        <v>0</v>
      </c>
      <c r="R121" s="488">
        <v>0</v>
      </c>
      <c r="S121" s="1023"/>
      <c r="T121" s="645"/>
      <c r="U121" s="645"/>
      <c r="V121" s="645"/>
      <c r="W121" s="645"/>
      <c r="X121" s="645"/>
      <c r="Y121" s="645"/>
      <c r="Z121" s="645"/>
      <c r="AA121" s="645"/>
      <c r="AB121" s="645"/>
      <c r="AC121" s="645"/>
      <c r="AD121" s="645"/>
      <c r="AE121" s="645"/>
      <c r="AF121" s="645"/>
      <c r="AG121" s="645"/>
      <c r="AH121" s="645"/>
      <c r="AI121" s="645"/>
      <c r="AJ121" s="645"/>
      <c r="AK121" s="645"/>
      <c r="AL121" s="645"/>
      <c r="AM121" s="645"/>
      <c r="AN121" s="645"/>
      <c r="AO121" s="645"/>
      <c r="AP121" s="645"/>
      <c r="AQ121" s="645"/>
      <c r="AR121" s="645"/>
      <c r="AS121" s="645"/>
      <c r="AT121" s="645"/>
      <c r="AU121" s="645"/>
      <c r="AV121" s="645"/>
      <c r="AW121" s="645"/>
      <c r="AX121" s="645"/>
      <c r="AY121" s="645"/>
      <c r="AZ121" s="645"/>
      <c r="BA121" s="645"/>
      <c r="BB121" s="645"/>
      <c r="BC121" s="645"/>
      <c r="BD121" s="645"/>
      <c r="BE121" s="645"/>
      <c r="BF121" s="645"/>
      <c r="BG121" s="645"/>
      <c r="BH121" s="645"/>
      <c r="BI121" s="645"/>
      <c r="BJ121" s="645"/>
      <c r="BK121" s="645"/>
      <c r="BL121" s="645"/>
      <c r="BM121" s="645"/>
      <c r="BN121" s="645"/>
      <c r="BO121" s="645"/>
      <c r="BP121" s="645"/>
      <c r="BQ121" s="645"/>
      <c r="BR121" s="645"/>
      <c r="BS121" s="645"/>
      <c r="BT121" s="645"/>
      <c r="BU121" s="645"/>
      <c r="BV121" s="645"/>
      <c r="BW121" s="645"/>
      <c r="BX121" s="645"/>
      <c r="BY121" s="645"/>
      <c r="BZ121" s="645"/>
      <c r="CA121" s="645"/>
      <c r="CB121" s="645"/>
      <c r="CC121" s="645"/>
      <c r="CD121" s="645"/>
      <c r="CE121" s="645"/>
      <c r="CF121" s="645"/>
      <c r="CG121" s="645"/>
      <c r="CH121" s="645"/>
      <c r="CI121" s="645"/>
      <c r="CJ121" s="645"/>
      <c r="CK121" s="645"/>
      <c r="CL121" s="645"/>
      <c r="CM121" s="645"/>
      <c r="CN121" s="645"/>
      <c r="CO121" s="645"/>
      <c r="CP121" s="645"/>
      <c r="CQ121" s="645"/>
      <c r="CR121" s="645"/>
      <c r="CS121" s="645"/>
      <c r="CT121" s="645"/>
      <c r="CU121" s="645"/>
      <c r="CV121" s="645"/>
      <c r="CW121" s="645"/>
      <c r="CX121" s="645"/>
      <c r="CY121" s="645"/>
      <c r="CZ121" s="645"/>
      <c r="DA121" s="645"/>
      <c r="DB121" s="645"/>
      <c r="DC121" s="645"/>
      <c r="DD121" s="645"/>
      <c r="DE121" s="645"/>
      <c r="DF121" s="645"/>
      <c r="DG121" s="645"/>
      <c r="DH121" s="645"/>
      <c r="DI121" s="645"/>
      <c r="DJ121" s="645"/>
      <c r="DK121" s="645"/>
      <c r="DL121" s="645"/>
      <c r="DM121" s="645"/>
      <c r="DN121" s="645"/>
      <c r="DO121" s="645"/>
      <c r="DP121" s="645"/>
      <c r="DQ121" s="645"/>
      <c r="DR121" s="645"/>
      <c r="DS121" s="645"/>
      <c r="DT121" s="645"/>
      <c r="DU121" s="645"/>
      <c r="DV121" s="645"/>
      <c r="DW121" s="645"/>
      <c r="DX121" s="645"/>
      <c r="DY121" s="645"/>
      <c r="DZ121" s="645"/>
      <c r="EA121" s="645"/>
      <c r="EB121" s="645"/>
      <c r="EC121" s="645"/>
      <c r="ED121" s="645"/>
      <c r="EE121" s="645"/>
      <c r="EF121" s="645"/>
      <c r="EG121" s="645"/>
      <c r="EH121" s="645"/>
      <c r="EI121" s="645"/>
      <c r="EJ121" s="645"/>
      <c r="EK121" s="645"/>
      <c r="EL121" s="645"/>
      <c r="EM121" s="645"/>
      <c r="EN121" s="645"/>
      <c r="EO121" s="645"/>
      <c r="EP121" s="645"/>
      <c r="EQ121" s="645"/>
      <c r="ER121" s="645"/>
      <c r="ES121" s="645"/>
      <c r="ET121" s="645"/>
      <c r="EU121" s="645"/>
      <c r="EV121" s="645"/>
      <c r="EW121" s="645"/>
      <c r="EX121" s="645"/>
      <c r="EY121" s="645"/>
      <c r="EZ121" s="645"/>
      <c r="FA121" s="645"/>
      <c r="FB121" s="645"/>
      <c r="FC121" s="645"/>
      <c r="FD121" s="645"/>
      <c r="FE121" s="645"/>
      <c r="FF121" s="645"/>
      <c r="FG121" s="645"/>
      <c r="FH121" s="645"/>
      <c r="FI121" s="645"/>
      <c r="FJ121" s="645"/>
      <c r="FK121" s="645"/>
      <c r="FL121" s="645"/>
      <c r="FM121" s="645"/>
      <c r="FN121" s="645"/>
      <c r="FO121" s="645"/>
      <c r="FP121" s="645"/>
      <c r="FQ121" s="645"/>
      <c r="FR121" s="645"/>
      <c r="FS121" s="645"/>
      <c r="FT121" s="645"/>
      <c r="FU121" s="645"/>
      <c r="FV121" s="645"/>
      <c r="FW121" s="645"/>
      <c r="FX121" s="645"/>
      <c r="FY121" s="645"/>
      <c r="FZ121" s="645"/>
      <c r="GA121" s="645"/>
      <c r="GB121" s="645"/>
      <c r="GC121" s="645"/>
      <c r="GD121" s="645"/>
      <c r="GE121" s="645"/>
      <c r="GF121" s="645"/>
      <c r="GG121" s="645"/>
      <c r="GH121" s="645"/>
      <c r="GI121" s="645"/>
      <c r="GJ121" s="645"/>
      <c r="GK121" s="645"/>
      <c r="GL121" s="645"/>
      <c r="GM121" s="645"/>
      <c r="GN121" s="645"/>
      <c r="GO121" s="645"/>
      <c r="GP121" s="645"/>
      <c r="GQ121" s="645"/>
      <c r="GR121" s="645"/>
      <c r="GS121" s="645"/>
      <c r="GT121" s="645"/>
      <c r="GU121" s="645"/>
      <c r="GV121" s="645"/>
      <c r="GW121" s="645"/>
      <c r="GX121" s="645"/>
      <c r="GY121" s="645"/>
      <c r="GZ121" s="645"/>
      <c r="HA121" s="645"/>
      <c r="HB121" s="645"/>
      <c r="HC121" s="645"/>
      <c r="HD121" s="645"/>
      <c r="HE121" s="645"/>
      <c r="HF121" s="645"/>
      <c r="HG121" s="645"/>
      <c r="HH121" s="645"/>
      <c r="HI121" s="645"/>
      <c r="HJ121" s="645"/>
      <c r="HK121" s="645"/>
      <c r="HL121" s="645"/>
      <c r="HM121" s="645"/>
      <c r="HN121" s="645"/>
      <c r="HO121" s="645"/>
      <c r="HP121" s="645"/>
      <c r="HQ121" s="645"/>
      <c r="HR121" s="645"/>
      <c r="HS121" s="645"/>
      <c r="HT121" s="645"/>
      <c r="HU121" s="645"/>
      <c r="HV121" s="645"/>
      <c r="HW121" s="645"/>
      <c r="HX121" s="645"/>
    </row>
    <row r="122" spans="1:234" s="657" customFormat="1" ht="15.75" x14ac:dyDescent="0.25">
      <c r="A122" s="698"/>
      <c r="B122" s="1084"/>
      <c r="C122" s="1085" t="s">
        <v>1298</v>
      </c>
      <c r="D122" s="1086"/>
      <c r="E122" s="1087"/>
      <c r="F122" s="1088"/>
      <c r="G122" s="1089">
        <v>0</v>
      </c>
      <c r="H122" s="1090"/>
      <c r="I122" s="1091"/>
      <c r="J122" s="1092"/>
      <c r="K122" s="1093"/>
      <c r="L122" s="1094"/>
      <c r="M122" s="1095"/>
      <c r="N122" s="1096"/>
      <c r="O122" s="1095"/>
      <c r="P122" s="1096"/>
      <c r="Q122" s="1095"/>
      <c r="R122" s="1096"/>
      <c r="S122" s="1023"/>
      <c r="T122" s="656"/>
      <c r="U122" s="656"/>
      <c r="V122" s="656"/>
      <c r="W122" s="656"/>
      <c r="X122" s="656"/>
      <c r="Y122" s="656"/>
      <c r="Z122" s="656"/>
      <c r="AA122" s="656"/>
      <c r="AB122" s="656"/>
      <c r="AC122" s="656"/>
      <c r="AD122" s="656"/>
      <c r="AE122" s="656"/>
      <c r="AF122" s="656"/>
      <c r="AG122" s="656"/>
      <c r="AH122" s="656"/>
      <c r="AI122" s="656"/>
      <c r="AJ122" s="656"/>
      <c r="AK122" s="656"/>
      <c r="AL122" s="656"/>
      <c r="AM122" s="656"/>
      <c r="AN122" s="656"/>
      <c r="AO122" s="656"/>
      <c r="AP122" s="656"/>
      <c r="AQ122" s="656"/>
      <c r="AR122" s="656"/>
      <c r="AS122" s="656"/>
      <c r="AT122" s="656"/>
      <c r="AU122" s="656"/>
      <c r="AV122" s="656"/>
      <c r="AW122" s="656"/>
      <c r="AX122" s="656"/>
      <c r="AY122" s="656"/>
      <c r="AZ122" s="656"/>
      <c r="BA122" s="656"/>
      <c r="BB122" s="656"/>
      <c r="BC122" s="656"/>
      <c r="BD122" s="656"/>
      <c r="BE122" s="656"/>
      <c r="BF122" s="656"/>
      <c r="BG122" s="656"/>
      <c r="BH122" s="656"/>
      <c r="BI122" s="656"/>
      <c r="BJ122" s="656"/>
      <c r="BK122" s="656"/>
      <c r="BL122" s="656"/>
      <c r="BM122" s="656"/>
      <c r="BN122" s="656"/>
      <c r="BO122" s="656"/>
      <c r="BP122" s="656"/>
      <c r="BQ122" s="656"/>
      <c r="BR122" s="656"/>
      <c r="BS122" s="656"/>
      <c r="BT122" s="656"/>
      <c r="BU122" s="656"/>
      <c r="BV122" s="656"/>
      <c r="BW122" s="656"/>
      <c r="BX122" s="656"/>
      <c r="BY122" s="656"/>
      <c r="BZ122" s="656"/>
      <c r="CA122" s="656"/>
      <c r="CB122" s="656"/>
      <c r="CC122" s="656"/>
      <c r="CD122" s="656"/>
      <c r="CE122" s="656"/>
      <c r="CF122" s="656"/>
      <c r="CG122" s="656"/>
      <c r="CH122" s="656"/>
      <c r="CI122" s="656"/>
      <c r="CJ122" s="656"/>
      <c r="CK122" s="656"/>
      <c r="CL122" s="656"/>
      <c r="CM122" s="656"/>
      <c r="CN122" s="656"/>
      <c r="CO122" s="656"/>
      <c r="CP122" s="656"/>
      <c r="CQ122" s="656"/>
      <c r="CR122" s="656"/>
      <c r="CS122" s="656"/>
      <c r="CT122" s="656"/>
      <c r="CU122" s="656"/>
      <c r="CV122" s="656"/>
      <c r="CW122" s="656"/>
      <c r="CX122" s="656"/>
      <c r="CY122" s="656"/>
      <c r="CZ122" s="656"/>
      <c r="DA122" s="656"/>
      <c r="DB122" s="656"/>
      <c r="DC122" s="656"/>
      <c r="DD122" s="656"/>
      <c r="DE122" s="656"/>
      <c r="DF122" s="656"/>
      <c r="DG122" s="656"/>
      <c r="DH122" s="656"/>
      <c r="DI122" s="656"/>
      <c r="DJ122" s="656"/>
      <c r="DK122" s="656"/>
      <c r="DL122" s="656"/>
      <c r="DM122" s="656"/>
      <c r="DN122" s="656"/>
      <c r="DO122" s="656"/>
      <c r="DP122" s="656"/>
      <c r="DQ122" s="656"/>
      <c r="DR122" s="656"/>
      <c r="DS122" s="656"/>
      <c r="DT122" s="656"/>
      <c r="DU122" s="656"/>
      <c r="DV122" s="656"/>
      <c r="DW122" s="656"/>
      <c r="DX122" s="656"/>
      <c r="DY122" s="656"/>
      <c r="DZ122" s="656"/>
      <c r="EA122" s="656"/>
      <c r="EB122" s="656"/>
      <c r="EC122" s="656"/>
      <c r="ED122" s="656"/>
      <c r="EE122" s="656"/>
      <c r="EF122" s="656"/>
      <c r="EG122" s="656"/>
      <c r="EH122" s="656"/>
      <c r="EI122" s="656"/>
      <c r="EJ122" s="656"/>
      <c r="EK122" s="656"/>
      <c r="EL122" s="656"/>
      <c r="EM122" s="656"/>
      <c r="EN122" s="656"/>
      <c r="EO122" s="656"/>
      <c r="EP122" s="656"/>
      <c r="EQ122" s="656"/>
      <c r="ER122" s="656"/>
      <c r="ES122" s="656"/>
      <c r="ET122" s="656"/>
      <c r="EU122" s="656"/>
      <c r="EV122" s="656"/>
      <c r="EW122" s="656"/>
      <c r="EX122" s="656"/>
      <c r="EY122" s="656"/>
      <c r="EZ122" s="656"/>
      <c r="FA122" s="656"/>
      <c r="FB122" s="656"/>
      <c r="FC122" s="656"/>
      <c r="FD122" s="656"/>
      <c r="FE122" s="656"/>
      <c r="FF122" s="656"/>
      <c r="FG122" s="656"/>
      <c r="FH122" s="656"/>
      <c r="FI122" s="656"/>
      <c r="FJ122" s="656"/>
      <c r="FK122" s="656"/>
      <c r="FL122" s="656"/>
      <c r="FM122" s="656"/>
      <c r="FN122" s="656"/>
      <c r="FO122" s="656"/>
      <c r="FP122" s="656"/>
      <c r="FQ122" s="656"/>
      <c r="FR122" s="656"/>
      <c r="FS122" s="656"/>
      <c r="FT122" s="656"/>
      <c r="FU122" s="656"/>
      <c r="FV122" s="656"/>
      <c r="FW122" s="656"/>
      <c r="FX122" s="656"/>
      <c r="FY122" s="656"/>
      <c r="FZ122" s="656"/>
      <c r="GA122" s="656"/>
      <c r="GB122" s="656"/>
      <c r="GC122" s="656"/>
      <c r="GD122" s="656"/>
      <c r="GE122" s="656"/>
      <c r="GF122" s="656"/>
      <c r="GG122" s="656"/>
      <c r="GH122" s="656"/>
      <c r="GI122" s="656"/>
      <c r="GJ122" s="656"/>
      <c r="GK122" s="656"/>
      <c r="GL122" s="656"/>
      <c r="GM122" s="656"/>
      <c r="GN122" s="656"/>
      <c r="GO122" s="656"/>
      <c r="GP122" s="656"/>
      <c r="GQ122" s="656"/>
      <c r="GR122" s="656"/>
      <c r="GS122" s="656"/>
      <c r="GT122" s="656"/>
      <c r="GU122" s="656"/>
      <c r="GV122" s="656"/>
      <c r="GW122" s="656"/>
      <c r="GX122" s="656"/>
      <c r="GY122" s="656"/>
      <c r="GZ122" s="656"/>
      <c r="HA122" s="656"/>
      <c r="HB122" s="656"/>
      <c r="HC122" s="656"/>
      <c r="HD122" s="656"/>
      <c r="HE122" s="656"/>
      <c r="HF122" s="656"/>
      <c r="HG122" s="656"/>
      <c r="HH122" s="656"/>
      <c r="HI122" s="656"/>
      <c r="HJ122" s="656"/>
      <c r="HK122" s="656"/>
      <c r="HL122" s="656"/>
      <c r="HM122" s="656"/>
      <c r="HN122" s="656"/>
      <c r="HO122" s="656"/>
      <c r="HP122" s="656"/>
      <c r="HQ122" s="656"/>
      <c r="HR122" s="656"/>
      <c r="HS122" s="656"/>
      <c r="HT122" s="656"/>
      <c r="HU122" s="656"/>
      <c r="HV122" s="656"/>
      <c r="HW122" s="656"/>
      <c r="HX122" s="656"/>
      <c r="HY122" s="656"/>
      <c r="HZ122" s="656"/>
    </row>
    <row r="123" spans="1:234" ht="57" x14ac:dyDescent="0.25">
      <c r="B123" s="1074">
        <v>33</v>
      </c>
      <c r="C123" s="1075" t="s">
        <v>117</v>
      </c>
      <c r="D123" s="1076" t="s">
        <v>847</v>
      </c>
      <c r="E123" s="1077">
        <v>1</v>
      </c>
      <c r="F123" s="1078">
        <v>59923</v>
      </c>
      <c r="G123" s="1079">
        <v>59923</v>
      </c>
      <c r="H123" s="1080">
        <v>35</v>
      </c>
      <c r="I123" s="1058">
        <v>0</v>
      </c>
      <c r="J123" s="1020">
        <v>0</v>
      </c>
      <c r="K123" s="1081">
        <v>0</v>
      </c>
      <c r="L123" s="1082"/>
      <c r="M123" s="1029">
        <v>0</v>
      </c>
      <c r="N123" s="488">
        <v>0</v>
      </c>
      <c r="O123" s="1029">
        <v>0</v>
      </c>
      <c r="P123" s="488">
        <v>0</v>
      </c>
      <c r="Q123" s="1029">
        <v>0</v>
      </c>
      <c r="R123" s="488">
        <v>0</v>
      </c>
      <c r="S123" s="1023"/>
      <c r="T123" s="645"/>
      <c r="U123" s="645"/>
      <c r="V123" s="645"/>
      <c r="W123" s="645"/>
      <c r="X123" s="645"/>
      <c r="Y123" s="645"/>
      <c r="Z123" s="645"/>
      <c r="AA123" s="645"/>
      <c r="AB123" s="645"/>
      <c r="AC123" s="645"/>
      <c r="AD123" s="645"/>
      <c r="AE123" s="645"/>
      <c r="AF123" s="645"/>
      <c r="AG123" s="645"/>
      <c r="AH123" s="645"/>
      <c r="AI123" s="645"/>
      <c r="AJ123" s="645"/>
      <c r="AK123" s="645"/>
      <c r="AL123" s="645"/>
      <c r="AM123" s="645"/>
      <c r="AN123" s="645"/>
      <c r="AO123" s="645"/>
      <c r="AP123" s="645"/>
      <c r="AQ123" s="645"/>
      <c r="AR123" s="645"/>
      <c r="AS123" s="645"/>
      <c r="AT123" s="645"/>
      <c r="AU123" s="645"/>
      <c r="AV123" s="645"/>
      <c r="AW123" s="645"/>
      <c r="AX123" s="645"/>
      <c r="AY123" s="645"/>
      <c r="AZ123" s="645"/>
      <c r="BA123" s="645"/>
      <c r="BB123" s="645"/>
      <c r="BC123" s="645"/>
      <c r="BD123" s="645"/>
      <c r="BE123" s="645"/>
      <c r="BF123" s="645"/>
      <c r="BG123" s="645"/>
      <c r="BH123" s="645"/>
      <c r="BI123" s="645"/>
      <c r="BJ123" s="645"/>
      <c r="BK123" s="645"/>
      <c r="BL123" s="645"/>
      <c r="BM123" s="645"/>
      <c r="BN123" s="645"/>
      <c r="BO123" s="645"/>
      <c r="BP123" s="645"/>
      <c r="BQ123" s="645"/>
      <c r="BR123" s="645"/>
      <c r="BS123" s="645"/>
      <c r="BT123" s="645"/>
      <c r="BU123" s="645"/>
      <c r="BV123" s="645"/>
      <c r="BW123" s="645"/>
      <c r="BX123" s="645"/>
      <c r="BY123" s="645"/>
      <c r="BZ123" s="645"/>
      <c r="CA123" s="645"/>
      <c r="CB123" s="645"/>
      <c r="CC123" s="645"/>
      <c r="CD123" s="645"/>
      <c r="CE123" s="645"/>
      <c r="CF123" s="645"/>
      <c r="CG123" s="645"/>
      <c r="CH123" s="645"/>
      <c r="CI123" s="645"/>
      <c r="CJ123" s="645"/>
      <c r="CK123" s="645"/>
      <c r="CL123" s="645"/>
      <c r="CM123" s="645"/>
      <c r="CN123" s="645"/>
      <c r="CO123" s="645"/>
      <c r="CP123" s="645"/>
      <c r="CQ123" s="645"/>
      <c r="CR123" s="645"/>
      <c r="CS123" s="645"/>
      <c r="CT123" s="645"/>
      <c r="CU123" s="645"/>
      <c r="CV123" s="645"/>
      <c r="CW123" s="645"/>
      <c r="CX123" s="645"/>
      <c r="CY123" s="645"/>
      <c r="CZ123" s="645"/>
      <c r="DA123" s="645"/>
      <c r="DB123" s="645"/>
      <c r="DC123" s="645"/>
      <c r="DD123" s="645"/>
      <c r="DE123" s="645"/>
      <c r="DF123" s="645"/>
      <c r="DG123" s="645"/>
      <c r="DH123" s="645"/>
      <c r="DI123" s="645"/>
      <c r="DJ123" s="645"/>
      <c r="DK123" s="645"/>
      <c r="DL123" s="645"/>
      <c r="DM123" s="645"/>
      <c r="DN123" s="645"/>
      <c r="DO123" s="645"/>
      <c r="DP123" s="645"/>
      <c r="DQ123" s="645"/>
      <c r="DR123" s="645"/>
      <c r="DS123" s="645"/>
      <c r="DT123" s="645"/>
      <c r="DU123" s="645"/>
      <c r="DV123" s="645"/>
      <c r="DW123" s="645"/>
      <c r="DX123" s="645"/>
      <c r="DY123" s="645"/>
      <c r="DZ123" s="645"/>
      <c r="EA123" s="645"/>
      <c r="EB123" s="645"/>
      <c r="EC123" s="645"/>
      <c r="ED123" s="645"/>
      <c r="EE123" s="645"/>
      <c r="EF123" s="645"/>
      <c r="EG123" s="645"/>
      <c r="EH123" s="645"/>
      <c r="EI123" s="645"/>
      <c r="EJ123" s="645"/>
      <c r="EK123" s="645"/>
      <c r="EL123" s="645"/>
      <c r="EM123" s="645"/>
      <c r="EN123" s="645"/>
      <c r="EO123" s="645"/>
      <c r="EP123" s="645"/>
      <c r="EQ123" s="645"/>
      <c r="ER123" s="645"/>
      <c r="ES123" s="645"/>
      <c r="ET123" s="645"/>
      <c r="EU123" s="645"/>
      <c r="EV123" s="645"/>
      <c r="EW123" s="645"/>
      <c r="EX123" s="645"/>
      <c r="EY123" s="645"/>
      <c r="EZ123" s="645"/>
      <c r="FA123" s="645"/>
      <c r="FB123" s="645"/>
      <c r="FC123" s="645"/>
      <c r="FD123" s="645"/>
      <c r="FE123" s="645"/>
      <c r="FF123" s="645"/>
      <c r="FG123" s="645"/>
      <c r="FH123" s="645"/>
      <c r="FI123" s="645"/>
      <c r="FJ123" s="645"/>
      <c r="FK123" s="645"/>
      <c r="FL123" s="645"/>
      <c r="FM123" s="645"/>
      <c r="FN123" s="645"/>
      <c r="FO123" s="645"/>
      <c r="FP123" s="645"/>
      <c r="FQ123" s="645"/>
      <c r="FR123" s="645"/>
      <c r="FS123" s="645"/>
      <c r="FT123" s="645"/>
      <c r="FU123" s="645"/>
      <c r="FV123" s="645"/>
      <c r="FW123" s="645"/>
      <c r="FX123" s="645"/>
      <c r="FY123" s="645"/>
      <c r="FZ123" s="645"/>
      <c r="GA123" s="645"/>
      <c r="GB123" s="645"/>
      <c r="GC123" s="645"/>
      <c r="GD123" s="645"/>
      <c r="GE123" s="645"/>
      <c r="GF123" s="645"/>
      <c r="GG123" s="645"/>
      <c r="GH123" s="645"/>
      <c r="GI123" s="645"/>
      <c r="GJ123" s="645"/>
      <c r="GK123" s="645"/>
      <c r="GL123" s="645"/>
      <c r="GM123" s="645"/>
      <c r="GN123" s="645"/>
      <c r="GO123" s="645"/>
      <c r="GP123" s="645"/>
      <c r="GQ123" s="645"/>
      <c r="GR123" s="645"/>
      <c r="GS123" s="645"/>
      <c r="GT123" s="645"/>
      <c r="GU123" s="645"/>
      <c r="GV123" s="645"/>
      <c r="GW123" s="645"/>
      <c r="GX123" s="645"/>
      <c r="GY123" s="645"/>
      <c r="GZ123" s="645"/>
      <c r="HA123" s="645"/>
      <c r="HB123" s="645"/>
      <c r="HC123" s="645"/>
      <c r="HD123" s="645"/>
      <c r="HE123" s="645"/>
      <c r="HF123" s="645"/>
      <c r="HG123" s="645"/>
      <c r="HH123" s="645"/>
      <c r="HI123" s="645"/>
      <c r="HJ123" s="645"/>
      <c r="HK123" s="645"/>
      <c r="HL123" s="645"/>
      <c r="HM123" s="645"/>
      <c r="HN123" s="645"/>
      <c r="HO123" s="645"/>
      <c r="HP123" s="645"/>
      <c r="HQ123" s="645"/>
      <c r="HR123" s="645"/>
      <c r="HS123" s="645"/>
      <c r="HT123" s="645"/>
      <c r="HU123" s="645"/>
      <c r="HV123" s="645"/>
      <c r="HW123" s="645"/>
      <c r="HX123" s="645"/>
    </row>
    <row r="124" spans="1:234" ht="28.5" x14ac:dyDescent="0.25">
      <c r="B124" s="1074">
        <v>34</v>
      </c>
      <c r="C124" s="1075" t="s">
        <v>119</v>
      </c>
      <c r="D124" s="1076" t="s">
        <v>848</v>
      </c>
      <c r="E124" s="1077">
        <v>1</v>
      </c>
      <c r="F124" s="1078">
        <v>30180</v>
      </c>
      <c r="G124" s="1079">
        <v>30180</v>
      </c>
      <c r="H124" s="1080">
        <v>25</v>
      </c>
      <c r="I124" s="1058">
        <v>0</v>
      </c>
      <c r="J124" s="1020">
        <v>0</v>
      </c>
      <c r="K124" s="1081">
        <v>0</v>
      </c>
      <c r="L124" s="1082"/>
      <c r="M124" s="1029">
        <v>0</v>
      </c>
      <c r="N124" s="488">
        <v>0</v>
      </c>
      <c r="O124" s="1029">
        <v>0</v>
      </c>
      <c r="P124" s="488">
        <v>0</v>
      </c>
      <c r="Q124" s="1029">
        <v>0</v>
      </c>
      <c r="R124" s="488">
        <v>0</v>
      </c>
      <c r="S124" s="1023"/>
      <c r="T124" s="645"/>
      <c r="U124" s="645"/>
      <c r="V124" s="645"/>
      <c r="W124" s="645"/>
      <c r="X124" s="645"/>
      <c r="Y124" s="645"/>
      <c r="Z124" s="645"/>
      <c r="AA124" s="645"/>
      <c r="AB124" s="645"/>
      <c r="AC124" s="645"/>
      <c r="AD124" s="645"/>
      <c r="AE124" s="645"/>
      <c r="AF124" s="645"/>
      <c r="AG124" s="645"/>
      <c r="AH124" s="645"/>
      <c r="AI124" s="645"/>
      <c r="AJ124" s="645"/>
      <c r="AK124" s="645"/>
      <c r="AL124" s="645"/>
      <c r="AM124" s="645"/>
      <c r="AN124" s="645"/>
      <c r="AO124" s="645"/>
      <c r="AP124" s="645"/>
      <c r="AQ124" s="645"/>
      <c r="AR124" s="645"/>
      <c r="AS124" s="645"/>
      <c r="AT124" s="645"/>
      <c r="AU124" s="645"/>
      <c r="AV124" s="645"/>
      <c r="AW124" s="645"/>
      <c r="AX124" s="645"/>
      <c r="AY124" s="645"/>
      <c r="AZ124" s="645"/>
      <c r="BA124" s="645"/>
      <c r="BB124" s="645"/>
      <c r="BC124" s="645"/>
      <c r="BD124" s="645"/>
      <c r="BE124" s="645"/>
      <c r="BF124" s="645"/>
      <c r="BG124" s="645"/>
      <c r="BH124" s="645"/>
      <c r="BI124" s="645"/>
      <c r="BJ124" s="645"/>
      <c r="BK124" s="645"/>
      <c r="BL124" s="645"/>
      <c r="BM124" s="645"/>
      <c r="BN124" s="645"/>
      <c r="BO124" s="645"/>
      <c r="BP124" s="645"/>
      <c r="BQ124" s="645"/>
      <c r="BR124" s="645"/>
      <c r="BS124" s="645"/>
      <c r="BT124" s="645"/>
      <c r="BU124" s="645"/>
      <c r="BV124" s="645"/>
      <c r="BW124" s="645"/>
      <c r="BX124" s="645"/>
      <c r="BY124" s="645"/>
      <c r="BZ124" s="645"/>
      <c r="CA124" s="645"/>
      <c r="CB124" s="645"/>
      <c r="CC124" s="645"/>
      <c r="CD124" s="645"/>
      <c r="CE124" s="645"/>
      <c r="CF124" s="645"/>
      <c r="CG124" s="645"/>
      <c r="CH124" s="645"/>
      <c r="CI124" s="645"/>
      <c r="CJ124" s="645"/>
      <c r="CK124" s="645"/>
      <c r="CL124" s="645"/>
      <c r="CM124" s="645"/>
      <c r="CN124" s="645"/>
      <c r="CO124" s="645"/>
      <c r="CP124" s="645"/>
      <c r="CQ124" s="645"/>
      <c r="CR124" s="645"/>
      <c r="CS124" s="645"/>
      <c r="CT124" s="645"/>
      <c r="CU124" s="645"/>
      <c r="CV124" s="645"/>
      <c r="CW124" s="645"/>
      <c r="CX124" s="645"/>
      <c r="CY124" s="645"/>
      <c r="CZ124" s="645"/>
      <c r="DA124" s="645"/>
      <c r="DB124" s="645"/>
      <c r="DC124" s="645"/>
      <c r="DD124" s="645"/>
      <c r="DE124" s="645"/>
      <c r="DF124" s="645"/>
      <c r="DG124" s="645"/>
      <c r="DH124" s="645"/>
      <c r="DI124" s="645"/>
      <c r="DJ124" s="645"/>
      <c r="DK124" s="645"/>
      <c r="DL124" s="645"/>
      <c r="DM124" s="645"/>
      <c r="DN124" s="645"/>
      <c r="DO124" s="645"/>
      <c r="DP124" s="645"/>
      <c r="DQ124" s="645"/>
      <c r="DR124" s="645"/>
      <c r="DS124" s="645"/>
      <c r="DT124" s="645"/>
      <c r="DU124" s="645"/>
      <c r="DV124" s="645"/>
      <c r="DW124" s="645"/>
      <c r="DX124" s="645"/>
      <c r="DY124" s="645"/>
      <c r="DZ124" s="645"/>
      <c r="EA124" s="645"/>
      <c r="EB124" s="645"/>
      <c r="EC124" s="645"/>
      <c r="ED124" s="645"/>
      <c r="EE124" s="645"/>
      <c r="EF124" s="645"/>
      <c r="EG124" s="645"/>
      <c r="EH124" s="645"/>
      <c r="EI124" s="645"/>
      <c r="EJ124" s="645"/>
      <c r="EK124" s="645"/>
      <c r="EL124" s="645"/>
      <c r="EM124" s="645"/>
      <c r="EN124" s="645"/>
      <c r="EO124" s="645"/>
      <c r="EP124" s="645"/>
      <c r="EQ124" s="645"/>
      <c r="ER124" s="645"/>
      <c r="ES124" s="645"/>
      <c r="ET124" s="645"/>
      <c r="EU124" s="645"/>
      <c r="EV124" s="645"/>
      <c r="EW124" s="645"/>
      <c r="EX124" s="645"/>
      <c r="EY124" s="645"/>
      <c r="EZ124" s="645"/>
      <c r="FA124" s="645"/>
      <c r="FB124" s="645"/>
      <c r="FC124" s="645"/>
      <c r="FD124" s="645"/>
      <c r="FE124" s="645"/>
      <c r="FF124" s="645"/>
      <c r="FG124" s="645"/>
      <c r="FH124" s="645"/>
      <c r="FI124" s="645"/>
      <c r="FJ124" s="645"/>
      <c r="FK124" s="645"/>
      <c r="FL124" s="645"/>
      <c r="FM124" s="645"/>
      <c r="FN124" s="645"/>
      <c r="FO124" s="645"/>
      <c r="FP124" s="645"/>
      <c r="FQ124" s="645"/>
      <c r="FR124" s="645"/>
      <c r="FS124" s="645"/>
      <c r="FT124" s="645"/>
      <c r="FU124" s="645"/>
      <c r="FV124" s="645"/>
      <c r="FW124" s="645"/>
      <c r="FX124" s="645"/>
      <c r="FY124" s="645"/>
      <c r="FZ124" s="645"/>
      <c r="GA124" s="645"/>
      <c r="GB124" s="645"/>
      <c r="GC124" s="645"/>
      <c r="GD124" s="645"/>
      <c r="GE124" s="645"/>
      <c r="GF124" s="645"/>
      <c r="GG124" s="645"/>
      <c r="GH124" s="645"/>
      <c r="GI124" s="645"/>
      <c r="GJ124" s="645"/>
      <c r="GK124" s="645"/>
      <c r="GL124" s="645"/>
      <c r="GM124" s="645"/>
      <c r="GN124" s="645"/>
      <c r="GO124" s="645"/>
      <c r="GP124" s="645"/>
      <c r="GQ124" s="645"/>
      <c r="GR124" s="645"/>
      <c r="GS124" s="645"/>
      <c r="GT124" s="645"/>
      <c r="GU124" s="645"/>
      <c r="GV124" s="645"/>
      <c r="GW124" s="645"/>
      <c r="GX124" s="645"/>
      <c r="GY124" s="645"/>
      <c r="GZ124" s="645"/>
      <c r="HA124" s="645"/>
      <c r="HB124" s="645"/>
      <c r="HC124" s="645"/>
      <c r="HD124" s="645"/>
      <c r="HE124" s="645"/>
      <c r="HF124" s="645"/>
      <c r="HG124" s="645"/>
      <c r="HH124" s="645"/>
      <c r="HI124" s="645"/>
      <c r="HJ124" s="645"/>
      <c r="HK124" s="645"/>
      <c r="HL124" s="645"/>
      <c r="HM124" s="645"/>
      <c r="HN124" s="645"/>
      <c r="HO124" s="645"/>
      <c r="HP124" s="645"/>
      <c r="HQ124" s="645"/>
      <c r="HR124" s="645"/>
      <c r="HS124" s="645"/>
      <c r="HT124" s="645"/>
      <c r="HU124" s="645"/>
      <c r="HV124" s="645"/>
      <c r="HW124" s="645"/>
      <c r="HX124" s="645"/>
    </row>
    <row r="125" spans="1:234" ht="15.75" x14ac:dyDescent="0.25">
      <c r="B125" s="1074">
        <v>35</v>
      </c>
      <c r="C125" s="1075" t="s">
        <v>856</v>
      </c>
      <c r="D125" s="1076" t="s">
        <v>847</v>
      </c>
      <c r="E125" s="1077">
        <v>1</v>
      </c>
      <c r="F125" s="1078">
        <v>7143</v>
      </c>
      <c r="G125" s="1079">
        <v>7143</v>
      </c>
      <c r="H125" s="1080">
        <v>500</v>
      </c>
      <c r="I125" s="1058">
        <v>0</v>
      </c>
      <c r="J125" s="1020">
        <v>0</v>
      </c>
      <c r="K125" s="1081">
        <v>0</v>
      </c>
      <c r="L125" s="1082"/>
      <c r="M125" s="1029">
        <v>0</v>
      </c>
      <c r="N125" s="488">
        <v>0</v>
      </c>
      <c r="O125" s="1029">
        <v>0</v>
      </c>
      <c r="P125" s="488">
        <v>0</v>
      </c>
      <c r="Q125" s="1029">
        <v>0</v>
      </c>
      <c r="R125" s="488">
        <v>0</v>
      </c>
      <c r="S125" s="1023"/>
      <c r="T125" s="645"/>
      <c r="U125" s="645"/>
      <c r="V125" s="645"/>
      <c r="W125" s="645"/>
      <c r="X125" s="645"/>
      <c r="Y125" s="645"/>
      <c r="Z125" s="645"/>
      <c r="AA125" s="645"/>
      <c r="AB125" s="645"/>
      <c r="AC125" s="645"/>
      <c r="AD125" s="645"/>
      <c r="AE125" s="645"/>
      <c r="AF125" s="645"/>
      <c r="AG125" s="645"/>
      <c r="AH125" s="645"/>
      <c r="AI125" s="645"/>
      <c r="AJ125" s="645"/>
      <c r="AK125" s="645"/>
      <c r="AL125" s="645"/>
      <c r="AM125" s="645"/>
      <c r="AN125" s="645"/>
      <c r="AO125" s="645"/>
      <c r="AP125" s="645"/>
      <c r="AQ125" s="645"/>
      <c r="AR125" s="645"/>
      <c r="AS125" s="645"/>
      <c r="AT125" s="645"/>
      <c r="AU125" s="645"/>
      <c r="AV125" s="645"/>
      <c r="AW125" s="645"/>
      <c r="AX125" s="645"/>
      <c r="AY125" s="645"/>
      <c r="AZ125" s="645"/>
      <c r="BA125" s="645"/>
      <c r="BB125" s="645"/>
      <c r="BC125" s="645"/>
      <c r="BD125" s="645"/>
      <c r="BE125" s="645"/>
      <c r="BF125" s="645"/>
      <c r="BG125" s="645"/>
      <c r="BH125" s="645"/>
      <c r="BI125" s="645"/>
      <c r="BJ125" s="645"/>
      <c r="BK125" s="645"/>
      <c r="BL125" s="645"/>
      <c r="BM125" s="645"/>
      <c r="BN125" s="645"/>
      <c r="BO125" s="645"/>
      <c r="BP125" s="645"/>
      <c r="BQ125" s="645"/>
      <c r="BR125" s="645"/>
      <c r="BS125" s="645"/>
      <c r="BT125" s="645"/>
      <c r="BU125" s="645"/>
      <c r="BV125" s="645"/>
      <c r="BW125" s="645"/>
      <c r="BX125" s="645"/>
      <c r="BY125" s="645"/>
      <c r="BZ125" s="645"/>
      <c r="CA125" s="645"/>
      <c r="CB125" s="645"/>
      <c r="CC125" s="645"/>
      <c r="CD125" s="645"/>
      <c r="CE125" s="645"/>
      <c r="CF125" s="645"/>
      <c r="CG125" s="645"/>
      <c r="CH125" s="645"/>
      <c r="CI125" s="645"/>
      <c r="CJ125" s="645"/>
      <c r="CK125" s="645"/>
      <c r="CL125" s="645"/>
      <c r="CM125" s="645"/>
      <c r="CN125" s="645"/>
      <c r="CO125" s="645"/>
      <c r="CP125" s="645"/>
      <c r="CQ125" s="645"/>
      <c r="CR125" s="645"/>
      <c r="CS125" s="645"/>
      <c r="CT125" s="645"/>
      <c r="CU125" s="645"/>
      <c r="CV125" s="645"/>
      <c r="CW125" s="645"/>
      <c r="CX125" s="645"/>
      <c r="CY125" s="645"/>
      <c r="CZ125" s="645"/>
      <c r="DA125" s="645"/>
      <c r="DB125" s="645"/>
      <c r="DC125" s="645"/>
      <c r="DD125" s="645"/>
      <c r="DE125" s="645"/>
      <c r="DF125" s="645"/>
      <c r="DG125" s="645"/>
      <c r="DH125" s="645"/>
      <c r="DI125" s="645"/>
      <c r="DJ125" s="645"/>
      <c r="DK125" s="645"/>
      <c r="DL125" s="645"/>
      <c r="DM125" s="645"/>
      <c r="DN125" s="645"/>
      <c r="DO125" s="645"/>
      <c r="DP125" s="645"/>
      <c r="DQ125" s="645"/>
      <c r="DR125" s="645"/>
      <c r="DS125" s="645"/>
      <c r="DT125" s="645"/>
      <c r="DU125" s="645"/>
      <c r="DV125" s="645"/>
      <c r="DW125" s="645"/>
      <c r="DX125" s="645"/>
      <c r="DY125" s="645"/>
      <c r="DZ125" s="645"/>
      <c r="EA125" s="645"/>
      <c r="EB125" s="645"/>
      <c r="EC125" s="645"/>
      <c r="ED125" s="645"/>
      <c r="EE125" s="645"/>
      <c r="EF125" s="645"/>
      <c r="EG125" s="645"/>
      <c r="EH125" s="645"/>
      <c r="EI125" s="645"/>
      <c r="EJ125" s="645"/>
      <c r="EK125" s="645"/>
      <c r="EL125" s="645"/>
      <c r="EM125" s="645"/>
      <c r="EN125" s="645"/>
      <c r="EO125" s="645"/>
      <c r="EP125" s="645"/>
      <c r="EQ125" s="645"/>
      <c r="ER125" s="645"/>
      <c r="ES125" s="645"/>
      <c r="ET125" s="645"/>
      <c r="EU125" s="645"/>
      <c r="EV125" s="645"/>
      <c r="EW125" s="645"/>
      <c r="EX125" s="645"/>
      <c r="EY125" s="645"/>
      <c r="EZ125" s="645"/>
      <c r="FA125" s="645"/>
      <c r="FB125" s="645"/>
      <c r="FC125" s="645"/>
      <c r="FD125" s="645"/>
      <c r="FE125" s="645"/>
      <c r="FF125" s="645"/>
      <c r="FG125" s="645"/>
      <c r="FH125" s="645"/>
      <c r="FI125" s="645"/>
      <c r="FJ125" s="645"/>
      <c r="FK125" s="645"/>
      <c r="FL125" s="645"/>
      <c r="FM125" s="645"/>
      <c r="FN125" s="645"/>
      <c r="FO125" s="645"/>
      <c r="FP125" s="645"/>
      <c r="FQ125" s="645"/>
      <c r="FR125" s="645"/>
      <c r="FS125" s="645"/>
      <c r="FT125" s="645"/>
      <c r="FU125" s="645"/>
      <c r="FV125" s="645"/>
      <c r="FW125" s="645"/>
      <c r="FX125" s="645"/>
      <c r="FY125" s="645"/>
      <c r="FZ125" s="645"/>
      <c r="GA125" s="645"/>
      <c r="GB125" s="645"/>
      <c r="GC125" s="645"/>
      <c r="GD125" s="645"/>
      <c r="GE125" s="645"/>
      <c r="GF125" s="645"/>
      <c r="GG125" s="645"/>
      <c r="GH125" s="645"/>
      <c r="GI125" s="645"/>
      <c r="GJ125" s="645"/>
      <c r="GK125" s="645"/>
      <c r="GL125" s="645"/>
      <c r="GM125" s="645"/>
      <c r="GN125" s="645"/>
      <c r="GO125" s="645"/>
      <c r="GP125" s="645"/>
      <c r="GQ125" s="645"/>
      <c r="GR125" s="645"/>
      <c r="GS125" s="645"/>
      <c r="GT125" s="645"/>
      <c r="GU125" s="645"/>
      <c r="GV125" s="645"/>
      <c r="GW125" s="645"/>
      <c r="GX125" s="645"/>
      <c r="GY125" s="645"/>
      <c r="GZ125" s="645"/>
      <c r="HA125" s="645"/>
      <c r="HB125" s="645"/>
      <c r="HC125" s="645"/>
      <c r="HD125" s="645"/>
      <c r="HE125" s="645"/>
      <c r="HF125" s="645"/>
      <c r="HG125" s="645"/>
      <c r="HH125" s="645"/>
      <c r="HI125" s="645"/>
      <c r="HJ125" s="645"/>
      <c r="HK125" s="645"/>
      <c r="HL125" s="645"/>
      <c r="HM125" s="645"/>
      <c r="HN125" s="645"/>
      <c r="HO125" s="645"/>
      <c r="HP125" s="645"/>
      <c r="HQ125" s="645"/>
      <c r="HR125" s="645"/>
      <c r="HS125" s="645"/>
      <c r="HT125" s="645"/>
      <c r="HU125" s="645"/>
      <c r="HV125" s="645"/>
      <c r="HW125" s="645"/>
      <c r="HX125" s="645"/>
    </row>
    <row r="126" spans="1:234" ht="15.75" x14ac:dyDescent="0.25">
      <c r="B126" s="1074">
        <v>36</v>
      </c>
      <c r="C126" s="1075" t="s">
        <v>857</v>
      </c>
      <c r="D126" s="1076" t="s">
        <v>848</v>
      </c>
      <c r="E126" s="1077">
        <v>1</v>
      </c>
      <c r="F126" s="1078">
        <v>71017</v>
      </c>
      <c r="G126" s="1079">
        <v>71017</v>
      </c>
      <c r="H126" s="1080">
        <v>25</v>
      </c>
      <c r="I126" s="1058">
        <v>0</v>
      </c>
      <c r="J126" s="1020">
        <v>0</v>
      </c>
      <c r="K126" s="1081">
        <v>0</v>
      </c>
      <c r="L126" s="1083"/>
      <c r="M126" s="1029">
        <v>0</v>
      </c>
      <c r="N126" s="488">
        <v>0</v>
      </c>
      <c r="O126" s="1029">
        <v>0</v>
      </c>
      <c r="P126" s="488">
        <v>0</v>
      </c>
      <c r="Q126" s="1029">
        <v>0</v>
      </c>
      <c r="R126" s="488">
        <v>0</v>
      </c>
      <c r="S126" s="1023"/>
      <c r="T126" s="645"/>
      <c r="U126" s="645"/>
      <c r="V126" s="645"/>
      <c r="W126" s="645"/>
      <c r="X126" s="645"/>
      <c r="Y126" s="645"/>
      <c r="Z126" s="645"/>
      <c r="AA126" s="645"/>
      <c r="AB126" s="645"/>
      <c r="AC126" s="645"/>
      <c r="AD126" s="645"/>
      <c r="AE126" s="645"/>
      <c r="AF126" s="645"/>
      <c r="AG126" s="645"/>
      <c r="AH126" s="645"/>
      <c r="AI126" s="645"/>
      <c r="AJ126" s="645"/>
      <c r="AK126" s="645"/>
      <c r="AL126" s="645"/>
      <c r="AM126" s="645"/>
      <c r="AN126" s="645"/>
      <c r="AO126" s="645"/>
      <c r="AP126" s="645"/>
      <c r="AQ126" s="645"/>
      <c r="AR126" s="645"/>
      <c r="AS126" s="645"/>
      <c r="AT126" s="645"/>
      <c r="AU126" s="645"/>
      <c r="AV126" s="645"/>
      <c r="AW126" s="645"/>
      <c r="AX126" s="645"/>
      <c r="AY126" s="645"/>
      <c r="AZ126" s="645"/>
      <c r="BA126" s="645"/>
      <c r="BB126" s="645"/>
      <c r="BC126" s="645"/>
      <c r="BD126" s="645"/>
      <c r="BE126" s="645"/>
      <c r="BF126" s="645"/>
      <c r="BG126" s="645"/>
      <c r="BH126" s="645"/>
      <c r="BI126" s="645"/>
      <c r="BJ126" s="645"/>
      <c r="BK126" s="645"/>
      <c r="BL126" s="645"/>
      <c r="BM126" s="645"/>
      <c r="BN126" s="645"/>
      <c r="BO126" s="645"/>
      <c r="BP126" s="645"/>
      <c r="BQ126" s="645"/>
      <c r="BR126" s="645"/>
      <c r="BS126" s="645"/>
      <c r="BT126" s="645"/>
      <c r="BU126" s="645"/>
      <c r="BV126" s="645"/>
      <c r="BW126" s="645"/>
      <c r="BX126" s="645"/>
      <c r="BY126" s="645"/>
      <c r="BZ126" s="645"/>
      <c r="CA126" s="645"/>
      <c r="CB126" s="645"/>
      <c r="CC126" s="645"/>
      <c r="CD126" s="645"/>
      <c r="CE126" s="645"/>
      <c r="CF126" s="645"/>
      <c r="CG126" s="645"/>
      <c r="CH126" s="645"/>
      <c r="CI126" s="645"/>
      <c r="CJ126" s="645"/>
      <c r="CK126" s="645"/>
      <c r="CL126" s="645"/>
      <c r="CM126" s="645"/>
      <c r="CN126" s="645"/>
      <c r="CO126" s="645"/>
      <c r="CP126" s="645"/>
      <c r="CQ126" s="645"/>
      <c r="CR126" s="645"/>
      <c r="CS126" s="645"/>
      <c r="CT126" s="645"/>
      <c r="CU126" s="645"/>
      <c r="CV126" s="645"/>
      <c r="CW126" s="645"/>
      <c r="CX126" s="645"/>
      <c r="CY126" s="645"/>
      <c r="CZ126" s="645"/>
      <c r="DA126" s="645"/>
      <c r="DB126" s="645"/>
      <c r="DC126" s="645"/>
      <c r="DD126" s="645"/>
      <c r="DE126" s="645"/>
      <c r="DF126" s="645"/>
      <c r="DG126" s="645"/>
      <c r="DH126" s="645"/>
      <c r="DI126" s="645"/>
      <c r="DJ126" s="645"/>
      <c r="DK126" s="645"/>
      <c r="DL126" s="645"/>
      <c r="DM126" s="645"/>
      <c r="DN126" s="645"/>
      <c r="DO126" s="645"/>
      <c r="DP126" s="645"/>
      <c r="DQ126" s="645"/>
      <c r="DR126" s="645"/>
      <c r="DS126" s="645"/>
      <c r="DT126" s="645"/>
      <c r="DU126" s="645"/>
      <c r="DV126" s="645"/>
      <c r="DW126" s="645"/>
      <c r="DX126" s="645"/>
      <c r="DY126" s="645"/>
      <c r="DZ126" s="645"/>
      <c r="EA126" s="645"/>
      <c r="EB126" s="645"/>
      <c r="EC126" s="645"/>
      <c r="ED126" s="645"/>
      <c r="EE126" s="645"/>
      <c r="EF126" s="645"/>
      <c r="EG126" s="645"/>
      <c r="EH126" s="645"/>
      <c r="EI126" s="645"/>
      <c r="EJ126" s="645"/>
      <c r="EK126" s="645"/>
      <c r="EL126" s="645"/>
      <c r="EM126" s="645"/>
      <c r="EN126" s="645"/>
      <c r="EO126" s="645"/>
      <c r="EP126" s="645"/>
      <c r="EQ126" s="645"/>
      <c r="ER126" s="645"/>
      <c r="ES126" s="645"/>
      <c r="ET126" s="645"/>
      <c r="EU126" s="645"/>
      <c r="EV126" s="645"/>
      <c r="EW126" s="645"/>
      <c r="EX126" s="645"/>
      <c r="EY126" s="645"/>
      <c r="EZ126" s="645"/>
      <c r="FA126" s="645"/>
      <c r="FB126" s="645"/>
      <c r="FC126" s="645"/>
      <c r="FD126" s="645"/>
      <c r="FE126" s="645"/>
      <c r="FF126" s="645"/>
      <c r="FG126" s="645"/>
      <c r="FH126" s="645"/>
      <c r="FI126" s="645"/>
      <c r="FJ126" s="645"/>
      <c r="FK126" s="645"/>
      <c r="FL126" s="645"/>
      <c r="FM126" s="645"/>
      <c r="FN126" s="645"/>
      <c r="FO126" s="645"/>
      <c r="FP126" s="645"/>
      <c r="FQ126" s="645"/>
      <c r="FR126" s="645"/>
      <c r="FS126" s="645"/>
      <c r="FT126" s="645"/>
      <c r="FU126" s="645"/>
      <c r="FV126" s="645"/>
      <c r="FW126" s="645"/>
      <c r="FX126" s="645"/>
      <c r="FY126" s="645"/>
      <c r="FZ126" s="645"/>
      <c r="GA126" s="645"/>
      <c r="GB126" s="645"/>
      <c r="GC126" s="645"/>
      <c r="GD126" s="645"/>
      <c r="GE126" s="645"/>
      <c r="GF126" s="645"/>
      <c r="GG126" s="645"/>
      <c r="GH126" s="645"/>
      <c r="GI126" s="645"/>
      <c r="GJ126" s="645"/>
      <c r="GK126" s="645"/>
      <c r="GL126" s="645"/>
      <c r="GM126" s="645"/>
      <c r="GN126" s="645"/>
      <c r="GO126" s="645"/>
      <c r="GP126" s="645"/>
      <c r="GQ126" s="645"/>
      <c r="GR126" s="645"/>
      <c r="GS126" s="645"/>
      <c r="GT126" s="645"/>
      <c r="GU126" s="645"/>
      <c r="GV126" s="645"/>
      <c r="GW126" s="645"/>
      <c r="GX126" s="645"/>
      <c r="GY126" s="645"/>
      <c r="GZ126" s="645"/>
      <c r="HA126" s="645"/>
      <c r="HB126" s="645"/>
      <c r="HC126" s="645"/>
      <c r="HD126" s="645"/>
      <c r="HE126" s="645"/>
      <c r="HF126" s="645"/>
      <c r="HG126" s="645"/>
      <c r="HH126" s="645"/>
      <c r="HI126" s="645"/>
      <c r="HJ126" s="645"/>
      <c r="HK126" s="645"/>
      <c r="HL126" s="645"/>
      <c r="HM126" s="645"/>
      <c r="HN126" s="645"/>
      <c r="HO126" s="645"/>
      <c r="HP126" s="645"/>
      <c r="HQ126" s="645"/>
      <c r="HR126" s="645"/>
      <c r="HS126" s="645"/>
      <c r="HT126" s="645"/>
      <c r="HU126" s="645"/>
      <c r="HV126" s="645"/>
      <c r="HW126" s="645"/>
      <c r="HX126" s="645"/>
    </row>
    <row r="127" spans="1:234" ht="15.75" x14ac:dyDescent="0.25">
      <c r="B127" s="1074">
        <v>37</v>
      </c>
      <c r="C127" s="1075" t="s">
        <v>858</v>
      </c>
      <c r="D127" s="1076" t="s">
        <v>848</v>
      </c>
      <c r="E127" s="1077">
        <v>1</v>
      </c>
      <c r="F127" s="1078">
        <v>17294</v>
      </c>
      <c r="G127" s="1079">
        <v>17294</v>
      </c>
      <c r="H127" s="1080">
        <v>25</v>
      </c>
      <c r="I127" s="1058">
        <v>0</v>
      </c>
      <c r="J127" s="1020">
        <v>0</v>
      </c>
      <c r="K127" s="1081">
        <v>0</v>
      </c>
      <c r="L127" s="1082"/>
      <c r="M127" s="1029">
        <v>0</v>
      </c>
      <c r="N127" s="488">
        <v>0</v>
      </c>
      <c r="O127" s="1029">
        <v>0</v>
      </c>
      <c r="P127" s="488">
        <v>0</v>
      </c>
      <c r="Q127" s="1029">
        <v>0</v>
      </c>
      <c r="R127" s="488">
        <v>0</v>
      </c>
      <c r="S127" s="1023"/>
      <c r="T127" s="645"/>
      <c r="U127" s="645"/>
      <c r="V127" s="645"/>
      <c r="W127" s="645"/>
      <c r="X127" s="645"/>
      <c r="Y127" s="645"/>
      <c r="Z127" s="645"/>
      <c r="AA127" s="645"/>
      <c r="AB127" s="645"/>
      <c r="AC127" s="645"/>
      <c r="AD127" s="645"/>
      <c r="AE127" s="645"/>
      <c r="AF127" s="645"/>
      <c r="AG127" s="645"/>
      <c r="AH127" s="645"/>
      <c r="AI127" s="645"/>
      <c r="AJ127" s="645"/>
      <c r="AK127" s="645"/>
      <c r="AL127" s="645"/>
      <c r="AM127" s="645"/>
      <c r="AN127" s="645"/>
      <c r="AO127" s="645"/>
      <c r="AP127" s="645"/>
      <c r="AQ127" s="645"/>
      <c r="AR127" s="645"/>
      <c r="AS127" s="645"/>
      <c r="AT127" s="645"/>
      <c r="AU127" s="645"/>
      <c r="AV127" s="645"/>
      <c r="AW127" s="645"/>
      <c r="AX127" s="645"/>
      <c r="AY127" s="645"/>
      <c r="AZ127" s="645"/>
      <c r="BA127" s="645"/>
      <c r="BB127" s="645"/>
      <c r="BC127" s="645"/>
      <c r="BD127" s="645"/>
      <c r="BE127" s="645"/>
      <c r="BF127" s="645"/>
      <c r="BG127" s="645"/>
      <c r="BH127" s="645"/>
      <c r="BI127" s="645"/>
      <c r="BJ127" s="645"/>
      <c r="BK127" s="645"/>
      <c r="BL127" s="645"/>
      <c r="BM127" s="645"/>
      <c r="BN127" s="645"/>
      <c r="BO127" s="645"/>
      <c r="BP127" s="645"/>
      <c r="BQ127" s="645"/>
      <c r="BR127" s="645"/>
      <c r="BS127" s="645"/>
      <c r="BT127" s="645"/>
      <c r="BU127" s="645"/>
      <c r="BV127" s="645"/>
      <c r="BW127" s="645"/>
      <c r="BX127" s="645"/>
      <c r="BY127" s="645"/>
      <c r="BZ127" s="645"/>
      <c r="CA127" s="645"/>
      <c r="CB127" s="645"/>
      <c r="CC127" s="645"/>
      <c r="CD127" s="645"/>
      <c r="CE127" s="645"/>
      <c r="CF127" s="645"/>
      <c r="CG127" s="645"/>
      <c r="CH127" s="645"/>
      <c r="CI127" s="645"/>
      <c r="CJ127" s="645"/>
      <c r="CK127" s="645"/>
      <c r="CL127" s="645"/>
      <c r="CM127" s="645"/>
      <c r="CN127" s="645"/>
      <c r="CO127" s="645"/>
      <c r="CP127" s="645"/>
      <c r="CQ127" s="645"/>
      <c r="CR127" s="645"/>
      <c r="CS127" s="645"/>
      <c r="CT127" s="645"/>
      <c r="CU127" s="645"/>
      <c r="CV127" s="645"/>
      <c r="CW127" s="645"/>
      <c r="CX127" s="645"/>
      <c r="CY127" s="645"/>
      <c r="CZ127" s="645"/>
      <c r="DA127" s="645"/>
      <c r="DB127" s="645"/>
      <c r="DC127" s="645"/>
      <c r="DD127" s="645"/>
      <c r="DE127" s="645"/>
      <c r="DF127" s="645"/>
      <c r="DG127" s="645"/>
      <c r="DH127" s="645"/>
      <c r="DI127" s="645"/>
      <c r="DJ127" s="645"/>
      <c r="DK127" s="645"/>
      <c r="DL127" s="645"/>
      <c r="DM127" s="645"/>
      <c r="DN127" s="645"/>
      <c r="DO127" s="645"/>
      <c r="DP127" s="645"/>
      <c r="DQ127" s="645"/>
      <c r="DR127" s="645"/>
      <c r="DS127" s="645"/>
      <c r="DT127" s="645"/>
      <c r="DU127" s="645"/>
      <c r="DV127" s="645"/>
      <c r="DW127" s="645"/>
      <c r="DX127" s="645"/>
      <c r="DY127" s="645"/>
      <c r="DZ127" s="645"/>
      <c r="EA127" s="645"/>
      <c r="EB127" s="645"/>
      <c r="EC127" s="645"/>
      <c r="ED127" s="645"/>
      <c r="EE127" s="645"/>
      <c r="EF127" s="645"/>
      <c r="EG127" s="645"/>
      <c r="EH127" s="645"/>
      <c r="EI127" s="645"/>
      <c r="EJ127" s="645"/>
      <c r="EK127" s="645"/>
      <c r="EL127" s="645"/>
      <c r="EM127" s="645"/>
      <c r="EN127" s="645"/>
      <c r="EO127" s="645"/>
      <c r="EP127" s="645"/>
      <c r="EQ127" s="645"/>
      <c r="ER127" s="645"/>
      <c r="ES127" s="645"/>
      <c r="ET127" s="645"/>
      <c r="EU127" s="645"/>
      <c r="EV127" s="645"/>
      <c r="EW127" s="645"/>
      <c r="EX127" s="645"/>
      <c r="EY127" s="645"/>
      <c r="EZ127" s="645"/>
      <c r="FA127" s="645"/>
      <c r="FB127" s="645"/>
      <c r="FC127" s="645"/>
      <c r="FD127" s="645"/>
      <c r="FE127" s="645"/>
      <c r="FF127" s="645"/>
      <c r="FG127" s="645"/>
      <c r="FH127" s="645"/>
      <c r="FI127" s="645"/>
      <c r="FJ127" s="645"/>
      <c r="FK127" s="645"/>
      <c r="FL127" s="645"/>
      <c r="FM127" s="645"/>
      <c r="FN127" s="645"/>
      <c r="FO127" s="645"/>
      <c r="FP127" s="645"/>
      <c r="FQ127" s="645"/>
      <c r="FR127" s="645"/>
      <c r="FS127" s="645"/>
      <c r="FT127" s="645"/>
      <c r="FU127" s="645"/>
      <c r="FV127" s="645"/>
      <c r="FW127" s="645"/>
      <c r="FX127" s="645"/>
      <c r="FY127" s="645"/>
      <c r="FZ127" s="645"/>
      <c r="GA127" s="645"/>
      <c r="GB127" s="645"/>
      <c r="GC127" s="645"/>
      <c r="GD127" s="645"/>
      <c r="GE127" s="645"/>
      <c r="GF127" s="645"/>
      <c r="GG127" s="645"/>
      <c r="GH127" s="645"/>
      <c r="GI127" s="645"/>
      <c r="GJ127" s="645"/>
      <c r="GK127" s="645"/>
      <c r="GL127" s="645"/>
      <c r="GM127" s="645"/>
      <c r="GN127" s="645"/>
      <c r="GO127" s="645"/>
      <c r="GP127" s="645"/>
      <c r="GQ127" s="645"/>
      <c r="GR127" s="645"/>
      <c r="GS127" s="645"/>
      <c r="GT127" s="645"/>
      <c r="GU127" s="645"/>
      <c r="GV127" s="645"/>
      <c r="GW127" s="645"/>
      <c r="GX127" s="645"/>
      <c r="GY127" s="645"/>
      <c r="GZ127" s="645"/>
      <c r="HA127" s="645"/>
      <c r="HB127" s="645"/>
      <c r="HC127" s="645"/>
      <c r="HD127" s="645"/>
      <c r="HE127" s="645"/>
      <c r="HF127" s="645"/>
      <c r="HG127" s="645"/>
      <c r="HH127" s="645"/>
      <c r="HI127" s="645"/>
      <c r="HJ127" s="645"/>
      <c r="HK127" s="645"/>
      <c r="HL127" s="645"/>
      <c r="HM127" s="645"/>
      <c r="HN127" s="645"/>
      <c r="HO127" s="645"/>
      <c r="HP127" s="645"/>
      <c r="HQ127" s="645"/>
      <c r="HR127" s="645"/>
      <c r="HS127" s="645"/>
      <c r="HT127" s="645"/>
      <c r="HU127" s="645"/>
      <c r="HV127" s="645"/>
      <c r="HW127" s="645"/>
      <c r="HX127" s="645"/>
    </row>
    <row r="128" spans="1:234" ht="42.75" x14ac:dyDescent="0.25">
      <c r="B128" s="1074">
        <v>38</v>
      </c>
      <c r="C128" s="1075" t="s">
        <v>1225</v>
      </c>
      <c r="D128" s="1076" t="s">
        <v>848</v>
      </c>
      <c r="E128" s="1077">
        <v>1</v>
      </c>
      <c r="F128" s="1078">
        <v>95921</v>
      </c>
      <c r="G128" s="1079">
        <v>95921</v>
      </c>
      <c r="H128" s="1080">
        <v>25</v>
      </c>
      <c r="I128" s="1058">
        <v>0</v>
      </c>
      <c r="J128" s="1020">
        <v>0</v>
      </c>
      <c r="K128" s="1081">
        <v>0</v>
      </c>
      <c r="L128" s="1082"/>
      <c r="M128" s="1029">
        <v>0</v>
      </c>
      <c r="N128" s="488">
        <v>0</v>
      </c>
      <c r="O128" s="1029">
        <v>0</v>
      </c>
      <c r="P128" s="488">
        <v>0</v>
      </c>
      <c r="Q128" s="1029">
        <v>0</v>
      </c>
      <c r="R128" s="488">
        <v>0</v>
      </c>
      <c r="S128" s="1023"/>
      <c r="T128" s="645"/>
      <c r="U128" s="645"/>
      <c r="V128" s="645"/>
      <c r="W128" s="645"/>
      <c r="X128" s="645"/>
      <c r="Y128" s="645"/>
      <c r="Z128" s="645"/>
      <c r="AA128" s="645"/>
      <c r="AB128" s="645"/>
      <c r="AC128" s="645"/>
      <c r="AD128" s="645"/>
      <c r="AE128" s="645"/>
      <c r="AF128" s="645"/>
      <c r="AG128" s="645"/>
      <c r="AH128" s="645"/>
      <c r="AI128" s="645"/>
      <c r="AJ128" s="645"/>
      <c r="AK128" s="645"/>
      <c r="AL128" s="645"/>
      <c r="AM128" s="645"/>
      <c r="AN128" s="645"/>
      <c r="AO128" s="645"/>
      <c r="AP128" s="645"/>
      <c r="AQ128" s="645"/>
      <c r="AR128" s="645"/>
      <c r="AS128" s="645"/>
      <c r="AT128" s="645"/>
      <c r="AU128" s="645"/>
      <c r="AV128" s="645"/>
      <c r="AW128" s="645"/>
      <c r="AX128" s="645"/>
      <c r="AY128" s="645"/>
      <c r="AZ128" s="645"/>
      <c r="BA128" s="645"/>
      <c r="BB128" s="645"/>
      <c r="BC128" s="645"/>
      <c r="BD128" s="645"/>
      <c r="BE128" s="645"/>
      <c r="BF128" s="645"/>
      <c r="BG128" s="645"/>
      <c r="BH128" s="645"/>
      <c r="BI128" s="645"/>
      <c r="BJ128" s="645"/>
      <c r="BK128" s="645"/>
      <c r="BL128" s="645"/>
      <c r="BM128" s="645"/>
      <c r="BN128" s="645"/>
      <c r="BO128" s="645"/>
      <c r="BP128" s="645"/>
      <c r="BQ128" s="645"/>
      <c r="BR128" s="645"/>
      <c r="BS128" s="645"/>
      <c r="BT128" s="645"/>
      <c r="BU128" s="645"/>
      <c r="BV128" s="645"/>
      <c r="BW128" s="645"/>
      <c r="BX128" s="645"/>
      <c r="BY128" s="645"/>
      <c r="BZ128" s="645"/>
      <c r="CA128" s="645"/>
      <c r="CB128" s="645"/>
      <c r="CC128" s="645"/>
      <c r="CD128" s="645"/>
      <c r="CE128" s="645"/>
      <c r="CF128" s="645"/>
      <c r="CG128" s="645"/>
      <c r="CH128" s="645"/>
      <c r="CI128" s="645"/>
      <c r="CJ128" s="645"/>
      <c r="CK128" s="645"/>
      <c r="CL128" s="645"/>
      <c r="CM128" s="645"/>
      <c r="CN128" s="645"/>
      <c r="CO128" s="645"/>
      <c r="CP128" s="645"/>
      <c r="CQ128" s="645"/>
      <c r="CR128" s="645"/>
      <c r="CS128" s="645"/>
      <c r="CT128" s="645"/>
      <c r="CU128" s="645"/>
      <c r="CV128" s="645"/>
      <c r="CW128" s="645"/>
      <c r="CX128" s="645"/>
      <c r="CY128" s="645"/>
      <c r="CZ128" s="645"/>
      <c r="DA128" s="645"/>
      <c r="DB128" s="645"/>
      <c r="DC128" s="645"/>
      <c r="DD128" s="645"/>
      <c r="DE128" s="645"/>
      <c r="DF128" s="645"/>
      <c r="DG128" s="645"/>
      <c r="DH128" s="645"/>
      <c r="DI128" s="645"/>
      <c r="DJ128" s="645"/>
      <c r="DK128" s="645"/>
      <c r="DL128" s="645"/>
      <c r="DM128" s="645"/>
      <c r="DN128" s="645"/>
      <c r="DO128" s="645"/>
      <c r="DP128" s="645"/>
      <c r="DQ128" s="645"/>
      <c r="DR128" s="645"/>
      <c r="DS128" s="645"/>
      <c r="DT128" s="645"/>
      <c r="DU128" s="645"/>
      <c r="DV128" s="645"/>
      <c r="DW128" s="645"/>
      <c r="DX128" s="645"/>
      <c r="DY128" s="645"/>
      <c r="DZ128" s="645"/>
      <c r="EA128" s="645"/>
      <c r="EB128" s="645"/>
      <c r="EC128" s="645"/>
      <c r="ED128" s="645"/>
      <c r="EE128" s="645"/>
      <c r="EF128" s="645"/>
      <c r="EG128" s="645"/>
      <c r="EH128" s="645"/>
      <c r="EI128" s="645"/>
      <c r="EJ128" s="645"/>
      <c r="EK128" s="645"/>
      <c r="EL128" s="645"/>
      <c r="EM128" s="645"/>
      <c r="EN128" s="645"/>
      <c r="EO128" s="645"/>
      <c r="EP128" s="645"/>
      <c r="EQ128" s="645"/>
      <c r="ER128" s="645"/>
      <c r="ES128" s="645"/>
      <c r="ET128" s="645"/>
      <c r="EU128" s="645"/>
      <c r="EV128" s="645"/>
      <c r="EW128" s="645"/>
      <c r="EX128" s="645"/>
      <c r="EY128" s="645"/>
      <c r="EZ128" s="645"/>
      <c r="FA128" s="645"/>
      <c r="FB128" s="645"/>
      <c r="FC128" s="645"/>
      <c r="FD128" s="645"/>
      <c r="FE128" s="645"/>
      <c r="FF128" s="645"/>
      <c r="FG128" s="645"/>
      <c r="FH128" s="645"/>
      <c r="FI128" s="645"/>
      <c r="FJ128" s="645"/>
      <c r="FK128" s="645"/>
      <c r="FL128" s="645"/>
      <c r="FM128" s="645"/>
      <c r="FN128" s="645"/>
      <c r="FO128" s="645"/>
      <c r="FP128" s="645"/>
      <c r="FQ128" s="645"/>
      <c r="FR128" s="645"/>
      <c r="FS128" s="645"/>
      <c r="FT128" s="645"/>
      <c r="FU128" s="645"/>
      <c r="FV128" s="645"/>
      <c r="FW128" s="645"/>
      <c r="FX128" s="645"/>
      <c r="FY128" s="645"/>
      <c r="FZ128" s="645"/>
      <c r="GA128" s="645"/>
      <c r="GB128" s="645"/>
      <c r="GC128" s="645"/>
      <c r="GD128" s="645"/>
      <c r="GE128" s="645"/>
      <c r="GF128" s="645"/>
      <c r="GG128" s="645"/>
      <c r="GH128" s="645"/>
      <c r="GI128" s="645"/>
      <c r="GJ128" s="645"/>
      <c r="GK128" s="645"/>
      <c r="GL128" s="645"/>
      <c r="GM128" s="645"/>
      <c r="GN128" s="645"/>
      <c r="GO128" s="645"/>
      <c r="GP128" s="645"/>
      <c r="GQ128" s="645"/>
      <c r="GR128" s="645"/>
      <c r="GS128" s="645"/>
      <c r="GT128" s="645"/>
      <c r="GU128" s="645"/>
      <c r="GV128" s="645"/>
      <c r="GW128" s="645"/>
      <c r="GX128" s="645"/>
      <c r="GY128" s="645"/>
      <c r="GZ128" s="645"/>
      <c r="HA128" s="645"/>
      <c r="HB128" s="645"/>
      <c r="HC128" s="645"/>
      <c r="HD128" s="645"/>
      <c r="HE128" s="645"/>
      <c r="HF128" s="645"/>
      <c r="HG128" s="645"/>
      <c r="HH128" s="645"/>
      <c r="HI128" s="645"/>
      <c r="HJ128" s="645"/>
      <c r="HK128" s="645"/>
      <c r="HL128" s="645"/>
      <c r="HM128" s="645"/>
      <c r="HN128" s="645"/>
      <c r="HO128" s="645"/>
      <c r="HP128" s="645"/>
      <c r="HQ128" s="645"/>
      <c r="HR128" s="645"/>
      <c r="HS128" s="645"/>
      <c r="HT128" s="645"/>
      <c r="HU128" s="645"/>
      <c r="HV128" s="645"/>
      <c r="HW128" s="645"/>
      <c r="HX128" s="645"/>
    </row>
    <row r="129" spans="1:234" ht="42.75" x14ac:dyDescent="0.25">
      <c r="B129" s="1074">
        <v>39</v>
      </c>
      <c r="C129" s="1075" t="s">
        <v>1226</v>
      </c>
      <c r="D129" s="1076" t="s">
        <v>848</v>
      </c>
      <c r="E129" s="1077">
        <v>1</v>
      </c>
      <c r="F129" s="1078">
        <v>87852</v>
      </c>
      <c r="G129" s="1079">
        <v>87852</v>
      </c>
      <c r="H129" s="1080">
        <v>25</v>
      </c>
      <c r="I129" s="1058">
        <v>0</v>
      </c>
      <c r="J129" s="1020">
        <v>0</v>
      </c>
      <c r="K129" s="1081">
        <v>0</v>
      </c>
      <c r="L129" s="1082"/>
      <c r="M129" s="1029">
        <v>0</v>
      </c>
      <c r="N129" s="488">
        <v>0</v>
      </c>
      <c r="O129" s="1029">
        <v>0</v>
      </c>
      <c r="P129" s="488">
        <v>0</v>
      </c>
      <c r="Q129" s="1029">
        <v>0</v>
      </c>
      <c r="R129" s="488">
        <v>0</v>
      </c>
      <c r="S129" s="1023"/>
      <c r="T129" s="645"/>
      <c r="U129" s="645"/>
      <c r="V129" s="645"/>
      <c r="W129" s="645"/>
      <c r="X129" s="645"/>
      <c r="Y129" s="645"/>
      <c r="Z129" s="645"/>
      <c r="AA129" s="645"/>
      <c r="AB129" s="645"/>
      <c r="AC129" s="645"/>
      <c r="AD129" s="645"/>
      <c r="AE129" s="645"/>
      <c r="AF129" s="645"/>
      <c r="AG129" s="645"/>
      <c r="AH129" s="645"/>
      <c r="AI129" s="645"/>
      <c r="AJ129" s="645"/>
      <c r="AK129" s="645"/>
      <c r="AL129" s="645"/>
      <c r="AM129" s="645"/>
      <c r="AN129" s="645"/>
      <c r="AO129" s="645"/>
      <c r="AP129" s="645"/>
      <c r="AQ129" s="645"/>
      <c r="AR129" s="645"/>
      <c r="AS129" s="645"/>
      <c r="AT129" s="645"/>
      <c r="AU129" s="645"/>
      <c r="AV129" s="645"/>
      <c r="AW129" s="645"/>
      <c r="AX129" s="645"/>
      <c r="AY129" s="645"/>
      <c r="AZ129" s="645"/>
      <c r="BA129" s="645"/>
      <c r="BB129" s="645"/>
      <c r="BC129" s="645"/>
      <c r="BD129" s="645"/>
      <c r="BE129" s="645"/>
      <c r="BF129" s="645"/>
      <c r="BG129" s="645"/>
      <c r="BH129" s="645"/>
      <c r="BI129" s="645"/>
      <c r="BJ129" s="645"/>
      <c r="BK129" s="645"/>
      <c r="BL129" s="645"/>
      <c r="BM129" s="645"/>
      <c r="BN129" s="645"/>
      <c r="BO129" s="645"/>
      <c r="BP129" s="645"/>
      <c r="BQ129" s="645"/>
      <c r="BR129" s="645"/>
      <c r="BS129" s="645"/>
      <c r="BT129" s="645"/>
      <c r="BU129" s="645"/>
      <c r="BV129" s="645"/>
      <c r="BW129" s="645"/>
      <c r="BX129" s="645"/>
      <c r="BY129" s="645"/>
      <c r="BZ129" s="645"/>
      <c r="CA129" s="645"/>
      <c r="CB129" s="645"/>
      <c r="CC129" s="645"/>
      <c r="CD129" s="645"/>
      <c r="CE129" s="645"/>
      <c r="CF129" s="645"/>
      <c r="CG129" s="645"/>
      <c r="CH129" s="645"/>
      <c r="CI129" s="645"/>
      <c r="CJ129" s="645"/>
      <c r="CK129" s="645"/>
      <c r="CL129" s="645"/>
      <c r="CM129" s="645"/>
      <c r="CN129" s="645"/>
      <c r="CO129" s="645"/>
      <c r="CP129" s="645"/>
      <c r="CQ129" s="645"/>
      <c r="CR129" s="645"/>
      <c r="CS129" s="645"/>
      <c r="CT129" s="645"/>
      <c r="CU129" s="645"/>
      <c r="CV129" s="645"/>
      <c r="CW129" s="645"/>
      <c r="CX129" s="645"/>
      <c r="CY129" s="645"/>
      <c r="CZ129" s="645"/>
      <c r="DA129" s="645"/>
      <c r="DB129" s="645"/>
      <c r="DC129" s="645"/>
      <c r="DD129" s="645"/>
      <c r="DE129" s="645"/>
      <c r="DF129" s="645"/>
      <c r="DG129" s="645"/>
      <c r="DH129" s="645"/>
      <c r="DI129" s="645"/>
      <c r="DJ129" s="645"/>
      <c r="DK129" s="645"/>
      <c r="DL129" s="645"/>
      <c r="DM129" s="645"/>
      <c r="DN129" s="645"/>
      <c r="DO129" s="645"/>
      <c r="DP129" s="645"/>
      <c r="DQ129" s="645"/>
      <c r="DR129" s="645"/>
      <c r="DS129" s="645"/>
      <c r="DT129" s="645"/>
      <c r="DU129" s="645"/>
      <c r="DV129" s="645"/>
      <c r="DW129" s="645"/>
      <c r="DX129" s="645"/>
      <c r="DY129" s="645"/>
      <c r="DZ129" s="645"/>
      <c r="EA129" s="645"/>
      <c r="EB129" s="645"/>
      <c r="EC129" s="645"/>
      <c r="ED129" s="645"/>
      <c r="EE129" s="645"/>
      <c r="EF129" s="645"/>
      <c r="EG129" s="645"/>
      <c r="EH129" s="645"/>
      <c r="EI129" s="645"/>
      <c r="EJ129" s="645"/>
      <c r="EK129" s="645"/>
      <c r="EL129" s="645"/>
      <c r="EM129" s="645"/>
      <c r="EN129" s="645"/>
      <c r="EO129" s="645"/>
      <c r="EP129" s="645"/>
      <c r="EQ129" s="645"/>
      <c r="ER129" s="645"/>
      <c r="ES129" s="645"/>
      <c r="ET129" s="645"/>
      <c r="EU129" s="645"/>
      <c r="EV129" s="645"/>
      <c r="EW129" s="645"/>
      <c r="EX129" s="645"/>
      <c r="EY129" s="645"/>
      <c r="EZ129" s="645"/>
      <c r="FA129" s="645"/>
      <c r="FB129" s="645"/>
      <c r="FC129" s="645"/>
      <c r="FD129" s="645"/>
      <c r="FE129" s="645"/>
      <c r="FF129" s="645"/>
      <c r="FG129" s="645"/>
      <c r="FH129" s="645"/>
      <c r="FI129" s="645"/>
      <c r="FJ129" s="645"/>
      <c r="FK129" s="645"/>
      <c r="FL129" s="645"/>
      <c r="FM129" s="645"/>
      <c r="FN129" s="645"/>
      <c r="FO129" s="645"/>
      <c r="FP129" s="645"/>
      <c r="FQ129" s="645"/>
      <c r="FR129" s="645"/>
      <c r="FS129" s="645"/>
      <c r="FT129" s="645"/>
      <c r="FU129" s="645"/>
      <c r="FV129" s="645"/>
      <c r="FW129" s="645"/>
      <c r="FX129" s="645"/>
      <c r="FY129" s="645"/>
      <c r="FZ129" s="645"/>
      <c r="GA129" s="645"/>
      <c r="GB129" s="645"/>
      <c r="GC129" s="645"/>
      <c r="GD129" s="645"/>
      <c r="GE129" s="645"/>
      <c r="GF129" s="645"/>
      <c r="GG129" s="645"/>
      <c r="GH129" s="645"/>
      <c r="GI129" s="645"/>
      <c r="GJ129" s="645"/>
      <c r="GK129" s="645"/>
      <c r="GL129" s="645"/>
      <c r="GM129" s="645"/>
      <c r="GN129" s="645"/>
      <c r="GO129" s="645"/>
      <c r="GP129" s="645"/>
      <c r="GQ129" s="645"/>
      <c r="GR129" s="645"/>
      <c r="GS129" s="645"/>
      <c r="GT129" s="645"/>
      <c r="GU129" s="645"/>
      <c r="GV129" s="645"/>
      <c r="GW129" s="645"/>
      <c r="GX129" s="645"/>
      <c r="GY129" s="645"/>
      <c r="GZ129" s="645"/>
      <c r="HA129" s="645"/>
      <c r="HB129" s="645"/>
      <c r="HC129" s="645"/>
      <c r="HD129" s="645"/>
      <c r="HE129" s="645"/>
      <c r="HF129" s="645"/>
      <c r="HG129" s="645"/>
      <c r="HH129" s="645"/>
      <c r="HI129" s="645"/>
      <c r="HJ129" s="645"/>
      <c r="HK129" s="645"/>
      <c r="HL129" s="645"/>
      <c r="HM129" s="645"/>
      <c r="HN129" s="645"/>
      <c r="HO129" s="645"/>
      <c r="HP129" s="645"/>
      <c r="HQ129" s="645"/>
      <c r="HR129" s="645"/>
      <c r="HS129" s="645"/>
      <c r="HT129" s="645"/>
      <c r="HU129" s="645"/>
      <c r="HV129" s="645"/>
      <c r="HW129" s="645"/>
      <c r="HX129" s="645"/>
    </row>
    <row r="130" spans="1:234" ht="28.5" x14ac:dyDescent="0.25">
      <c r="B130" s="1074">
        <v>40</v>
      </c>
      <c r="C130" s="1075" t="s">
        <v>861</v>
      </c>
      <c r="D130" s="1076" t="s">
        <v>847</v>
      </c>
      <c r="E130" s="1077">
        <v>1</v>
      </c>
      <c r="F130" s="1078">
        <v>10975</v>
      </c>
      <c r="G130" s="1079">
        <v>10975</v>
      </c>
      <c r="H130" s="1080">
        <v>200</v>
      </c>
      <c r="I130" s="1058">
        <v>0</v>
      </c>
      <c r="J130" s="1020">
        <v>0</v>
      </c>
      <c r="K130" s="1081">
        <v>0</v>
      </c>
      <c r="L130" s="1082"/>
      <c r="M130" s="1029">
        <v>0</v>
      </c>
      <c r="N130" s="488">
        <v>0</v>
      </c>
      <c r="O130" s="1029">
        <v>0</v>
      </c>
      <c r="P130" s="488">
        <v>0</v>
      </c>
      <c r="Q130" s="1029">
        <v>0</v>
      </c>
      <c r="R130" s="488">
        <v>0</v>
      </c>
      <c r="S130" s="1023"/>
      <c r="T130" s="645"/>
      <c r="U130" s="645"/>
      <c r="V130" s="645"/>
      <c r="W130" s="645"/>
      <c r="X130" s="645"/>
      <c r="Y130" s="645"/>
      <c r="Z130" s="645"/>
      <c r="AA130" s="645"/>
      <c r="AB130" s="645"/>
      <c r="AC130" s="645"/>
      <c r="AD130" s="645"/>
      <c r="AE130" s="645"/>
      <c r="AF130" s="645"/>
      <c r="AG130" s="645"/>
      <c r="AH130" s="645"/>
      <c r="AI130" s="645"/>
      <c r="AJ130" s="645"/>
      <c r="AK130" s="645"/>
      <c r="AL130" s="645"/>
      <c r="AM130" s="645"/>
      <c r="AN130" s="645"/>
      <c r="AO130" s="645"/>
      <c r="AP130" s="645"/>
      <c r="AQ130" s="645"/>
      <c r="AR130" s="645"/>
      <c r="AS130" s="645"/>
      <c r="AT130" s="645"/>
      <c r="AU130" s="645"/>
      <c r="AV130" s="645"/>
      <c r="AW130" s="645"/>
      <c r="AX130" s="645"/>
      <c r="AY130" s="645"/>
      <c r="AZ130" s="645"/>
      <c r="BA130" s="645"/>
      <c r="BB130" s="645"/>
      <c r="BC130" s="645"/>
      <c r="BD130" s="645"/>
      <c r="BE130" s="645"/>
      <c r="BF130" s="645"/>
      <c r="BG130" s="645"/>
      <c r="BH130" s="645"/>
      <c r="BI130" s="645"/>
      <c r="BJ130" s="645"/>
      <c r="BK130" s="645"/>
      <c r="BL130" s="645"/>
      <c r="BM130" s="645"/>
      <c r="BN130" s="645"/>
      <c r="BO130" s="645"/>
      <c r="BP130" s="645"/>
      <c r="BQ130" s="645"/>
      <c r="BR130" s="645"/>
      <c r="BS130" s="645"/>
      <c r="BT130" s="645"/>
      <c r="BU130" s="645"/>
      <c r="BV130" s="645"/>
      <c r="BW130" s="645"/>
      <c r="BX130" s="645"/>
      <c r="BY130" s="645"/>
      <c r="BZ130" s="645"/>
      <c r="CA130" s="645"/>
      <c r="CB130" s="645"/>
      <c r="CC130" s="645"/>
      <c r="CD130" s="645"/>
      <c r="CE130" s="645"/>
      <c r="CF130" s="645"/>
      <c r="CG130" s="645"/>
      <c r="CH130" s="645"/>
      <c r="CI130" s="645"/>
      <c r="CJ130" s="645"/>
      <c r="CK130" s="645"/>
      <c r="CL130" s="645"/>
      <c r="CM130" s="645"/>
      <c r="CN130" s="645"/>
      <c r="CO130" s="645"/>
      <c r="CP130" s="645"/>
      <c r="CQ130" s="645"/>
      <c r="CR130" s="645"/>
      <c r="CS130" s="645"/>
      <c r="CT130" s="645"/>
      <c r="CU130" s="645"/>
      <c r="CV130" s="645"/>
      <c r="CW130" s="645"/>
      <c r="CX130" s="645"/>
      <c r="CY130" s="645"/>
      <c r="CZ130" s="645"/>
      <c r="DA130" s="645"/>
      <c r="DB130" s="645"/>
      <c r="DC130" s="645"/>
      <c r="DD130" s="645"/>
      <c r="DE130" s="645"/>
      <c r="DF130" s="645"/>
      <c r="DG130" s="645"/>
      <c r="DH130" s="645"/>
      <c r="DI130" s="645"/>
      <c r="DJ130" s="645"/>
      <c r="DK130" s="645"/>
      <c r="DL130" s="645"/>
      <c r="DM130" s="645"/>
      <c r="DN130" s="645"/>
      <c r="DO130" s="645"/>
      <c r="DP130" s="645"/>
      <c r="DQ130" s="645"/>
      <c r="DR130" s="645"/>
      <c r="DS130" s="645"/>
      <c r="DT130" s="645"/>
      <c r="DU130" s="645"/>
      <c r="DV130" s="645"/>
      <c r="DW130" s="645"/>
      <c r="DX130" s="645"/>
      <c r="DY130" s="645"/>
      <c r="DZ130" s="645"/>
      <c r="EA130" s="645"/>
      <c r="EB130" s="645"/>
      <c r="EC130" s="645"/>
      <c r="ED130" s="645"/>
      <c r="EE130" s="645"/>
      <c r="EF130" s="645"/>
      <c r="EG130" s="645"/>
      <c r="EH130" s="645"/>
      <c r="EI130" s="645"/>
      <c r="EJ130" s="645"/>
      <c r="EK130" s="645"/>
      <c r="EL130" s="645"/>
      <c r="EM130" s="645"/>
      <c r="EN130" s="645"/>
      <c r="EO130" s="645"/>
      <c r="EP130" s="645"/>
      <c r="EQ130" s="645"/>
      <c r="ER130" s="645"/>
      <c r="ES130" s="645"/>
      <c r="ET130" s="645"/>
      <c r="EU130" s="645"/>
      <c r="EV130" s="645"/>
      <c r="EW130" s="645"/>
      <c r="EX130" s="645"/>
      <c r="EY130" s="645"/>
      <c r="EZ130" s="645"/>
      <c r="FA130" s="645"/>
      <c r="FB130" s="645"/>
      <c r="FC130" s="645"/>
      <c r="FD130" s="645"/>
      <c r="FE130" s="645"/>
      <c r="FF130" s="645"/>
      <c r="FG130" s="645"/>
      <c r="FH130" s="645"/>
      <c r="FI130" s="645"/>
      <c r="FJ130" s="645"/>
      <c r="FK130" s="645"/>
      <c r="FL130" s="645"/>
      <c r="FM130" s="645"/>
      <c r="FN130" s="645"/>
      <c r="FO130" s="645"/>
      <c r="FP130" s="645"/>
      <c r="FQ130" s="645"/>
      <c r="FR130" s="645"/>
      <c r="FS130" s="645"/>
      <c r="FT130" s="645"/>
      <c r="FU130" s="645"/>
      <c r="FV130" s="645"/>
      <c r="FW130" s="645"/>
      <c r="FX130" s="645"/>
      <c r="FY130" s="645"/>
      <c r="FZ130" s="645"/>
      <c r="GA130" s="645"/>
      <c r="GB130" s="645"/>
      <c r="GC130" s="645"/>
      <c r="GD130" s="645"/>
      <c r="GE130" s="645"/>
      <c r="GF130" s="645"/>
      <c r="GG130" s="645"/>
      <c r="GH130" s="645"/>
      <c r="GI130" s="645"/>
      <c r="GJ130" s="645"/>
      <c r="GK130" s="645"/>
      <c r="GL130" s="645"/>
      <c r="GM130" s="645"/>
      <c r="GN130" s="645"/>
      <c r="GO130" s="645"/>
      <c r="GP130" s="645"/>
      <c r="GQ130" s="645"/>
      <c r="GR130" s="645"/>
      <c r="GS130" s="645"/>
      <c r="GT130" s="645"/>
      <c r="GU130" s="645"/>
      <c r="GV130" s="645"/>
      <c r="GW130" s="645"/>
      <c r="GX130" s="645"/>
      <c r="GY130" s="645"/>
      <c r="GZ130" s="645"/>
      <c r="HA130" s="645"/>
      <c r="HB130" s="645"/>
      <c r="HC130" s="645"/>
      <c r="HD130" s="645"/>
      <c r="HE130" s="645"/>
      <c r="HF130" s="645"/>
      <c r="HG130" s="645"/>
      <c r="HH130" s="645"/>
      <c r="HI130" s="645"/>
      <c r="HJ130" s="645"/>
      <c r="HK130" s="645"/>
      <c r="HL130" s="645"/>
      <c r="HM130" s="645"/>
      <c r="HN130" s="645"/>
      <c r="HO130" s="645"/>
      <c r="HP130" s="645"/>
      <c r="HQ130" s="645"/>
      <c r="HR130" s="645"/>
      <c r="HS130" s="645"/>
      <c r="HT130" s="645"/>
      <c r="HU130" s="645"/>
      <c r="HV130" s="645"/>
      <c r="HW130" s="645"/>
      <c r="HX130" s="645"/>
    </row>
    <row r="131" spans="1:234" s="657" customFormat="1" x14ac:dyDescent="0.25">
      <c r="A131" s="698"/>
      <c r="B131" s="1097"/>
      <c r="C131" s="1098" t="s">
        <v>1309</v>
      </c>
      <c r="D131" s="1099"/>
      <c r="E131" s="1099"/>
      <c r="F131" s="1099"/>
      <c r="G131" s="1100"/>
      <c r="H131" s="1101"/>
      <c r="I131" s="1102"/>
      <c r="J131" s="1092"/>
      <c r="K131" s="1103"/>
      <c r="L131" s="1094"/>
      <c r="M131" s="1104"/>
      <c r="N131" s="1105"/>
      <c r="O131" s="1104"/>
      <c r="P131" s="1105"/>
      <c r="Q131" s="1104"/>
      <c r="R131" s="1105"/>
      <c r="S131" s="1023"/>
      <c r="T131" s="656"/>
      <c r="U131" s="656"/>
      <c r="V131" s="656"/>
      <c r="W131" s="656"/>
      <c r="X131" s="656"/>
      <c r="Y131" s="656"/>
      <c r="Z131" s="656"/>
      <c r="AA131" s="656"/>
      <c r="AB131" s="656"/>
      <c r="AC131" s="656"/>
      <c r="AD131" s="656"/>
      <c r="AE131" s="656"/>
      <c r="AF131" s="656"/>
      <c r="AG131" s="656"/>
      <c r="AH131" s="656"/>
      <c r="AI131" s="656"/>
      <c r="AJ131" s="656"/>
      <c r="AK131" s="656"/>
      <c r="AL131" s="656"/>
      <c r="AM131" s="656"/>
      <c r="AN131" s="656"/>
      <c r="AO131" s="656"/>
      <c r="AP131" s="656"/>
      <c r="AQ131" s="656"/>
      <c r="AR131" s="656"/>
      <c r="AS131" s="656"/>
      <c r="AT131" s="656"/>
      <c r="AU131" s="656"/>
      <c r="AV131" s="656"/>
      <c r="AW131" s="656"/>
      <c r="AX131" s="656"/>
      <c r="AY131" s="656"/>
      <c r="AZ131" s="656"/>
      <c r="BA131" s="656"/>
      <c r="BB131" s="656"/>
      <c r="BC131" s="656"/>
      <c r="BD131" s="656"/>
      <c r="BE131" s="656"/>
      <c r="BF131" s="656"/>
      <c r="BG131" s="656"/>
      <c r="BH131" s="656"/>
      <c r="BI131" s="656"/>
      <c r="BJ131" s="656"/>
      <c r="BK131" s="656"/>
      <c r="BL131" s="656"/>
      <c r="BM131" s="656"/>
      <c r="BN131" s="656"/>
      <c r="BO131" s="656"/>
      <c r="BP131" s="656"/>
      <c r="BQ131" s="656"/>
      <c r="BR131" s="656"/>
      <c r="BS131" s="656"/>
      <c r="BT131" s="656"/>
      <c r="BU131" s="656"/>
      <c r="BV131" s="656"/>
      <c r="BW131" s="656"/>
      <c r="BX131" s="656"/>
      <c r="BY131" s="656"/>
      <c r="BZ131" s="656"/>
      <c r="CA131" s="656"/>
      <c r="CB131" s="656"/>
      <c r="CC131" s="656"/>
      <c r="CD131" s="656"/>
      <c r="CE131" s="656"/>
      <c r="CF131" s="656"/>
      <c r="CG131" s="656"/>
      <c r="CH131" s="656"/>
      <c r="CI131" s="656"/>
      <c r="CJ131" s="656"/>
      <c r="CK131" s="656"/>
      <c r="CL131" s="656"/>
      <c r="CM131" s="656"/>
      <c r="CN131" s="656"/>
      <c r="CO131" s="656"/>
      <c r="CP131" s="656"/>
      <c r="CQ131" s="656"/>
      <c r="CR131" s="656"/>
      <c r="CS131" s="656"/>
      <c r="CT131" s="656"/>
      <c r="CU131" s="656"/>
      <c r="CV131" s="656"/>
      <c r="CW131" s="656"/>
      <c r="CX131" s="656"/>
      <c r="CY131" s="656"/>
      <c r="CZ131" s="656"/>
      <c r="DA131" s="656"/>
      <c r="DB131" s="656"/>
      <c r="DC131" s="656"/>
      <c r="DD131" s="656"/>
      <c r="DE131" s="656"/>
      <c r="DF131" s="656"/>
      <c r="DG131" s="656"/>
      <c r="DH131" s="656"/>
      <c r="DI131" s="656"/>
      <c r="DJ131" s="656"/>
      <c r="DK131" s="656"/>
      <c r="DL131" s="656"/>
      <c r="DM131" s="656"/>
      <c r="DN131" s="656"/>
      <c r="DO131" s="656"/>
      <c r="DP131" s="656"/>
      <c r="DQ131" s="656"/>
      <c r="DR131" s="656"/>
      <c r="DS131" s="656"/>
      <c r="DT131" s="656"/>
      <c r="DU131" s="656"/>
      <c r="DV131" s="656"/>
      <c r="DW131" s="656"/>
      <c r="DX131" s="656"/>
      <c r="DY131" s="656"/>
      <c r="DZ131" s="656"/>
      <c r="EA131" s="656"/>
      <c r="EB131" s="656"/>
      <c r="EC131" s="656"/>
      <c r="ED131" s="656"/>
      <c r="EE131" s="656"/>
      <c r="EF131" s="656"/>
      <c r="EG131" s="656"/>
      <c r="EH131" s="656"/>
      <c r="EI131" s="656"/>
      <c r="EJ131" s="656"/>
      <c r="EK131" s="656"/>
      <c r="EL131" s="656"/>
      <c r="EM131" s="656"/>
      <c r="EN131" s="656"/>
      <c r="EO131" s="656"/>
      <c r="EP131" s="656"/>
      <c r="EQ131" s="656"/>
      <c r="ER131" s="656"/>
      <c r="ES131" s="656"/>
      <c r="ET131" s="656"/>
      <c r="EU131" s="656"/>
      <c r="EV131" s="656"/>
      <c r="EW131" s="656"/>
      <c r="EX131" s="656"/>
      <c r="EY131" s="656"/>
      <c r="EZ131" s="656"/>
      <c r="FA131" s="656"/>
      <c r="FB131" s="656"/>
      <c r="FC131" s="656"/>
      <c r="FD131" s="656"/>
      <c r="FE131" s="656"/>
      <c r="FF131" s="656"/>
      <c r="FG131" s="656"/>
      <c r="FH131" s="656"/>
      <c r="FI131" s="656"/>
      <c r="FJ131" s="656"/>
      <c r="FK131" s="656"/>
      <c r="FL131" s="656"/>
      <c r="FM131" s="656"/>
      <c r="FN131" s="656"/>
      <c r="FO131" s="656"/>
      <c r="FP131" s="656"/>
      <c r="FQ131" s="656"/>
      <c r="FR131" s="656"/>
      <c r="FS131" s="656"/>
      <c r="FT131" s="656"/>
      <c r="FU131" s="656"/>
      <c r="FV131" s="656"/>
      <c r="FW131" s="656"/>
      <c r="FX131" s="656"/>
      <c r="FY131" s="656"/>
      <c r="FZ131" s="656"/>
      <c r="GA131" s="656"/>
      <c r="GB131" s="656"/>
      <c r="GC131" s="656"/>
      <c r="GD131" s="656"/>
      <c r="GE131" s="656"/>
      <c r="GF131" s="656"/>
      <c r="GG131" s="656"/>
      <c r="GH131" s="656"/>
      <c r="GI131" s="656"/>
      <c r="GJ131" s="656"/>
      <c r="GK131" s="656"/>
      <c r="GL131" s="656"/>
      <c r="GM131" s="656"/>
      <c r="GN131" s="656"/>
      <c r="GO131" s="656"/>
      <c r="GP131" s="656"/>
      <c r="GQ131" s="656"/>
      <c r="GR131" s="656"/>
      <c r="GS131" s="656"/>
      <c r="GT131" s="656"/>
      <c r="GU131" s="656"/>
      <c r="GV131" s="656"/>
      <c r="GW131" s="656"/>
      <c r="GX131" s="656"/>
      <c r="GY131" s="656"/>
      <c r="GZ131" s="656"/>
      <c r="HA131" s="656"/>
      <c r="HB131" s="656"/>
      <c r="HC131" s="656"/>
      <c r="HD131" s="656"/>
      <c r="HE131" s="656"/>
      <c r="HF131" s="656"/>
      <c r="HG131" s="656"/>
      <c r="HH131" s="656"/>
      <c r="HI131" s="656"/>
      <c r="HJ131" s="656"/>
      <c r="HK131" s="656"/>
      <c r="HL131" s="656"/>
      <c r="HM131" s="656"/>
      <c r="HN131" s="656"/>
      <c r="HO131" s="656"/>
      <c r="HP131" s="656"/>
      <c r="HQ131" s="656"/>
      <c r="HR131" s="656"/>
      <c r="HS131" s="656"/>
      <c r="HT131" s="656"/>
      <c r="HU131" s="656"/>
      <c r="HV131" s="656"/>
      <c r="HW131" s="656"/>
      <c r="HX131" s="656"/>
      <c r="HY131" s="656"/>
      <c r="HZ131" s="656"/>
    </row>
    <row r="132" spans="1:234" ht="28.5" x14ac:dyDescent="0.25">
      <c r="B132" s="1074">
        <v>43</v>
      </c>
      <c r="C132" s="1075" t="s">
        <v>103</v>
      </c>
      <c r="D132" s="1076" t="s">
        <v>842</v>
      </c>
      <c r="E132" s="1077">
        <v>1</v>
      </c>
      <c r="F132" s="1078">
        <v>119690</v>
      </c>
      <c r="G132" s="1079">
        <v>119690</v>
      </c>
      <c r="H132" s="1080">
        <v>36</v>
      </c>
      <c r="I132" s="1058">
        <v>0</v>
      </c>
      <c r="J132" s="1020">
        <v>0</v>
      </c>
      <c r="K132" s="1081">
        <v>0</v>
      </c>
      <c r="L132" s="1083"/>
      <c r="M132" s="1029">
        <v>0</v>
      </c>
      <c r="N132" s="488">
        <v>0</v>
      </c>
      <c r="O132" s="1029">
        <v>0</v>
      </c>
      <c r="P132" s="488">
        <v>0</v>
      </c>
      <c r="Q132" s="1029">
        <v>0</v>
      </c>
      <c r="R132" s="488">
        <v>0</v>
      </c>
      <c r="S132" s="1023"/>
      <c r="T132" s="645"/>
      <c r="U132" s="645"/>
      <c r="V132" s="645"/>
      <c r="W132" s="645"/>
      <c r="X132" s="645"/>
      <c r="Y132" s="645"/>
      <c r="Z132" s="645"/>
      <c r="AA132" s="645"/>
      <c r="AB132" s="645"/>
      <c r="AC132" s="645"/>
      <c r="AD132" s="645"/>
      <c r="AE132" s="645"/>
      <c r="AF132" s="645"/>
      <c r="AG132" s="645"/>
      <c r="AH132" s="645"/>
      <c r="AI132" s="645"/>
      <c r="AJ132" s="645"/>
      <c r="AK132" s="645"/>
      <c r="AL132" s="645"/>
      <c r="AM132" s="645"/>
      <c r="AN132" s="645"/>
      <c r="AO132" s="645"/>
      <c r="AP132" s="645"/>
      <c r="AQ132" s="645"/>
      <c r="AR132" s="645"/>
      <c r="AS132" s="645"/>
      <c r="AT132" s="645"/>
      <c r="AU132" s="645"/>
      <c r="AV132" s="645"/>
      <c r="AW132" s="645"/>
      <c r="AX132" s="645"/>
      <c r="AY132" s="645"/>
      <c r="AZ132" s="645"/>
      <c r="BA132" s="645"/>
      <c r="BB132" s="645"/>
      <c r="BC132" s="645"/>
      <c r="BD132" s="645"/>
      <c r="BE132" s="645"/>
      <c r="BF132" s="645"/>
      <c r="BG132" s="645"/>
      <c r="BH132" s="645"/>
      <c r="BI132" s="645"/>
      <c r="BJ132" s="645"/>
      <c r="BK132" s="645"/>
      <c r="BL132" s="645"/>
      <c r="BM132" s="645"/>
      <c r="BN132" s="645"/>
      <c r="BO132" s="645"/>
      <c r="BP132" s="645"/>
      <c r="BQ132" s="645"/>
      <c r="BR132" s="645"/>
      <c r="BS132" s="645"/>
      <c r="BT132" s="645"/>
      <c r="BU132" s="645"/>
      <c r="BV132" s="645"/>
      <c r="BW132" s="645"/>
      <c r="BX132" s="645"/>
      <c r="BY132" s="645"/>
      <c r="BZ132" s="645"/>
      <c r="CA132" s="645"/>
      <c r="CB132" s="645"/>
      <c r="CC132" s="645"/>
      <c r="CD132" s="645"/>
      <c r="CE132" s="645"/>
      <c r="CF132" s="645"/>
      <c r="CG132" s="645"/>
      <c r="CH132" s="645"/>
      <c r="CI132" s="645"/>
      <c r="CJ132" s="645"/>
      <c r="CK132" s="645"/>
      <c r="CL132" s="645"/>
      <c r="CM132" s="645"/>
      <c r="CN132" s="645"/>
      <c r="CO132" s="645"/>
      <c r="CP132" s="645"/>
      <c r="CQ132" s="645"/>
      <c r="CR132" s="645"/>
      <c r="CS132" s="645"/>
      <c r="CT132" s="645"/>
      <c r="CU132" s="645"/>
      <c r="CV132" s="645"/>
      <c r="CW132" s="645"/>
      <c r="CX132" s="645"/>
      <c r="CY132" s="645"/>
      <c r="CZ132" s="645"/>
      <c r="DA132" s="645"/>
      <c r="DB132" s="645"/>
      <c r="DC132" s="645"/>
      <c r="DD132" s="645"/>
      <c r="DE132" s="645"/>
      <c r="DF132" s="645"/>
      <c r="DG132" s="645"/>
      <c r="DH132" s="645"/>
      <c r="DI132" s="645"/>
      <c r="DJ132" s="645"/>
      <c r="DK132" s="645"/>
      <c r="DL132" s="645"/>
      <c r="DM132" s="645"/>
      <c r="DN132" s="645"/>
      <c r="DO132" s="645"/>
      <c r="DP132" s="645"/>
      <c r="DQ132" s="645"/>
      <c r="DR132" s="645"/>
      <c r="DS132" s="645"/>
      <c r="DT132" s="645"/>
      <c r="DU132" s="645"/>
      <c r="DV132" s="645"/>
      <c r="DW132" s="645"/>
      <c r="DX132" s="645"/>
      <c r="DY132" s="645"/>
      <c r="DZ132" s="645"/>
      <c r="EA132" s="645"/>
      <c r="EB132" s="645"/>
      <c r="EC132" s="645"/>
      <c r="ED132" s="645"/>
      <c r="EE132" s="645"/>
      <c r="EF132" s="645"/>
      <c r="EG132" s="645"/>
      <c r="EH132" s="645"/>
      <c r="EI132" s="645"/>
      <c r="EJ132" s="645"/>
      <c r="EK132" s="645"/>
      <c r="EL132" s="645"/>
      <c r="EM132" s="645"/>
      <c r="EN132" s="645"/>
      <c r="EO132" s="645"/>
      <c r="EP132" s="645"/>
      <c r="EQ132" s="645"/>
      <c r="ER132" s="645"/>
      <c r="ES132" s="645"/>
      <c r="ET132" s="645"/>
      <c r="EU132" s="645"/>
      <c r="EV132" s="645"/>
      <c r="EW132" s="645"/>
      <c r="EX132" s="645"/>
      <c r="EY132" s="645"/>
      <c r="EZ132" s="645"/>
      <c r="FA132" s="645"/>
      <c r="FB132" s="645"/>
      <c r="FC132" s="645"/>
      <c r="FD132" s="645"/>
      <c r="FE132" s="645"/>
      <c r="FF132" s="645"/>
      <c r="FG132" s="645"/>
      <c r="FH132" s="645"/>
      <c r="FI132" s="645"/>
      <c r="FJ132" s="645"/>
      <c r="FK132" s="645"/>
      <c r="FL132" s="645"/>
      <c r="FM132" s="645"/>
      <c r="FN132" s="645"/>
      <c r="FO132" s="645"/>
      <c r="FP132" s="645"/>
      <c r="FQ132" s="645"/>
      <c r="FR132" s="645"/>
      <c r="FS132" s="645"/>
      <c r="FT132" s="645"/>
      <c r="FU132" s="645"/>
      <c r="FV132" s="645"/>
      <c r="FW132" s="645"/>
      <c r="FX132" s="645"/>
      <c r="FY132" s="645"/>
      <c r="FZ132" s="645"/>
      <c r="GA132" s="645"/>
      <c r="GB132" s="645"/>
      <c r="GC132" s="645"/>
      <c r="GD132" s="645"/>
      <c r="GE132" s="645"/>
      <c r="GF132" s="645"/>
      <c r="GG132" s="645"/>
      <c r="GH132" s="645"/>
      <c r="GI132" s="645"/>
      <c r="GJ132" s="645"/>
      <c r="GK132" s="645"/>
      <c r="GL132" s="645"/>
      <c r="GM132" s="645"/>
      <c r="GN132" s="645"/>
      <c r="GO132" s="645"/>
      <c r="GP132" s="645"/>
      <c r="GQ132" s="645"/>
      <c r="GR132" s="645"/>
      <c r="GS132" s="645"/>
      <c r="GT132" s="645"/>
      <c r="GU132" s="645"/>
      <c r="GV132" s="645"/>
      <c r="GW132" s="645"/>
      <c r="GX132" s="645"/>
      <c r="GY132" s="645"/>
      <c r="GZ132" s="645"/>
      <c r="HA132" s="645"/>
      <c r="HB132" s="645"/>
      <c r="HC132" s="645"/>
      <c r="HD132" s="645"/>
      <c r="HE132" s="645"/>
      <c r="HF132" s="645"/>
      <c r="HG132" s="645"/>
      <c r="HH132" s="645"/>
      <c r="HI132" s="645"/>
      <c r="HJ132" s="645"/>
      <c r="HK132" s="645"/>
      <c r="HL132" s="645"/>
      <c r="HM132" s="645"/>
      <c r="HN132" s="645"/>
      <c r="HO132" s="645"/>
      <c r="HP132" s="645"/>
      <c r="HQ132" s="645"/>
      <c r="HR132" s="645"/>
      <c r="HS132" s="645"/>
      <c r="HT132" s="645"/>
      <c r="HU132" s="645"/>
      <c r="HV132" s="645"/>
      <c r="HW132" s="645"/>
      <c r="HX132" s="645"/>
    </row>
    <row r="133" spans="1:234" ht="15.75" x14ac:dyDescent="0.25">
      <c r="B133" s="1074">
        <v>44</v>
      </c>
      <c r="C133" s="1075" t="s">
        <v>105</v>
      </c>
      <c r="D133" s="1076" t="s">
        <v>847</v>
      </c>
      <c r="E133" s="1077">
        <v>1</v>
      </c>
      <c r="F133" s="1078">
        <v>54053</v>
      </c>
      <c r="G133" s="1079">
        <v>54053</v>
      </c>
      <c r="H133" s="1080">
        <v>12</v>
      </c>
      <c r="I133" s="1058">
        <v>0</v>
      </c>
      <c r="J133" s="1020">
        <v>0</v>
      </c>
      <c r="K133" s="1081">
        <v>0</v>
      </c>
      <c r="L133" s="1082"/>
      <c r="M133" s="1029">
        <v>0</v>
      </c>
      <c r="N133" s="488">
        <v>0</v>
      </c>
      <c r="O133" s="1029">
        <v>0</v>
      </c>
      <c r="P133" s="488">
        <v>0</v>
      </c>
      <c r="Q133" s="1029">
        <v>0</v>
      </c>
      <c r="R133" s="488">
        <v>0</v>
      </c>
      <c r="S133" s="1023"/>
      <c r="T133" s="645"/>
      <c r="U133" s="645"/>
      <c r="V133" s="645"/>
      <c r="W133" s="645"/>
      <c r="X133" s="645"/>
      <c r="Y133" s="645"/>
      <c r="Z133" s="645"/>
      <c r="AA133" s="645"/>
      <c r="AB133" s="645"/>
      <c r="AC133" s="645"/>
      <c r="AD133" s="645"/>
      <c r="AE133" s="645"/>
      <c r="AF133" s="645"/>
      <c r="AG133" s="645"/>
      <c r="AH133" s="645"/>
      <c r="AI133" s="645"/>
      <c r="AJ133" s="645"/>
      <c r="AK133" s="645"/>
      <c r="AL133" s="645"/>
      <c r="AM133" s="645"/>
      <c r="AN133" s="645"/>
      <c r="AO133" s="645"/>
      <c r="AP133" s="645"/>
      <c r="AQ133" s="645"/>
      <c r="AR133" s="645"/>
      <c r="AS133" s="645"/>
      <c r="AT133" s="645"/>
      <c r="AU133" s="645"/>
      <c r="AV133" s="645"/>
      <c r="AW133" s="645"/>
      <c r="AX133" s="645"/>
      <c r="AY133" s="645"/>
      <c r="AZ133" s="645"/>
      <c r="BA133" s="645"/>
      <c r="BB133" s="645"/>
      <c r="BC133" s="645"/>
      <c r="BD133" s="645"/>
      <c r="BE133" s="645"/>
      <c r="BF133" s="645"/>
      <c r="BG133" s="645"/>
      <c r="BH133" s="645"/>
      <c r="BI133" s="645"/>
      <c r="BJ133" s="645"/>
      <c r="BK133" s="645"/>
      <c r="BL133" s="645"/>
      <c r="BM133" s="645"/>
      <c r="BN133" s="645"/>
      <c r="BO133" s="645"/>
      <c r="BP133" s="645"/>
      <c r="BQ133" s="645"/>
      <c r="BR133" s="645"/>
      <c r="BS133" s="645"/>
      <c r="BT133" s="645"/>
      <c r="BU133" s="645"/>
      <c r="BV133" s="645"/>
      <c r="BW133" s="645"/>
      <c r="BX133" s="645"/>
      <c r="BY133" s="645"/>
      <c r="BZ133" s="645"/>
      <c r="CA133" s="645"/>
      <c r="CB133" s="645"/>
      <c r="CC133" s="645"/>
      <c r="CD133" s="645"/>
      <c r="CE133" s="645"/>
      <c r="CF133" s="645"/>
      <c r="CG133" s="645"/>
      <c r="CH133" s="645"/>
      <c r="CI133" s="645"/>
      <c r="CJ133" s="645"/>
      <c r="CK133" s="645"/>
      <c r="CL133" s="645"/>
      <c r="CM133" s="645"/>
      <c r="CN133" s="645"/>
      <c r="CO133" s="645"/>
      <c r="CP133" s="645"/>
      <c r="CQ133" s="645"/>
      <c r="CR133" s="645"/>
      <c r="CS133" s="645"/>
      <c r="CT133" s="645"/>
      <c r="CU133" s="645"/>
      <c r="CV133" s="645"/>
      <c r="CW133" s="645"/>
      <c r="CX133" s="645"/>
      <c r="CY133" s="645"/>
      <c r="CZ133" s="645"/>
      <c r="DA133" s="645"/>
      <c r="DB133" s="645"/>
      <c r="DC133" s="645"/>
      <c r="DD133" s="645"/>
      <c r="DE133" s="645"/>
      <c r="DF133" s="645"/>
      <c r="DG133" s="645"/>
      <c r="DH133" s="645"/>
      <c r="DI133" s="645"/>
      <c r="DJ133" s="645"/>
      <c r="DK133" s="645"/>
      <c r="DL133" s="645"/>
      <c r="DM133" s="645"/>
      <c r="DN133" s="645"/>
      <c r="DO133" s="645"/>
      <c r="DP133" s="645"/>
      <c r="DQ133" s="645"/>
      <c r="DR133" s="645"/>
      <c r="DS133" s="645"/>
      <c r="DT133" s="645"/>
      <c r="DU133" s="645"/>
      <c r="DV133" s="645"/>
      <c r="DW133" s="645"/>
      <c r="DX133" s="645"/>
      <c r="DY133" s="645"/>
      <c r="DZ133" s="645"/>
      <c r="EA133" s="645"/>
      <c r="EB133" s="645"/>
      <c r="EC133" s="645"/>
      <c r="ED133" s="645"/>
      <c r="EE133" s="645"/>
      <c r="EF133" s="645"/>
      <c r="EG133" s="645"/>
      <c r="EH133" s="645"/>
      <c r="EI133" s="645"/>
      <c r="EJ133" s="645"/>
      <c r="EK133" s="645"/>
      <c r="EL133" s="645"/>
      <c r="EM133" s="645"/>
      <c r="EN133" s="645"/>
      <c r="EO133" s="645"/>
      <c r="EP133" s="645"/>
      <c r="EQ133" s="645"/>
      <c r="ER133" s="645"/>
      <c r="ES133" s="645"/>
      <c r="ET133" s="645"/>
      <c r="EU133" s="645"/>
      <c r="EV133" s="645"/>
      <c r="EW133" s="645"/>
      <c r="EX133" s="645"/>
      <c r="EY133" s="645"/>
      <c r="EZ133" s="645"/>
      <c r="FA133" s="645"/>
      <c r="FB133" s="645"/>
      <c r="FC133" s="645"/>
      <c r="FD133" s="645"/>
      <c r="FE133" s="645"/>
      <c r="FF133" s="645"/>
      <c r="FG133" s="645"/>
      <c r="FH133" s="645"/>
      <c r="FI133" s="645"/>
      <c r="FJ133" s="645"/>
      <c r="FK133" s="645"/>
      <c r="FL133" s="645"/>
      <c r="FM133" s="645"/>
      <c r="FN133" s="645"/>
      <c r="FO133" s="645"/>
      <c r="FP133" s="645"/>
      <c r="FQ133" s="645"/>
      <c r="FR133" s="645"/>
      <c r="FS133" s="645"/>
      <c r="FT133" s="645"/>
      <c r="FU133" s="645"/>
      <c r="FV133" s="645"/>
      <c r="FW133" s="645"/>
      <c r="FX133" s="645"/>
      <c r="FY133" s="645"/>
      <c r="FZ133" s="645"/>
      <c r="GA133" s="645"/>
      <c r="GB133" s="645"/>
      <c r="GC133" s="645"/>
      <c r="GD133" s="645"/>
      <c r="GE133" s="645"/>
      <c r="GF133" s="645"/>
      <c r="GG133" s="645"/>
      <c r="GH133" s="645"/>
      <c r="GI133" s="645"/>
      <c r="GJ133" s="645"/>
      <c r="GK133" s="645"/>
      <c r="GL133" s="645"/>
      <c r="GM133" s="645"/>
      <c r="GN133" s="645"/>
      <c r="GO133" s="645"/>
      <c r="GP133" s="645"/>
      <c r="GQ133" s="645"/>
      <c r="GR133" s="645"/>
      <c r="GS133" s="645"/>
      <c r="GT133" s="645"/>
      <c r="GU133" s="645"/>
      <c r="GV133" s="645"/>
      <c r="GW133" s="645"/>
      <c r="GX133" s="645"/>
      <c r="GY133" s="645"/>
      <c r="GZ133" s="645"/>
      <c r="HA133" s="645"/>
      <c r="HB133" s="645"/>
      <c r="HC133" s="645"/>
      <c r="HD133" s="645"/>
      <c r="HE133" s="645"/>
      <c r="HF133" s="645"/>
      <c r="HG133" s="645"/>
      <c r="HH133" s="645"/>
      <c r="HI133" s="645"/>
      <c r="HJ133" s="645"/>
      <c r="HK133" s="645"/>
      <c r="HL133" s="645"/>
      <c r="HM133" s="645"/>
      <c r="HN133" s="645"/>
      <c r="HO133" s="645"/>
      <c r="HP133" s="645"/>
      <c r="HQ133" s="645"/>
      <c r="HR133" s="645"/>
      <c r="HS133" s="645"/>
      <c r="HT133" s="645"/>
      <c r="HU133" s="645"/>
      <c r="HV133" s="645"/>
      <c r="HW133" s="645"/>
      <c r="HX133" s="645"/>
    </row>
    <row r="134" spans="1:234" ht="15.75" x14ac:dyDescent="0.25">
      <c r="B134" s="1074">
        <v>45</v>
      </c>
      <c r="C134" s="1075" t="s">
        <v>866</v>
      </c>
      <c r="D134" s="1076" t="s">
        <v>847</v>
      </c>
      <c r="E134" s="1077">
        <v>1</v>
      </c>
      <c r="F134" s="1078">
        <v>36190</v>
      </c>
      <c r="G134" s="1079">
        <v>36190</v>
      </c>
      <c r="H134" s="1080">
        <v>12</v>
      </c>
      <c r="I134" s="1058">
        <v>0</v>
      </c>
      <c r="J134" s="1020">
        <v>0</v>
      </c>
      <c r="K134" s="1081">
        <v>0</v>
      </c>
      <c r="L134" s="1082"/>
      <c r="M134" s="1029">
        <v>0</v>
      </c>
      <c r="N134" s="488">
        <v>0</v>
      </c>
      <c r="O134" s="1029">
        <v>0</v>
      </c>
      <c r="P134" s="488">
        <v>0</v>
      </c>
      <c r="Q134" s="1029">
        <v>0</v>
      </c>
      <c r="R134" s="488">
        <v>0</v>
      </c>
      <c r="S134" s="1023"/>
      <c r="T134" s="645"/>
      <c r="U134" s="645"/>
      <c r="V134" s="645"/>
      <c r="W134" s="645"/>
      <c r="X134" s="645"/>
      <c r="Y134" s="645"/>
      <c r="Z134" s="645"/>
      <c r="AA134" s="645"/>
      <c r="AB134" s="645"/>
      <c r="AC134" s="645"/>
      <c r="AD134" s="645"/>
      <c r="AE134" s="645"/>
      <c r="AF134" s="645"/>
      <c r="AG134" s="645"/>
      <c r="AH134" s="645"/>
      <c r="AI134" s="645"/>
      <c r="AJ134" s="645"/>
      <c r="AK134" s="645"/>
      <c r="AL134" s="645"/>
      <c r="AM134" s="645"/>
      <c r="AN134" s="645"/>
      <c r="AO134" s="645"/>
      <c r="AP134" s="645"/>
      <c r="AQ134" s="645"/>
      <c r="AR134" s="645"/>
      <c r="AS134" s="645"/>
      <c r="AT134" s="645"/>
      <c r="AU134" s="645"/>
      <c r="AV134" s="645"/>
      <c r="AW134" s="645"/>
      <c r="AX134" s="645"/>
      <c r="AY134" s="645"/>
      <c r="AZ134" s="645"/>
      <c r="BA134" s="645"/>
      <c r="BB134" s="645"/>
      <c r="BC134" s="645"/>
      <c r="BD134" s="645"/>
      <c r="BE134" s="645"/>
      <c r="BF134" s="645"/>
      <c r="BG134" s="645"/>
      <c r="BH134" s="645"/>
      <c r="BI134" s="645"/>
      <c r="BJ134" s="645"/>
      <c r="BK134" s="645"/>
      <c r="BL134" s="645"/>
      <c r="BM134" s="645"/>
      <c r="BN134" s="645"/>
      <c r="BO134" s="645"/>
      <c r="BP134" s="645"/>
      <c r="BQ134" s="645"/>
      <c r="BR134" s="645"/>
      <c r="BS134" s="645"/>
      <c r="BT134" s="645"/>
      <c r="BU134" s="645"/>
      <c r="BV134" s="645"/>
      <c r="BW134" s="645"/>
      <c r="BX134" s="645"/>
      <c r="BY134" s="645"/>
      <c r="BZ134" s="645"/>
      <c r="CA134" s="645"/>
      <c r="CB134" s="645"/>
      <c r="CC134" s="645"/>
      <c r="CD134" s="645"/>
      <c r="CE134" s="645"/>
      <c r="CF134" s="645"/>
      <c r="CG134" s="645"/>
      <c r="CH134" s="645"/>
      <c r="CI134" s="645"/>
      <c r="CJ134" s="645"/>
      <c r="CK134" s="645"/>
      <c r="CL134" s="645"/>
      <c r="CM134" s="645"/>
      <c r="CN134" s="645"/>
      <c r="CO134" s="645"/>
      <c r="CP134" s="645"/>
      <c r="CQ134" s="645"/>
      <c r="CR134" s="645"/>
      <c r="CS134" s="645"/>
      <c r="CT134" s="645"/>
      <c r="CU134" s="645"/>
      <c r="CV134" s="645"/>
      <c r="CW134" s="645"/>
      <c r="CX134" s="645"/>
      <c r="CY134" s="645"/>
      <c r="CZ134" s="645"/>
      <c r="DA134" s="645"/>
      <c r="DB134" s="645"/>
      <c r="DC134" s="645"/>
      <c r="DD134" s="645"/>
      <c r="DE134" s="645"/>
      <c r="DF134" s="645"/>
      <c r="DG134" s="645"/>
      <c r="DH134" s="645"/>
      <c r="DI134" s="645"/>
      <c r="DJ134" s="645"/>
      <c r="DK134" s="645"/>
      <c r="DL134" s="645"/>
      <c r="DM134" s="645"/>
      <c r="DN134" s="645"/>
      <c r="DO134" s="645"/>
      <c r="DP134" s="645"/>
      <c r="DQ134" s="645"/>
      <c r="DR134" s="645"/>
      <c r="DS134" s="645"/>
      <c r="DT134" s="645"/>
      <c r="DU134" s="645"/>
      <c r="DV134" s="645"/>
      <c r="DW134" s="645"/>
      <c r="DX134" s="645"/>
      <c r="DY134" s="645"/>
      <c r="DZ134" s="645"/>
      <c r="EA134" s="645"/>
      <c r="EB134" s="645"/>
      <c r="EC134" s="645"/>
      <c r="ED134" s="645"/>
      <c r="EE134" s="645"/>
      <c r="EF134" s="645"/>
      <c r="EG134" s="645"/>
      <c r="EH134" s="645"/>
      <c r="EI134" s="645"/>
      <c r="EJ134" s="645"/>
      <c r="EK134" s="645"/>
      <c r="EL134" s="645"/>
      <c r="EM134" s="645"/>
      <c r="EN134" s="645"/>
      <c r="EO134" s="645"/>
      <c r="EP134" s="645"/>
      <c r="EQ134" s="645"/>
      <c r="ER134" s="645"/>
      <c r="ES134" s="645"/>
      <c r="ET134" s="645"/>
      <c r="EU134" s="645"/>
      <c r="EV134" s="645"/>
      <c r="EW134" s="645"/>
      <c r="EX134" s="645"/>
      <c r="EY134" s="645"/>
      <c r="EZ134" s="645"/>
      <c r="FA134" s="645"/>
      <c r="FB134" s="645"/>
      <c r="FC134" s="645"/>
      <c r="FD134" s="645"/>
      <c r="FE134" s="645"/>
      <c r="FF134" s="645"/>
      <c r="FG134" s="645"/>
      <c r="FH134" s="645"/>
      <c r="FI134" s="645"/>
      <c r="FJ134" s="645"/>
      <c r="FK134" s="645"/>
      <c r="FL134" s="645"/>
      <c r="FM134" s="645"/>
      <c r="FN134" s="645"/>
      <c r="FO134" s="645"/>
      <c r="FP134" s="645"/>
      <c r="FQ134" s="645"/>
      <c r="FR134" s="645"/>
      <c r="FS134" s="645"/>
      <c r="FT134" s="645"/>
      <c r="FU134" s="645"/>
      <c r="FV134" s="645"/>
      <c r="FW134" s="645"/>
      <c r="FX134" s="645"/>
      <c r="FY134" s="645"/>
      <c r="FZ134" s="645"/>
      <c r="GA134" s="645"/>
      <c r="GB134" s="645"/>
      <c r="GC134" s="645"/>
      <c r="GD134" s="645"/>
      <c r="GE134" s="645"/>
      <c r="GF134" s="645"/>
      <c r="GG134" s="645"/>
      <c r="GH134" s="645"/>
      <c r="GI134" s="645"/>
      <c r="GJ134" s="645"/>
      <c r="GK134" s="645"/>
      <c r="GL134" s="645"/>
      <c r="GM134" s="645"/>
      <c r="GN134" s="645"/>
      <c r="GO134" s="645"/>
      <c r="GP134" s="645"/>
      <c r="GQ134" s="645"/>
      <c r="GR134" s="645"/>
      <c r="GS134" s="645"/>
      <c r="GT134" s="645"/>
      <c r="GU134" s="645"/>
      <c r="GV134" s="645"/>
      <c r="GW134" s="645"/>
      <c r="GX134" s="645"/>
      <c r="GY134" s="645"/>
      <c r="GZ134" s="645"/>
      <c r="HA134" s="645"/>
      <c r="HB134" s="645"/>
      <c r="HC134" s="645"/>
      <c r="HD134" s="645"/>
      <c r="HE134" s="645"/>
      <c r="HF134" s="645"/>
      <c r="HG134" s="645"/>
      <c r="HH134" s="645"/>
      <c r="HI134" s="645"/>
      <c r="HJ134" s="645"/>
      <c r="HK134" s="645"/>
      <c r="HL134" s="645"/>
      <c r="HM134" s="645"/>
      <c r="HN134" s="645"/>
      <c r="HO134" s="645"/>
      <c r="HP134" s="645"/>
      <c r="HQ134" s="645"/>
      <c r="HR134" s="645"/>
      <c r="HS134" s="645"/>
      <c r="HT134" s="645"/>
      <c r="HU134" s="645"/>
      <c r="HV134" s="645"/>
      <c r="HW134" s="645"/>
      <c r="HX134" s="645"/>
    </row>
    <row r="135" spans="1:234" s="657" customFormat="1" x14ac:dyDescent="0.25">
      <c r="A135" s="698"/>
      <c r="B135" s="1106"/>
      <c r="C135" s="1098" t="s">
        <v>1319</v>
      </c>
      <c r="D135" s="1099"/>
      <c r="E135" s="1099"/>
      <c r="F135" s="1099"/>
      <c r="G135" s="1100"/>
      <c r="H135" s="1101"/>
      <c r="I135" s="1107"/>
      <c r="J135" s="1092"/>
      <c r="K135" s="1103"/>
      <c r="L135" s="1096"/>
      <c r="M135" s="1104"/>
      <c r="N135" s="1105"/>
      <c r="O135" s="1104"/>
      <c r="P135" s="1105"/>
      <c r="Q135" s="1104"/>
      <c r="R135" s="1105"/>
      <c r="S135" s="1023"/>
      <c r="T135" s="656"/>
      <c r="U135" s="656"/>
      <c r="V135" s="656"/>
      <c r="W135" s="656"/>
      <c r="X135" s="656"/>
      <c r="Y135" s="656"/>
      <c r="Z135" s="656"/>
      <c r="AA135" s="656"/>
      <c r="AB135" s="656"/>
      <c r="AC135" s="656"/>
      <c r="AD135" s="656"/>
      <c r="AE135" s="656"/>
      <c r="AF135" s="656"/>
      <c r="AG135" s="656"/>
      <c r="AH135" s="656"/>
      <c r="AI135" s="656"/>
      <c r="AJ135" s="656"/>
      <c r="AK135" s="656"/>
      <c r="AL135" s="656"/>
      <c r="AM135" s="656"/>
      <c r="AN135" s="656"/>
      <c r="AO135" s="656"/>
      <c r="AP135" s="656"/>
      <c r="AQ135" s="656"/>
      <c r="AR135" s="656"/>
      <c r="AS135" s="656"/>
      <c r="AT135" s="656"/>
      <c r="AU135" s="656"/>
      <c r="AV135" s="656"/>
      <c r="AW135" s="656"/>
      <c r="AX135" s="656"/>
      <c r="AY135" s="656"/>
      <c r="AZ135" s="656"/>
      <c r="BA135" s="656"/>
      <c r="BB135" s="656"/>
      <c r="BC135" s="656"/>
      <c r="BD135" s="656"/>
      <c r="BE135" s="656"/>
      <c r="BF135" s="656"/>
      <c r="BG135" s="656"/>
      <c r="BH135" s="656"/>
      <c r="BI135" s="656"/>
      <c r="BJ135" s="656"/>
      <c r="BK135" s="656"/>
      <c r="BL135" s="656"/>
      <c r="BM135" s="656"/>
      <c r="BN135" s="656"/>
      <c r="BO135" s="656"/>
      <c r="BP135" s="656"/>
      <c r="BQ135" s="656"/>
      <c r="BR135" s="656"/>
      <c r="BS135" s="656"/>
      <c r="BT135" s="656"/>
      <c r="BU135" s="656"/>
      <c r="BV135" s="656"/>
      <c r="BW135" s="656"/>
      <c r="BX135" s="656"/>
      <c r="BY135" s="656"/>
      <c r="BZ135" s="656"/>
      <c r="CA135" s="656"/>
      <c r="CB135" s="656"/>
      <c r="CC135" s="656"/>
      <c r="CD135" s="656"/>
      <c r="CE135" s="656"/>
      <c r="CF135" s="656"/>
      <c r="CG135" s="656"/>
      <c r="CH135" s="656"/>
      <c r="CI135" s="656"/>
      <c r="CJ135" s="656"/>
      <c r="CK135" s="656"/>
      <c r="CL135" s="656"/>
      <c r="CM135" s="656"/>
      <c r="CN135" s="656"/>
      <c r="CO135" s="656"/>
      <c r="CP135" s="656"/>
      <c r="CQ135" s="656"/>
      <c r="CR135" s="656"/>
      <c r="CS135" s="656"/>
      <c r="CT135" s="656"/>
      <c r="CU135" s="656"/>
      <c r="CV135" s="656"/>
      <c r="CW135" s="656"/>
      <c r="CX135" s="656"/>
      <c r="CY135" s="656"/>
      <c r="CZ135" s="656"/>
      <c r="DA135" s="656"/>
      <c r="DB135" s="656"/>
      <c r="DC135" s="656"/>
      <c r="DD135" s="656"/>
      <c r="DE135" s="656"/>
      <c r="DF135" s="656"/>
      <c r="DG135" s="656"/>
      <c r="DH135" s="656"/>
      <c r="DI135" s="656"/>
      <c r="DJ135" s="656"/>
      <c r="DK135" s="656"/>
      <c r="DL135" s="656"/>
      <c r="DM135" s="656"/>
      <c r="DN135" s="656"/>
      <c r="DO135" s="656"/>
      <c r="DP135" s="656"/>
      <c r="DQ135" s="656"/>
      <c r="DR135" s="656"/>
      <c r="DS135" s="656"/>
      <c r="DT135" s="656"/>
      <c r="DU135" s="656"/>
      <c r="DV135" s="656"/>
      <c r="DW135" s="656"/>
      <c r="DX135" s="656"/>
      <c r="DY135" s="656"/>
      <c r="DZ135" s="656"/>
      <c r="EA135" s="656"/>
      <c r="EB135" s="656"/>
      <c r="EC135" s="656"/>
      <c r="ED135" s="656"/>
      <c r="EE135" s="656"/>
      <c r="EF135" s="656"/>
      <c r="EG135" s="656"/>
      <c r="EH135" s="656"/>
      <c r="EI135" s="656"/>
      <c r="EJ135" s="656"/>
      <c r="EK135" s="656"/>
      <c r="EL135" s="656"/>
      <c r="EM135" s="656"/>
      <c r="EN135" s="656"/>
      <c r="EO135" s="656"/>
      <c r="EP135" s="656"/>
      <c r="EQ135" s="656"/>
      <c r="ER135" s="656"/>
      <c r="ES135" s="656"/>
      <c r="ET135" s="656"/>
      <c r="EU135" s="656"/>
      <c r="EV135" s="656"/>
      <c r="EW135" s="656"/>
      <c r="EX135" s="656"/>
      <c r="EY135" s="656"/>
      <c r="EZ135" s="656"/>
      <c r="FA135" s="656"/>
      <c r="FB135" s="656"/>
      <c r="FC135" s="656"/>
      <c r="FD135" s="656"/>
      <c r="FE135" s="656"/>
      <c r="FF135" s="656"/>
      <c r="FG135" s="656"/>
      <c r="FH135" s="656"/>
      <c r="FI135" s="656"/>
      <c r="FJ135" s="656"/>
      <c r="FK135" s="656"/>
      <c r="FL135" s="656"/>
      <c r="FM135" s="656"/>
      <c r="FN135" s="656"/>
      <c r="FO135" s="656"/>
      <c r="FP135" s="656"/>
      <c r="FQ135" s="656"/>
      <c r="FR135" s="656"/>
      <c r="FS135" s="656"/>
      <c r="FT135" s="656"/>
      <c r="FU135" s="656"/>
      <c r="FV135" s="656"/>
      <c r="FW135" s="656"/>
      <c r="FX135" s="656"/>
      <c r="FY135" s="656"/>
      <c r="FZ135" s="656"/>
      <c r="GA135" s="656"/>
      <c r="GB135" s="656"/>
      <c r="GC135" s="656"/>
      <c r="GD135" s="656"/>
      <c r="GE135" s="656"/>
      <c r="GF135" s="656"/>
      <c r="GG135" s="656"/>
      <c r="GH135" s="656"/>
      <c r="GI135" s="656"/>
      <c r="GJ135" s="656"/>
      <c r="GK135" s="656"/>
      <c r="GL135" s="656"/>
      <c r="GM135" s="656"/>
      <c r="GN135" s="656"/>
      <c r="GO135" s="656"/>
      <c r="GP135" s="656"/>
      <c r="GQ135" s="656"/>
      <c r="GR135" s="656"/>
      <c r="GS135" s="656"/>
      <c r="GT135" s="656"/>
      <c r="GU135" s="656"/>
      <c r="GV135" s="656"/>
      <c r="GW135" s="656"/>
      <c r="GX135" s="656"/>
      <c r="GY135" s="656"/>
      <c r="GZ135" s="656"/>
      <c r="HA135" s="656"/>
      <c r="HB135" s="656"/>
      <c r="HC135" s="656"/>
      <c r="HD135" s="656"/>
      <c r="HE135" s="656"/>
      <c r="HF135" s="656"/>
      <c r="HG135" s="656"/>
      <c r="HH135" s="656"/>
      <c r="HI135" s="656"/>
      <c r="HJ135" s="656"/>
      <c r="HK135" s="656"/>
      <c r="HL135" s="656"/>
      <c r="HM135" s="656"/>
      <c r="HN135" s="656"/>
      <c r="HO135" s="656"/>
      <c r="HP135" s="656"/>
      <c r="HQ135" s="656"/>
      <c r="HR135" s="656"/>
      <c r="HS135" s="656"/>
      <c r="HT135" s="656"/>
      <c r="HU135" s="656"/>
      <c r="HV135" s="656"/>
      <c r="HW135" s="656"/>
      <c r="HX135" s="656"/>
      <c r="HY135" s="656"/>
      <c r="HZ135" s="656"/>
    </row>
    <row r="136" spans="1:234" ht="15.75" x14ac:dyDescent="0.25">
      <c r="B136" s="1074">
        <v>51</v>
      </c>
      <c r="C136" s="1075" t="s">
        <v>195</v>
      </c>
      <c r="D136" s="1076" t="s">
        <v>842</v>
      </c>
      <c r="E136" s="1077">
        <v>1</v>
      </c>
      <c r="F136" s="1078">
        <v>3444</v>
      </c>
      <c r="G136" s="1079">
        <v>3444</v>
      </c>
      <c r="H136" s="1080">
        <v>250</v>
      </c>
      <c r="I136" s="1058">
        <v>0</v>
      </c>
      <c r="J136" s="1020">
        <v>0</v>
      </c>
      <c r="K136" s="1081">
        <v>0</v>
      </c>
      <c r="L136" s="1082"/>
      <c r="M136" s="1029">
        <v>0</v>
      </c>
      <c r="N136" s="488">
        <v>0</v>
      </c>
      <c r="O136" s="1029">
        <v>0</v>
      </c>
      <c r="P136" s="488">
        <v>0</v>
      </c>
      <c r="Q136" s="1029">
        <v>0</v>
      </c>
      <c r="R136" s="488">
        <v>0</v>
      </c>
      <c r="S136" s="1023"/>
      <c r="T136" s="645"/>
      <c r="U136" s="645"/>
      <c r="V136" s="645"/>
      <c r="W136" s="645"/>
      <c r="X136" s="645"/>
      <c r="Y136" s="645"/>
      <c r="Z136" s="645"/>
      <c r="AA136" s="645"/>
      <c r="AB136" s="645"/>
      <c r="AC136" s="645"/>
      <c r="AD136" s="645"/>
      <c r="AE136" s="645"/>
      <c r="AF136" s="645"/>
      <c r="AG136" s="645"/>
      <c r="AH136" s="645"/>
      <c r="AI136" s="645"/>
      <c r="AJ136" s="645"/>
      <c r="AK136" s="645"/>
      <c r="AL136" s="645"/>
      <c r="AM136" s="645"/>
      <c r="AN136" s="645"/>
      <c r="AO136" s="645"/>
      <c r="AP136" s="645"/>
      <c r="AQ136" s="645"/>
      <c r="AR136" s="645"/>
      <c r="AS136" s="645"/>
      <c r="AT136" s="645"/>
      <c r="AU136" s="645"/>
      <c r="AV136" s="645"/>
      <c r="AW136" s="645"/>
      <c r="AX136" s="645"/>
      <c r="AY136" s="645"/>
      <c r="AZ136" s="645"/>
      <c r="BA136" s="645"/>
      <c r="BB136" s="645"/>
      <c r="BC136" s="645"/>
      <c r="BD136" s="645"/>
      <c r="BE136" s="645"/>
      <c r="BF136" s="645"/>
      <c r="BG136" s="645"/>
      <c r="BH136" s="645"/>
      <c r="BI136" s="645"/>
      <c r="BJ136" s="645"/>
      <c r="BK136" s="645"/>
      <c r="BL136" s="645"/>
      <c r="BM136" s="645"/>
      <c r="BN136" s="645"/>
      <c r="BO136" s="645"/>
      <c r="BP136" s="645"/>
      <c r="BQ136" s="645"/>
      <c r="BR136" s="645"/>
      <c r="BS136" s="645"/>
      <c r="BT136" s="645"/>
      <c r="BU136" s="645"/>
      <c r="BV136" s="645"/>
      <c r="BW136" s="645"/>
      <c r="BX136" s="645"/>
      <c r="BY136" s="645"/>
      <c r="BZ136" s="645"/>
      <c r="CA136" s="645"/>
      <c r="CB136" s="645"/>
      <c r="CC136" s="645"/>
      <c r="CD136" s="645"/>
      <c r="CE136" s="645"/>
      <c r="CF136" s="645"/>
      <c r="CG136" s="645"/>
      <c r="CH136" s="645"/>
      <c r="CI136" s="645"/>
      <c r="CJ136" s="645"/>
      <c r="CK136" s="645"/>
      <c r="CL136" s="645"/>
      <c r="CM136" s="645"/>
      <c r="CN136" s="645"/>
      <c r="CO136" s="645"/>
      <c r="CP136" s="645"/>
      <c r="CQ136" s="645"/>
      <c r="CR136" s="645"/>
      <c r="CS136" s="645"/>
      <c r="CT136" s="645"/>
      <c r="CU136" s="645"/>
      <c r="CV136" s="645"/>
      <c r="CW136" s="645"/>
      <c r="CX136" s="645"/>
      <c r="CY136" s="645"/>
      <c r="CZ136" s="645"/>
      <c r="DA136" s="645"/>
      <c r="DB136" s="645"/>
      <c r="DC136" s="645"/>
      <c r="DD136" s="645"/>
      <c r="DE136" s="645"/>
      <c r="DF136" s="645"/>
      <c r="DG136" s="645"/>
      <c r="DH136" s="645"/>
      <c r="DI136" s="645"/>
      <c r="DJ136" s="645"/>
      <c r="DK136" s="645"/>
      <c r="DL136" s="645"/>
      <c r="DM136" s="645"/>
      <c r="DN136" s="645"/>
      <c r="DO136" s="645"/>
      <c r="DP136" s="645"/>
      <c r="DQ136" s="645"/>
      <c r="DR136" s="645"/>
      <c r="DS136" s="645"/>
      <c r="DT136" s="645"/>
      <c r="DU136" s="645"/>
      <c r="DV136" s="645"/>
      <c r="DW136" s="645"/>
      <c r="DX136" s="645"/>
      <c r="DY136" s="645"/>
      <c r="DZ136" s="645"/>
      <c r="EA136" s="645"/>
      <c r="EB136" s="645"/>
      <c r="EC136" s="645"/>
      <c r="ED136" s="645"/>
      <c r="EE136" s="645"/>
      <c r="EF136" s="645"/>
      <c r="EG136" s="645"/>
      <c r="EH136" s="645"/>
      <c r="EI136" s="645"/>
      <c r="EJ136" s="645"/>
      <c r="EK136" s="645"/>
      <c r="EL136" s="645"/>
      <c r="EM136" s="645"/>
      <c r="EN136" s="645"/>
      <c r="EO136" s="645"/>
      <c r="EP136" s="645"/>
      <c r="EQ136" s="645"/>
      <c r="ER136" s="645"/>
      <c r="ES136" s="645"/>
      <c r="ET136" s="645"/>
      <c r="EU136" s="645"/>
      <c r="EV136" s="645"/>
      <c r="EW136" s="645"/>
      <c r="EX136" s="645"/>
      <c r="EY136" s="645"/>
      <c r="EZ136" s="645"/>
      <c r="FA136" s="645"/>
      <c r="FB136" s="645"/>
      <c r="FC136" s="645"/>
      <c r="FD136" s="645"/>
      <c r="FE136" s="645"/>
      <c r="FF136" s="645"/>
      <c r="FG136" s="645"/>
      <c r="FH136" s="645"/>
      <c r="FI136" s="645"/>
      <c r="FJ136" s="645"/>
      <c r="FK136" s="645"/>
      <c r="FL136" s="645"/>
      <c r="FM136" s="645"/>
      <c r="FN136" s="645"/>
      <c r="FO136" s="645"/>
      <c r="FP136" s="645"/>
      <c r="FQ136" s="645"/>
      <c r="FR136" s="645"/>
      <c r="FS136" s="645"/>
      <c r="FT136" s="645"/>
      <c r="FU136" s="645"/>
      <c r="FV136" s="645"/>
      <c r="FW136" s="645"/>
      <c r="FX136" s="645"/>
      <c r="FY136" s="645"/>
      <c r="FZ136" s="645"/>
      <c r="GA136" s="645"/>
      <c r="GB136" s="645"/>
      <c r="GC136" s="645"/>
      <c r="GD136" s="645"/>
      <c r="GE136" s="645"/>
      <c r="GF136" s="645"/>
      <c r="GG136" s="645"/>
      <c r="GH136" s="645"/>
      <c r="GI136" s="645"/>
      <c r="GJ136" s="645"/>
      <c r="GK136" s="645"/>
      <c r="GL136" s="645"/>
      <c r="GM136" s="645"/>
      <c r="GN136" s="645"/>
      <c r="GO136" s="645"/>
      <c r="GP136" s="645"/>
      <c r="GQ136" s="645"/>
      <c r="GR136" s="645"/>
      <c r="GS136" s="645"/>
      <c r="GT136" s="645"/>
      <c r="GU136" s="645"/>
      <c r="GV136" s="645"/>
      <c r="GW136" s="645"/>
      <c r="GX136" s="645"/>
      <c r="GY136" s="645"/>
      <c r="GZ136" s="645"/>
      <c r="HA136" s="645"/>
      <c r="HB136" s="645"/>
      <c r="HC136" s="645"/>
      <c r="HD136" s="645"/>
      <c r="HE136" s="645"/>
      <c r="HF136" s="645"/>
      <c r="HG136" s="645"/>
      <c r="HH136" s="645"/>
      <c r="HI136" s="645"/>
      <c r="HJ136" s="645"/>
      <c r="HK136" s="645"/>
      <c r="HL136" s="645"/>
      <c r="HM136" s="645"/>
      <c r="HN136" s="645"/>
      <c r="HO136" s="645"/>
      <c r="HP136" s="645"/>
      <c r="HQ136" s="645"/>
      <c r="HR136" s="645"/>
      <c r="HS136" s="645"/>
      <c r="HT136" s="645"/>
      <c r="HU136" s="645"/>
      <c r="HV136" s="645"/>
      <c r="HW136" s="645"/>
      <c r="HX136" s="645"/>
    </row>
    <row r="137" spans="1:234" ht="16.5" thickBot="1" x14ac:dyDescent="0.3">
      <c r="B137" s="1108">
        <v>52</v>
      </c>
      <c r="C137" s="1109" t="s">
        <v>166</v>
      </c>
      <c r="D137" s="1110" t="s">
        <v>904</v>
      </c>
      <c r="E137" s="1111">
        <v>1</v>
      </c>
      <c r="F137" s="1112">
        <v>49904</v>
      </c>
      <c r="G137" s="1113">
        <v>49904</v>
      </c>
      <c r="H137" s="1114">
        <v>1</v>
      </c>
      <c r="I137" s="1115">
        <v>0</v>
      </c>
      <c r="J137" s="1116">
        <v>0</v>
      </c>
      <c r="K137" s="1117">
        <v>0</v>
      </c>
      <c r="L137" s="1118"/>
      <c r="M137" s="1119">
        <v>0</v>
      </c>
      <c r="N137" s="524">
        <v>0</v>
      </c>
      <c r="O137" s="1029">
        <v>0</v>
      </c>
      <c r="P137" s="488">
        <v>0</v>
      </c>
      <c r="Q137" s="1029">
        <v>0</v>
      </c>
      <c r="R137" s="488">
        <v>0</v>
      </c>
      <c r="S137" s="1023"/>
      <c r="T137" s="645"/>
      <c r="U137" s="645"/>
      <c r="V137" s="645"/>
      <c r="W137" s="645"/>
      <c r="X137" s="645"/>
      <c r="Y137" s="645"/>
      <c r="Z137" s="645"/>
      <c r="AA137" s="645"/>
      <c r="AB137" s="645"/>
      <c r="AC137" s="645"/>
      <c r="AD137" s="645"/>
      <c r="AE137" s="645"/>
      <c r="AF137" s="645"/>
      <c r="AG137" s="645"/>
      <c r="AH137" s="645"/>
      <c r="AI137" s="645"/>
      <c r="AJ137" s="645"/>
      <c r="AK137" s="645"/>
      <c r="AL137" s="645"/>
      <c r="AM137" s="645"/>
      <c r="AN137" s="645"/>
      <c r="AO137" s="645"/>
      <c r="AP137" s="645"/>
      <c r="AQ137" s="645"/>
      <c r="AR137" s="645"/>
      <c r="AS137" s="645"/>
      <c r="AT137" s="645"/>
      <c r="AU137" s="645"/>
      <c r="AV137" s="645"/>
      <c r="AW137" s="645"/>
      <c r="AX137" s="645"/>
      <c r="AY137" s="645"/>
      <c r="AZ137" s="645"/>
      <c r="BA137" s="645"/>
      <c r="BB137" s="645"/>
      <c r="BC137" s="645"/>
      <c r="BD137" s="645"/>
      <c r="BE137" s="645"/>
      <c r="BF137" s="645"/>
      <c r="BG137" s="645"/>
      <c r="BH137" s="645"/>
      <c r="BI137" s="645"/>
      <c r="BJ137" s="645"/>
      <c r="BK137" s="645"/>
      <c r="BL137" s="645"/>
      <c r="BM137" s="645"/>
      <c r="BN137" s="645"/>
      <c r="BO137" s="645"/>
      <c r="BP137" s="645"/>
      <c r="BQ137" s="645"/>
      <c r="BR137" s="645"/>
      <c r="BS137" s="645"/>
      <c r="BT137" s="645"/>
      <c r="BU137" s="645"/>
      <c r="BV137" s="645"/>
      <c r="BW137" s="645"/>
      <c r="BX137" s="645"/>
      <c r="BY137" s="645"/>
      <c r="BZ137" s="645"/>
      <c r="CA137" s="645"/>
      <c r="CB137" s="645"/>
      <c r="CC137" s="645"/>
      <c r="CD137" s="645"/>
      <c r="CE137" s="645"/>
      <c r="CF137" s="645"/>
      <c r="CG137" s="645"/>
      <c r="CH137" s="645"/>
      <c r="CI137" s="645"/>
      <c r="CJ137" s="645"/>
      <c r="CK137" s="645"/>
      <c r="CL137" s="645"/>
      <c r="CM137" s="645"/>
      <c r="CN137" s="645"/>
      <c r="CO137" s="645"/>
      <c r="CP137" s="645"/>
      <c r="CQ137" s="645"/>
      <c r="CR137" s="645"/>
      <c r="CS137" s="645"/>
      <c r="CT137" s="645"/>
      <c r="CU137" s="645"/>
      <c r="CV137" s="645"/>
      <c r="CW137" s="645"/>
      <c r="CX137" s="645"/>
      <c r="CY137" s="645"/>
      <c r="CZ137" s="645"/>
      <c r="DA137" s="645"/>
      <c r="DB137" s="645"/>
      <c r="DC137" s="645"/>
      <c r="DD137" s="645"/>
      <c r="DE137" s="645"/>
      <c r="DF137" s="645"/>
      <c r="DG137" s="645"/>
      <c r="DH137" s="645"/>
      <c r="DI137" s="645"/>
      <c r="DJ137" s="645"/>
      <c r="DK137" s="645"/>
      <c r="DL137" s="645"/>
      <c r="DM137" s="645"/>
      <c r="DN137" s="645"/>
      <c r="DO137" s="645"/>
      <c r="DP137" s="645"/>
      <c r="DQ137" s="645"/>
      <c r="DR137" s="645"/>
      <c r="DS137" s="645"/>
      <c r="DT137" s="645"/>
      <c r="DU137" s="645"/>
      <c r="DV137" s="645"/>
      <c r="DW137" s="645"/>
      <c r="DX137" s="645"/>
      <c r="DY137" s="645"/>
      <c r="DZ137" s="645"/>
      <c r="EA137" s="645"/>
      <c r="EB137" s="645"/>
      <c r="EC137" s="645"/>
      <c r="ED137" s="645"/>
      <c r="EE137" s="645"/>
      <c r="EF137" s="645"/>
      <c r="EG137" s="645"/>
      <c r="EH137" s="645"/>
      <c r="EI137" s="645"/>
      <c r="EJ137" s="645"/>
      <c r="EK137" s="645"/>
      <c r="EL137" s="645"/>
      <c r="EM137" s="645"/>
      <c r="EN137" s="645"/>
      <c r="EO137" s="645"/>
      <c r="EP137" s="645"/>
      <c r="EQ137" s="645"/>
      <c r="ER137" s="645"/>
      <c r="ES137" s="645"/>
      <c r="ET137" s="645"/>
      <c r="EU137" s="645"/>
      <c r="EV137" s="645"/>
      <c r="EW137" s="645"/>
      <c r="EX137" s="645"/>
      <c r="EY137" s="645"/>
      <c r="EZ137" s="645"/>
      <c r="FA137" s="645"/>
      <c r="FB137" s="645"/>
      <c r="FC137" s="645"/>
      <c r="FD137" s="645"/>
      <c r="FE137" s="645"/>
      <c r="FF137" s="645"/>
      <c r="FG137" s="645"/>
      <c r="FH137" s="645"/>
      <c r="FI137" s="645"/>
      <c r="FJ137" s="645"/>
      <c r="FK137" s="645"/>
      <c r="FL137" s="645"/>
      <c r="FM137" s="645"/>
      <c r="FN137" s="645"/>
      <c r="FO137" s="645"/>
      <c r="FP137" s="645"/>
      <c r="FQ137" s="645"/>
      <c r="FR137" s="645"/>
      <c r="FS137" s="645"/>
      <c r="FT137" s="645"/>
      <c r="FU137" s="645"/>
      <c r="FV137" s="645"/>
      <c r="FW137" s="645"/>
      <c r="FX137" s="645"/>
      <c r="FY137" s="645"/>
      <c r="FZ137" s="645"/>
      <c r="GA137" s="645"/>
      <c r="GB137" s="645"/>
      <c r="GC137" s="645"/>
      <c r="GD137" s="645"/>
      <c r="GE137" s="645"/>
      <c r="GF137" s="645"/>
      <c r="GG137" s="645"/>
      <c r="GH137" s="645"/>
      <c r="GI137" s="645"/>
      <c r="GJ137" s="645"/>
      <c r="GK137" s="645"/>
      <c r="GL137" s="645"/>
      <c r="GM137" s="645"/>
      <c r="GN137" s="645"/>
      <c r="GO137" s="645"/>
      <c r="GP137" s="645"/>
      <c r="GQ137" s="645"/>
      <c r="GR137" s="645"/>
      <c r="GS137" s="645"/>
      <c r="GT137" s="645"/>
      <c r="GU137" s="645"/>
      <c r="GV137" s="645"/>
      <c r="GW137" s="645"/>
      <c r="GX137" s="645"/>
      <c r="GY137" s="645"/>
      <c r="GZ137" s="645"/>
      <c r="HA137" s="645"/>
      <c r="HB137" s="645"/>
      <c r="HC137" s="645"/>
      <c r="HD137" s="645"/>
      <c r="HE137" s="645"/>
      <c r="HF137" s="645"/>
      <c r="HG137" s="645"/>
      <c r="HH137" s="645"/>
      <c r="HI137" s="645"/>
      <c r="HJ137" s="645"/>
      <c r="HK137" s="645"/>
      <c r="HL137" s="645"/>
      <c r="HM137" s="645"/>
      <c r="HN137" s="645"/>
      <c r="HO137" s="645"/>
      <c r="HP137" s="645"/>
      <c r="HQ137" s="645"/>
      <c r="HR137" s="645"/>
      <c r="HS137" s="645"/>
      <c r="HT137" s="645"/>
      <c r="HU137" s="645"/>
      <c r="HV137" s="645"/>
      <c r="HW137" s="645"/>
      <c r="HX137" s="645"/>
    </row>
    <row r="138" spans="1:234" ht="15.75" x14ac:dyDescent="0.25">
      <c r="B138" s="1120" t="s">
        <v>317</v>
      </c>
      <c r="C138" s="1121" t="s">
        <v>1321</v>
      </c>
      <c r="D138" s="1122"/>
      <c r="E138" s="1123"/>
      <c r="F138" s="1124"/>
      <c r="G138" s="1125"/>
      <c r="H138" s="1126"/>
      <c r="I138" s="1127"/>
      <c r="J138" s="1128"/>
      <c r="K138" s="1129"/>
      <c r="L138" s="1130"/>
      <c r="M138" s="1131"/>
      <c r="N138" s="1132"/>
      <c r="O138" s="1133"/>
      <c r="P138" s="1134"/>
      <c r="Q138" s="1133"/>
      <c r="R138" s="1134"/>
      <c r="S138" s="1023"/>
      <c r="T138" s="645"/>
      <c r="U138" s="645"/>
      <c r="V138" s="645"/>
      <c r="W138" s="645"/>
      <c r="X138" s="645"/>
      <c r="Y138" s="645"/>
      <c r="Z138" s="645"/>
      <c r="AA138" s="645"/>
      <c r="AB138" s="645"/>
      <c r="AC138" s="645"/>
      <c r="AD138" s="645"/>
      <c r="AE138" s="645"/>
      <c r="AF138" s="645"/>
      <c r="AG138" s="645"/>
      <c r="AH138" s="645"/>
      <c r="AI138" s="645"/>
      <c r="AJ138" s="645"/>
      <c r="AK138" s="645"/>
      <c r="AL138" s="645"/>
      <c r="AM138" s="645"/>
      <c r="AN138" s="645"/>
      <c r="AO138" s="645"/>
      <c r="AP138" s="645"/>
      <c r="AQ138" s="645"/>
      <c r="AR138" s="645"/>
      <c r="AS138" s="645"/>
      <c r="AT138" s="645"/>
      <c r="AU138" s="645"/>
      <c r="AV138" s="645"/>
      <c r="AW138" s="645"/>
      <c r="AX138" s="645"/>
      <c r="AY138" s="645"/>
      <c r="AZ138" s="645"/>
      <c r="BA138" s="645"/>
      <c r="BB138" s="645"/>
      <c r="BC138" s="645"/>
      <c r="BD138" s="645"/>
      <c r="BE138" s="645"/>
      <c r="BF138" s="645"/>
      <c r="BG138" s="645"/>
      <c r="BH138" s="645"/>
      <c r="BI138" s="645"/>
      <c r="BJ138" s="645"/>
      <c r="BK138" s="645"/>
      <c r="BL138" s="645"/>
      <c r="BM138" s="645"/>
      <c r="BN138" s="645"/>
      <c r="BO138" s="645"/>
      <c r="BP138" s="645"/>
      <c r="BQ138" s="645"/>
      <c r="BR138" s="645"/>
      <c r="BS138" s="645"/>
      <c r="BT138" s="645"/>
      <c r="BU138" s="645"/>
      <c r="BV138" s="645"/>
      <c r="BW138" s="645"/>
      <c r="BX138" s="645"/>
      <c r="BY138" s="645"/>
      <c r="BZ138" s="645"/>
      <c r="CA138" s="645"/>
      <c r="CB138" s="645"/>
      <c r="CC138" s="645"/>
      <c r="CD138" s="645"/>
      <c r="CE138" s="645"/>
      <c r="CF138" s="645"/>
      <c r="CG138" s="645"/>
      <c r="CH138" s="645"/>
      <c r="CI138" s="645"/>
      <c r="CJ138" s="645"/>
      <c r="CK138" s="645"/>
      <c r="CL138" s="645"/>
      <c r="CM138" s="645"/>
      <c r="CN138" s="645"/>
      <c r="CO138" s="645"/>
      <c r="CP138" s="645"/>
      <c r="CQ138" s="645"/>
      <c r="CR138" s="645"/>
      <c r="CS138" s="645"/>
      <c r="CT138" s="645"/>
      <c r="CU138" s="645"/>
      <c r="CV138" s="645"/>
      <c r="CW138" s="645"/>
      <c r="CX138" s="645"/>
      <c r="CY138" s="645"/>
      <c r="CZ138" s="645"/>
      <c r="DA138" s="645"/>
      <c r="DB138" s="645"/>
      <c r="DC138" s="645"/>
      <c r="DD138" s="645"/>
      <c r="DE138" s="645"/>
      <c r="DF138" s="645"/>
      <c r="DG138" s="645"/>
      <c r="DH138" s="645"/>
      <c r="DI138" s="645"/>
      <c r="DJ138" s="645"/>
      <c r="DK138" s="645"/>
      <c r="DL138" s="645"/>
      <c r="DM138" s="645"/>
      <c r="DN138" s="645"/>
      <c r="DO138" s="645"/>
      <c r="DP138" s="645"/>
      <c r="DQ138" s="645"/>
      <c r="DR138" s="645"/>
      <c r="DS138" s="645"/>
      <c r="DT138" s="645"/>
      <c r="DU138" s="645"/>
      <c r="DV138" s="645"/>
      <c r="DW138" s="645"/>
      <c r="DX138" s="645"/>
      <c r="DY138" s="645"/>
      <c r="DZ138" s="645"/>
      <c r="EA138" s="645"/>
      <c r="EB138" s="645"/>
      <c r="EC138" s="645"/>
      <c r="ED138" s="645"/>
      <c r="EE138" s="645"/>
      <c r="EF138" s="645"/>
      <c r="EG138" s="645"/>
      <c r="EH138" s="645"/>
      <c r="EI138" s="645"/>
      <c r="EJ138" s="645"/>
      <c r="EK138" s="645"/>
      <c r="EL138" s="645"/>
      <c r="EM138" s="645"/>
      <c r="EN138" s="645"/>
      <c r="EO138" s="645"/>
      <c r="EP138" s="645"/>
      <c r="EQ138" s="645"/>
      <c r="ER138" s="645"/>
      <c r="ES138" s="645"/>
      <c r="ET138" s="645"/>
      <c r="EU138" s="645"/>
      <c r="EV138" s="645"/>
      <c r="EW138" s="645"/>
      <c r="EX138" s="645"/>
      <c r="EY138" s="645"/>
      <c r="EZ138" s="645"/>
      <c r="FA138" s="645"/>
      <c r="FB138" s="645"/>
      <c r="FC138" s="645"/>
      <c r="FD138" s="645"/>
      <c r="FE138" s="645"/>
      <c r="FF138" s="645"/>
      <c r="FG138" s="645"/>
      <c r="FH138" s="645"/>
      <c r="FI138" s="645"/>
      <c r="FJ138" s="645"/>
      <c r="FK138" s="645"/>
      <c r="FL138" s="645"/>
      <c r="FM138" s="645"/>
      <c r="FN138" s="645"/>
      <c r="FO138" s="645"/>
      <c r="FP138" s="645"/>
      <c r="FQ138" s="645"/>
      <c r="FR138" s="645"/>
      <c r="FS138" s="645"/>
      <c r="FT138" s="645"/>
      <c r="FU138" s="645"/>
      <c r="FV138" s="645"/>
      <c r="FW138" s="645"/>
      <c r="FX138" s="645"/>
      <c r="FY138" s="645"/>
      <c r="FZ138" s="645"/>
      <c r="GA138" s="645"/>
      <c r="GB138" s="645"/>
      <c r="GC138" s="645"/>
      <c r="GD138" s="645"/>
      <c r="GE138" s="645"/>
      <c r="GF138" s="645"/>
      <c r="GG138" s="645"/>
      <c r="GH138" s="645"/>
      <c r="GI138" s="645"/>
      <c r="GJ138" s="645"/>
      <c r="GK138" s="645"/>
      <c r="GL138" s="645"/>
      <c r="GM138" s="645"/>
      <c r="GN138" s="645"/>
      <c r="GO138" s="645"/>
      <c r="GP138" s="645"/>
      <c r="GQ138" s="645"/>
      <c r="GR138" s="645"/>
      <c r="GS138" s="645"/>
      <c r="GT138" s="645"/>
      <c r="GU138" s="645"/>
      <c r="GV138" s="645"/>
      <c r="GW138" s="645"/>
      <c r="GX138" s="645"/>
      <c r="GY138" s="645"/>
      <c r="GZ138" s="645"/>
      <c r="HA138" s="645"/>
      <c r="HB138" s="645"/>
      <c r="HC138" s="645"/>
      <c r="HD138" s="645"/>
      <c r="HE138" s="645"/>
      <c r="HF138" s="645"/>
      <c r="HG138" s="645"/>
      <c r="HH138" s="645"/>
      <c r="HI138" s="645"/>
      <c r="HJ138" s="645"/>
      <c r="HK138" s="645"/>
      <c r="HL138" s="645"/>
      <c r="HM138" s="645"/>
      <c r="HN138" s="645"/>
      <c r="HO138" s="645"/>
      <c r="HP138" s="645"/>
      <c r="HQ138" s="645"/>
      <c r="HR138" s="645"/>
      <c r="HS138" s="645"/>
      <c r="HT138" s="645"/>
      <c r="HU138" s="645"/>
      <c r="HV138" s="645"/>
      <c r="HW138" s="645"/>
      <c r="HX138" s="645"/>
    </row>
    <row r="139" spans="1:234" ht="15.75" x14ac:dyDescent="0.25">
      <c r="B139" s="1074">
        <v>5</v>
      </c>
      <c r="C139" s="1075" t="s">
        <v>840</v>
      </c>
      <c r="D139" s="1076" t="s">
        <v>19</v>
      </c>
      <c r="E139" s="1077">
        <v>1</v>
      </c>
      <c r="F139" s="1078">
        <v>23692</v>
      </c>
      <c r="G139" s="1079">
        <v>23692</v>
      </c>
      <c r="H139" s="1080">
        <v>7</v>
      </c>
      <c r="I139" s="1058">
        <v>0</v>
      </c>
      <c r="J139" s="1020">
        <v>0</v>
      </c>
      <c r="K139" s="1081">
        <v>0</v>
      </c>
      <c r="L139" s="1082"/>
      <c r="M139" s="1029">
        <v>0</v>
      </c>
      <c r="N139" s="488">
        <v>0</v>
      </c>
      <c r="O139" s="1029">
        <v>0</v>
      </c>
      <c r="P139" s="488">
        <v>0</v>
      </c>
      <c r="Q139" s="1029">
        <v>0</v>
      </c>
      <c r="R139" s="488">
        <v>0</v>
      </c>
      <c r="S139" s="1023"/>
      <c r="T139" s="645"/>
      <c r="U139" s="645"/>
      <c r="V139" s="645"/>
      <c r="W139" s="645"/>
      <c r="X139" s="645"/>
      <c r="Y139" s="645"/>
      <c r="Z139" s="645"/>
      <c r="AA139" s="645"/>
      <c r="AB139" s="645"/>
      <c r="AC139" s="645"/>
      <c r="AD139" s="645"/>
      <c r="AE139" s="645"/>
      <c r="AF139" s="645"/>
      <c r="AG139" s="645"/>
      <c r="AH139" s="645"/>
      <c r="AI139" s="645"/>
      <c r="AJ139" s="645"/>
      <c r="AK139" s="645"/>
      <c r="AL139" s="645"/>
      <c r="AM139" s="645"/>
      <c r="AN139" s="645"/>
      <c r="AO139" s="645"/>
      <c r="AP139" s="645"/>
      <c r="AQ139" s="645"/>
      <c r="AR139" s="645"/>
      <c r="AS139" s="645"/>
      <c r="AT139" s="645"/>
      <c r="AU139" s="645"/>
      <c r="AV139" s="645"/>
      <c r="AW139" s="645"/>
      <c r="AX139" s="645"/>
      <c r="AY139" s="645"/>
      <c r="AZ139" s="645"/>
      <c r="BA139" s="645"/>
      <c r="BB139" s="645"/>
      <c r="BC139" s="645"/>
      <c r="BD139" s="645"/>
      <c r="BE139" s="645"/>
      <c r="BF139" s="645"/>
      <c r="BG139" s="645"/>
      <c r="BH139" s="645"/>
      <c r="BI139" s="645"/>
      <c r="BJ139" s="645"/>
      <c r="BK139" s="645"/>
      <c r="BL139" s="645"/>
      <c r="BM139" s="645"/>
      <c r="BN139" s="645"/>
      <c r="BO139" s="645"/>
      <c r="BP139" s="645"/>
      <c r="BQ139" s="645"/>
      <c r="BR139" s="645"/>
      <c r="BS139" s="645"/>
      <c r="BT139" s="645"/>
      <c r="BU139" s="645"/>
      <c r="BV139" s="645"/>
      <c r="BW139" s="645"/>
      <c r="BX139" s="645"/>
      <c r="BY139" s="645"/>
      <c r="BZ139" s="645"/>
      <c r="CA139" s="645"/>
      <c r="CB139" s="645"/>
      <c r="CC139" s="645"/>
      <c r="CD139" s="645"/>
      <c r="CE139" s="645"/>
      <c r="CF139" s="645"/>
      <c r="CG139" s="645"/>
      <c r="CH139" s="645"/>
      <c r="CI139" s="645"/>
      <c r="CJ139" s="645"/>
      <c r="CK139" s="645"/>
      <c r="CL139" s="645"/>
      <c r="CM139" s="645"/>
      <c r="CN139" s="645"/>
      <c r="CO139" s="645"/>
      <c r="CP139" s="645"/>
      <c r="CQ139" s="645"/>
      <c r="CR139" s="645"/>
      <c r="CS139" s="645"/>
      <c r="CT139" s="645"/>
      <c r="CU139" s="645"/>
      <c r="CV139" s="645"/>
      <c r="CW139" s="645"/>
      <c r="CX139" s="645"/>
      <c r="CY139" s="645"/>
      <c r="CZ139" s="645"/>
      <c r="DA139" s="645"/>
      <c r="DB139" s="645"/>
      <c r="DC139" s="645"/>
      <c r="DD139" s="645"/>
      <c r="DE139" s="645"/>
      <c r="DF139" s="645"/>
      <c r="DG139" s="645"/>
      <c r="DH139" s="645"/>
      <c r="DI139" s="645"/>
      <c r="DJ139" s="645"/>
      <c r="DK139" s="645"/>
      <c r="DL139" s="645"/>
      <c r="DM139" s="645"/>
      <c r="DN139" s="645"/>
      <c r="DO139" s="645"/>
      <c r="DP139" s="645"/>
      <c r="DQ139" s="645"/>
      <c r="DR139" s="645"/>
      <c r="DS139" s="645"/>
      <c r="DT139" s="645"/>
      <c r="DU139" s="645"/>
      <c r="DV139" s="645"/>
      <c r="DW139" s="645"/>
      <c r="DX139" s="645"/>
      <c r="DY139" s="645"/>
      <c r="DZ139" s="645"/>
      <c r="EA139" s="645"/>
      <c r="EB139" s="645"/>
      <c r="EC139" s="645"/>
      <c r="ED139" s="645"/>
      <c r="EE139" s="645"/>
      <c r="EF139" s="645"/>
      <c r="EG139" s="645"/>
      <c r="EH139" s="645"/>
      <c r="EI139" s="645"/>
      <c r="EJ139" s="645"/>
      <c r="EK139" s="645"/>
      <c r="EL139" s="645"/>
      <c r="EM139" s="645"/>
      <c r="EN139" s="645"/>
      <c r="EO139" s="645"/>
      <c r="EP139" s="645"/>
      <c r="EQ139" s="645"/>
      <c r="ER139" s="645"/>
      <c r="ES139" s="645"/>
      <c r="ET139" s="645"/>
      <c r="EU139" s="645"/>
      <c r="EV139" s="645"/>
      <c r="EW139" s="645"/>
      <c r="EX139" s="645"/>
      <c r="EY139" s="645"/>
      <c r="EZ139" s="645"/>
      <c r="FA139" s="645"/>
      <c r="FB139" s="645"/>
      <c r="FC139" s="645"/>
      <c r="FD139" s="645"/>
      <c r="FE139" s="645"/>
      <c r="FF139" s="645"/>
      <c r="FG139" s="645"/>
      <c r="FH139" s="645"/>
      <c r="FI139" s="645"/>
      <c r="FJ139" s="645"/>
      <c r="FK139" s="645"/>
      <c r="FL139" s="645"/>
      <c r="FM139" s="645"/>
      <c r="FN139" s="645"/>
      <c r="FO139" s="645"/>
      <c r="FP139" s="645"/>
      <c r="FQ139" s="645"/>
      <c r="FR139" s="645"/>
      <c r="FS139" s="645"/>
      <c r="FT139" s="645"/>
      <c r="FU139" s="645"/>
      <c r="FV139" s="645"/>
      <c r="FW139" s="645"/>
      <c r="FX139" s="645"/>
      <c r="FY139" s="645"/>
      <c r="FZ139" s="645"/>
      <c r="GA139" s="645"/>
      <c r="GB139" s="645"/>
      <c r="GC139" s="645"/>
      <c r="GD139" s="645"/>
      <c r="GE139" s="645"/>
      <c r="GF139" s="645"/>
      <c r="GG139" s="645"/>
      <c r="GH139" s="645"/>
      <c r="GI139" s="645"/>
      <c r="GJ139" s="645"/>
      <c r="GK139" s="645"/>
      <c r="GL139" s="645"/>
      <c r="GM139" s="645"/>
      <c r="GN139" s="645"/>
      <c r="GO139" s="645"/>
      <c r="GP139" s="645"/>
      <c r="GQ139" s="645"/>
      <c r="GR139" s="645"/>
      <c r="GS139" s="645"/>
      <c r="GT139" s="645"/>
      <c r="GU139" s="645"/>
      <c r="GV139" s="645"/>
      <c r="GW139" s="645"/>
      <c r="GX139" s="645"/>
      <c r="GY139" s="645"/>
      <c r="GZ139" s="645"/>
      <c r="HA139" s="645"/>
      <c r="HB139" s="645"/>
      <c r="HC139" s="645"/>
      <c r="HD139" s="645"/>
      <c r="HE139" s="645"/>
      <c r="HF139" s="645"/>
      <c r="HG139" s="645"/>
      <c r="HH139" s="645"/>
      <c r="HI139" s="645"/>
      <c r="HJ139" s="645"/>
      <c r="HK139" s="645"/>
      <c r="HL139" s="645"/>
      <c r="HM139" s="645"/>
      <c r="HN139" s="645"/>
      <c r="HO139" s="645"/>
      <c r="HP139" s="645"/>
      <c r="HQ139" s="645"/>
      <c r="HR139" s="645"/>
      <c r="HS139" s="645"/>
      <c r="HT139" s="645"/>
      <c r="HU139" s="645"/>
      <c r="HV139" s="645"/>
      <c r="HW139" s="645"/>
      <c r="HX139" s="645"/>
    </row>
    <row r="140" spans="1:234" ht="28.5" x14ac:dyDescent="0.25">
      <c r="B140" s="1074">
        <v>9</v>
      </c>
      <c r="C140" s="1075" t="s">
        <v>845</v>
      </c>
      <c r="D140" s="1076" t="s">
        <v>14</v>
      </c>
      <c r="E140" s="1077">
        <v>1</v>
      </c>
      <c r="F140" s="1078">
        <v>29577</v>
      </c>
      <c r="G140" s="1079">
        <v>29577</v>
      </c>
      <c r="H140" s="1080">
        <v>4</v>
      </c>
      <c r="I140" s="1058">
        <v>0</v>
      </c>
      <c r="J140" s="1020">
        <v>0</v>
      </c>
      <c r="K140" s="1081">
        <v>0</v>
      </c>
      <c r="L140" s="1082"/>
      <c r="M140" s="1029">
        <v>0</v>
      </c>
      <c r="N140" s="488">
        <v>0</v>
      </c>
      <c r="O140" s="1029">
        <v>0</v>
      </c>
      <c r="P140" s="488">
        <v>0</v>
      </c>
      <c r="Q140" s="1029">
        <v>0</v>
      </c>
      <c r="R140" s="488">
        <v>0</v>
      </c>
      <c r="S140" s="1023"/>
      <c r="T140" s="645"/>
      <c r="U140" s="645"/>
      <c r="V140" s="645"/>
      <c r="W140" s="645"/>
      <c r="X140" s="645"/>
      <c r="Y140" s="645"/>
      <c r="Z140" s="645"/>
      <c r="AA140" s="645"/>
      <c r="AB140" s="645"/>
      <c r="AC140" s="645"/>
      <c r="AD140" s="645"/>
      <c r="AE140" s="645"/>
      <c r="AF140" s="645"/>
      <c r="AG140" s="645"/>
      <c r="AH140" s="645"/>
      <c r="AI140" s="645"/>
      <c r="AJ140" s="645"/>
      <c r="AK140" s="645"/>
      <c r="AL140" s="645"/>
      <c r="AM140" s="645"/>
      <c r="AN140" s="645"/>
      <c r="AO140" s="645"/>
      <c r="AP140" s="645"/>
      <c r="AQ140" s="645"/>
      <c r="AR140" s="645"/>
      <c r="AS140" s="645"/>
      <c r="AT140" s="645"/>
      <c r="AU140" s="645"/>
      <c r="AV140" s="645"/>
      <c r="AW140" s="645"/>
      <c r="AX140" s="645"/>
      <c r="AY140" s="645"/>
      <c r="AZ140" s="645"/>
      <c r="BA140" s="645"/>
      <c r="BB140" s="645"/>
      <c r="BC140" s="645"/>
      <c r="BD140" s="645"/>
      <c r="BE140" s="645"/>
      <c r="BF140" s="645"/>
      <c r="BG140" s="645"/>
      <c r="BH140" s="645"/>
      <c r="BI140" s="645"/>
      <c r="BJ140" s="645"/>
      <c r="BK140" s="645"/>
      <c r="BL140" s="645"/>
      <c r="BM140" s="645"/>
      <c r="BN140" s="645"/>
      <c r="BO140" s="645"/>
      <c r="BP140" s="645"/>
      <c r="BQ140" s="645"/>
      <c r="BR140" s="645"/>
      <c r="BS140" s="645"/>
      <c r="BT140" s="645"/>
      <c r="BU140" s="645"/>
      <c r="BV140" s="645"/>
      <c r="BW140" s="645"/>
      <c r="BX140" s="645"/>
      <c r="BY140" s="645"/>
      <c r="BZ140" s="645"/>
      <c r="CA140" s="645"/>
      <c r="CB140" s="645"/>
      <c r="CC140" s="645"/>
      <c r="CD140" s="645"/>
      <c r="CE140" s="645"/>
      <c r="CF140" s="645"/>
      <c r="CG140" s="645"/>
      <c r="CH140" s="645"/>
      <c r="CI140" s="645"/>
      <c r="CJ140" s="645"/>
      <c r="CK140" s="645"/>
      <c r="CL140" s="645"/>
      <c r="CM140" s="645"/>
      <c r="CN140" s="645"/>
      <c r="CO140" s="645"/>
      <c r="CP140" s="645"/>
      <c r="CQ140" s="645"/>
      <c r="CR140" s="645"/>
      <c r="CS140" s="645"/>
      <c r="CT140" s="645"/>
      <c r="CU140" s="645"/>
      <c r="CV140" s="645"/>
      <c r="CW140" s="645"/>
      <c r="CX140" s="645"/>
      <c r="CY140" s="645"/>
      <c r="CZ140" s="645"/>
      <c r="DA140" s="645"/>
      <c r="DB140" s="645"/>
      <c r="DC140" s="645"/>
      <c r="DD140" s="645"/>
      <c r="DE140" s="645"/>
      <c r="DF140" s="645"/>
      <c r="DG140" s="645"/>
      <c r="DH140" s="645"/>
      <c r="DI140" s="645"/>
      <c r="DJ140" s="645"/>
      <c r="DK140" s="645"/>
      <c r="DL140" s="645"/>
      <c r="DM140" s="645"/>
      <c r="DN140" s="645"/>
      <c r="DO140" s="645"/>
      <c r="DP140" s="645"/>
      <c r="DQ140" s="645"/>
      <c r="DR140" s="645"/>
      <c r="DS140" s="645"/>
      <c r="DT140" s="645"/>
      <c r="DU140" s="645"/>
      <c r="DV140" s="645"/>
      <c r="DW140" s="645"/>
      <c r="DX140" s="645"/>
      <c r="DY140" s="645"/>
      <c r="DZ140" s="645"/>
      <c r="EA140" s="645"/>
      <c r="EB140" s="645"/>
      <c r="EC140" s="645"/>
      <c r="ED140" s="645"/>
      <c r="EE140" s="645"/>
      <c r="EF140" s="645"/>
      <c r="EG140" s="645"/>
      <c r="EH140" s="645"/>
      <c r="EI140" s="645"/>
      <c r="EJ140" s="645"/>
      <c r="EK140" s="645"/>
      <c r="EL140" s="645"/>
      <c r="EM140" s="645"/>
      <c r="EN140" s="645"/>
      <c r="EO140" s="645"/>
      <c r="EP140" s="645"/>
      <c r="EQ140" s="645"/>
      <c r="ER140" s="645"/>
      <c r="ES140" s="645"/>
      <c r="ET140" s="645"/>
      <c r="EU140" s="645"/>
      <c r="EV140" s="645"/>
      <c r="EW140" s="645"/>
      <c r="EX140" s="645"/>
      <c r="EY140" s="645"/>
      <c r="EZ140" s="645"/>
      <c r="FA140" s="645"/>
      <c r="FB140" s="645"/>
      <c r="FC140" s="645"/>
      <c r="FD140" s="645"/>
      <c r="FE140" s="645"/>
      <c r="FF140" s="645"/>
      <c r="FG140" s="645"/>
      <c r="FH140" s="645"/>
      <c r="FI140" s="645"/>
      <c r="FJ140" s="645"/>
      <c r="FK140" s="645"/>
      <c r="FL140" s="645"/>
      <c r="FM140" s="645"/>
      <c r="FN140" s="645"/>
      <c r="FO140" s="645"/>
      <c r="FP140" s="645"/>
      <c r="FQ140" s="645"/>
      <c r="FR140" s="645"/>
      <c r="FS140" s="645"/>
      <c r="FT140" s="645"/>
      <c r="FU140" s="645"/>
      <c r="FV140" s="645"/>
      <c r="FW140" s="645"/>
      <c r="FX140" s="645"/>
      <c r="FY140" s="645"/>
      <c r="FZ140" s="645"/>
      <c r="GA140" s="645"/>
      <c r="GB140" s="645"/>
      <c r="GC140" s="645"/>
      <c r="GD140" s="645"/>
      <c r="GE140" s="645"/>
      <c r="GF140" s="645"/>
      <c r="GG140" s="645"/>
      <c r="GH140" s="645"/>
      <c r="GI140" s="645"/>
      <c r="GJ140" s="645"/>
      <c r="GK140" s="645"/>
      <c r="GL140" s="645"/>
      <c r="GM140" s="645"/>
      <c r="GN140" s="645"/>
      <c r="GO140" s="645"/>
      <c r="GP140" s="645"/>
      <c r="GQ140" s="645"/>
      <c r="GR140" s="645"/>
      <c r="GS140" s="645"/>
      <c r="GT140" s="645"/>
      <c r="GU140" s="645"/>
      <c r="GV140" s="645"/>
      <c r="GW140" s="645"/>
      <c r="GX140" s="645"/>
      <c r="GY140" s="645"/>
      <c r="GZ140" s="645"/>
      <c r="HA140" s="645"/>
      <c r="HB140" s="645"/>
      <c r="HC140" s="645"/>
      <c r="HD140" s="645"/>
      <c r="HE140" s="645"/>
      <c r="HF140" s="645"/>
      <c r="HG140" s="645"/>
      <c r="HH140" s="645"/>
      <c r="HI140" s="645"/>
      <c r="HJ140" s="645"/>
      <c r="HK140" s="645"/>
      <c r="HL140" s="645"/>
      <c r="HM140" s="645"/>
      <c r="HN140" s="645"/>
      <c r="HO140" s="645"/>
      <c r="HP140" s="645"/>
      <c r="HQ140" s="645"/>
      <c r="HR140" s="645"/>
      <c r="HS140" s="645"/>
      <c r="HT140" s="645"/>
      <c r="HU140" s="645"/>
      <c r="HV140" s="645"/>
      <c r="HW140" s="645"/>
      <c r="HX140" s="645"/>
    </row>
    <row r="141" spans="1:234" ht="15.75" x14ac:dyDescent="0.25">
      <c r="B141" s="1074">
        <v>51</v>
      </c>
      <c r="C141" s="1075" t="s">
        <v>195</v>
      </c>
      <c r="D141" s="1076" t="s">
        <v>842</v>
      </c>
      <c r="E141" s="1077">
        <v>1</v>
      </c>
      <c r="F141" s="1078">
        <v>3444</v>
      </c>
      <c r="G141" s="1079">
        <v>3444</v>
      </c>
      <c r="H141" s="1080">
        <v>35</v>
      </c>
      <c r="I141" s="1058">
        <v>0</v>
      </c>
      <c r="J141" s="1020">
        <v>0</v>
      </c>
      <c r="K141" s="1081">
        <v>0</v>
      </c>
      <c r="L141" s="1082"/>
      <c r="M141" s="1029">
        <v>0</v>
      </c>
      <c r="N141" s="488">
        <v>0</v>
      </c>
      <c r="O141" s="1029">
        <v>0</v>
      </c>
      <c r="P141" s="488">
        <v>0</v>
      </c>
      <c r="Q141" s="1029">
        <v>0</v>
      </c>
      <c r="R141" s="488">
        <v>0</v>
      </c>
      <c r="S141" s="1023"/>
      <c r="T141" s="645"/>
      <c r="U141" s="645"/>
      <c r="V141" s="645"/>
      <c r="W141" s="645"/>
      <c r="X141" s="645"/>
      <c r="Y141" s="645"/>
      <c r="Z141" s="645"/>
      <c r="AA141" s="645"/>
      <c r="AB141" s="645"/>
      <c r="AC141" s="645"/>
      <c r="AD141" s="645"/>
      <c r="AE141" s="645"/>
      <c r="AF141" s="645"/>
      <c r="AG141" s="645"/>
      <c r="AH141" s="645"/>
      <c r="AI141" s="645"/>
      <c r="AJ141" s="645"/>
      <c r="AK141" s="645"/>
      <c r="AL141" s="645"/>
      <c r="AM141" s="645"/>
      <c r="AN141" s="645"/>
      <c r="AO141" s="645"/>
      <c r="AP141" s="645"/>
      <c r="AQ141" s="645"/>
      <c r="AR141" s="645"/>
      <c r="AS141" s="645"/>
      <c r="AT141" s="645"/>
      <c r="AU141" s="645"/>
      <c r="AV141" s="645"/>
      <c r="AW141" s="645"/>
      <c r="AX141" s="645"/>
      <c r="AY141" s="645"/>
      <c r="AZ141" s="645"/>
      <c r="BA141" s="645"/>
      <c r="BB141" s="645"/>
      <c r="BC141" s="645"/>
      <c r="BD141" s="645"/>
      <c r="BE141" s="645"/>
      <c r="BF141" s="645"/>
      <c r="BG141" s="645"/>
      <c r="BH141" s="645"/>
      <c r="BI141" s="645"/>
      <c r="BJ141" s="645"/>
      <c r="BK141" s="645"/>
      <c r="BL141" s="645"/>
      <c r="BM141" s="645"/>
      <c r="BN141" s="645"/>
      <c r="BO141" s="645"/>
      <c r="BP141" s="645"/>
      <c r="BQ141" s="645"/>
      <c r="BR141" s="645"/>
      <c r="BS141" s="645"/>
      <c r="BT141" s="645"/>
      <c r="BU141" s="645"/>
      <c r="BV141" s="645"/>
      <c r="BW141" s="645"/>
      <c r="BX141" s="645"/>
      <c r="BY141" s="645"/>
      <c r="BZ141" s="645"/>
      <c r="CA141" s="645"/>
      <c r="CB141" s="645"/>
      <c r="CC141" s="645"/>
      <c r="CD141" s="645"/>
      <c r="CE141" s="645"/>
      <c r="CF141" s="645"/>
      <c r="CG141" s="645"/>
      <c r="CH141" s="645"/>
      <c r="CI141" s="645"/>
      <c r="CJ141" s="645"/>
      <c r="CK141" s="645"/>
      <c r="CL141" s="645"/>
      <c r="CM141" s="645"/>
      <c r="CN141" s="645"/>
      <c r="CO141" s="645"/>
      <c r="CP141" s="645"/>
      <c r="CQ141" s="645"/>
      <c r="CR141" s="645"/>
      <c r="CS141" s="645"/>
      <c r="CT141" s="645"/>
      <c r="CU141" s="645"/>
      <c r="CV141" s="645"/>
      <c r="CW141" s="645"/>
      <c r="CX141" s="645"/>
      <c r="CY141" s="645"/>
      <c r="CZ141" s="645"/>
      <c r="DA141" s="645"/>
      <c r="DB141" s="645"/>
      <c r="DC141" s="645"/>
      <c r="DD141" s="645"/>
      <c r="DE141" s="645"/>
      <c r="DF141" s="645"/>
      <c r="DG141" s="645"/>
      <c r="DH141" s="645"/>
      <c r="DI141" s="645"/>
      <c r="DJ141" s="645"/>
      <c r="DK141" s="645"/>
      <c r="DL141" s="645"/>
      <c r="DM141" s="645"/>
      <c r="DN141" s="645"/>
      <c r="DO141" s="645"/>
      <c r="DP141" s="645"/>
      <c r="DQ141" s="645"/>
      <c r="DR141" s="645"/>
      <c r="DS141" s="645"/>
      <c r="DT141" s="645"/>
      <c r="DU141" s="645"/>
      <c r="DV141" s="645"/>
      <c r="DW141" s="645"/>
      <c r="DX141" s="645"/>
      <c r="DY141" s="645"/>
      <c r="DZ141" s="645"/>
      <c r="EA141" s="645"/>
      <c r="EB141" s="645"/>
      <c r="EC141" s="645"/>
      <c r="ED141" s="645"/>
      <c r="EE141" s="645"/>
      <c r="EF141" s="645"/>
      <c r="EG141" s="645"/>
      <c r="EH141" s="645"/>
      <c r="EI141" s="645"/>
      <c r="EJ141" s="645"/>
      <c r="EK141" s="645"/>
      <c r="EL141" s="645"/>
      <c r="EM141" s="645"/>
      <c r="EN141" s="645"/>
      <c r="EO141" s="645"/>
      <c r="EP141" s="645"/>
      <c r="EQ141" s="645"/>
      <c r="ER141" s="645"/>
      <c r="ES141" s="645"/>
      <c r="ET141" s="645"/>
      <c r="EU141" s="645"/>
      <c r="EV141" s="645"/>
      <c r="EW141" s="645"/>
      <c r="EX141" s="645"/>
      <c r="EY141" s="645"/>
      <c r="EZ141" s="645"/>
      <c r="FA141" s="645"/>
      <c r="FB141" s="645"/>
      <c r="FC141" s="645"/>
      <c r="FD141" s="645"/>
      <c r="FE141" s="645"/>
      <c r="FF141" s="645"/>
      <c r="FG141" s="645"/>
      <c r="FH141" s="645"/>
      <c r="FI141" s="645"/>
      <c r="FJ141" s="645"/>
      <c r="FK141" s="645"/>
      <c r="FL141" s="645"/>
      <c r="FM141" s="645"/>
      <c r="FN141" s="645"/>
      <c r="FO141" s="645"/>
      <c r="FP141" s="645"/>
      <c r="FQ141" s="645"/>
      <c r="FR141" s="645"/>
      <c r="FS141" s="645"/>
      <c r="FT141" s="645"/>
      <c r="FU141" s="645"/>
      <c r="FV141" s="645"/>
      <c r="FW141" s="645"/>
      <c r="FX141" s="645"/>
      <c r="FY141" s="645"/>
      <c r="FZ141" s="645"/>
      <c r="GA141" s="645"/>
      <c r="GB141" s="645"/>
      <c r="GC141" s="645"/>
      <c r="GD141" s="645"/>
      <c r="GE141" s="645"/>
      <c r="GF141" s="645"/>
      <c r="GG141" s="645"/>
      <c r="GH141" s="645"/>
      <c r="GI141" s="645"/>
      <c r="GJ141" s="645"/>
      <c r="GK141" s="645"/>
      <c r="GL141" s="645"/>
      <c r="GM141" s="645"/>
      <c r="GN141" s="645"/>
      <c r="GO141" s="645"/>
      <c r="GP141" s="645"/>
      <c r="GQ141" s="645"/>
      <c r="GR141" s="645"/>
      <c r="GS141" s="645"/>
      <c r="GT141" s="645"/>
      <c r="GU141" s="645"/>
      <c r="GV141" s="645"/>
      <c r="GW141" s="645"/>
      <c r="GX141" s="645"/>
      <c r="GY141" s="645"/>
      <c r="GZ141" s="645"/>
      <c r="HA141" s="645"/>
      <c r="HB141" s="645"/>
      <c r="HC141" s="645"/>
      <c r="HD141" s="645"/>
      <c r="HE141" s="645"/>
      <c r="HF141" s="645"/>
      <c r="HG141" s="645"/>
      <c r="HH141" s="645"/>
      <c r="HI141" s="645"/>
      <c r="HJ141" s="645"/>
      <c r="HK141" s="645"/>
      <c r="HL141" s="645"/>
      <c r="HM141" s="645"/>
      <c r="HN141" s="645"/>
      <c r="HO141" s="645"/>
      <c r="HP141" s="645"/>
      <c r="HQ141" s="645"/>
      <c r="HR141" s="645"/>
      <c r="HS141" s="645"/>
      <c r="HT141" s="645"/>
      <c r="HU141" s="645"/>
      <c r="HV141" s="645"/>
      <c r="HW141" s="645"/>
      <c r="HX141" s="645"/>
    </row>
    <row r="142" spans="1:234" ht="15.75" x14ac:dyDescent="0.25">
      <c r="B142" s="1074">
        <v>53</v>
      </c>
      <c r="C142" s="1075" t="s">
        <v>211</v>
      </c>
      <c r="D142" s="1076" t="s">
        <v>842</v>
      </c>
      <c r="E142" s="1077">
        <v>1</v>
      </c>
      <c r="F142" s="1078">
        <v>7326</v>
      </c>
      <c r="G142" s="1079">
        <v>7326</v>
      </c>
      <c r="H142" s="1080">
        <v>4</v>
      </c>
      <c r="I142" s="1058">
        <v>0</v>
      </c>
      <c r="J142" s="1020">
        <v>0</v>
      </c>
      <c r="K142" s="1081">
        <v>0</v>
      </c>
      <c r="L142" s="1082"/>
      <c r="M142" s="1029">
        <v>0</v>
      </c>
      <c r="N142" s="488">
        <v>0</v>
      </c>
      <c r="O142" s="1029">
        <v>0</v>
      </c>
      <c r="P142" s="488">
        <v>0</v>
      </c>
      <c r="Q142" s="1029">
        <v>0</v>
      </c>
      <c r="R142" s="488">
        <v>0</v>
      </c>
      <c r="S142" s="1023"/>
      <c r="T142" s="645"/>
      <c r="U142" s="645"/>
      <c r="V142" s="645"/>
      <c r="W142" s="645"/>
      <c r="X142" s="645"/>
      <c r="Y142" s="645"/>
      <c r="Z142" s="645"/>
      <c r="AA142" s="645"/>
      <c r="AB142" s="645"/>
      <c r="AC142" s="645"/>
      <c r="AD142" s="645"/>
      <c r="AE142" s="645"/>
      <c r="AF142" s="645"/>
      <c r="AG142" s="645"/>
      <c r="AH142" s="645"/>
      <c r="AI142" s="645"/>
      <c r="AJ142" s="645"/>
      <c r="AK142" s="645"/>
      <c r="AL142" s="645"/>
      <c r="AM142" s="645"/>
      <c r="AN142" s="645"/>
      <c r="AO142" s="645"/>
      <c r="AP142" s="645"/>
      <c r="AQ142" s="645"/>
      <c r="AR142" s="645"/>
      <c r="AS142" s="645"/>
      <c r="AT142" s="645"/>
      <c r="AU142" s="645"/>
      <c r="AV142" s="645"/>
      <c r="AW142" s="645"/>
      <c r="AX142" s="645"/>
      <c r="AY142" s="645"/>
      <c r="AZ142" s="645"/>
      <c r="BA142" s="645"/>
      <c r="BB142" s="645"/>
      <c r="BC142" s="645"/>
      <c r="BD142" s="645"/>
      <c r="BE142" s="645"/>
      <c r="BF142" s="645"/>
      <c r="BG142" s="645"/>
      <c r="BH142" s="645"/>
      <c r="BI142" s="645"/>
      <c r="BJ142" s="645"/>
      <c r="BK142" s="645"/>
      <c r="BL142" s="645"/>
      <c r="BM142" s="645"/>
      <c r="BN142" s="645"/>
      <c r="BO142" s="645"/>
      <c r="BP142" s="645"/>
      <c r="BQ142" s="645"/>
      <c r="BR142" s="645"/>
      <c r="BS142" s="645"/>
      <c r="BT142" s="645"/>
      <c r="BU142" s="645"/>
      <c r="BV142" s="645"/>
      <c r="BW142" s="645"/>
      <c r="BX142" s="645"/>
      <c r="BY142" s="645"/>
      <c r="BZ142" s="645"/>
      <c r="CA142" s="645"/>
      <c r="CB142" s="645"/>
      <c r="CC142" s="645"/>
      <c r="CD142" s="645"/>
      <c r="CE142" s="645"/>
      <c r="CF142" s="645"/>
      <c r="CG142" s="645"/>
      <c r="CH142" s="645"/>
      <c r="CI142" s="645"/>
      <c r="CJ142" s="645"/>
      <c r="CK142" s="645"/>
      <c r="CL142" s="645"/>
      <c r="CM142" s="645"/>
      <c r="CN142" s="645"/>
      <c r="CO142" s="645"/>
      <c r="CP142" s="645"/>
      <c r="CQ142" s="645"/>
      <c r="CR142" s="645"/>
      <c r="CS142" s="645"/>
      <c r="CT142" s="645"/>
      <c r="CU142" s="645"/>
      <c r="CV142" s="645"/>
      <c r="CW142" s="645"/>
      <c r="CX142" s="645"/>
      <c r="CY142" s="645"/>
      <c r="CZ142" s="645"/>
      <c r="DA142" s="645"/>
      <c r="DB142" s="645"/>
      <c r="DC142" s="645"/>
      <c r="DD142" s="645"/>
      <c r="DE142" s="645"/>
      <c r="DF142" s="645"/>
      <c r="DG142" s="645"/>
      <c r="DH142" s="645"/>
      <c r="DI142" s="645"/>
      <c r="DJ142" s="645"/>
      <c r="DK142" s="645"/>
      <c r="DL142" s="645"/>
      <c r="DM142" s="645"/>
      <c r="DN142" s="645"/>
      <c r="DO142" s="645"/>
      <c r="DP142" s="645"/>
      <c r="DQ142" s="645"/>
      <c r="DR142" s="645"/>
      <c r="DS142" s="645"/>
      <c r="DT142" s="645"/>
      <c r="DU142" s="645"/>
      <c r="DV142" s="645"/>
      <c r="DW142" s="645"/>
      <c r="DX142" s="645"/>
      <c r="DY142" s="645"/>
      <c r="DZ142" s="645"/>
      <c r="EA142" s="645"/>
      <c r="EB142" s="645"/>
      <c r="EC142" s="645"/>
      <c r="ED142" s="645"/>
      <c r="EE142" s="645"/>
      <c r="EF142" s="645"/>
      <c r="EG142" s="645"/>
      <c r="EH142" s="645"/>
      <c r="EI142" s="645"/>
      <c r="EJ142" s="645"/>
      <c r="EK142" s="645"/>
      <c r="EL142" s="645"/>
      <c r="EM142" s="645"/>
      <c r="EN142" s="645"/>
      <c r="EO142" s="645"/>
      <c r="EP142" s="645"/>
      <c r="EQ142" s="645"/>
      <c r="ER142" s="645"/>
      <c r="ES142" s="645"/>
      <c r="ET142" s="645"/>
      <c r="EU142" s="645"/>
      <c r="EV142" s="645"/>
      <c r="EW142" s="645"/>
      <c r="EX142" s="645"/>
      <c r="EY142" s="645"/>
      <c r="EZ142" s="645"/>
      <c r="FA142" s="645"/>
      <c r="FB142" s="645"/>
      <c r="FC142" s="645"/>
      <c r="FD142" s="645"/>
      <c r="FE142" s="645"/>
      <c r="FF142" s="645"/>
      <c r="FG142" s="645"/>
      <c r="FH142" s="645"/>
      <c r="FI142" s="645"/>
      <c r="FJ142" s="645"/>
      <c r="FK142" s="645"/>
      <c r="FL142" s="645"/>
      <c r="FM142" s="645"/>
      <c r="FN142" s="645"/>
      <c r="FO142" s="645"/>
      <c r="FP142" s="645"/>
      <c r="FQ142" s="645"/>
      <c r="FR142" s="645"/>
      <c r="FS142" s="645"/>
      <c r="FT142" s="645"/>
      <c r="FU142" s="645"/>
      <c r="FV142" s="645"/>
      <c r="FW142" s="645"/>
      <c r="FX142" s="645"/>
      <c r="FY142" s="645"/>
      <c r="FZ142" s="645"/>
      <c r="GA142" s="645"/>
      <c r="GB142" s="645"/>
      <c r="GC142" s="645"/>
      <c r="GD142" s="645"/>
      <c r="GE142" s="645"/>
      <c r="GF142" s="645"/>
      <c r="GG142" s="645"/>
      <c r="GH142" s="645"/>
      <c r="GI142" s="645"/>
      <c r="GJ142" s="645"/>
      <c r="GK142" s="645"/>
      <c r="GL142" s="645"/>
      <c r="GM142" s="645"/>
      <c r="GN142" s="645"/>
      <c r="GO142" s="645"/>
      <c r="GP142" s="645"/>
      <c r="GQ142" s="645"/>
      <c r="GR142" s="645"/>
      <c r="GS142" s="645"/>
      <c r="GT142" s="645"/>
      <c r="GU142" s="645"/>
      <c r="GV142" s="645"/>
      <c r="GW142" s="645"/>
      <c r="GX142" s="645"/>
      <c r="GY142" s="645"/>
      <c r="GZ142" s="645"/>
      <c r="HA142" s="645"/>
      <c r="HB142" s="645"/>
      <c r="HC142" s="645"/>
      <c r="HD142" s="645"/>
      <c r="HE142" s="645"/>
      <c r="HF142" s="645"/>
      <c r="HG142" s="645"/>
      <c r="HH142" s="645"/>
      <c r="HI142" s="645"/>
      <c r="HJ142" s="645"/>
      <c r="HK142" s="645"/>
      <c r="HL142" s="645"/>
      <c r="HM142" s="645"/>
      <c r="HN142" s="645"/>
      <c r="HO142" s="645"/>
      <c r="HP142" s="645"/>
      <c r="HQ142" s="645"/>
      <c r="HR142" s="645"/>
      <c r="HS142" s="645"/>
      <c r="HT142" s="645"/>
      <c r="HU142" s="645"/>
      <c r="HV142" s="645"/>
      <c r="HW142" s="645"/>
      <c r="HX142" s="645"/>
    </row>
    <row r="143" spans="1:234" ht="42.75" x14ac:dyDescent="0.25">
      <c r="B143" s="1074">
        <v>55</v>
      </c>
      <c r="C143" s="1075" t="s">
        <v>86</v>
      </c>
      <c r="D143" s="1076" t="s">
        <v>842</v>
      </c>
      <c r="E143" s="1077">
        <v>1</v>
      </c>
      <c r="F143" s="1078">
        <v>31412</v>
      </c>
      <c r="G143" s="1079">
        <v>31412</v>
      </c>
      <c r="H143" s="1080">
        <v>7</v>
      </c>
      <c r="I143" s="1058">
        <v>0</v>
      </c>
      <c r="J143" s="1020">
        <v>0</v>
      </c>
      <c r="K143" s="1081">
        <v>0</v>
      </c>
      <c r="L143" s="1082"/>
      <c r="M143" s="1029">
        <v>0</v>
      </c>
      <c r="N143" s="488">
        <v>0</v>
      </c>
      <c r="O143" s="1029">
        <v>0</v>
      </c>
      <c r="P143" s="488">
        <v>0</v>
      </c>
      <c r="Q143" s="1029">
        <v>0</v>
      </c>
      <c r="R143" s="488">
        <v>0</v>
      </c>
      <c r="S143" s="1023"/>
      <c r="T143" s="645"/>
      <c r="U143" s="645"/>
      <c r="V143" s="645"/>
      <c r="W143" s="645"/>
      <c r="X143" s="645"/>
      <c r="Y143" s="645"/>
      <c r="Z143" s="645"/>
      <c r="AA143" s="645"/>
      <c r="AB143" s="645"/>
      <c r="AC143" s="645"/>
      <c r="AD143" s="645"/>
      <c r="AE143" s="645"/>
      <c r="AF143" s="645"/>
      <c r="AG143" s="645"/>
      <c r="AH143" s="645"/>
      <c r="AI143" s="645"/>
      <c r="AJ143" s="645"/>
      <c r="AK143" s="645"/>
      <c r="AL143" s="645"/>
      <c r="AM143" s="645"/>
      <c r="AN143" s="645"/>
      <c r="AO143" s="645"/>
      <c r="AP143" s="645"/>
      <c r="AQ143" s="645"/>
      <c r="AR143" s="645"/>
      <c r="AS143" s="645"/>
      <c r="AT143" s="645"/>
      <c r="AU143" s="645"/>
      <c r="AV143" s="645"/>
      <c r="AW143" s="645"/>
      <c r="AX143" s="645"/>
      <c r="AY143" s="645"/>
      <c r="AZ143" s="645"/>
      <c r="BA143" s="645"/>
      <c r="BB143" s="645"/>
      <c r="BC143" s="645"/>
      <c r="BD143" s="645"/>
      <c r="BE143" s="645"/>
      <c r="BF143" s="645"/>
      <c r="BG143" s="645"/>
      <c r="BH143" s="645"/>
      <c r="BI143" s="645"/>
      <c r="BJ143" s="645"/>
      <c r="BK143" s="645"/>
      <c r="BL143" s="645"/>
      <c r="BM143" s="645"/>
      <c r="BN143" s="645"/>
      <c r="BO143" s="645"/>
      <c r="BP143" s="645"/>
      <c r="BQ143" s="645"/>
      <c r="BR143" s="645"/>
      <c r="BS143" s="645"/>
      <c r="BT143" s="645"/>
      <c r="BU143" s="645"/>
      <c r="BV143" s="645"/>
      <c r="BW143" s="645"/>
      <c r="BX143" s="645"/>
      <c r="BY143" s="645"/>
      <c r="BZ143" s="645"/>
      <c r="CA143" s="645"/>
      <c r="CB143" s="645"/>
      <c r="CC143" s="645"/>
      <c r="CD143" s="645"/>
      <c r="CE143" s="645"/>
      <c r="CF143" s="645"/>
      <c r="CG143" s="645"/>
      <c r="CH143" s="645"/>
      <c r="CI143" s="645"/>
      <c r="CJ143" s="645"/>
      <c r="CK143" s="645"/>
      <c r="CL143" s="645"/>
      <c r="CM143" s="645"/>
      <c r="CN143" s="645"/>
      <c r="CO143" s="645"/>
      <c r="CP143" s="645"/>
      <c r="CQ143" s="645"/>
      <c r="CR143" s="645"/>
      <c r="CS143" s="645"/>
      <c r="CT143" s="645"/>
      <c r="CU143" s="645"/>
      <c r="CV143" s="645"/>
      <c r="CW143" s="645"/>
      <c r="CX143" s="645"/>
      <c r="CY143" s="645"/>
      <c r="CZ143" s="645"/>
      <c r="DA143" s="645"/>
      <c r="DB143" s="645"/>
      <c r="DC143" s="645"/>
      <c r="DD143" s="645"/>
      <c r="DE143" s="645"/>
      <c r="DF143" s="645"/>
      <c r="DG143" s="645"/>
      <c r="DH143" s="645"/>
      <c r="DI143" s="645"/>
      <c r="DJ143" s="645"/>
      <c r="DK143" s="645"/>
      <c r="DL143" s="645"/>
      <c r="DM143" s="645"/>
      <c r="DN143" s="645"/>
      <c r="DO143" s="645"/>
      <c r="DP143" s="645"/>
      <c r="DQ143" s="645"/>
      <c r="DR143" s="645"/>
      <c r="DS143" s="645"/>
      <c r="DT143" s="645"/>
      <c r="DU143" s="645"/>
      <c r="DV143" s="645"/>
      <c r="DW143" s="645"/>
      <c r="DX143" s="645"/>
      <c r="DY143" s="645"/>
      <c r="DZ143" s="645"/>
      <c r="EA143" s="645"/>
      <c r="EB143" s="645"/>
      <c r="EC143" s="645"/>
      <c r="ED143" s="645"/>
      <c r="EE143" s="645"/>
      <c r="EF143" s="645"/>
      <c r="EG143" s="645"/>
      <c r="EH143" s="645"/>
      <c r="EI143" s="645"/>
      <c r="EJ143" s="645"/>
      <c r="EK143" s="645"/>
      <c r="EL143" s="645"/>
      <c r="EM143" s="645"/>
      <c r="EN143" s="645"/>
      <c r="EO143" s="645"/>
      <c r="EP143" s="645"/>
      <c r="EQ143" s="645"/>
      <c r="ER143" s="645"/>
      <c r="ES143" s="645"/>
      <c r="ET143" s="645"/>
      <c r="EU143" s="645"/>
      <c r="EV143" s="645"/>
      <c r="EW143" s="645"/>
      <c r="EX143" s="645"/>
      <c r="EY143" s="645"/>
      <c r="EZ143" s="645"/>
      <c r="FA143" s="645"/>
      <c r="FB143" s="645"/>
      <c r="FC143" s="645"/>
      <c r="FD143" s="645"/>
      <c r="FE143" s="645"/>
      <c r="FF143" s="645"/>
      <c r="FG143" s="645"/>
      <c r="FH143" s="645"/>
      <c r="FI143" s="645"/>
      <c r="FJ143" s="645"/>
      <c r="FK143" s="645"/>
      <c r="FL143" s="645"/>
      <c r="FM143" s="645"/>
      <c r="FN143" s="645"/>
      <c r="FO143" s="645"/>
      <c r="FP143" s="645"/>
      <c r="FQ143" s="645"/>
      <c r="FR143" s="645"/>
      <c r="FS143" s="645"/>
      <c r="FT143" s="645"/>
      <c r="FU143" s="645"/>
      <c r="FV143" s="645"/>
      <c r="FW143" s="645"/>
      <c r="FX143" s="645"/>
      <c r="FY143" s="645"/>
      <c r="FZ143" s="645"/>
      <c r="GA143" s="645"/>
      <c r="GB143" s="645"/>
      <c r="GC143" s="645"/>
      <c r="GD143" s="645"/>
      <c r="GE143" s="645"/>
      <c r="GF143" s="645"/>
      <c r="GG143" s="645"/>
      <c r="GH143" s="645"/>
      <c r="GI143" s="645"/>
      <c r="GJ143" s="645"/>
      <c r="GK143" s="645"/>
      <c r="GL143" s="645"/>
      <c r="GM143" s="645"/>
      <c r="GN143" s="645"/>
      <c r="GO143" s="645"/>
      <c r="GP143" s="645"/>
      <c r="GQ143" s="645"/>
      <c r="GR143" s="645"/>
      <c r="GS143" s="645"/>
      <c r="GT143" s="645"/>
      <c r="GU143" s="645"/>
      <c r="GV143" s="645"/>
      <c r="GW143" s="645"/>
      <c r="GX143" s="645"/>
      <c r="GY143" s="645"/>
      <c r="GZ143" s="645"/>
      <c r="HA143" s="645"/>
      <c r="HB143" s="645"/>
      <c r="HC143" s="645"/>
      <c r="HD143" s="645"/>
      <c r="HE143" s="645"/>
      <c r="HF143" s="645"/>
      <c r="HG143" s="645"/>
      <c r="HH143" s="645"/>
      <c r="HI143" s="645"/>
      <c r="HJ143" s="645"/>
      <c r="HK143" s="645"/>
      <c r="HL143" s="645"/>
      <c r="HM143" s="645"/>
      <c r="HN143" s="645"/>
      <c r="HO143" s="645"/>
      <c r="HP143" s="645"/>
      <c r="HQ143" s="645"/>
      <c r="HR143" s="645"/>
      <c r="HS143" s="645"/>
      <c r="HT143" s="645"/>
      <c r="HU143" s="645"/>
      <c r="HV143" s="645"/>
      <c r="HW143" s="645"/>
      <c r="HX143" s="645"/>
    </row>
    <row r="144" spans="1:234" ht="15.75" x14ac:dyDescent="0.25">
      <c r="B144" s="1074">
        <v>56</v>
      </c>
      <c r="C144" s="1075" t="s">
        <v>88</v>
      </c>
      <c r="D144" s="1076" t="s">
        <v>842</v>
      </c>
      <c r="E144" s="1077">
        <v>1</v>
      </c>
      <c r="F144" s="1078">
        <v>12035</v>
      </c>
      <c r="G144" s="1079">
        <v>12035</v>
      </c>
      <c r="H144" s="1080">
        <v>4</v>
      </c>
      <c r="I144" s="1058">
        <v>0</v>
      </c>
      <c r="J144" s="1020">
        <v>0</v>
      </c>
      <c r="K144" s="1081">
        <v>0</v>
      </c>
      <c r="L144" s="1082"/>
      <c r="M144" s="1029">
        <v>0</v>
      </c>
      <c r="N144" s="488">
        <v>0</v>
      </c>
      <c r="O144" s="1029">
        <v>0</v>
      </c>
      <c r="P144" s="488">
        <v>0</v>
      </c>
      <c r="Q144" s="1029">
        <v>0</v>
      </c>
      <c r="R144" s="488">
        <v>0</v>
      </c>
      <c r="S144" s="1023"/>
      <c r="T144" s="645"/>
      <c r="U144" s="645"/>
      <c r="V144" s="645"/>
      <c r="W144" s="645"/>
      <c r="X144" s="645"/>
      <c r="Y144" s="645"/>
      <c r="Z144" s="645"/>
      <c r="AA144" s="645"/>
      <c r="AB144" s="645"/>
      <c r="AC144" s="645"/>
      <c r="AD144" s="645"/>
      <c r="AE144" s="645"/>
      <c r="AF144" s="645"/>
      <c r="AG144" s="645"/>
      <c r="AH144" s="645"/>
      <c r="AI144" s="645"/>
      <c r="AJ144" s="645"/>
      <c r="AK144" s="645"/>
      <c r="AL144" s="645"/>
      <c r="AM144" s="645"/>
      <c r="AN144" s="645"/>
      <c r="AO144" s="645"/>
      <c r="AP144" s="645"/>
      <c r="AQ144" s="645"/>
      <c r="AR144" s="645"/>
      <c r="AS144" s="645"/>
      <c r="AT144" s="645"/>
      <c r="AU144" s="645"/>
      <c r="AV144" s="645"/>
      <c r="AW144" s="645"/>
      <c r="AX144" s="645"/>
      <c r="AY144" s="645"/>
      <c r="AZ144" s="645"/>
      <c r="BA144" s="645"/>
      <c r="BB144" s="645"/>
      <c r="BC144" s="645"/>
      <c r="BD144" s="645"/>
      <c r="BE144" s="645"/>
      <c r="BF144" s="645"/>
      <c r="BG144" s="645"/>
      <c r="BH144" s="645"/>
      <c r="BI144" s="645"/>
      <c r="BJ144" s="645"/>
      <c r="BK144" s="645"/>
      <c r="BL144" s="645"/>
      <c r="BM144" s="645"/>
      <c r="BN144" s="645"/>
      <c r="BO144" s="645"/>
      <c r="BP144" s="645"/>
      <c r="BQ144" s="645"/>
      <c r="BR144" s="645"/>
      <c r="BS144" s="645"/>
      <c r="BT144" s="645"/>
      <c r="BU144" s="645"/>
      <c r="BV144" s="645"/>
      <c r="BW144" s="645"/>
      <c r="BX144" s="645"/>
      <c r="BY144" s="645"/>
      <c r="BZ144" s="645"/>
      <c r="CA144" s="645"/>
      <c r="CB144" s="645"/>
      <c r="CC144" s="645"/>
      <c r="CD144" s="645"/>
      <c r="CE144" s="645"/>
      <c r="CF144" s="645"/>
      <c r="CG144" s="645"/>
      <c r="CH144" s="645"/>
      <c r="CI144" s="645"/>
      <c r="CJ144" s="645"/>
      <c r="CK144" s="645"/>
      <c r="CL144" s="645"/>
      <c r="CM144" s="645"/>
      <c r="CN144" s="645"/>
      <c r="CO144" s="645"/>
      <c r="CP144" s="645"/>
      <c r="CQ144" s="645"/>
      <c r="CR144" s="645"/>
      <c r="CS144" s="645"/>
      <c r="CT144" s="645"/>
      <c r="CU144" s="645"/>
      <c r="CV144" s="645"/>
      <c r="CW144" s="645"/>
      <c r="CX144" s="645"/>
      <c r="CY144" s="645"/>
      <c r="CZ144" s="645"/>
      <c r="DA144" s="645"/>
      <c r="DB144" s="645"/>
      <c r="DC144" s="645"/>
      <c r="DD144" s="645"/>
      <c r="DE144" s="645"/>
      <c r="DF144" s="645"/>
      <c r="DG144" s="645"/>
      <c r="DH144" s="645"/>
      <c r="DI144" s="645"/>
      <c r="DJ144" s="645"/>
      <c r="DK144" s="645"/>
      <c r="DL144" s="645"/>
      <c r="DM144" s="645"/>
      <c r="DN144" s="645"/>
      <c r="DO144" s="645"/>
      <c r="DP144" s="645"/>
      <c r="DQ144" s="645"/>
      <c r="DR144" s="645"/>
      <c r="DS144" s="645"/>
      <c r="DT144" s="645"/>
      <c r="DU144" s="645"/>
      <c r="DV144" s="645"/>
      <c r="DW144" s="645"/>
      <c r="DX144" s="645"/>
      <c r="DY144" s="645"/>
      <c r="DZ144" s="645"/>
      <c r="EA144" s="645"/>
      <c r="EB144" s="645"/>
      <c r="EC144" s="645"/>
      <c r="ED144" s="645"/>
      <c r="EE144" s="645"/>
      <c r="EF144" s="645"/>
      <c r="EG144" s="645"/>
      <c r="EH144" s="645"/>
      <c r="EI144" s="645"/>
      <c r="EJ144" s="645"/>
      <c r="EK144" s="645"/>
      <c r="EL144" s="645"/>
      <c r="EM144" s="645"/>
      <c r="EN144" s="645"/>
      <c r="EO144" s="645"/>
      <c r="EP144" s="645"/>
      <c r="EQ144" s="645"/>
      <c r="ER144" s="645"/>
      <c r="ES144" s="645"/>
      <c r="ET144" s="645"/>
      <c r="EU144" s="645"/>
      <c r="EV144" s="645"/>
      <c r="EW144" s="645"/>
      <c r="EX144" s="645"/>
      <c r="EY144" s="645"/>
      <c r="EZ144" s="645"/>
      <c r="FA144" s="645"/>
      <c r="FB144" s="645"/>
      <c r="FC144" s="645"/>
      <c r="FD144" s="645"/>
      <c r="FE144" s="645"/>
      <c r="FF144" s="645"/>
      <c r="FG144" s="645"/>
      <c r="FH144" s="645"/>
      <c r="FI144" s="645"/>
      <c r="FJ144" s="645"/>
      <c r="FK144" s="645"/>
      <c r="FL144" s="645"/>
      <c r="FM144" s="645"/>
      <c r="FN144" s="645"/>
      <c r="FO144" s="645"/>
      <c r="FP144" s="645"/>
      <c r="FQ144" s="645"/>
      <c r="FR144" s="645"/>
      <c r="FS144" s="645"/>
      <c r="FT144" s="645"/>
      <c r="FU144" s="645"/>
      <c r="FV144" s="645"/>
      <c r="FW144" s="645"/>
      <c r="FX144" s="645"/>
      <c r="FY144" s="645"/>
      <c r="FZ144" s="645"/>
      <c r="GA144" s="645"/>
      <c r="GB144" s="645"/>
      <c r="GC144" s="645"/>
      <c r="GD144" s="645"/>
      <c r="GE144" s="645"/>
      <c r="GF144" s="645"/>
      <c r="GG144" s="645"/>
      <c r="GH144" s="645"/>
      <c r="GI144" s="645"/>
      <c r="GJ144" s="645"/>
      <c r="GK144" s="645"/>
      <c r="GL144" s="645"/>
      <c r="GM144" s="645"/>
      <c r="GN144" s="645"/>
      <c r="GO144" s="645"/>
      <c r="GP144" s="645"/>
      <c r="GQ144" s="645"/>
      <c r="GR144" s="645"/>
      <c r="GS144" s="645"/>
      <c r="GT144" s="645"/>
      <c r="GU144" s="645"/>
      <c r="GV144" s="645"/>
      <c r="GW144" s="645"/>
      <c r="GX144" s="645"/>
      <c r="GY144" s="645"/>
      <c r="GZ144" s="645"/>
      <c r="HA144" s="645"/>
      <c r="HB144" s="645"/>
      <c r="HC144" s="645"/>
      <c r="HD144" s="645"/>
      <c r="HE144" s="645"/>
      <c r="HF144" s="645"/>
      <c r="HG144" s="645"/>
      <c r="HH144" s="645"/>
      <c r="HI144" s="645"/>
      <c r="HJ144" s="645"/>
      <c r="HK144" s="645"/>
      <c r="HL144" s="645"/>
      <c r="HM144" s="645"/>
      <c r="HN144" s="645"/>
      <c r="HO144" s="645"/>
      <c r="HP144" s="645"/>
      <c r="HQ144" s="645"/>
      <c r="HR144" s="645"/>
      <c r="HS144" s="645"/>
      <c r="HT144" s="645"/>
      <c r="HU144" s="645"/>
      <c r="HV144" s="645"/>
      <c r="HW144" s="645"/>
      <c r="HX144" s="645"/>
    </row>
    <row r="145" spans="1:234" ht="16.5" thickBot="1" x14ac:dyDescent="0.3">
      <c r="B145" s="1135">
        <v>58</v>
      </c>
      <c r="C145" s="1136" t="s">
        <v>639</v>
      </c>
      <c r="D145" s="1137" t="s">
        <v>842</v>
      </c>
      <c r="E145" s="1138">
        <v>1</v>
      </c>
      <c r="F145" s="1139">
        <v>8051</v>
      </c>
      <c r="G145" s="1140">
        <v>8051</v>
      </c>
      <c r="H145" s="1141">
        <v>8</v>
      </c>
      <c r="I145" s="1142">
        <v>0</v>
      </c>
      <c r="J145" s="1143">
        <v>0</v>
      </c>
      <c r="K145" s="1144">
        <v>0</v>
      </c>
      <c r="L145" s="1145"/>
      <c r="M145" s="1146">
        <v>0</v>
      </c>
      <c r="N145" s="1147">
        <v>0</v>
      </c>
      <c r="O145" s="1146">
        <v>0</v>
      </c>
      <c r="P145" s="1147">
        <v>0</v>
      </c>
      <c r="Q145" s="1146">
        <v>0</v>
      </c>
      <c r="R145" s="1147">
        <v>0</v>
      </c>
      <c r="S145" s="1023"/>
      <c r="T145" s="645"/>
      <c r="U145" s="645"/>
      <c r="V145" s="645"/>
      <c r="W145" s="645"/>
      <c r="X145" s="645"/>
      <c r="Y145" s="645"/>
      <c r="Z145" s="645"/>
      <c r="AA145" s="645"/>
      <c r="AB145" s="645"/>
      <c r="AC145" s="645"/>
      <c r="AD145" s="645"/>
      <c r="AE145" s="645"/>
      <c r="AF145" s="645"/>
      <c r="AG145" s="645"/>
      <c r="AH145" s="645"/>
      <c r="AI145" s="645"/>
      <c r="AJ145" s="645"/>
      <c r="AK145" s="645"/>
      <c r="AL145" s="645"/>
      <c r="AM145" s="645"/>
      <c r="AN145" s="645"/>
      <c r="AO145" s="645"/>
      <c r="AP145" s="645"/>
      <c r="AQ145" s="645"/>
      <c r="AR145" s="645"/>
      <c r="AS145" s="645"/>
      <c r="AT145" s="645"/>
      <c r="AU145" s="645"/>
      <c r="AV145" s="645"/>
      <c r="AW145" s="645"/>
      <c r="AX145" s="645"/>
      <c r="AY145" s="645"/>
      <c r="AZ145" s="645"/>
      <c r="BA145" s="645"/>
      <c r="BB145" s="645"/>
      <c r="BC145" s="645"/>
      <c r="BD145" s="645"/>
      <c r="BE145" s="645"/>
      <c r="BF145" s="645"/>
      <c r="BG145" s="645"/>
      <c r="BH145" s="645"/>
      <c r="BI145" s="645"/>
      <c r="BJ145" s="645"/>
      <c r="BK145" s="645"/>
      <c r="BL145" s="645"/>
      <c r="BM145" s="645"/>
      <c r="BN145" s="645"/>
      <c r="BO145" s="645"/>
      <c r="BP145" s="645"/>
      <c r="BQ145" s="645"/>
      <c r="BR145" s="645"/>
      <c r="BS145" s="645"/>
      <c r="BT145" s="645"/>
      <c r="BU145" s="645"/>
      <c r="BV145" s="645"/>
      <c r="BW145" s="645"/>
      <c r="BX145" s="645"/>
      <c r="BY145" s="645"/>
      <c r="BZ145" s="645"/>
      <c r="CA145" s="645"/>
      <c r="CB145" s="645"/>
      <c r="CC145" s="645"/>
      <c r="CD145" s="645"/>
      <c r="CE145" s="645"/>
      <c r="CF145" s="645"/>
      <c r="CG145" s="645"/>
      <c r="CH145" s="645"/>
      <c r="CI145" s="645"/>
      <c r="CJ145" s="645"/>
      <c r="CK145" s="645"/>
      <c r="CL145" s="645"/>
      <c r="CM145" s="645"/>
      <c r="CN145" s="645"/>
      <c r="CO145" s="645"/>
      <c r="CP145" s="645"/>
      <c r="CQ145" s="645"/>
      <c r="CR145" s="645"/>
      <c r="CS145" s="645"/>
      <c r="CT145" s="645"/>
      <c r="CU145" s="645"/>
      <c r="CV145" s="645"/>
      <c r="CW145" s="645"/>
      <c r="CX145" s="645"/>
      <c r="CY145" s="645"/>
      <c r="CZ145" s="645"/>
      <c r="DA145" s="645"/>
      <c r="DB145" s="645"/>
      <c r="DC145" s="645"/>
      <c r="DD145" s="645"/>
      <c r="DE145" s="645"/>
      <c r="DF145" s="645"/>
      <c r="DG145" s="645"/>
      <c r="DH145" s="645"/>
      <c r="DI145" s="645"/>
      <c r="DJ145" s="645"/>
      <c r="DK145" s="645"/>
      <c r="DL145" s="645"/>
      <c r="DM145" s="645"/>
      <c r="DN145" s="645"/>
      <c r="DO145" s="645"/>
      <c r="DP145" s="645"/>
      <c r="DQ145" s="645"/>
      <c r="DR145" s="645"/>
      <c r="DS145" s="645"/>
      <c r="DT145" s="645"/>
      <c r="DU145" s="645"/>
      <c r="DV145" s="645"/>
      <c r="DW145" s="645"/>
      <c r="DX145" s="645"/>
      <c r="DY145" s="645"/>
      <c r="DZ145" s="645"/>
      <c r="EA145" s="645"/>
      <c r="EB145" s="645"/>
      <c r="EC145" s="645"/>
      <c r="ED145" s="645"/>
      <c r="EE145" s="645"/>
      <c r="EF145" s="645"/>
      <c r="EG145" s="645"/>
      <c r="EH145" s="645"/>
      <c r="EI145" s="645"/>
      <c r="EJ145" s="645"/>
      <c r="EK145" s="645"/>
      <c r="EL145" s="645"/>
      <c r="EM145" s="645"/>
      <c r="EN145" s="645"/>
      <c r="EO145" s="645"/>
      <c r="EP145" s="645"/>
      <c r="EQ145" s="645"/>
      <c r="ER145" s="645"/>
      <c r="ES145" s="645"/>
      <c r="ET145" s="645"/>
      <c r="EU145" s="645"/>
      <c r="EV145" s="645"/>
      <c r="EW145" s="645"/>
      <c r="EX145" s="645"/>
      <c r="EY145" s="645"/>
      <c r="EZ145" s="645"/>
      <c r="FA145" s="645"/>
      <c r="FB145" s="645"/>
      <c r="FC145" s="645"/>
      <c r="FD145" s="645"/>
      <c r="FE145" s="645"/>
      <c r="FF145" s="645"/>
      <c r="FG145" s="645"/>
      <c r="FH145" s="645"/>
      <c r="FI145" s="645"/>
      <c r="FJ145" s="645"/>
      <c r="FK145" s="645"/>
      <c r="FL145" s="645"/>
      <c r="FM145" s="645"/>
      <c r="FN145" s="645"/>
      <c r="FO145" s="645"/>
      <c r="FP145" s="645"/>
      <c r="FQ145" s="645"/>
      <c r="FR145" s="645"/>
      <c r="FS145" s="645"/>
      <c r="FT145" s="645"/>
      <c r="FU145" s="645"/>
      <c r="FV145" s="645"/>
      <c r="FW145" s="645"/>
      <c r="FX145" s="645"/>
      <c r="FY145" s="645"/>
      <c r="FZ145" s="645"/>
      <c r="GA145" s="645"/>
      <c r="GB145" s="645"/>
      <c r="GC145" s="645"/>
      <c r="GD145" s="645"/>
      <c r="GE145" s="645"/>
      <c r="GF145" s="645"/>
      <c r="GG145" s="645"/>
      <c r="GH145" s="645"/>
      <c r="GI145" s="645"/>
      <c r="GJ145" s="645"/>
      <c r="GK145" s="645"/>
      <c r="GL145" s="645"/>
      <c r="GM145" s="645"/>
      <c r="GN145" s="645"/>
      <c r="GO145" s="645"/>
      <c r="GP145" s="645"/>
      <c r="GQ145" s="645"/>
      <c r="GR145" s="645"/>
      <c r="GS145" s="645"/>
      <c r="GT145" s="645"/>
      <c r="GU145" s="645"/>
      <c r="GV145" s="645"/>
      <c r="GW145" s="645"/>
      <c r="GX145" s="645"/>
      <c r="GY145" s="645"/>
      <c r="GZ145" s="645"/>
      <c r="HA145" s="645"/>
      <c r="HB145" s="645"/>
      <c r="HC145" s="645"/>
      <c r="HD145" s="645"/>
      <c r="HE145" s="645"/>
      <c r="HF145" s="645"/>
      <c r="HG145" s="645"/>
      <c r="HH145" s="645"/>
      <c r="HI145" s="645"/>
      <c r="HJ145" s="645"/>
      <c r="HK145" s="645"/>
      <c r="HL145" s="645"/>
      <c r="HM145" s="645"/>
      <c r="HN145" s="645"/>
      <c r="HO145" s="645"/>
      <c r="HP145" s="645"/>
      <c r="HQ145" s="645"/>
      <c r="HR145" s="645"/>
      <c r="HS145" s="645"/>
      <c r="HT145" s="645"/>
      <c r="HU145" s="645"/>
      <c r="HV145" s="645"/>
      <c r="HW145" s="645"/>
      <c r="HX145" s="645"/>
    </row>
    <row r="146" spans="1:234" s="657" customFormat="1" x14ac:dyDescent="0.25">
      <c r="A146" s="698"/>
      <c r="B146" s="1148"/>
      <c r="C146" s="1149" t="s">
        <v>905</v>
      </c>
      <c r="D146" s="1150"/>
      <c r="E146" s="1150"/>
      <c r="F146" s="1150"/>
      <c r="G146" s="1151"/>
      <c r="H146" s="1152"/>
      <c r="I146" s="1153"/>
      <c r="J146" s="1154"/>
      <c r="K146" s="1155"/>
      <c r="L146" s="1156"/>
      <c r="M146" s="1157"/>
      <c r="N146" s="1158"/>
      <c r="O146" s="1104"/>
      <c r="P146" s="1105"/>
      <c r="Q146" s="1104"/>
      <c r="R146" s="1105"/>
      <c r="S146" s="1023"/>
      <c r="T146" s="656"/>
      <c r="U146" s="656"/>
      <c r="V146" s="656"/>
      <c r="W146" s="656"/>
      <c r="X146" s="656"/>
      <c r="Y146" s="656"/>
      <c r="Z146" s="656"/>
      <c r="AA146" s="656"/>
      <c r="AB146" s="656"/>
      <c r="AC146" s="656"/>
      <c r="AD146" s="656"/>
      <c r="AE146" s="656"/>
      <c r="AF146" s="656"/>
      <c r="AG146" s="656"/>
      <c r="AH146" s="656"/>
      <c r="AI146" s="656"/>
      <c r="AJ146" s="656"/>
      <c r="AK146" s="656"/>
      <c r="AL146" s="656"/>
      <c r="AM146" s="656"/>
      <c r="AN146" s="656"/>
      <c r="AO146" s="656"/>
      <c r="AP146" s="656"/>
      <c r="AQ146" s="656"/>
      <c r="AR146" s="656"/>
      <c r="AS146" s="656"/>
      <c r="AT146" s="656"/>
      <c r="AU146" s="656"/>
      <c r="AV146" s="656"/>
      <c r="AW146" s="656"/>
      <c r="AX146" s="656"/>
      <c r="AY146" s="656"/>
      <c r="AZ146" s="656"/>
      <c r="BA146" s="656"/>
      <c r="BB146" s="656"/>
      <c r="BC146" s="656"/>
      <c r="BD146" s="656"/>
      <c r="BE146" s="656"/>
      <c r="BF146" s="656"/>
      <c r="BG146" s="656"/>
      <c r="BH146" s="656"/>
      <c r="BI146" s="656"/>
      <c r="BJ146" s="656"/>
      <c r="BK146" s="656"/>
      <c r="BL146" s="656"/>
      <c r="BM146" s="656"/>
      <c r="BN146" s="656"/>
      <c r="BO146" s="656"/>
      <c r="BP146" s="656"/>
      <c r="BQ146" s="656"/>
      <c r="BR146" s="656"/>
      <c r="BS146" s="656"/>
      <c r="BT146" s="656"/>
      <c r="BU146" s="656"/>
      <c r="BV146" s="656"/>
      <c r="BW146" s="656"/>
      <c r="BX146" s="656"/>
      <c r="BY146" s="656"/>
      <c r="BZ146" s="656"/>
      <c r="CA146" s="656"/>
      <c r="CB146" s="656"/>
      <c r="CC146" s="656"/>
      <c r="CD146" s="656"/>
      <c r="CE146" s="656"/>
      <c r="CF146" s="656"/>
      <c r="CG146" s="656"/>
      <c r="CH146" s="656"/>
      <c r="CI146" s="656"/>
      <c r="CJ146" s="656"/>
      <c r="CK146" s="656"/>
      <c r="CL146" s="656"/>
      <c r="CM146" s="656"/>
      <c r="CN146" s="656"/>
      <c r="CO146" s="656"/>
      <c r="CP146" s="656"/>
      <c r="CQ146" s="656"/>
      <c r="CR146" s="656"/>
      <c r="CS146" s="656"/>
      <c r="CT146" s="656"/>
      <c r="CU146" s="656"/>
      <c r="CV146" s="656"/>
      <c r="CW146" s="656"/>
      <c r="CX146" s="656"/>
      <c r="CY146" s="656"/>
      <c r="CZ146" s="656"/>
      <c r="DA146" s="656"/>
      <c r="DB146" s="656"/>
      <c r="DC146" s="656"/>
      <c r="DD146" s="656"/>
      <c r="DE146" s="656"/>
      <c r="DF146" s="656"/>
      <c r="DG146" s="656"/>
      <c r="DH146" s="656"/>
      <c r="DI146" s="656"/>
      <c r="DJ146" s="656"/>
      <c r="DK146" s="656"/>
      <c r="DL146" s="656"/>
      <c r="DM146" s="656"/>
      <c r="DN146" s="656"/>
      <c r="DO146" s="656"/>
      <c r="DP146" s="656"/>
      <c r="DQ146" s="656"/>
      <c r="DR146" s="656"/>
      <c r="DS146" s="656"/>
      <c r="DT146" s="656"/>
      <c r="DU146" s="656"/>
      <c r="DV146" s="656"/>
      <c r="DW146" s="656"/>
      <c r="DX146" s="656"/>
      <c r="DY146" s="656"/>
      <c r="DZ146" s="656"/>
      <c r="EA146" s="656"/>
      <c r="EB146" s="656"/>
      <c r="EC146" s="656"/>
      <c r="ED146" s="656"/>
      <c r="EE146" s="656"/>
      <c r="EF146" s="656"/>
      <c r="EG146" s="656"/>
      <c r="EH146" s="656"/>
      <c r="EI146" s="656"/>
      <c r="EJ146" s="656"/>
      <c r="EK146" s="656"/>
      <c r="EL146" s="656"/>
      <c r="EM146" s="656"/>
      <c r="EN146" s="656"/>
      <c r="EO146" s="656"/>
      <c r="EP146" s="656"/>
      <c r="EQ146" s="656"/>
      <c r="ER146" s="656"/>
      <c r="ES146" s="656"/>
      <c r="ET146" s="656"/>
      <c r="EU146" s="656"/>
      <c r="EV146" s="656"/>
      <c r="EW146" s="656"/>
      <c r="EX146" s="656"/>
      <c r="EY146" s="656"/>
      <c r="EZ146" s="656"/>
      <c r="FA146" s="656"/>
      <c r="FB146" s="656"/>
      <c r="FC146" s="656"/>
      <c r="FD146" s="656"/>
      <c r="FE146" s="656"/>
      <c r="FF146" s="656"/>
      <c r="FG146" s="656"/>
      <c r="FH146" s="656"/>
      <c r="FI146" s="656"/>
      <c r="FJ146" s="656"/>
      <c r="FK146" s="656"/>
      <c r="FL146" s="656"/>
      <c r="FM146" s="656"/>
      <c r="FN146" s="656"/>
      <c r="FO146" s="656"/>
      <c r="FP146" s="656"/>
      <c r="FQ146" s="656"/>
      <c r="FR146" s="656"/>
      <c r="FS146" s="656"/>
      <c r="FT146" s="656"/>
      <c r="FU146" s="656"/>
      <c r="FV146" s="656"/>
      <c r="FW146" s="656"/>
      <c r="FX146" s="656"/>
      <c r="FY146" s="656"/>
      <c r="FZ146" s="656"/>
      <c r="GA146" s="656"/>
      <c r="GB146" s="656"/>
      <c r="GC146" s="656"/>
      <c r="GD146" s="656"/>
      <c r="GE146" s="656"/>
      <c r="GF146" s="656"/>
      <c r="GG146" s="656"/>
      <c r="GH146" s="656"/>
      <c r="GI146" s="656"/>
      <c r="GJ146" s="656"/>
      <c r="GK146" s="656"/>
      <c r="GL146" s="656"/>
      <c r="GM146" s="656"/>
      <c r="GN146" s="656"/>
      <c r="GO146" s="656"/>
      <c r="GP146" s="656"/>
      <c r="GQ146" s="656"/>
      <c r="GR146" s="656"/>
      <c r="GS146" s="656"/>
      <c r="GT146" s="656"/>
      <c r="GU146" s="656"/>
      <c r="GV146" s="656"/>
      <c r="GW146" s="656"/>
      <c r="GX146" s="656"/>
      <c r="GY146" s="656"/>
      <c r="GZ146" s="656"/>
      <c r="HA146" s="656"/>
      <c r="HB146" s="656"/>
      <c r="HC146" s="656"/>
      <c r="HD146" s="656"/>
      <c r="HE146" s="656"/>
      <c r="HF146" s="656"/>
      <c r="HG146" s="656"/>
      <c r="HH146" s="656"/>
      <c r="HI146" s="656"/>
      <c r="HJ146" s="656"/>
      <c r="HK146" s="656"/>
      <c r="HL146" s="656"/>
      <c r="HM146" s="656"/>
      <c r="HN146" s="656"/>
      <c r="HO146" s="656"/>
      <c r="HP146" s="656"/>
      <c r="HQ146" s="656"/>
      <c r="HR146" s="656"/>
      <c r="HS146" s="656"/>
      <c r="HT146" s="656"/>
      <c r="HU146" s="656"/>
      <c r="HV146" s="656"/>
      <c r="HW146" s="656"/>
      <c r="HX146" s="656"/>
      <c r="HY146" s="656"/>
      <c r="HZ146" s="656"/>
    </row>
    <row r="147" spans="1:234" ht="15.75" x14ac:dyDescent="0.25">
      <c r="B147" s="1074" t="s">
        <v>1322</v>
      </c>
      <c r="C147" s="1159" t="s">
        <v>1323</v>
      </c>
      <c r="D147" s="1160" t="s">
        <v>1324</v>
      </c>
      <c r="E147" s="1161">
        <v>0</v>
      </c>
      <c r="F147" s="508">
        <v>38000</v>
      </c>
      <c r="G147" s="1079"/>
      <c r="H147" s="1162">
        <v>31.280000000000005</v>
      </c>
      <c r="I147" s="1161">
        <v>31.28</v>
      </c>
      <c r="J147" s="1163">
        <v>1188640</v>
      </c>
      <c r="K147" s="1081"/>
      <c r="L147" s="1164"/>
      <c r="M147" s="781"/>
      <c r="N147" s="488"/>
      <c r="O147" s="1029"/>
      <c r="P147" s="1165"/>
      <c r="Q147" s="781"/>
      <c r="R147" s="1165"/>
      <c r="S147" s="1023"/>
      <c r="T147" s="645"/>
      <c r="U147" s="645"/>
      <c r="V147" s="645"/>
      <c r="W147" s="645"/>
      <c r="X147" s="645"/>
      <c r="Y147" s="645"/>
      <c r="Z147" s="645"/>
      <c r="AA147" s="645"/>
      <c r="AB147" s="645"/>
      <c r="AC147" s="645"/>
      <c r="AD147" s="645"/>
      <c r="AE147" s="645"/>
      <c r="AF147" s="645"/>
      <c r="AG147" s="645"/>
      <c r="AH147" s="645"/>
      <c r="AI147" s="645"/>
      <c r="AJ147" s="645"/>
      <c r="AK147" s="645"/>
      <c r="AL147" s="645"/>
      <c r="AM147" s="645"/>
      <c r="AN147" s="645"/>
      <c r="AO147" s="645"/>
      <c r="AP147" s="645"/>
      <c r="AQ147" s="645"/>
      <c r="AR147" s="645"/>
      <c r="AS147" s="645"/>
      <c r="AT147" s="645"/>
      <c r="AU147" s="645"/>
      <c r="AV147" s="645"/>
      <c r="AW147" s="645"/>
      <c r="AX147" s="645"/>
      <c r="AY147" s="645"/>
      <c r="AZ147" s="645"/>
      <c r="BA147" s="645"/>
      <c r="BB147" s="645"/>
      <c r="BC147" s="645"/>
      <c r="BD147" s="645"/>
      <c r="BE147" s="645"/>
      <c r="BF147" s="645"/>
      <c r="BG147" s="645"/>
      <c r="BH147" s="645"/>
      <c r="BI147" s="645"/>
      <c r="BJ147" s="645"/>
      <c r="BK147" s="645"/>
      <c r="BL147" s="645"/>
      <c r="BM147" s="645"/>
      <c r="BN147" s="645"/>
      <c r="BO147" s="645"/>
      <c r="BP147" s="645"/>
      <c r="BQ147" s="645"/>
      <c r="BR147" s="645"/>
      <c r="BS147" s="645"/>
      <c r="BT147" s="645"/>
      <c r="BU147" s="645"/>
      <c r="BV147" s="645"/>
      <c r="BW147" s="645"/>
      <c r="BX147" s="645"/>
      <c r="BY147" s="645"/>
      <c r="BZ147" s="645"/>
      <c r="CA147" s="645"/>
      <c r="CB147" s="645"/>
      <c r="CC147" s="645"/>
      <c r="CD147" s="645"/>
      <c r="CE147" s="645"/>
      <c r="CF147" s="645"/>
      <c r="CG147" s="645"/>
      <c r="CH147" s="645"/>
      <c r="CI147" s="645"/>
      <c r="CJ147" s="645"/>
      <c r="CK147" s="645"/>
      <c r="CL147" s="645"/>
      <c r="CM147" s="645"/>
      <c r="CN147" s="645"/>
      <c r="CO147" s="645"/>
      <c r="CP147" s="645"/>
      <c r="CQ147" s="645"/>
      <c r="CR147" s="645"/>
      <c r="CS147" s="645"/>
      <c r="CT147" s="645"/>
      <c r="CU147" s="645"/>
      <c r="CV147" s="645"/>
      <c r="CW147" s="645"/>
      <c r="CX147" s="645"/>
      <c r="CY147" s="645"/>
      <c r="CZ147" s="645"/>
      <c r="DA147" s="645"/>
      <c r="DB147" s="645"/>
      <c r="DC147" s="645"/>
      <c r="DD147" s="645"/>
      <c r="DE147" s="645"/>
      <c r="DF147" s="645"/>
      <c r="DG147" s="645"/>
      <c r="DH147" s="645"/>
      <c r="DI147" s="645"/>
      <c r="DJ147" s="645"/>
      <c r="DK147" s="645"/>
      <c r="DL147" s="645"/>
      <c r="DM147" s="645"/>
      <c r="DN147" s="645"/>
      <c r="DO147" s="645"/>
      <c r="DP147" s="645"/>
      <c r="DQ147" s="645"/>
      <c r="DR147" s="645"/>
      <c r="DS147" s="645"/>
      <c r="DT147" s="645"/>
      <c r="DU147" s="645"/>
      <c r="DV147" s="645"/>
      <c r="DW147" s="645"/>
      <c r="DX147" s="645"/>
      <c r="DY147" s="645"/>
      <c r="DZ147" s="645"/>
      <c r="EA147" s="645"/>
      <c r="EB147" s="645"/>
      <c r="EC147" s="645"/>
      <c r="ED147" s="645"/>
      <c r="EE147" s="645"/>
      <c r="EF147" s="645"/>
      <c r="EG147" s="645"/>
      <c r="EH147" s="645"/>
      <c r="EI147" s="645"/>
      <c r="EJ147" s="645"/>
      <c r="EK147" s="645"/>
      <c r="EL147" s="645"/>
      <c r="EM147" s="645"/>
      <c r="EN147" s="645"/>
      <c r="EO147" s="645"/>
      <c r="EP147" s="645"/>
      <c r="EQ147" s="645"/>
      <c r="ER147" s="645"/>
      <c r="ES147" s="645"/>
      <c r="ET147" s="645"/>
      <c r="EU147" s="645"/>
      <c r="EV147" s="645"/>
      <c r="EW147" s="645"/>
      <c r="EX147" s="645"/>
      <c r="EY147" s="645"/>
      <c r="EZ147" s="645"/>
      <c r="FA147" s="645"/>
      <c r="FB147" s="645"/>
      <c r="FC147" s="645"/>
      <c r="FD147" s="645"/>
      <c r="FE147" s="645"/>
      <c r="FF147" s="645"/>
      <c r="FG147" s="645"/>
      <c r="FH147" s="645"/>
      <c r="FI147" s="645"/>
      <c r="FJ147" s="645"/>
      <c r="FK147" s="645"/>
      <c r="FL147" s="645"/>
      <c r="FM147" s="645"/>
      <c r="FN147" s="645"/>
      <c r="FO147" s="645"/>
      <c r="FP147" s="645"/>
      <c r="FQ147" s="645"/>
      <c r="FR147" s="645"/>
      <c r="FS147" s="645"/>
      <c r="FT147" s="645"/>
      <c r="FU147" s="645"/>
      <c r="FV147" s="645"/>
      <c r="FW147" s="645"/>
      <c r="FX147" s="645"/>
      <c r="FY147" s="645"/>
      <c r="FZ147" s="645"/>
      <c r="GA147" s="645"/>
      <c r="GB147" s="645"/>
      <c r="GC147" s="645"/>
      <c r="GD147" s="645"/>
      <c r="GE147" s="645"/>
      <c r="GF147" s="645"/>
      <c r="GG147" s="645"/>
      <c r="GH147" s="645"/>
      <c r="GI147" s="645"/>
      <c r="GJ147" s="645"/>
      <c r="GK147" s="645"/>
      <c r="GL147" s="645"/>
      <c r="GM147" s="645"/>
      <c r="GN147" s="645"/>
      <c r="GO147" s="645"/>
      <c r="GP147" s="645"/>
      <c r="GQ147" s="645"/>
      <c r="GR147" s="645"/>
      <c r="GS147" s="645"/>
      <c r="GT147" s="645"/>
      <c r="GU147" s="645"/>
      <c r="GV147" s="645"/>
      <c r="GW147" s="645"/>
      <c r="GX147" s="645"/>
      <c r="GY147" s="645"/>
      <c r="GZ147" s="645"/>
      <c r="HA147" s="645"/>
      <c r="HB147" s="645"/>
      <c r="HC147" s="645"/>
      <c r="HD147" s="645"/>
      <c r="HE147" s="645"/>
      <c r="HF147" s="645"/>
      <c r="HG147" s="645"/>
      <c r="HH147" s="645"/>
      <c r="HI147" s="645"/>
      <c r="HJ147" s="645"/>
      <c r="HK147" s="645"/>
      <c r="HL147" s="645"/>
      <c r="HM147" s="645"/>
      <c r="HN147" s="645"/>
      <c r="HO147" s="645"/>
      <c r="HP147" s="645"/>
      <c r="HQ147" s="645"/>
      <c r="HR147" s="645"/>
      <c r="HS147" s="645"/>
      <c r="HT147" s="645"/>
      <c r="HU147" s="645"/>
      <c r="HV147" s="645"/>
      <c r="HW147" s="645"/>
      <c r="HX147" s="645"/>
    </row>
    <row r="148" spans="1:234" ht="31.5" x14ac:dyDescent="0.25">
      <c r="B148" s="1074" t="s">
        <v>1325</v>
      </c>
      <c r="C148" s="1159" t="s">
        <v>1326</v>
      </c>
      <c r="D148" s="1160" t="s">
        <v>1327</v>
      </c>
      <c r="E148" s="1161">
        <v>0</v>
      </c>
      <c r="F148" s="508">
        <v>6800</v>
      </c>
      <c r="G148" s="1079"/>
      <c r="H148" s="1162">
        <v>329</v>
      </c>
      <c r="I148" s="1161">
        <v>329</v>
      </c>
      <c r="J148" s="1163">
        <v>2237200</v>
      </c>
      <c r="K148" s="1081"/>
      <c r="L148" s="1164"/>
      <c r="M148" s="781"/>
      <c r="N148" s="488"/>
      <c r="O148" s="1029"/>
      <c r="P148" s="1165"/>
      <c r="Q148" s="781"/>
      <c r="R148" s="1165"/>
      <c r="S148" s="1023"/>
      <c r="T148" s="645"/>
      <c r="U148" s="645"/>
      <c r="V148" s="645"/>
      <c r="W148" s="645"/>
      <c r="X148" s="645"/>
      <c r="Y148" s="645"/>
      <c r="Z148" s="645"/>
      <c r="AA148" s="645"/>
      <c r="AB148" s="645"/>
      <c r="AC148" s="645"/>
      <c r="AD148" s="645"/>
      <c r="AE148" s="645"/>
      <c r="AF148" s="645"/>
      <c r="AG148" s="645"/>
      <c r="AH148" s="645"/>
      <c r="AI148" s="645"/>
      <c r="AJ148" s="645"/>
      <c r="AK148" s="645"/>
      <c r="AL148" s="645"/>
      <c r="AM148" s="645"/>
      <c r="AN148" s="645"/>
      <c r="AO148" s="645"/>
      <c r="AP148" s="645"/>
      <c r="AQ148" s="645"/>
      <c r="AR148" s="645"/>
      <c r="AS148" s="645"/>
      <c r="AT148" s="645"/>
      <c r="AU148" s="645"/>
      <c r="AV148" s="645"/>
      <c r="AW148" s="645"/>
      <c r="AX148" s="645"/>
      <c r="AY148" s="645"/>
      <c r="AZ148" s="645"/>
      <c r="BA148" s="645"/>
      <c r="BB148" s="645"/>
      <c r="BC148" s="645"/>
      <c r="BD148" s="645"/>
      <c r="BE148" s="645"/>
      <c r="BF148" s="645"/>
      <c r="BG148" s="645"/>
      <c r="BH148" s="645"/>
      <c r="BI148" s="645"/>
      <c r="BJ148" s="645"/>
      <c r="BK148" s="645"/>
      <c r="BL148" s="645"/>
      <c r="BM148" s="645"/>
      <c r="BN148" s="645"/>
      <c r="BO148" s="645"/>
      <c r="BP148" s="645"/>
      <c r="BQ148" s="645"/>
      <c r="BR148" s="645"/>
      <c r="BS148" s="645"/>
      <c r="BT148" s="645"/>
      <c r="BU148" s="645"/>
      <c r="BV148" s="645"/>
      <c r="BW148" s="645"/>
      <c r="BX148" s="645"/>
      <c r="BY148" s="645"/>
      <c r="BZ148" s="645"/>
      <c r="CA148" s="645"/>
      <c r="CB148" s="645"/>
      <c r="CC148" s="645"/>
      <c r="CD148" s="645"/>
      <c r="CE148" s="645"/>
      <c r="CF148" s="645"/>
      <c r="CG148" s="645"/>
      <c r="CH148" s="645"/>
      <c r="CI148" s="645"/>
      <c r="CJ148" s="645"/>
      <c r="CK148" s="645"/>
      <c r="CL148" s="645"/>
      <c r="CM148" s="645"/>
      <c r="CN148" s="645"/>
      <c r="CO148" s="645"/>
      <c r="CP148" s="645"/>
      <c r="CQ148" s="645"/>
      <c r="CR148" s="645"/>
      <c r="CS148" s="645"/>
      <c r="CT148" s="645"/>
      <c r="CU148" s="645"/>
      <c r="CV148" s="645"/>
      <c r="CW148" s="645"/>
      <c r="CX148" s="645"/>
      <c r="CY148" s="645"/>
      <c r="CZ148" s="645"/>
      <c r="DA148" s="645"/>
      <c r="DB148" s="645"/>
      <c r="DC148" s="645"/>
      <c r="DD148" s="645"/>
      <c r="DE148" s="645"/>
      <c r="DF148" s="645"/>
      <c r="DG148" s="645"/>
      <c r="DH148" s="645"/>
      <c r="DI148" s="645"/>
      <c r="DJ148" s="645"/>
      <c r="DK148" s="645"/>
      <c r="DL148" s="645"/>
      <c r="DM148" s="645"/>
      <c r="DN148" s="645"/>
      <c r="DO148" s="645"/>
      <c r="DP148" s="645"/>
      <c r="DQ148" s="645"/>
      <c r="DR148" s="645"/>
      <c r="DS148" s="645"/>
      <c r="DT148" s="645"/>
      <c r="DU148" s="645"/>
      <c r="DV148" s="645"/>
      <c r="DW148" s="645"/>
      <c r="DX148" s="645"/>
      <c r="DY148" s="645"/>
      <c r="DZ148" s="645"/>
      <c r="EA148" s="645"/>
      <c r="EB148" s="645"/>
      <c r="EC148" s="645"/>
      <c r="ED148" s="645"/>
      <c r="EE148" s="645"/>
      <c r="EF148" s="645"/>
      <c r="EG148" s="645"/>
      <c r="EH148" s="645"/>
      <c r="EI148" s="645"/>
      <c r="EJ148" s="645"/>
      <c r="EK148" s="645"/>
      <c r="EL148" s="645"/>
      <c r="EM148" s="645"/>
      <c r="EN148" s="645"/>
      <c r="EO148" s="645"/>
      <c r="EP148" s="645"/>
      <c r="EQ148" s="645"/>
      <c r="ER148" s="645"/>
      <c r="ES148" s="645"/>
      <c r="ET148" s="645"/>
      <c r="EU148" s="645"/>
      <c r="EV148" s="645"/>
      <c r="EW148" s="645"/>
      <c r="EX148" s="645"/>
      <c r="EY148" s="645"/>
      <c r="EZ148" s="645"/>
      <c r="FA148" s="645"/>
      <c r="FB148" s="645"/>
      <c r="FC148" s="645"/>
      <c r="FD148" s="645"/>
      <c r="FE148" s="645"/>
      <c r="FF148" s="645"/>
      <c r="FG148" s="645"/>
      <c r="FH148" s="645"/>
      <c r="FI148" s="645"/>
      <c r="FJ148" s="645"/>
      <c r="FK148" s="645"/>
      <c r="FL148" s="645"/>
      <c r="FM148" s="645"/>
      <c r="FN148" s="645"/>
      <c r="FO148" s="645"/>
      <c r="FP148" s="645"/>
      <c r="FQ148" s="645"/>
      <c r="FR148" s="645"/>
      <c r="FS148" s="645"/>
      <c r="FT148" s="645"/>
      <c r="FU148" s="645"/>
      <c r="FV148" s="645"/>
      <c r="FW148" s="645"/>
      <c r="FX148" s="645"/>
      <c r="FY148" s="645"/>
      <c r="FZ148" s="645"/>
      <c r="GA148" s="645"/>
      <c r="GB148" s="645"/>
      <c r="GC148" s="645"/>
      <c r="GD148" s="645"/>
      <c r="GE148" s="645"/>
      <c r="GF148" s="645"/>
      <c r="GG148" s="645"/>
      <c r="GH148" s="645"/>
      <c r="GI148" s="645"/>
      <c r="GJ148" s="645"/>
      <c r="GK148" s="645"/>
      <c r="GL148" s="645"/>
      <c r="GM148" s="645"/>
      <c r="GN148" s="645"/>
      <c r="GO148" s="645"/>
      <c r="GP148" s="645"/>
      <c r="GQ148" s="645"/>
      <c r="GR148" s="645"/>
      <c r="GS148" s="645"/>
      <c r="GT148" s="645"/>
      <c r="GU148" s="645"/>
      <c r="GV148" s="645"/>
      <c r="GW148" s="645"/>
      <c r="GX148" s="645"/>
      <c r="GY148" s="645"/>
      <c r="GZ148" s="645"/>
      <c r="HA148" s="645"/>
      <c r="HB148" s="645"/>
      <c r="HC148" s="645"/>
      <c r="HD148" s="645"/>
      <c r="HE148" s="645"/>
      <c r="HF148" s="645"/>
      <c r="HG148" s="645"/>
      <c r="HH148" s="645"/>
      <c r="HI148" s="645"/>
      <c r="HJ148" s="645"/>
      <c r="HK148" s="645"/>
      <c r="HL148" s="645"/>
      <c r="HM148" s="645"/>
      <c r="HN148" s="645"/>
      <c r="HO148" s="645"/>
      <c r="HP148" s="645"/>
      <c r="HQ148" s="645"/>
      <c r="HR148" s="645"/>
      <c r="HS148" s="645"/>
      <c r="HT148" s="645"/>
      <c r="HU148" s="645"/>
      <c r="HV148" s="645"/>
      <c r="HW148" s="645"/>
      <c r="HX148" s="645"/>
    </row>
    <row r="149" spans="1:234" ht="31.5" x14ac:dyDescent="0.25">
      <c r="B149" s="1074" t="s">
        <v>1328</v>
      </c>
      <c r="C149" s="1159" t="s">
        <v>1329</v>
      </c>
      <c r="D149" s="1160" t="s">
        <v>912</v>
      </c>
      <c r="E149" s="1161">
        <v>0</v>
      </c>
      <c r="F149" s="508">
        <v>76000</v>
      </c>
      <c r="G149" s="1079"/>
      <c r="H149" s="1162">
        <v>22</v>
      </c>
      <c r="I149" s="1161">
        <v>22</v>
      </c>
      <c r="J149" s="1163">
        <v>1672000</v>
      </c>
      <c r="K149" s="1081"/>
      <c r="L149" s="1164"/>
      <c r="M149" s="781"/>
      <c r="N149" s="488"/>
      <c r="O149" s="1029"/>
      <c r="P149" s="1165"/>
      <c r="Q149" s="781"/>
      <c r="R149" s="1165"/>
      <c r="S149" s="1023"/>
      <c r="T149" s="645"/>
      <c r="U149" s="645"/>
      <c r="V149" s="645"/>
      <c r="W149" s="645"/>
      <c r="X149" s="645"/>
      <c r="Y149" s="645"/>
      <c r="Z149" s="645"/>
      <c r="AA149" s="645"/>
      <c r="AB149" s="645"/>
      <c r="AC149" s="645"/>
      <c r="AD149" s="645"/>
      <c r="AE149" s="645"/>
      <c r="AF149" s="645"/>
      <c r="AG149" s="645"/>
      <c r="AH149" s="645"/>
      <c r="AI149" s="645"/>
      <c r="AJ149" s="645"/>
      <c r="AK149" s="645"/>
      <c r="AL149" s="645"/>
      <c r="AM149" s="645"/>
      <c r="AN149" s="645"/>
      <c r="AO149" s="645"/>
      <c r="AP149" s="645"/>
      <c r="AQ149" s="645"/>
      <c r="AR149" s="645"/>
      <c r="AS149" s="645"/>
      <c r="AT149" s="645"/>
      <c r="AU149" s="645"/>
      <c r="AV149" s="645"/>
      <c r="AW149" s="645"/>
      <c r="AX149" s="645"/>
      <c r="AY149" s="645"/>
      <c r="AZ149" s="645"/>
      <c r="BA149" s="645"/>
      <c r="BB149" s="645"/>
      <c r="BC149" s="645"/>
      <c r="BD149" s="645"/>
      <c r="BE149" s="645"/>
      <c r="BF149" s="645"/>
      <c r="BG149" s="645"/>
      <c r="BH149" s="645"/>
      <c r="BI149" s="645"/>
      <c r="BJ149" s="645"/>
      <c r="BK149" s="645"/>
      <c r="BL149" s="645"/>
      <c r="BM149" s="645"/>
      <c r="BN149" s="645"/>
      <c r="BO149" s="645"/>
      <c r="BP149" s="645"/>
      <c r="BQ149" s="645"/>
      <c r="BR149" s="645"/>
      <c r="BS149" s="645"/>
      <c r="BT149" s="645"/>
      <c r="BU149" s="645"/>
      <c r="BV149" s="645"/>
      <c r="BW149" s="645"/>
      <c r="BX149" s="645"/>
      <c r="BY149" s="645"/>
      <c r="BZ149" s="645"/>
      <c r="CA149" s="645"/>
      <c r="CB149" s="645"/>
      <c r="CC149" s="645"/>
      <c r="CD149" s="645"/>
      <c r="CE149" s="645"/>
      <c r="CF149" s="645"/>
      <c r="CG149" s="645"/>
      <c r="CH149" s="645"/>
      <c r="CI149" s="645"/>
      <c r="CJ149" s="645"/>
      <c r="CK149" s="645"/>
      <c r="CL149" s="645"/>
      <c r="CM149" s="645"/>
      <c r="CN149" s="645"/>
      <c r="CO149" s="645"/>
      <c r="CP149" s="645"/>
      <c r="CQ149" s="645"/>
      <c r="CR149" s="645"/>
      <c r="CS149" s="645"/>
      <c r="CT149" s="645"/>
      <c r="CU149" s="645"/>
      <c r="CV149" s="645"/>
      <c r="CW149" s="645"/>
      <c r="CX149" s="645"/>
      <c r="CY149" s="645"/>
      <c r="CZ149" s="645"/>
      <c r="DA149" s="645"/>
      <c r="DB149" s="645"/>
      <c r="DC149" s="645"/>
      <c r="DD149" s="645"/>
      <c r="DE149" s="645"/>
      <c r="DF149" s="645"/>
      <c r="DG149" s="645"/>
      <c r="DH149" s="645"/>
      <c r="DI149" s="645"/>
      <c r="DJ149" s="645"/>
      <c r="DK149" s="645"/>
      <c r="DL149" s="645"/>
      <c r="DM149" s="645"/>
      <c r="DN149" s="645"/>
      <c r="DO149" s="645"/>
      <c r="DP149" s="645"/>
      <c r="DQ149" s="645"/>
      <c r="DR149" s="645"/>
      <c r="DS149" s="645"/>
      <c r="DT149" s="645"/>
      <c r="DU149" s="645"/>
      <c r="DV149" s="645"/>
      <c r="DW149" s="645"/>
      <c r="DX149" s="645"/>
      <c r="DY149" s="645"/>
      <c r="DZ149" s="645"/>
      <c r="EA149" s="645"/>
      <c r="EB149" s="645"/>
      <c r="EC149" s="645"/>
      <c r="ED149" s="645"/>
      <c r="EE149" s="645"/>
      <c r="EF149" s="645"/>
      <c r="EG149" s="645"/>
      <c r="EH149" s="645"/>
      <c r="EI149" s="645"/>
      <c r="EJ149" s="645"/>
      <c r="EK149" s="645"/>
      <c r="EL149" s="645"/>
      <c r="EM149" s="645"/>
      <c r="EN149" s="645"/>
      <c r="EO149" s="645"/>
      <c r="EP149" s="645"/>
      <c r="EQ149" s="645"/>
      <c r="ER149" s="645"/>
      <c r="ES149" s="645"/>
      <c r="ET149" s="645"/>
      <c r="EU149" s="645"/>
      <c r="EV149" s="645"/>
      <c r="EW149" s="645"/>
      <c r="EX149" s="645"/>
      <c r="EY149" s="645"/>
      <c r="EZ149" s="645"/>
      <c r="FA149" s="645"/>
      <c r="FB149" s="645"/>
      <c r="FC149" s="645"/>
      <c r="FD149" s="645"/>
      <c r="FE149" s="645"/>
      <c r="FF149" s="645"/>
      <c r="FG149" s="645"/>
      <c r="FH149" s="645"/>
      <c r="FI149" s="645"/>
      <c r="FJ149" s="645"/>
      <c r="FK149" s="645"/>
      <c r="FL149" s="645"/>
      <c r="FM149" s="645"/>
      <c r="FN149" s="645"/>
      <c r="FO149" s="645"/>
      <c r="FP149" s="645"/>
      <c r="FQ149" s="645"/>
      <c r="FR149" s="645"/>
      <c r="FS149" s="645"/>
      <c r="FT149" s="645"/>
      <c r="FU149" s="645"/>
      <c r="FV149" s="645"/>
      <c r="FW149" s="645"/>
      <c r="FX149" s="645"/>
      <c r="FY149" s="645"/>
      <c r="FZ149" s="645"/>
      <c r="GA149" s="645"/>
      <c r="GB149" s="645"/>
      <c r="GC149" s="645"/>
      <c r="GD149" s="645"/>
      <c r="GE149" s="645"/>
      <c r="GF149" s="645"/>
      <c r="GG149" s="645"/>
      <c r="GH149" s="645"/>
      <c r="GI149" s="645"/>
      <c r="GJ149" s="645"/>
      <c r="GK149" s="645"/>
      <c r="GL149" s="645"/>
      <c r="GM149" s="645"/>
      <c r="GN149" s="645"/>
      <c r="GO149" s="645"/>
      <c r="GP149" s="645"/>
      <c r="GQ149" s="645"/>
      <c r="GR149" s="645"/>
      <c r="GS149" s="645"/>
      <c r="GT149" s="645"/>
      <c r="GU149" s="645"/>
      <c r="GV149" s="645"/>
      <c r="GW149" s="645"/>
      <c r="GX149" s="645"/>
      <c r="GY149" s="645"/>
      <c r="GZ149" s="645"/>
      <c r="HA149" s="645"/>
      <c r="HB149" s="645"/>
      <c r="HC149" s="645"/>
      <c r="HD149" s="645"/>
      <c r="HE149" s="645"/>
      <c r="HF149" s="645"/>
      <c r="HG149" s="645"/>
      <c r="HH149" s="645"/>
      <c r="HI149" s="645"/>
      <c r="HJ149" s="645"/>
      <c r="HK149" s="645"/>
      <c r="HL149" s="645"/>
      <c r="HM149" s="645"/>
      <c r="HN149" s="645"/>
      <c r="HO149" s="645"/>
      <c r="HP149" s="645"/>
      <c r="HQ149" s="645"/>
      <c r="HR149" s="645"/>
      <c r="HS149" s="645"/>
      <c r="HT149" s="645"/>
      <c r="HU149" s="645"/>
      <c r="HV149" s="645"/>
      <c r="HW149" s="645"/>
      <c r="HX149" s="645"/>
    </row>
    <row r="150" spans="1:234" ht="15.75" x14ac:dyDescent="0.25">
      <c r="B150" s="1074" t="s">
        <v>1330</v>
      </c>
      <c r="C150" s="1159" t="s">
        <v>1331</v>
      </c>
      <c r="D150" s="1160" t="s">
        <v>912</v>
      </c>
      <c r="E150" s="1161">
        <v>0</v>
      </c>
      <c r="F150" s="508">
        <v>6800</v>
      </c>
      <c r="G150" s="1079"/>
      <c r="H150" s="1162">
        <v>44</v>
      </c>
      <c r="I150" s="1161">
        <v>44</v>
      </c>
      <c r="J150" s="1163">
        <v>299200</v>
      </c>
      <c r="K150" s="1081"/>
      <c r="L150" s="1164"/>
      <c r="M150" s="781"/>
      <c r="N150" s="488"/>
      <c r="O150" s="1029"/>
      <c r="P150" s="1165"/>
      <c r="Q150" s="781"/>
      <c r="R150" s="1165"/>
      <c r="S150" s="1023"/>
      <c r="T150" s="645"/>
      <c r="U150" s="645"/>
      <c r="V150" s="645"/>
      <c r="W150" s="645"/>
      <c r="X150" s="645"/>
      <c r="Y150" s="645"/>
      <c r="Z150" s="645"/>
      <c r="AA150" s="645"/>
      <c r="AB150" s="645"/>
      <c r="AC150" s="645"/>
      <c r="AD150" s="645"/>
      <c r="AE150" s="645"/>
      <c r="AF150" s="645"/>
      <c r="AG150" s="645"/>
      <c r="AH150" s="645"/>
      <c r="AI150" s="645"/>
      <c r="AJ150" s="645"/>
      <c r="AK150" s="645"/>
      <c r="AL150" s="645"/>
      <c r="AM150" s="645"/>
      <c r="AN150" s="645"/>
      <c r="AO150" s="645"/>
      <c r="AP150" s="645"/>
      <c r="AQ150" s="645"/>
      <c r="AR150" s="645"/>
      <c r="AS150" s="645"/>
      <c r="AT150" s="645"/>
      <c r="AU150" s="645"/>
      <c r="AV150" s="645"/>
      <c r="AW150" s="645"/>
      <c r="AX150" s="645"/>
      <c r="AY150" s="645"/>
      <c r="AZ150" s="645"/>
      <c r="BA150" s="645"/>
      <c r="BB150" s="645"/>
      <c r="BC150" s="645"/>
      <c r="BD150" s="645"/>
      <c r="BE150" s="645"/>
      <c r="BF150" s="645"/>
      <c r="BG150" s="645"/>
      <c r="BH150" s="645"/>
      <c r="BI150" s="645"/>
      <c r="BJ150" s="645"/>
      <c r="BK150" s="645"/>
      <c r="BL150" s="645"/>
      <c r="BM150" s="645"/>
      <c r="BN150" s="645"/>
      <c r="BO150" s="645"/>
      <c r="BP150" s="645"/>
      <c r="BQ150" s="645"/>
      <c r="BR150" s="645"/>
      <c r="BS150" s="645"/>
      <c r="BT150" s="645"/>
      <c r="BU150" s="645"/>
      <c r="BV150" s="645"/>
      <c r="BW150" s="645"/>
      <c r="BX150" s="645"/>
      <c r="BY150" s="645"/>
      <c r="BZ150" s="645"/>
      <c r="CA150" s="645"/>
      <c r="CB150" s="645"/>
      <c r="CC150" s="645"/>
      <c r="CD150" s="645"/>
      <c r="CE150" s="645"/>
      <c r="CF150" s="645"/>
      <c r="CG150" s="645"/>
      <c r="CH150" s="645"/>
      <c r="CI150" s="645"/>
      <c r="CJ150" s="645"/>
      <c r="CK150" s="645"/>
      <c r="CL150" s="645"/>
      <c r="CM150" s="645"/>
      <c r="CN150" s="645"/>
      <c r="CO150" s="645"/>
      <c r="CP150" s="645"/>
      <c r="CQ150" s="645"/>
      <c r="CR150" s="645"/>
      <c r="CS150" s="645"/>
      <c r="CT150" s="645"/>
      <c r="CU150" s="645"/>
      <c r="CV150" s="645"/>
      <c r="CW150" s="645"/>
      <c r="CX150" s="645"/>
      <c r="CY150" s="645"/>
      <c r="CZ150" s="645"/>
      <c r="DA150" s="645"/>
      <c r="DB150" s="645"/>
      <c r="DC150" s="645"/>
      <c r="DD150" s="645"/>
      <c r="DE150" s="645"/>
      <c r="DF150" s="645"/>
      <c r="DG150" s="645"/>
      <c r="DH150" s="645"/>
      <c r="DI150" s="645"/>
      <c r="DJ150" s="645"/>
      <c r="DK150" s="645"/>
      <c r="DL150" s="645"/>
      <c r="DM150" s="645"/>
      <c r="DN150" s="645"/>
      <c r="DO150" s="645"/>
      <c r="DP150" s="645"/>
      <c r="DQ150" s="645"/>
      <c r="DR150" s="645"/>
      <c r="DS150" s="645"/>
      <c r="DT150" s="645"/>
      <c r="DU150" s="645"/>
      <c r="DV150" s="645"/>
      <c r="DW150" s="645"/>
      <c r="DX150" s="645"/>
      <c r="DY150" s="645"/>
      <c r="DZ150" s="645"/>
      <c r="EA150" s="645"/>
      <c r="EB150" s="645"/>
      <c r="EC150" s="645"/>
      <c r="ED150" s="645"/>
      <c r="EE150" s="645"/>
      <c r="EF150" s="645"/>
      <c r="EG150" s="645"/>
      <c r="EH150" s="645"/>
      <c r="EI150" s="645"/>
      <c r="EJ150" s="645"/>
      <c r="EK150" s="645"/>
      <c r="EL150" s="645"/>
      <c r="EM150" s="645"/>
      <c r="EN150" s="645"/>
      <c r="EO150" s="645"/>
      <c r="EP150" s="645"/>
      <c r="EQ150" s="645"/>
      <c r="ER150" s="645"/>
      <c r="ES150" s="645"/>
      <c r="ET150" s="645"/>
      <c r="EU150" s="645"/>
      <c r="EV150" s="645"/>
      <c r="EW150" s="645"/>
      <c r="EX150" s="645"/>
      <c r="EY150" s="645"/>
      <c r="EZ150" s="645"/>
      <c r="FA150" s="645"/>
      <c r="FB150" s="645"/>
      <c r="FC150" s="645"/>
      <c r="FD150" s="645"/>
      <c r="FE150" s="645"/>
      <c r="FF150" s="645"/>
      <c r="FG150" s="645"/>
      <c r="FH150" s="645"/>
      <c r="FI150" s="645"/>
      <c r="FJ150" s="645"/>
      <c r="FK150" s="645"/>
      <c r="FL150" s="645"/>
      <c r="FM150" s="645"/>
      <c r="FN150" s="645"/>
      <c r="FO150" s="645"/>
      <c r="FP150" s="645"/>
      <c r="FQ150" s="645"/>
      <c r="FR150" s="645"/>
      <c r="FS150" s="645"/>
      <c r="FT150" s="645"/>
      <c r="FU150" s="645"/>
      <c r="FV150" s="645"/>
      <c r="FW150" s="645"/>
      <c r="FX150" s="645"/>
      <c r="FY150" s="645"/>
      <c r="FZ150" s="645"/>
      <c r="GA150" s="645"/>
      <c r="GB150" s="645"/>
      <c r="GC150" s="645"/>
      <c r="GD150" s="645"/>
      <c r="GE150" s="645"/>
      <c r="GF150" s="645"/>
      <c r="GG150" s="645"/>
      <c r="GH150" s="645"/>
      <c r="GI150" s="645"/>
      <c r="GJ150" s="645"/>
      <c r="GK150" s="645"/>
      <c r="GL150" s="645"/>
      <c r="GM150" s="645"/>
      <c r="GN150" s="645"/>
      <c r="GO150" s="645"/>
      <c r="GP150" s="645"/>
      <c r="GQ150" s="645"/>
      <c r="GR150" s="645"/>
      <c r="GS150" s="645"/>
      <c r="GT150" s="645"/>
      <c r="GU150" s="645"/>
      <c r="GV150" s="645"/>
      <c r="GW150" s="645"/>
      <c r="GX150" s="645"/>
      <c r="GY150" s="645"/>
      <c r="GZ150" s="645"/>
      <c r="HA150" s="645"/>
      <c r="HB150" s="645"/>
      <c r="HC150" s="645"/>
      <c r="HD150" s="645"/>
      <c r="HE150" s="645"/>
      <c r="HF150" s="645"/>
      <c r="HG150" s="645"/>
      <c r="HH150" s="645"/>
      <c r="HI150" s="645"/>
      <c r="HJ150" s="645"/>
      <c r="HK150" s="645"/>
      <c r="HL150" s="645"/>
      <c r="HM150" s="645"/>
      <c r="HN150" s="645"/>
      <c r="HO150" s="645"/>
      <c r="HP150" s="645"/>
      <c r="HQ150" s="645"/>
      <c r="HR150" s="645"/>
      <c r="HS150" s="645"/>
      <c r="HT150" s="645"/>
      <c r="HU150" s="645"/>
      <c r="HV150" s="645"/>
      <c r="HW150" s="645"/>
      <c r="HX150" s="645"/>
    </row>
    <row r="151" spans="1:234" ht="48" thickBot="1" x14ac:dyDescent="0.3">
      <c r="B151" s="1135" t="s">
        <v>1332</v>
      </c>
      <c r="C151" s="1166" t="s">
        <v>1333</v>
      </c>
      <c r="D151" s="1167" t="s">
        <v>912</v>
      </c>
      <c r="E151" s="1168">
        <v>0</v>
      </c>
      <c r="F151" s="514">
        <v>449730.82247088139</v>
      </c>
      <c r="G151" s="1140"/>
      <c r="H151" s="1169">
        <v>81</v>
      </c>
      <c r="I151" s="1168">
        <v>81</v>
      </c>
      <c r="J151" s="1170">
        <v>36428196.620141394</v>
      </c>
      <c r="K151" s="1144"/>
      <c r="L151" s="1171"/>
      <c r="M151" s="1172"/>
      <c r="N151" s="1147"/>
      <c r="O151" s="1029"/>
      <c r="P151" s="1165"/>
      <c r="Q151" s="781"/>
      <c r="R151" s="1165"/>
      <c r="S151" s="1023"/>
      <c r="T151" s="645"/>
      <c r="U151" s="645"/>
      <c r="V151" s="645"/>
      <c r="W151" s="645"/>
      <c r="X151" s="645"/>
      <c r="Y151" s="645"/>
      <c r="Z151" s="645"/>
      <c r="AA151" s="645"/>
      <c r="AB151" s="645"/>
      <c r="AC151" s="645"/>
      <c r="AD151" s="645"/>
      <c r="AE151" s="645"/>
      <c r="AF151" s="645"/>
      <c r="AG151" s="645"/>
      <c r="AH151" s="645"/>
      <c r="AI151" s="645"/>
      <c r="AJ151" s="645"/>
      <c r="AK151" s="645"/>
      <c r="AL151" s="645"/>
      <c r="AM151" s="645"/>
      <c r="AN151" s="645"/>
      <c r="AO151" s="645"/>
      <c r="AP151" s="645"/>
      <c r="AQ151" s="645"/>
      <c r="AR151" s="645"/>
      <c r="AS151" s="645"/>
      <c r="AT151" s="645"/>
      <c r="AU151" s="645"/>
      <c r="AV151" s="645"/>
      <c r="AW151" s="645"/>
      <c r="AX151" s="645"/>
      <c r="AY151" s="645"/>
      <c r="AZ151" s="645"/>
      <c r="BA151" s="645"/>
      <c r="BB151" s="645"/>
      <c r="BC151" s="645"/>
      <c r="BD151" s="645"/>
      <c r="BE151" s="645"/>
      <c r="BF151" s="645"/>
      <c r="BG151" s="645"/>
      <c r="BH151" s="645"/>
      <c r="BI151" s="645"/>
      <c r="BJ151" s="645"/>
      <c r="BK151" s="645"/>
      <c r="BL151" s="645"/>
      <c r="BM151" s="645"/>
      <c r="BN151" s="645"/>
      <c r="BO151" s="645"/>
      <c r="BP151" s="645"/>
      <c r="BQ151" s="645"/>
      <c r="BR151" s="645"/>
      <c r="BS151" s="645"/>
      <c r="BT151" s="645"/>
      <c r="BU151" s="645"/>
      <c r="BV151" s="645"/>
      <c r="BW151" s="645"/>
      <c r="BX151" s="645"/>
      <c r="BY151" s="645"/>
      <c r="BZ151" s="645"/>
      <c r="CA151" s="645"/>
      <c r="CB151" s="645"/>
      <c r="CC151" s="645"/>
      <c r="CD151" s="645"/>
      <c r="CE151" s="645"/>
      <c r="CF151" s="645"/>
      <c r="CG151" s="645"/>
      <c r="CH151" s="645"/>
      <c r="CI151" s="645"/>
      <c r="CJ151" s="645"/>
      <c r="CK151" s="645"/>
      <c r="CL151" s="645"/>
      <c r="CM151" s="645"/>
      <c r="CN151" s="645"/>
      <c r="CO151" s="645"/>
      <c r="CP151" s="645"/>
      <c r="CQ151" s="645"/>
      <c r="CR151" s="645"/>
      <c r="CS151" s="645"/>
      <c r="CT151" s="645"/>
      <c r="CU151" s="645"/>
      <c r="CV151" s="645"/>
      <c r="CW151" s="645"/>
      <c r="CX151" s="645"/>
      <c r="CY151" s="645"/>
      <c r="CZ151" s="645"/>
      <c r="DA151" s="645"/>
      <c r="DB151" s="645"/>
      <c r="DC151" s="645"/>
      <c r="DD151" s="645"/>
      <c r="DE151" s="645"/>
      <c r="DF151" s="645"/>
      <c r="DG151" s="645"/>
      <c r="DH151" s="645"/>
      <c r="DI151" s="645"/>
      <c r="DJ151" s="645"/>
      <c r="DK151" s="645"/>
      <c r="DL151" s="645"/>
      <c r="DM151" s="645"/>
      <c r="DN151" s="645"/>
      <c r="DO151" s="645"/>
      <c r="DP151" s="645"/>
      <c r="DQ151" s="645"/>
      <c r="DR151" s="645"/>
      <c r="DS151" s="645"/>
      <c r="DT151" s="645"/>
      <c r="DU151" s="645"/>
      <c r="DV151" s="645"/>
      <c r="DW151" s="645"/>
      <c r="DX151" s="645"/>
      <c r="DY151" s="645"/>
      <c r="DZ151" s="645"/>
      <c r="EA151" s="645"/>
      <c r="EB151" s="645"/>
      <c r="EC151" s="645"/>
      <c r="ED151" s="645"/>
      <c r="EE151" s="645"/>
      <c r="EF151" s="645"/>
      <c r="EG151" s="645"/>
      <c r="EH151" s="645"/>
      <c r="EI151" s="645"/>
      <c r="EJ151" s="645"/>
      <c r="EK151" s="645"/>
      <c r="EL151" s="645"/>
      <c r="EM151" s="645"/>
      <c r="EN151" s="645"/>
      <c r="EO151" s="645"/>
      <c r="EP151" s="645"/>
      <c r="EQ151" s="645"/>
      <c r="ER151" s="645"/>
      <c r="ES151" s="645"/>
      <c r="ET151" s="645"/>
      <c r="EU151" s="645"/>
      <c r="EV151" s="645"/>
      <c r="EW151" s="645"/>
      <c r="EX151" s="645"/>
      <c r="EY151" s="645"/>
      <c r="EZ151" s="645"/>
      <c r="FA151" s="645"/>
      <c r="FB151" s="645"/>
      <c r="FC151" s="645"/>
      <c r="FD151" s="645"/>
      <c r="FE151" s="645"/>
      <c r="FF151" s="645"/>
      <c r="FG151" s="645"/>
      <c r="FH151" s="645"/>
      <c r="FI151" s="645"/>
      <c r="FJ151" s="645"/>
      <c r="FK151" s="645"/>
      <c r="FL151" s="645"/>
      <c r="FM151" s="645"/>
      <c r="FN151" s="645"/>
      <c r="FO151" s="645"/>
      <c r="FP151" s="645"/>
      <c r="FQ151" s="645"/>
      <c r="FR151" s="645"/>
      <c r="FS151" s="645"/>
      <c r="FT151" s="645"/>
      <c r="FU151" s="645"/>
      <c r="FV151" s="645"/>
      <c r="FW151" s="645"/>
      <c r="FX151" s="645"/>
      <c r="FY151" s="645"/>
      <c r="FZ151" s="645"/>
      <c r="GA151" s="645"/>
      <c r="GB151" s="645"/>
      <c r="GC151" s="645"/>
      <c r="GD151" s="645"/>
      <c r="GE151" s="645"/>
      <c r="GF151" s="645"/>
      <c r="GG151" s="645"/>
      <c r="GH151" s="645"/>
      <c r="GI151" s="645"/>
      <c r="GJ151" s="645"/>
      <c r="GK151" s="645"/>
      <c r="GL151" s="645"/>
      <c r="GM151" s="645"/>
      <c r="GN151" s="645"/>
      <c r="GO151" s="645"/>
      <c r="GP151" s="645"/>
      <c r="GQ151" s="645"/>
      <c r="GR151" s="645"/>
      <c r="GS151" s="645"/>
      <c r="GT151" s="645"/>
      <c r="GU151" s="645"/>
      <c r="GV151" s="645"/>
      <c r="GW151" s="645"/>
      <c r="GX151" s="645"/>
      <c r="GY151" s="645"/>
      <c r="GZ151" s="645"/>
      <c r="HA151" s="645"/>
      <c r="HB151" s="645"/>
      <c r="HC151" s="645"/>
      <c r="HD151" s="645"/>
      <c r="HE151" s="645"/>
      <c r="HF151" s="645"/>
      <c r="HG151" s="645"/>
      <c r="HH151" s="645"/>
      <c r="HI151" s="645"/>
      <c r="HJ151" s="645"/>
      <c r="HK151" s="645"/>
      <c r="HL151" s="645"/>
      <c r="HM151" s="645"/>
      <c r="HN151" s="645"/>
      <c r="HO151" s="645"/>
      <c r="HP151" s="645"/>
      <c r="HQ151" s="645"/>
      <c r="HR151" s="645"/>
      <c r="HS151" s="645"/>
      <c r="HT151" s="645"/>
      <c r="HU151" s="645"/>
      <c r="HV151" s="645"/>
      <c r="HW151" s="645"/>
      <c r="HX151" s="645"/>
    </row>
    <row r="152" spans="1:234" ht="30.75" x14ac:dyDescent="0.3">
      <c r="B152" s="1173"/>
      <c r="C152" s="2200" t="s">
        <v>915</v>
      </c>
      <c r="D152" s="2200"/>
      <c r="E152" s="2200"/>
      <c r="F152" s="1174"/>
      <c r="G152" s="1175">
        <v>6614237</v>
      </c>
      <c r="H152" s="1176"/>
      <c r="I152" s="1177"/>
      <c r="J152" s="1178">
        <v>337931992.06034142</v>
      </c>
      <c r="K152" s="1179"/>
      <c r="L152" s="1180" t="s">
        <v>915</v>
      </c>
      <c r="M152" s="1174"/>
      <c r="N152" s="1181">
        <v>82490920</v>
      </c>
      <c r="O152" s="1181"/>
      <c r="P152" s="1182">
        <v>175925784.5984</v>
      </c>
      <c r="Q152" s="1181"/>
      <c r="R152" s="1182">
        <v>27618222</v>
      </c>
      <c r="S152" s="1183"/>
      <c r="T152" s="645"/>
      <c r="U152" s="645"/>
      <c r="V152" s="645"/>
      <c r="W152" s="645"/>
      <c r="X152" s="645"/>
      <c r="Y152" s="645"/>
      <c r="Z152" s="645"/>
      <c r="AA152" s="645"/>
      <c r="AB152" s="645"/>
      <c r="AC152" s="645"/>
      <c r="AD152" s="645"/>
      <c r="AE152" s="645"/>
      <c r="AF152" s="645"/>
      <c r="AG152" s="645"/>
      <c r="AH152" s="645"/>
      <c r="AI152" s="645"/>
      <c r="AJ152" s="645"/>
      <c r="AK152" s="645"/>
      <c r="AL152" s="645"/>
      <c r="AM152" s="645"/>
      <c r="AN152" s="645"/>
      <c r="AO152" s="645"/>
      <c r="AP152" s="645"/>
      <c r="AQ152" s="645"/>
      <c r="AR152" s="645"/>
      <c r="AS152" s="645"/>
      <c r="AT152" s="645"/>
      <c r="AU152" s="645"/>
      <c r="AV152" s="645"/>
      <c r="AW152" s="645"/>
      <c r="AX152" s="645"/>
      <c r="AY152" s="645"/>
      <c r="AZ152" s="645"/>
      <c r="BA152" s="645"/>
      <c r="BB152" s="645"/>
      <c r="BC152" s="645"/>
      <c r="BD152" s="645"/>
      <c r="BE152" s="645"/>
      <c r="BF152" s="645"/>
      <c r="BG152" s="645"/>
      <c r="BH152" s="645"/>
      <c r="BI152" s="645"/>
      <c r="BJ152" s="645"/>
      <c r="BK152" s="645"/>
      <c r="BL152" s="645"/>
      <c r="BM152" s="645"/>
      <c r="BN152" s="645"/>
      <c r="BO152" s="645"/>
      <c r="BP152" s="645"/>
      <c r="BQ152" s="645"/>
      <c r="BR152" s="645"/>
      <c r="BS152" s="645"/>
      <c r="BT152" s="645"/>
      <c r="BU152" s="645"/>
      <c r="BV152" s="645"/>
      <c r="BW152" s="645"/>
      <c r="BX152" s="645"/>
      <c r="BY152" s="645"/>
      <c r="BZ152" s="645"/>
      <c r="CA152" s="645"/>
      <c r="CB152" s="645"/>
      <c r="CC152" s="645"/>
      <c r="CD152" s="645"/>
      <c r="CE152" s="645"/>
      <c r="CF152" s="645"/>
      <c r="CG152" s="645"/>
      <c r="CH152" s="645"/>
      <c r="CI152" s="645"/>
      <c r="CJ152" s="645"/>
      <c r="CK152" s="645"/>
      <c r="CL152" s="645"/>
      <c r="CM152" s="645"/>
      <c r="CN152" s="645"/>
      <c r="CO152" s="645"/>
      <c r="CP152" s="645"/>
      <c r="CQ152" s="645"/>
      <c r="CR152" s="645"/>
      <c r="CS152" s="645"/>
      <c r="CT152" s="645"/>
      <c r="CU152" s="645"/>
      <c r="CV152" s="645"/>
      <c r="CW152" s="645"/>
      <c r="CX152" s="645"/>
      <c r="CY152" s="645"/>
      <c r="CZ152" s="645"/>
      <c r="DA152" s="645"/>
      <c r="DB152" s="645"/>
      <c r="DC152" s="645"/>
      <c r="DD152" s="645"/>
      <c r="DE152" s="645"/>
      <c r="DF152" s="645"/>
      <c r="DG152" s="645"/>
      <c r="DH152" s="645"/>
      <c r="DI152" s="645"/>
      <c r="DJ152" s="645"/>
      <c r="DK152" s="645"/>
      <c r="DL152" s="645"/>
      <c r="DM152" s="645"/>
      <c r="DN152" s="645"/>
      <c r="DO152" s="645"/>
      <c r="DP152" s="645"/>
      <c r="DQ152" s="645"/>
      <c r="DR152" s="645"/>
      <c r="DS152" s="645"/>
      <c r="DT152" s="645"/>
      <c r="DU152" s="645"/>
      <c r="DV152" s="645"/>
      <c r="DW152" s="645"/>
      <c r="DX152" s="645"/>
      <c r="DY152" s="645"/>
      <c r="DZ152" s="645"/>
      <c r="EA152" s="645"/>
      <c r="EB152" s="645"/>
      <c r="EC152" s="645"/>
      <c r="ED152" s="645"/>
      <c r="EE152" s="645"/>
      <c r="EF152" s="645"/>
      <c r="EG152" s="645"/>
      <c r="EH152" s="645"/>
      <c r="EI152" s="645"/>
      <c r="EJ152" s="645"/>
      <c r="EK152" s="645"/>
      <c r="EL152" s="645"/>
      <c r="EM152" s="645"/>
      <c r="EN152" s="645"/>
      <c r="EO152" s="645"/>
      <c r="EP152" s="645"/>
      <c r="EQ152" s="645"/>
      <c r="ER152" s="645"/>
      <c r="ES152" s="645"/>
      <c r="ET152" s="645"/>
      <c r="EU152" s="645"/>
      <c r="EV152" s="645"/>
      <c r="EW152" s="645"/>
      <c r="EX152" s="645"/>
      <c r="EY152" s="645"/>
      <c r="EZ152" s="645"/>
      <c r="FA152" s="645"/>
      <c r="FB152" s="645"/>
      <c r="FC152" s="645"/>
      <c r="FD152" s="645"/>
      <c r="FE152" s="645"/>
      <c r="FF152" s="645"/>
      <c r="FG152" s="645"/>
      <c r="FH152" s="645"/>
      <c r="FI152" s="645"/>
      <c r="FJ152" s="645"/>
      <c r="FK152" s="645"/>
      <c r="FL152" s="645"/>
      <c r="FM152" s="645"/>
      <c r="FN152" s="645"/>
      <c r="FO152" s="645"/>
      <c r="FP152" s="645"/>
      <c r="FQ152" s="645"/>
      <c r="FR152" s="645"/>
      <c r="FS152" s="645"/>
      <c r="FT152" s="645"/>
      <c r="FU152" s="645"/>
      <c r="FV152" s="645"/>
      <c r="FW152" s="645"/>
      <c r="FX152" s="645"/>
      <c r="FY152" s="645"/>
      <c r="FZ152" s="645"/>
      <c r="GA152" s="645"/>
      <c r="GB152" s="645"/>
      <c r="GC152" s="645"/>
      <c r="GD152" s="645"/>
      <c r="GE152" s="645"/>
      <c r="GF152" s="645"/>
      <c r="GG152" s="645"/>
      <c r="GH152" s="645"/>
      <c r="GI152" s="645"/>
      <c r="GJ152" s="645"/>
      <c r="GK152" s="645"/>
      <c r="GL152" s="645"/>
      <c r="GM152" s="645"/>
      <c r="GN152" s="645"/>
      <c r="GO152" s="645"/>
      <c r="GP152" s="645"/>
      <c r="GQ152" s="645"/>
      <c r="GR152" s="645"/>
      <c r="GS152" s="645"/>
      <c r="GT152" s="645"/>
      <c r="GU152" s="645"/>
      <c r="GV152" s="645"/>
      <c r="GW152" s="645"/>
      <c r="GX152" s="645"/>
      <c r="GY152" s="645"/>
      <c r="GZ152" s="645"/>
      <c r="HA152" s="645"/>
      <c r="HB152" s="645"/>
      <c r="HC152" s="645"/>
      <c r="HD152" s="645"/>
      <c r="HE152" s="645"/>
      <c r="HF152" s="645"/>
      <c r="HG152" s="645"/>
      <c r="HH152" s="645"/>
      <c r="HI152" s="645"/>
      <c r="HJ152" s="645"/>
      <c r="HK152" s="645"/>
      <c r="HL152" s="645"/>
      <c r="HM152" s="645"/>
      <c r="HN152" s="645"/>
      <c r="HO152" s="645"/>
      <c r="HP152" s="645"/>
      <c r="HQ152" s="645"/>
      <c r="HR152" s="645"/>
      <c r="HS152" s="645"/>
      <c r="HT152" s="645"/>
      <c r="HU152" s="645"/>
      <c r="HV152" s="645"/>
      <c r="HW152" s="645"/>
      <c r="HX152" s="645"/>
    </row>
    <row r="153" spans="1:234" ht="18.75" x14ac:dyDescent="0.3">
      <c r="B153" s="1074"/>
      <c r="C153" s="2201" t="s">
        <v>916</v>
      </c>
      <c r="D153" s="2201"/>
      <c r="E153" s="2201"/>
      <c r="F153" s="541">
        <v>0.17</v>
      </c>
      <c r="G153" s="1184">
        <v>1124420.29</v>
      </c>
      <c r="H153" s="1185"/>
      <c r="I153" s="1186">
        <v>0.17</v>
      </c>
      <c r="J153" s="1187">
        <v>57448438.650258042</v>
      </c>
      <c r="K153" s="1188"/>
      <c r="L153" s="1189" t="s">
        <v>916</v>
      </c>
      <c r="M153" s="541">
        <v>0.17</v>
      </c>
      <c r="N153" s="1190">
        <v>14023456.4</v>
      </c>
      <c r="O153" s="541">
        <v>0.17</v>
      </c>
      <c r="P153" s="1191">
        <v>29907383.381728001</v>
      </c>
      <c r="Q153" s="541">
        <v>0.17</v>
      </c>
      <c r="R153" s="1191">
        <v>4695097.74</v>
      </c>
      <c r="S153" s="645"/>
      <c r="T153" s="645"/>
      <c r="U153" s="645"/>
      <c r="V153" s="645"/>
      <c r="W153" s="645"/>
      <c r="X153" s="645"/>
      <c r="Y153" s="645"/>
      <c r="Z153" s="645"/>
      <c r="AA153" s="645"/>
      <c r="AB153" s="645"/>
      <c r="AC153" s="645"/>
      <c r="AD153" s="645"/>
      <c r="AE153" s="645"/>
      <c r="AF153" s="645"/>
      <c r="AG153" s="645"/>
      <c r="AH153" s="645"/>
      <c r="AI153" s="645"/>
      <c r="AJ153" s="645"/>
      <c r="AK153" s="645"/>
      <c r="AL153" s="645"/>
      <c r="AM153" s="645"/>
      <c r="AN153" s="645"/>
      <c r="AO153" s="645"/>
      <c r="AP153" s="645"/>
      <c r="AQ153" s="645"/>
      <c r="AR153" s="645"/>
      <c r="AS153" s="645"/>
      <c r="AT153" s="645"/>
      <c r="AU153" s="645"/>
      <c r="AV153" s="645"/>
      <c r="AW153" s="645"/>
      <c r="AX153" s="645"/>
      <c r="AY153" s="645"/>
      <c r="AZ153" s="645"/>
      <c r="BA153" s="645"/>
      <c r="BB153" s="645"/>
      <c r="BC153" s="645"/>
      <c r="BD153" s="645"/>
      <c r="BE153" s="645"/>
      <c r="BF153" s="645"/>
      <c r="BG153" s="645"/>
      <c r="BH153" s="645"/>
      <c r="BI153" s="645"/>
      <c r="BJ153" s="645"/>
      <c r="BK153" s="645"/>
      <c r="BL153" s="645"/>
      <c r="BM153" s="645"/>
      <c r="BN153" s="645"/>
      <c r="BO153" s="645"/>
      <c r="BP153" s="645"/>
      <c r="BQ153" s="645"/>
      <c r="BR153" s="645"/>
      <c r="BS153" s="645"/>
      <c r="BT153" s="645"/>
      <c r="BU153" s="645"/>
      <c r="BV153" s="645"/>
      <c r="BW153" s="645"/>
      <c r="BX153" s="645"/>
      <c r="BY153" s="645"/>
      <c r="BZ153" s="645"/>
      <c r="CA153" s="645"/>
      <c r="CB153" s="645"/>
      <c r="CC153" s="645"/>
      <c r="CD153" s="645"/>
      <c r="CE153" s="645"/>
      <c r="CF153" s="645"/>
      <c r="CG153" s="645"/>
      <c r="CH153" s="645"/>
      <c r="CI153" s="645"/>
      <c r="CJ153" s="645"/>
      <c r="CK153" s="645"/>
      <c r="CL153" s="645"/>
      <c r="CM153" s="645"/>
      <c r="CN153" s="645"/>
      <c r="CO153" s="645"/>
      <c r="CP153" s="645"/>
      <c r="CQ153" s="645"/>
      <c r="CR153" s="645"/>
      <c r="CS153" s="645"/>
      <c r="CT153" s="645"/>
      <c r="CU153" s="645"/>
      <c r="CV153" s="645"/>
      <c r="CW153" s="645"/>
      <c r="CX153" s="645"/>
      <c r="CY153" s="645"/>
      <c r="CZ153" s="645"/>
      <c r="DA153" s="645"/>
      <c r="DB153" s="645"/>
      <c r="DC153" s="645"/>
      <c r="DD153" s="645"/>
      <c r="DE153" s="645"/>
      <c r="DF153" s="645"/>
      <c r="DG153" s="645"/>
      <c r="DH153" s="645"/>
      <c r="DI153" s="645"/>
      <c r="DJ153" s="645"/>
      <c r="DK153" s="645"/>
      <c r="DL153" s="645"/>
      <c r="DM153" s="645"/>
      <c r="DN153" s="645"/>
      <c r="DO153" s="645"/>
      <c r="DP153" s="645"/>
      <c r="DQ153" s="645"/>
      <c r="DR153" s="645"/>
      <c r="DS153" s="645"/>
      <c r="DT153" s="645"/>
      <c r="DU153" s="645"/>
      <c r="DV153" s="645"/>
      <c r="DW153" s="645"/>
      <c r="DX153" s="645"/>
      <c r="DY153" s="645"/>
      <c r="DZ153" s="645"/>
      <c r="EA153" s="645"/>
      <c r="EB153" s="645"/>
      <c r="EC153" s="645"/>
      <c r="ED153" s="645"/>
      <c r="EE153" s="645"/>
      <c r="EF153" s="645"/>
      <c r="EG153" s="645"/>
      <c r="EH153" s="645"/>
      <c r="EI153" s="645"/>
      <c r="EJ153" s="645"/>
      <c r="EK153" s="645"/>
      <c r="EL153" s="645"/>
      <c r="EM153" s="645"/>
      <c r="EN153" s="645"/>
      <c r="EO153" s="645"/>
      <c r="EP153" s="645"/>
      <c r="EQ153" s="645"/>
      <c r="ER153" s="645"/>
      <c r="ES153" s="645"/>
      <c r="ET153" s="645"/>
      <c r="EU153" s="645"/>
      <c r="EV153" s="645"/>
      <c r="EW153" s="645"/>
      <c r="EX153" s="645"/>
      <c r="EY153" s="645"/>
      <c r="EZ153" s="645"/>
      <c r="FA153" s="645"/>
      <c r="FB153" s="645"/>
      <c r="FC153" s="645"/>
      <c r="FD153" s="645"/>
      <c r="FE153" s="645"/>
      <c r="FF153" s="645"/>
      <c r="FG153" s="645"/>
      <c r="FH153" s="645"/>
      <c r="FI153" s="645"/>
      <c r="FJ153" s="645"/>
      <c r="FK153" s="645"/>
      <c r="FL153" s="645"/>
      <c r="FM153" s="645"/>
      <c r="FN153" s="645"/>
      <c r="FO153" s="645"/>
      <c r="FP153" s="645"/>
      <c r="FQ153" s="645"/>
      <c r="FR153" s="645"/>
      <c r="FS153" s="645"/>
      <c r="FT153" s="645"/>
      <c r="FU153" s="645"/>
      <c r="FV153" s="645"/>
      <c r="FW153" s="645"/>
      <c r="FX153" s="645"/>
      <c r="FY153" s="645"/>
      <c r="FZ153" s="645"/>
      <c r="GA153" s="645"/>
      <c r="GB153" s="645"/>
      <c r="GC153" s="645"/>
      <c r="GD153" s="645"/>
      <c r="GE153" s="645"/>
      <c r="GF153" s="645"/>
      <c r="GG153" s="645"/>
      <c r="GH153" s="645"/>
      <c r="GI153" s="645"/>
      <c r="GJ153" s="645"/>
      <c r="GK153" s="645"/>
      <c r="GL153" s="645"/>
      <c r="GM153" s="645"/>
      <c r="GN153" s="645"/>
      <c r="GO153" s="645"/>
      <c r="GP153" s="645"/>
      <c r="GQ153" s="645"/>
      <c r="GR153" s="645"/>
      <c r="GS153" s="645"/>
      <c r="GT153" s="645"/>
      <c r="GU153" s="645"/>
      <c r="GV153" s="645"/>
      <c r="GW153" s="645"/>
      <c r="GX153" s="645"/>
      <c r="GY153" s="645"/>
      <c r="GZ153" s="645"/>
      <c r="HA153" s="645"/>
      <c r="HB153" s="645"/>
      <c r="HC153" s="645"/>
      <c r="HD153" s="645"/>
      <c r="HE153" s="645"/>
      <c r="HF153" s="645"/>
      <c r="HG153" s="645"/>
      <c r="HH153" s="645"/>
      <c r="HI153" s="645"/>
      <c r="HJ153" s="645"/>
      <c r="HK153" s="645"/>
      <c r="HL153" s="645"/>
      <c r="HM153" s="645"/>
      <c r="HN153" s="645"/>
      <c r="HO153" s="645"/>
      <c r="HP153" s="645"/>
      <c r="HQ153" s="645"/>
      <c r="HR153" s="645"/>
      <c r="HS153" s="645"/>
      <c r="HT153" s="645"/>
      <c r="HU153" s="645"/>
      <c r="HV153" s="645"/>
      <c r="HW153" s="645"/>
      <c r="HX153" s="645"/>
    </row>
    <row r="154" spans="1:234" ht="18.75" x14ac:dyDescent="0.3">
      <c r="B154" s="1074"/>
      <c r="C154" s="2201" t="s">
        <v>198</v>
      </c>
      <c r="D154" s="2201"/>
      <c r="E154" s="2201"/>
      <c r="F154" s="541">
        <v>0.03</v>
      </c>
      <c r="G154" s="1184">
        <v>198427.11</v>
      </c>
      <c r="H154" s="1185"/>
      <c r="I154" s="1186">
        <v>0.03</v>
      </c>
      <c r="J154" s="1187">
        <v>10137959.761810241</v>
      </c>
      <c r="K154" s="1188"/>
      <c r="L154" s="1189" t="s">
        <v>198</v>
      </c>
      <c r="M154" s="541">
        <v>0.03</v>
      </c>
      <c r="N154" s="1190">
        <v>2474727.6</v>
      </c>
      <c r="O154" s="541">
        <v>0.03</v>
      </c>
      <c r="P154" s="1191">
        <v>5277773.5379519993</v>
      </c>
      <c r="Q154" s="541">
        <v>0.03</v>
      </c>
      <c r="R154" s="1191">
        <v>828546.65999999992</v>
      </c>
      <c r="S154" s="645"/>
      <c r="T154" s="645"/>
      <c r="U154" s="645"/>
      <c r="V154" s="645"/>
      <c r="W154" s="645"/>
      <c r="X154" s="645"/>
      <c r="Y154" s="645"/>
      <c r="Z154" s="645"/>
      <c r="AA154" s="645"/>
      <c r="AB154" s="645"/>
      <c r="AC154" s="645"/>
      <c r="AD154" s="645"/>
      <c r="AE154" s="645"/>
      <c r="AF154" s="645"/>
      <c r="AG154" s="645"/>
      <c r="AH154" s="645"/>
      <c r="AI154" s="645"/>
      <c r="AJ154" s="645"/>
      <c r="AK154" s="645"/>
      <c r="AL154" s="645"/>
      <c r="AM154" s="645"/>
      <c r="AN154" s="645"/>
      <c r="AO154" s="645"/>
      <c r="AP154" s="645"/>
      <c r="AQ154" s="645"/>
      <c r="AR154" s="645"/>
      <c r="AS154" s="645"/>
      <c r="AT154" s="645"/>
      <c r="AU154" s="645"/>
      <c r="AV154" s="645"/>
      <c r="AW154" s="645"/>
      <c r="AX154" s="645"/>
      <c r="AY154" s="645"/>
      <c r="AZ154" s="645"/>
      <c r="BA154" s="645"/>
      <c r="BB154" s="645"/>
      <c r="BC154" s="645"/>
      <c r="BD154" s="645"/>
      <c r="BE154" s="645"/>
      <c r="BF154" s="645"/>
      <c r="BG154" s="645"/>
      <c r="BH154" s="645"/>
      <c r="BI154" s="645"/>
      <c r="BJ154" s="645"/>
      <c r="BK154" s="645"/>
      <c r="BL154" s="645"/>
      <c r="BM154" s="645"/>
      <c r="BN154" s="645"/>
      <c r="BO154" s="645"/>
      <c r="BP154" s="645"/>
      <c r="BQ154" s="645"/>
      <c r="BR154" s="645"/>
      <c r="BS154" s="645"/>
      <c r="BT154" s="645"/>
      <c r="BU154" s="645"/>
      <c r="BV154" s="645"/>
      <c r="BW154" s="645"/>
      <c r="BX154" s="645"/>
      <c r="BY154" s="645"/>
      <c r="BZ154" s="645"/>
      <c r="CA154" s="645"/>
      <c r="CB154" s="645"/>
      <c r="CC154" s="645"/>
      <c r="CD154" s="645"/>
      <c r="CE154" s="645"/>
      <c r="CF154" s="645"/>
      <c r="CG154" s="645"/>
      <c r="CH154" s="645"/>
      <c r="CI154" s="645"/>
      <c r="CJ154" s="645"/>
      <c r="CK154" s="645"/>
      <c r="CL154" s="645"/>
      <c r="CM154" s="645"/>
      <c r="CN154" s="645"/>
      <c r="CO154" s="645"/>
      <c r="CP154" s="645"/>
      <c r="CQ154" s="645"/>
      <c r="CR154" s="645"/>
      <c r="CS154" s="645"/>
      <c r="CT154" s="645"/>
      <c r="CU154" s="645"/>
      <c r="CV154" s="645"/>
      <c r="CW154" s="645"/>
      <c r="CX154" s="645"/>
      <c r="CY154" s="645"/>
      <c r="CZ154" s="645"/>
      <c r="DA154" s="645"/>
      <c r="DB154" s="645"/>
      <c r="DC154" s="645"/>
      <c r="DD154" s="645"/>
      <c r="DE154" s="645"/>
      <c r="DF154" s="645"/>
      <c r="DG154" s="645"/>
      <c r="DH154" s="645"/>
      <c r="DI154" s="645"/>
      <c r="DJ154" s="645"/>
      <c r="DK154" s="645"/>
      <c r="DL154" s="645"/>
      <c r="DM154" s="645"/>
      <c r="DN154" s="645"/>
      <c r="DO154" s="645"/>
      <c r="DP154" s="645"/>
      <c r="DQ154" s="645"/>
      <c r="DR154" s="645"/>
      <c r="DS154" s="645"/>
      <c r="DT154" s="645"/>
      <c r="DU154" s="645"/>
      <c r="DV154" s="645"/>
      <c r="DW154" s="645"/>
      <c r="DX154" s="645"/>
      <c r="DY154" s="645"/>
      <c r="DZ154" s="645"/>
      <c r="EA154" s="645"/>
      <c r="EB154" s="645"/>
      <c r="EC154" s="645"/>
      <c r="ED154" s="645"/>
      <c r="EE154" s="645"/>
      <c r="EF154" s="645"/>
      <c r="EG154" s="645"/>
      <c r="EH154" s="645"/>
      <c r="EI154" s="645"/>
      <c r="EJ154" s="645"/>
      <c r="EK154" s="645"/>
      <c r="EL154" s="645"/>
      <c r="EM154" s="645"/>
      <c r="EN154" s="645"/>
      <c r="EO154" s="645"/>
      <c r="EP154" s="645"/>
      <c r="EQ154" s="645"/>
      <c r="ER154" s="645"/>
      <c r="ES154" s="645"/>
      <c r="ET154" s="645"/>
      <c r="EU154" s="645"/>
      <c r="EV154" s="645"/>
      <c r="EW154" s="645"/>
      <c r="EX154" s="645"/>
      <c r="EY154" s="645"/>
      <c r="EZ154" s="645"/>
      <c r="FA154" s="645"/>
      <c r="FB154" s="645"/>
      <c r="FC154" s="645"/>
      <c r="FD154" s="645"/>
      <c r="FE154" s="645"/>
      <c r="FF154" s="645"/>
      <c r="FG154" s="645"/>
      <c r="FH154" s="645"/>
      <c r="FI154" s="645"/>
      <c r="FJ154" s="645"/>
      <c r="FK154" s="645"/>
      <c r="FL154" s="645"/>
      <c r="FM154" s="645"/>
      <c r="FN154" s="645"/>
      <c r="FO154" s="645"/>
      <c r="FP154" s="645"/>
      <c r="FQ154" s="645"/>
      <c r="FR154" s="645"/>
      <c r="FS154" s="645"/>
      <c r="FT154" s="645"/>
      <c r="FU154" s="645"/>
      <c r="FV154" s="645"/>
      <c r="FW154" s="645"/>
      <c r="FX154" s="645"/>
      <c r="FY154" s="645"/>
      <c r="FZ154" s="645"/>
      <c r="GA154" s="645"/>
      <c r="GB154" s="645"/>
      <c r="GC154" s="645"/>
      <c r="GD154" s="645"/>
      <c r="GE154" s="645"/>
      <c r="GF154" s="645"/>
      <c r="GG154" s="645"/>
      <c r="GH154" s="645"/>
      <c r="GI154" s="645"/>
      <c r="GJ154" s="645"/>
      <c r="GK154" s="645"/>
      <c r="GL154" s="645"/>
      <c r="GM154" s="645"/>
      <c r="GN154" s="645"/>
      <c r="GO154" s="645"/>
      <c r="GP154" s="645"/>
      <c r="GQ154" s="645"/>
      <c r="GR154" s="645"/>
      <c r="GS154" s="645"/>
      <c r="GT154" s="645"/>
      <c r="GU154" s="645"/>
      <c r="GV154" s="645"/>
      <c r="GW154" s="645"/>
      <c r="GX154" s="645"/>
      <c r="GY154" s="645"/>
      <c r="GZ154" s="645"/>
      <c r="HA154" s="645"/>
      <c r="HB154" s="645"/>
      <c r="HC154" s="645"/>
      <c r="HD154" s="645"/>
      <c r="HE154" s="645"/>
      <c r="HF154" s="645"/>
      <c r="HG154" s="645"/>
      <c r="HH154" s="645"/>
      <c r="HI154" s="645"/>
      <c r="HJ154" s="645"/>
      <c r="HK154" s="645"/>
      <c r="HL154" s="645"/>
      <c r="HM154" s="645"/>
      <c r="HN154" s="645"/>
      <c r="HO154" s="645"/>
      <c r="HP154" s="645"/>
      <c r="HQ154" s="645"/>
      <c r="HR154" s="645"/>
      <c r="HS154" s="645"/>
      <c r="HT154" s="645"/>
      <c r="HU154" s="645"/>
      <c r="HV154" s="645"/>
      <c r="HW154" s="645"/>
      <c r="HX154" s="645"/>
    </row>
    <row r="155" spans="1:234" ht="18.75" x14ac:dyDescent="0.3">
      <c r="B155" s="1074"/>
      <c r="C155" s="2201" t="s">
        <v>199</v>
      </c>
      <c r="D155" s="2201"/>
      <c r="E155" s="2201"/>
      <c r="F155" s="541">
        <v>0.05</v>
      </c>
      <c r="G155" s="1184">
        <v>330711.85000000003</v>
      </c>
      <c r="H155" s="1185"/>
      <c r="I155" s="1186">
        <v>0.05</v>
      </c>
      <c r="J155" s="1187">
        <v>16896599.603017073</v>
      </c>
      <c r="K155" s="1188"/>
      <c r="L155" s="1189" t="s">
        <v>199</v>
      </c>
      <c r="M155" s="541">
        <v>0.05</v>
      </c>
      <c r="N155" s="1190">
        <v>4124546</v>
      </c>
      <c r="O155" s="541">
        <v>0.05</v>
      </c>
      <c r="P155" s="1191">
        <v>8796289.2299199998</v>
      </c>
      <c r="Q155" s="541">
        <v>0.05</v>
      </c>
      <c r="R155" s="1191">
        <v>1380911.1</v>
      </c>
      <c r="S155" s="645"/>
      <c r="T155" s="645"/>
      <c r="U155" s="645"/>
      <c r="V155" s="645"/>
      <c r="W155" s="645"/>
      <c r="X155" s="645"/>
      <c r="Y155" s="645"/>
      <c r="Z155" s="645"/>
      <c r="AA155" s="645"/>
      <c r="AB155" s="645"/>
      <c r="AC155" s="645"/>
      <c r="AD155" s="645"/>
      <c r="AE155" s="645"/>
      <c r="AF155" s="645"/>
      <c r="AG155" s="645"/>
      <c r="AH155" s="645"/>
      <c r="AI155" s="645"/>
      <c r="AJ155" s="645"/>
      <c r="AK155" s="645"/>
      <c r="AL155" s="645"/>
      <c r="AM155" s="645"/>
      <c r="AN155" s="645"/>
      <c r="AO155" s="645"/>
      <c r="AP155" s="645"/>
      <c r="AQ155" s="645"/>
      <c r="AR155" s="645"/>
      <c r="AS155" s="645"/>
      <c r="AT155" s="645"/>
      <c r="AU155" s="645"/>
      <c r="AV155" s="645"/>
      <c r="AW155" s="645"/>
      <c r="AX155" s="645"/>
      <c r="AY155" s="645"/>
      <c r="AZ155" s="645"/>
      <c r="BA155" s="645"/>
      <c r="BB155" s="645"/>
      <c r="BC155" s="645"/>
      <c r="BD155" s="645"/>
      <c r="BE155" s="645"/>
      <c r="BF155" s="645"/>
      <c r="BG155" s="645"/>
      <c r="BH155" s="645"/>
      <c r="BI155" s="645"/>
      <c r="BJ155" s="645"/>
      <c r="BK155" s="645"/>
      <c r="BL155" s="645"/>
      <c r="BM155" s="645"/>
      <c r="BN155" s="645"/>
      <c r="BO155" s="645"/>
      <c r="BP155" s="645"/>
      <c r="BQ155" s="645"/>
      <c r="BR155" s="645"/>
      <c r="BS155" s="645"/>
      <c r="BT155" s="645"/>
      <c r="BU155" s="645"/>
      <c r="BV155" s="645"/>
      <c r="BW155" s="645"/>
      <c r="BX155" s="645"/>
      <c r="BY155" s="645"/>
      <c r="BZ155" s="645"/>
      <c r="CA155" s="645"/>
      <c r="CB155" s="645"/>
      <c r="CC155" s="645"/>
      <c r="CD155" s="645"/>
      <c r="CE155" s="645"/>
      <c r="CF155" s="645"/>
      <c r="CG155" s="645"/>
      <c r="CH155" s="645"/>
      <c r="CI155" s="645"/>
      <c r="CJ155" s="645"/>
      <c r="CK155" s="645"/>
      <c r="CL155" s="645"/>
      <c r="CM155" s="645"/>
      <c r="CN155" s="645"/>
      <c r="CO155" s="645"/>
      <c r="CP155" s="645"/>
      <c r="CQ155" s="645"/>
      <c r="CR155" s="645"/>
      <c r="CS155" s="645"/>
      <c r="CT155" s="645"/>
      <c r="CU155" s="645"/>
      <c r="CV155" s="645"/>
      <c r="CW155" s="645"/>
      <c r="CX155" s="645"/>
      <c r="CY155" s="645"/>
      <c r="CZ155" s="645"/>
      <c r="DA155" s="645"/>
      <c r="DB155" s="645"/>
      <c r="DC155" s="645"/>
      <c r="DD155" s="645"/>
      <c r="DE155" s="645"/>
      <c r="DF155" s="645"/>
      <c r="DG155" s="645"/>
      <c r="DH155" s="645"/>
      <c r="DI155" s="645"/>
      <c r="DJ155" s="645"/>
      <c r="DK155" s="645"/>
      <c r="DL155" s="645"/>
      <c r="DM155" s="645"/>
      <c r="DN155" s="645"/>
      <c r="DO155" s="645"/>
      <c r="DP155" s="645"/>
      <c r="DQ155" s="645"/>
      <c r="DR155" s="645"/>
      <c r="DS155" s="645"/>
      <c r="DT155" s="645"/>
      <c r="DU155" s="645"/>
      <c r="DV155" s="645"/>
      <c r="DW155" s="645"/>
      <c r="DX155" s="645"/>
      <c r="DY155" s="645"/>
      <c r="DZ155" s="645"/>
      <c r="EA155" s="645"/>
      <c r="EB155" s="645"/>
      <c r="EC155" s="645"/>
      <c r="ED155" s="645"/>
      <c r="EE155" s="645"/>
      <c r="EF155" s="645"/>
      <c r="EG155" s="645"/>
      <c r="EH155" s="645"/>
      <c r="EI155" s="645"/>
      <c r="EJ155" s="645"/>
      <c r="EK155" s="645"/>
      <c r="EL155" s="645"/>
      <c r="EM155" s="645"/>
      <c r="EN155" s="645"/>
      <c r="EO155" s="645"/>
      <c r="EP155" s="645"/>
      <c r="EQ155" s="645"/>
      <c r="ER155" s="645"/>
      <c r="ES155" s="645"/>
      <c r="ET155" s="645"/>
      <c r="EU155" s="645"/>
      <c r="EV155" s="645"/>
      <c r="EW155" s="645"/>
      <c r="EX155" s="645"/>
      <c r="EY155" s="645"/>
      <c r="EZ155" s="645"/>
      <c r="FA155" s="645"/>
      <c r="FB155" s="645"/>
      <c r="FC155" s="645"/>
      <c r="FD155" s="645"/>
      <c r="FE155" s="645"/>
      <c r="FF155" s="645"/>
      <c r="FG155" s="645"/>
      <c r="FH155" s="645"/>
      <c r="FI155" s="645"/>
      <c r="FJ155" s="645"/>
      <c r="FK155" s="645"/>
      <c r="FL155" s="645"/>
      <c r="FM155" s="645"/>
      <c r="FN155" s="645"/>
      <c r="FO155" s="645"/>
      <c r="FP155" s="645"/>
      <c r="FQ155" s="645"/>
      <c r="FR155" s="645"/>
      <c r="FS155" s="645"/>
      <c r="FT155" s="645"/>
      <c r="FU155" s="645"/>
      <c r="FV155" s="645"/>
      <c r="FW155" s="645"/>
      <c r="FX155" s="645"/>
      <c r="FY155" s="645"/>
      <c r="FZ155" s="645"/>
      <c r="GA155" s="645"/>
      <c r="GB155" s="645"/>
      <c r="GC155" s="645"/>
      <c r="GD155" s="645"/>
      <c r="GE155" s="645"/>
      <c r="GF155" s="645"/>
      <c r="GG155" s="645"/>
      <c r="GH155" s="645"/>
      <c r="GI155" s="645"/>
      <c r="GJ155" s="645"/>
      <c r="GK155" s="645"/>
      <c r="GL155" s="645"/>
      <c r="GM155" s="645"/>
      <c r="GN155" s="645"/>
      <c r="GO155" s="645"/>
      <c r="GP155" s="645"/>
      <c r="GQ155" s="645"/>
      <c r="GR155" s="645"/>
      <c r="GS155" s="645"/>
      <c r="GT155" s="645"/>
      <c r="GU155" s="645"/>
      <c r="GV155" s="645"/>
      <c r="GW155" s="645"/>
      <c r="GX155" s="645"/>
      <c r="GY155" s="645"/>
      <c r="GZ155" s="645"/>
      <c r="HA155" s="645"/>
      <c r="HB155" s="645"/>
      <c r="HC155" s="645"/>
      <c r="HD155" s="645"/>
      <c r="HE155" s="645"/>
      <c r="HF155" s="645"/>
      <c r="HG155" s="645"/>
      <c r="HH155" s="645"/>
      <c r="HI155" s="645"/>
      <c r="HJ155" s="645"/>
      <c r="HK155" s="645"/>
      <c r="HL155" s="645"/>
      <c r="HM155" s="645"/>
      <c r="HN155" s="645"/>
      <c r="HO155" s="645"/>
      <c r="HP155" s="645"/>
      <c r="HQ155" s="645"/>
      <c r="HR155" s="645"/>
      <c r="HS155" s="645"/>
      <c r="HT155" s="645"/>
      <c r="HU155" s="645"/>
      <c r="HV155" s="645"/>
      <c r="HW155" s="645"/>
      <c r="HX155" s="645"/>
    </row>
    <row r="156" spans="1:234" ht="18.75" x14ac:dyDescent="0.3">
      <c r="B156" s="1074"/>
      <c r="C156" s="2201" t="s">
        <v>917</v>
      </c>
      <c r="D156" s="2201"/>
      <c r="E156" s="2201"/>
      <c r="F156" s="541">
        <v>0.19</v>
      </c>
      <c r="G156" s="1184">
        <v>62835.251500000006</v>
      </c>
      <c r="H156" s="1185"/>
      <c r="I156" s="1186">
        <v>0.19</v>
      </c>
      <c r="J156" s="1187">
        <v>3210353.9245732441</v>
      </c>
      <c r="K156" s="1188"/>
      <c r="L156" s="1189" t="s">
        <v>917</v>
      </c>
      <c r="M156" s="541">
        <v>0.19</v>
      </c>
      <c r="N156" s="1190">
        <v>783663.74</v>
      </c>
      <c r="O156" s="541">
        <v>0.19</v>
      </c>
      <c r="P156" s="1191">
        <v>1671294.9536848001</v>
      </c>
      <c r="Q156" s="541">
        <v>0.19</v>
      </c>
      <c r="R156" s="1191">
        <v>262373.109</v>
      </c>
      <c r="S156" s="645"/>
      <c r="T156" s="645"/>
      <c r="U156" s="645"/>
      <c r="V156" s="645"/>
      <c r="W156" s="645"/>
      <c r="X156" s="645"/>
      <c r="Y156" s="645"/>
      <c r="Z156" s="645"/>
      <c r="AA156" s="645"/>
      <c r="AB156" s="645"/>
      <c r="AC156" s="645"/>
      <c r="AD156" s="645"/>
      <c r="AE156" s="645"/>
      <c r="AF156" s="645"/>
      <c r="AG156" s="645"/>
      <c r="AH156" s="645"/>
      <c r="AI156" s="645"/>
      <c r="AJ156" s="645"/>
      <c r="AK156" s="645"/>
      <c r="AL156" s="645"/>
      <c r="AM156" s="645"/>
      <c r="AN156" s="645"/>
      <c r="AO156" s="645"/>
      <c r="AP156" s="645"/>
      <c r="AQ156" s="645"/>
      <c r="AR156" s="645"/>
      <c r="AS156" s="645"/>
      <c r="AT156" s="645"/>
      <c r="AU156" s="645"/>
      <c r="AV156" s="645"/>
      <c r="AW156" s="645"/>
      <c r="AX156" s="645"/>
      <c r="AY156" s="645"/>
      <c r="AZ156" s="645"/>
      <c r="BA156" s="645"/>
      <c r="BB156" s="645"/>
      <c r="BC156" s="645"/>
      <c r="BD156" s="645"/>
      <c r="BE156" s="645"/>
      <c r="BF156" s="645"/>
      <c r="BG156" s="645"/>
      <c r="BH156" s="645"/>
      <c r="BI156" s="645"/>
      <c r="BJ156" s="645"/>
      <c r="BK156" s="645"/>
      <c r="BL156" s="645"/>
      <c r="BM156" s="645"/>
      <c r="BN156" s="645"/>
      <c r="BO156" s="645"/>
      <c r="BP156" s="645"/>
      <c r="BQ156" s="645"/>
      <c r="BR156" s="645"/>
      <c r="BS156" s="645"/>
      <c r="BT156" s="645"/>
      <c r="BU156" s="645"/>
      <c r="BV156" s="645"/>
      <c r="BW156" s="645"/>
      <c r="BX156" s="645"/>
      <c r="BY156" s="645"/>
      <c r="BZ156" s="645"/>
      <c r="CA156" s="645"/>
      <c r="CB156" s="645"/>
      <c r="CC156" s="645"/>
      <c r="CD156" s="645"/>
      <c r="CE156" s="645"/>
      <c r="CF156" s="645"/>
      <c r="CG156" s="645"/>
      <c r="CH156" s="645"/>
      <c r="CI156" s="645"/>
      <c r="CJ156" s="645"/>
      <c r="CK156" s="645"/>
      <c r="CL156" s="645"/>
      <c r="CM156" s="645"/>
      <c r="CN156" s="645"/>
      <c r="CO156" s="645"/>
      <c r="CP156" s="645"/>
      <c r="CQ156" s="645"/>
      <c r="CR156" s="645"/>
      <c r="CS156" s="645"/>
      <c r="CT156" s="645"/>
      <c r="CU156" s="645"/>
      <c r="CV156" s="645"/>
      <c r="CW156" s="645"/>
      <c r="CX156" s="645"/>
      <c r="CY156" s="645"/>
      <c r="CZ156" s="645"/>
      <c r="DA156" s="645"/>
      <c r="DB156" s="645"/>
      <c r="DC156" s="645"/>
      <c r="DD156" s="645"/>
      <c r="DE156" s="645"/>
      <c r="DF156" s="645"/>
      <c r="DG156" s="645"/>
      <c r="DH156" s="645"/>
      <c r="DI156" s="645"/>
      <c r="DJ156" s="645"/>
      <c r="DK156" s="645"/>
      <c r="DL156" s="645"/>
      <c r="DM156" s="645"/>
      <c r="DN156" s="645"/>
      <c r="DO156" s="645"/>
      <c r="DP156" s="645"/>
      <c r="DQ156" s="645"/>
      <c r="DR156" s="645"/>
      <c r="DS156" s="645"/>
      <c r="DT156" s="645"/>
      <c r="DU156" s="645"/>
      <c r="DV156" s="645"/>
      <c r="DW156" s="645"/>
      <c r="DX156" s="645"/>
      <c r="DY156" s="645"/>
      <c r="DZ156" s="645"/>
      <c r="EA156" s="645"/>
      <c r="EB156" s="645"/>
      <c r="EC156" s="645"/>
      <c r="ED156" s="645"/>
      <c r="EE156" s="645"/>
      <c r="EF156" s="645"/>
      <c r="EG156" s="645"/>
      <c r="EH156" s="645"/>
      <c r="EI156" s="645"/>
      <c r="EJ156" s="645"/>
      <c r="EK156" s="645"/>
      <c r="EL156" s="645"/>
      <c r="EM156" s="645"/>
      <c r="EN156" s="645"/>
      <c r="EO156" s="645"/>
      <c r="EP156" s="645"/>
      <c r="EQ156" s="645"/>
      <c r="ER156" s="645"/>
      <c r="ES156" s="645"/>
      <c r="ET156" s="645"/>
      <c r="EU156" s="645"/>
      <c r="EV156" s="645"/>
      <c r="EW156" s="645"/>
      <c r="EX156" s="645"/>
      <c r="EY156" s="645"/>
      <c r="EZ156" s="645"/>
      <c r="FA156" s="645"/>
      <c r="FB156" s="645"/>
      <c r="FC156" s="645"/>
      <c r="FD156" s="645"/>
      <c r="FE156" s="645"/>
      <c r="FF156" s="645"/>
      <c r="FG156" s="645"/>
      <c r="FH156" s="645"/>
      <c r="FI156" s="645"/>
      <c r="FJ156" s="645"/>
      <c r="FK156" s="645"/>
      <c r="FL156" s="645"/>
      <c r="FM156" s="645"/>
      <c r="FN156" s="645"/>
      <c r="FO156" s="645"/>
      <c r="FP156" s="645"/>
      <c r="FQ156" s="645"/>
      <c r="FR156" s="645"/>
      <c r="FS156" s="645"/>
      <c r="FT156" s="645"/>
      <c r="FU156" s="645"/>
      <c r="FV156" s="645"/>
      <c r="FW156" s="645"/>
      <c r="FX156" s="645"/>
      <c r="FY156" s="645"/>
      <c r="FZ156" s="645"/>
      <c r="GA156" s="645"/>
      <c r="GB156" s="645"/>
      <c r="GC156" s="645"/>
      <c r="GD156" s="645"/>
      <c r="GE156" s="645"/>
      <c r="GF156" s="645"/>
      <c r="GG156" s="645"/>
      <c r="GH156" s="645"/>
      <c r="GI156" s="645"/>
      <c r="GJ156" s="645"/>
      <c r="GK156" s="645"/>
      <c r="GL156" s="645"/>
      <c r="GM156" s="645"/>
      <c r="GN156" s="645"/>
      <c r="GO156" s="645"/>
      <c r="GP156" s="645"/>
      <c r="GQ156" s="645"/>
      <c r="GR156" s="645"/>
      <c r="GS156" s="645"/>
      <c r="GT156" s="645"/>
      <c r="GU156" s="645"/>
      <c r="GV156" s="645"/>
      <c r="GW156" s="645"/>
      <c r="GX156" s="645"/>
      <c r="GY156" s="645"/>
      <c r="GZ156" s="645"/>
      <c r="HA156" s="645"/>
      <c r="HB156" s="645"/>
      <c r="HC156" s="645"/>
      <c r="HD156" s="645"/>
      <c r="HE156" s="645"/>
      <c r="HF156" s="645"/>
      <c r="HG156" s="645"/>
      <c r="HH156" s="645"/>
      <c r="HI156" s="645"/>
      <c r="HJ156" s="645"/>
      <c r="HK156" s="645"/>
      <c r="HL156" s="645"/>
      <c r="HM156" s="645"/>
      <c r="HN156" s="645"/>
      <c r="HO156" s="645"/>
      <c r="HP156" s="645"/>
      <c r="HQ156" s="645"/>
      <c r="HR156" s="645"/>
      <c r="HS156" s="645"/>
      <c r="HT156" s="645"/>
      <c r="HU156" s="645"/>
      <c r="HV156" s="645"/>
      <c r="HW156" s="645"/>
      <c r="HX156" s="645"/>
    </row>
    <row r="157" spans="1:234" ht="31.5" thickBot="1" x14ac:dyDescent="0.35">
      <c r="B157" s="1135"/>
      <c r="C157" s="2202" t="s">
        <v>201</v>
      </c>
      <c r="D157" s="2202"/>
      <c r="E157" s="2202"/>
      <c r="F157" s="551"/>
      <c r="G157" s="1192">
        <v>8330631.5015000002</v>
      </c>
      <c r="H157" s="1193"/>
      <c r="I157" s="1194"/>
      <c r="J157" s="1195">
        <v>425625344.00000006</v>
      </c>
      <c r="K157" s="1196"/>
      <c r="L157" s="1197" t="s">
        <v>201</v>
      </c>
      <c r="M157" s="551"/>
      <c r="N157" s="1198">
        <v>103897313.73999999</v>
      </c>
      <c r="O157" s="551"/>
      <c r="P157" s="1199">
        <v>221578525.7016848</v>
      </c>
      <c r="Q157" s="551"/>
      <c r="R157" s="1199">
        <v>34785150.608999997</v>
      </c>
      <c r="S157" s="645"/>
      <c r="T157" s="645"/>
      <c r="U157" s="645"/>
      <c r="V157" s="645"/>
      <c r="W157" s="645"/>
      <c r="X157" s="645"/>
      <c r="Y157" s="645"/>
      <c r="Z157" s="645"/>
      <c r="AA157" s="645"/>
      <c r="AB157" s="645"/>
      <c r="AC157" s="645"/>
      <c r="AD157" s="645"/>
      <c r="AE157" s="645"/>
      <c r="AF157" s="645"/>
      <c r="AG157" s="645"/>
      <c r="AH157" s="645"/>
      <c r="AI157" s="645"/>
      <c r="AJ157" s="645"/>
      <c r="AK157" s="645"/>
      <c r="AL157" s="645"/>
      <c r="AM157" s="645"/>
      <c r="AN157" s="645"/>
      <c r="AO157" s="645"/>
      <c r="AP157" s="645"/>
      <c r="AQ157" s="645"/>
      <c r="AR157" s="645"/>
      <c r="AS157" s="645"/>
      <c r="AT157" s="645"/>
      <c r="AU157" s="645"/>
      <c r="AV157" s="645"/>
      <c r="AW157" s="645"/>
      <c r="AX157" s="645"/>
      <c r="AY157" s="645"/>
      <c r="AZ157" s="645"/>
      <c r="BA157" s="645"/>
      <c r="BB157" s="645"/>
      <c r="BC157" s="645"/>
      <c r="BD157" s="645"/>
      <c r="BE157" s="645"/>
      <c r="BF157" s="645"/>
      <c r="BG157" s="645"/>
      <c r="BH157" s="645"/>
      <c r="BI157" s="645"/>
      <c r="BJ157" s="645"/>
      <c r="BK157" s="645"/>
      <c r="BL157" s="645"/>
      <c r="BM157" s="645"/>
      <c r="BN157" s="645"/>
      <c r="BO157" s="645"/>
      <c r="BP157" s="645"/>
      <c r="BQ157" s="645"/>
      <c r="BR157" s="645"/>
      <c r="BS157" s="645"/>
      <c r="BT157" s="645"/>
      <c r="BU157" s="645"/>
      <c r="BV157" s="645"/>
      <c r="BW157" s="645"/>
      <c r="BX157" s="645"/>
      <c r="BY157" s="645"/>
      <c r="BZ157" s="645"/>
      <c r="CA157" s="645"/>
      <c r="CB157" s="645"/>
      <c r="CC157" s="645"/>
      <c r="CD157" s="645"/>
      <c r="CE157" s="645"/>
      <c r="CF157" s="645"/>
      <c r="CG157" s="645"/>
      <c r="CH157" s="645"/>
      <c r="CI157" s="645"/>
      <c r="CJ157" s="645"/>
      <c r="CK157" s="645"/>
      <c r="CL157" s="645"/>
      <c r="CM157" s="645"/>
      <c r="CN157" s="645"/>
      <c r="CO157" s="645"/>
      <c r="CP157" s="645"/>
      <c r="CQ157" s="645"/>
      <c r="CR157" s="645"/>
      <c r="CS157" s="645"/>
      <c r="CT157" s="645"/>
      <c r="CU157" s="645"/>
      <c r="CV157" s="645"/>
      <c r="CW157" s="645"/>
      <c r="CX157" s="645"/>
      <c r="CY157" s="645"/>
      <c r="CZ157" s="645"/>
      <c r="DA157" s="645"/>
      <c r="DB157" s="645"/>
      <c r="DC157" s="645"/>
      <c r="DD157" s="645"/>
      <c r="DE157" s="645"/>
      <c r="DF157" s="645"/>
      <c r="DG157" s="645"/>
      <c r="DH157" s="645"/>
      <c r="DI157" s="645"/>
      <c r="DJ157" s="645"/>
      <c r="DK157" s="645"/>
      <c r="DL157" s="645"/>
      <c r="DM157" s="645"/>
      <c r="DN157" s="645"/>
      <c r="DO157" s="645"/>
      <c r="DP157" s="645"/>
      <c r="DQ157" s="645"/>
      <c r="DR157" s="645"/>
      <c r="DS157" s="645"/>
      <c r="DT157" s="645"/>
      <c r="DU157" s="645"/>
      <c r="DV157" s="645"/>
      <c r="DW157" s="645"/>
      <c r="DX157" s="645"/>
      <c r="DY157" s="645"/>
      <c r="DZ157" s="645"/>
      <c r="EA157" s="645"/>
      <c r="EB157" s="645"/>
      <c r="EC157" s="645"/>
      <c r="ED157" s="645"/>
      <c r="EE157" s="645"/>
      <c r="EF157" s="645"/>
      <c r="EG157" s="645"/>
      <c r="EH157" s="645"/>
      <c r="EI157" s="645"/>
      <c r="EJ157" s="645"/>
      <c r="EK157" s="645"/>
      <c r="EL157" s="645"/>
      <c r="EM157" s="645"/>
      <c r="EN157" s="645"/>
      <c r="EO157" s="645"/>
      <c r="EP157" s="645"/>
      <c r="EQ157" s="645"/>
      <c r="ER157" s="645"/>
      <c r="ES157" s="645"/>
      <c r="ET157" s="645"/>
      <c r="EU157" s="645"/>
      <c r="EV157" s="645"/>
      <c r="EW157" s="645"/>
      <c r="EX157" s="645"/>
      <c r="EY157" s="645"/>
      <c r="EZ157" s="645"/>
      <c r="FA157" s="645"/>
      <c r="FB157" s="645"/>
      <c r="FC157" s="645"/>
      <c r="FD157" s="645"/>
      <c r="FE157" s="645"/>
      <c r="FF157" s="645"/>
      <c r="FG157" s="645"/>
      <c r="FH157" s="645"/>
      <c r="FI157" s="645"/>
      <c r="FJ157" s="645"/>
      <c r="FK157" s="645"/>
      <c r="FL157" s="645"/>
      <c r="FM157" s="645"/>
      <c r="FN157" s="645"/>
      <c r="FO157" s="645"/>
      <c r="FP157" s="645"/>
      <c r="FQ157" s="645"/>
      <c r="FR157" s="645"/>
      <c r="FS157" s="645"/>
      <c r="FT157" s="645"/>
      <c r="FU157" s="645"/>
      <c r="FV157" s="645"/>
      <c r="FW157" s="645"/>
      <c r="FX157" s="645"/>
      <c r="FY157" s="645"/>
      <c r="FZ157" s="645"/>
      <c r="GA157" s="645"/>
      <c r="GB157" s="645"/>
      <c r="GC157" s="645"/>
      <c r="GD157" s="645"/>
      <c r="GE157" s="645"/>
      <c r="GF157" s="645"/>
      <c r="GG157" s="645"/>
      <c r="GH157" s="645"/>
      <c r="GI157" s="645"/>
      <c r="GJ157" s="645"/>
      <c r="GK157" s="645"/>
      <c r="GL157" s="645"/>
      <c r="GM157" s="645"/>
      <c r="GN157" s="645"/>
      <c r="GO157" s="645"/>
      <c r="GP157" s="645"/>
      <c r="GQ157" s="645"/>
      <c r="GR157" s="645"/>
      <c r="GS157" s="645"/>
      <c r="GT157" s="645"/>
      <c r="GU157" s="645"/>
      <c r="GV157" s="645"/>
      <c r="GW157" s="645"/>
      <c r="GX157" s="645"/>
      <c r="GY157" s="645"/>
      <c r="GZ157" s="645"/>
      <c r="HA157" s="645"/>
      <c r="HB157" s="645"/>
      <c r="HC157" s="645"/>
      <c r="HD157" s="645"/>
      <c r="HE157" s="645"/>
      <c r="HF157" s="645"/>
      <c r="HG157" s="645"/>
      <c r="HH157" s="645"/>
      <c r="HI157" s="645"/>
      <c r="HJ157" s="645"/>
      <c r="HK157" s="645"/>
      <c r="HL157" s="645"/>
      <c r="HM157" s="645"/>
      <c r="HN157" s="645"/>
      <c r="HO157" s="645"/>
      <c r="HP157" s="645"/>
      <c r="HQ157" s="645"/>
      <c r="HR157" s="645"/>
      <c r="HS157" s="645"/>
      <c r="HT157" s="645"/>
      <c r="HU157" s="645"/>
      <c r="HV157" s="645"/>
      <c r="HW157" s="645"/>
      <c r="HX157" s="645"/>
    </row>
    <row r="158" spans="1:234" ht="16.5" thickBot="1" x14ac:dyDescent="0.3">
      <c r="B158" s="1200"/>
      <c r="C158" s="557"/>
      <c r="D158" s="557"/>
      <c r="E158" s="557"/>
      <c r="F158" s="558"/>
      <c r="G158" s="1201"/>
      <c r="H158" s="798"/>
      <c r="I158" s="1202"/>
      <c r="J158" s="562"/>
      <c r="K158" s="798"/>
      <c r="L158" s="564"/>
      <c r="M158" s="558"/>
      <c r="N158" s="1203"/>
      <c r="O158" s="590"/>
      <c r="P158" s="1204"/>
      <c r="Q158" s="590"/>
      <c r="R158" s="1204"/>
      <c r="S158" s="645"/>
      <c r="T158" s="645"/>
      <c r="U158" s="645"/>
      <c r="V158" s="645"/>
      <c r="W158" s="645"/>
      <c r="X158" s="645"/>
      <c r="Y158" s="645"/>
      <c r="Z158" s="645"/>
      <c r="AA158" s="645"/>
      <c r="AB158" s="645"/>
      <c r="AC158" s="645"/>
      <c r="AD158" s="645"/>
      <c r="AE158" s="645"/>
      <c r="AF158" s="645"/>
      <c r="AG158" s="645"/>
      <c r="AH158" s="645"/>
      <c r="AI158" s="645"/>
      <c r="AJ158" s="645"/>
      <c r="AK158" s="645"/>
      <c r="AL158" s="645"/>
      <c r="AM158" s="645"/>
      <c r="AN158" s="645"/>
      <c r="AO158" s="645"/>
      <c r="AP158" s="645"/>
      <c r="AQ158" s="645"/>
      <c r="AR158" s="645"/>
      <c r="AS158" s="645"/>
      <c r="AT158" s="645"/>
      <c r="AU158" s="645"/>
      <c r="AV158" s="645"/>
      <c r="AW158" s="645"/>
      <c r="AX158" s="645"/>
      <c r="AY158" s="645"/>
      <c r="AZ158" s="645"/>
      <c r="BA158" s="645"/>
      <c r="BB158" s="645"/>
      <c r="BC158" s="645"/>
      <c r="BD158" s="645"/>
      <c r="BE158" s="645"/>
      <c r="BF158" s="645"/>
      <c r="BG158" s="645"/>
      <c r="BH158" s="645"/>
      <c r="BI158" s="645"/>
      <c r="BJ158" s="645"/>
      <c r="BK158" s="645"/>
      <c r="BL158" s="645"/>
      <c r="BM158" s="645"/>
      <c r="BN158" s="645"/>
      <c r="BO158" s="645"/>
      <c r="BP158" s="645"/>
      <c r="BQ158" s="645"/>
      <c r="BR158" s="645"/>
      <c r="BS158" s="645"/>
      <c r="BT158" s="645"/>
      <c r="BU158" s="645"/>
      <c r="BV158" s="645"/>
      <c r="BW158" s="645"/>
      <c r="BX158" s="645"/>
      <c r="BY158" s="645"/>
      <c r="BZ158" s="645"/>
      <c r="CA158" s="645"/>
      <c r="CB158" s="645"/>
      <c r="CC158" s="645"/>
      <c r="CD158" s="645"/>
      <c r="CE158" s="645"/>
      <c r="CF158" s="645"/>
      <c r="CG158" s="645"/>
      <c r="CH158" s="645"/>
      <c r="CI158" s="645"/>
      <c r="CJ158" s="645"/>
      <c r="CK158" s="645"/>
      <c r="CL158" s="645"/>
      <c r="CM158" s="645"/>
      <c r="CN158" s="645"/>
      <c r="CO158" s="645"/>
      <c r="CP158" s="645"/>
      <c r="CQ158" s="645"/>
      <c r="CR158" s="645"/>
      <c r="CS158" s="645"/>
      <c r="CT158" s="645"/>
      <c r="CU158" s="645"/>
      <c r="CV158" s="645"/>
      <c r="CW158" s="645"/>
      <c r="CX158" s="645"/>
      <c r="CY158" s="645"/>
      <c r="CZ158" s="645"/>
      <c r="DA158" s="645"/>
      <c r="DB158" s="645"/>
      <c r="DC158" s="645"/>
      <c r="DD158" s="645"/>
      <c r="DE158" s="645"/>
      <c r="DF158" s="645"/>
      <c r="DG158" s="645"/>
      <c r="DH158" s="645"/>
      <c r="DI158" s="645"/>
      <c r="DJ158" s="645"/>
      <c r="DK158" s="645"/>
      <c r="DL158" s="645"/>
      <c r="DM158" s="645"/>
      <c r="DN158" s="645"/>
      <c r="DO158" s="645"/>
      <c r="DP158" s="645"/>
      <c r="DQ158" s="645"/>
      <c r="DR158" s="645"/>
      <c r="DS158" s="645"/>
      <c r="DT158" s="645"/>
      <c r="DU158" s="645"/>
      <c r="DV158" s="645"/>
      <c r="DW158" s="645"/>
      <c r="DX158" s="645"/>
      <c r="DY158" s="645"/>
      <c r="DZ158" s="645"/>
      <c r="EA158" s="645"/>
      <c r="EB158" s="645"/>
      <c r="EC158" s="645"/>
      <c r="ED158" s="645"/>
      <c r="EE158" s="645"/>
      <c r="EF158" s="645"/>
      <c r="EG158" s="645"/>
      <c r="EH158" s="645"/>
      <c r="EI158" s="645"/>
      <c r="EJ158" s="645"/>
      <c r="EK158" s="645"/>
      <c r="EL158" s="645"/>
      <c r="EM158" s="645"/>
      <c r="EN158" s="645"/>
      <c r="EO158" s="645"/>
      <c r="EP158" s="645"/>
      <c r="EQ158" s="645"/>
      <c r="ER158" s="645"/>
      <c r="ES158" s="645"/>
      <c r="ET158" s="645"/>
      <c r="EU158" s="645"/>
      <c r="EV158" s="645"/>
      <c r="EW158" s="645"/>
      <c r="EX158" s="645"/>
      <c r="EY158" s="645"/>
      <c r="EZ158" s="645"/>
      <c r="FA158" s="645"/>
      <c r="FB158" s="645"/>
      <c r="FC158" s="645"/>
      <c r="FD158" s="645"/>
      <c r="FE158" s="645"/>
      <c r="FF158" s="645"/>
      <c r="FG158" s="645"/>
      <c r="FH158" s="645"/>
      <c r="FI158" s="645"/>
      <c r="FJ158" s="645"/>
      <c r="FK158" s="645"/>
      <c r="FL158" s="645"/>
      <c r="FM158" s="645"/>
      <c r="FN158" s="645"/>
      <c r="FO158" s="645"/>
      <c r="FP158" s="645"/>
      <c r="FQ158" s="645"/>
      <c r="FR158" s="645"/>
      <c r="FS158" s="645"/>
      <c r="FT158" s="645"/>
      <c r="FU158" s="645"/>
      <c r="FV158" s="645"/>
      <c r="FW158" s="645"/>
      <c r="FX158" s="645"/>
      <c r="FY158" s="645"/>
      <c r="FZ158" s="645"/>
      <c r="GA158" s="645"/>
      <c r="GB158" s="645"/>
      <c r="GC158" s="645"/>
      <c r="GD158" s="645"/>
      <c r="GE158" s="645"/>
      <c r="GF158" s="645"/>
      <c r="GG158" s="645"/>
      <c r="GH158" s="645"/>
      <c r="GI158" s="645"/>
      <c r="GJ158" s="645"/>
      <c r="GK158" s="645"/>
      <c r="GL158" s="645"/>
      <c r="GM158" s="645"/>
      <c r="GN158" s="645"/>
      <c r="GO158" s="645"/>
      <c r="GP158" s="645"/>
      <c r="GQ158" s="645"/>
      <c r="GR158" s="645"/>
      <c r="GS158" s="645"/>
      <c r="GT158" s="645"/>
      <c r="GU158" s="645"/>
      <c r="GV158" s="645"/>
      <c r="GW158" s="645"/>
      <c r="GX158" s="645"/>
      <c r="GY158" s="645"/>
      <c r="GZ158" s="645"/>
      <c r="HA158" s="645"/>
      <c r="HB158" s="645"/>
      <c r="HC158" s="645"/>
      <c r="HD158" s="645"/>
      <c r="HE158" s="645"/>
      <c r="HF158" s="645"/>
      <c r="HG158" s="645"/>
      <c r="HH158" s="645"/>
      <c r="HI158" s="645"/>
      <c r="HJ158" s="645"/>
      <c r="HK158" s="645"/>
      <c r="HL158" s="645"/>
      <c r="HM158" s="645"/>
      <c r="HN158" s="645"/>
      <c r="HO158" s="645"/>
      <c r="HP158" s="645"/>
      <c r="HQ158" s="645"/>
      <c r="HR158" s="645"/>
      <c r="HS158" s="645"/>
      <c r="HT158" s="645"/>
      <c r="HU158" s="645"/>
      <c r="HV158" s="645"/>
      <c r="HW158" s="645"/>
      <c r="HX158" s="645"/>
    </row>
    <row r="159" spans="1:234" ht="15.75" thickBot="1" x14ac:dyDescent="0.3">
      <c r="B159" s="431"/>
      <c r="C159" s="567"/>
      <c r="D159" s="567"/>
      <c r="E159" s="567"/>
      <c r="F159" s="567"/>
      <c r="G159" s="2203" t="s">
        <v>918</v>
      </c>
      <c r="H159" s="2204"/>
      <c r="I159" s="2204"/>
      <c r="J159" s="2205"/>
      <c r="K159" s="567"/>
      <c r="L159" s="568"/>
      <c r="M159" s="567"/>
      <c r="N159" s="1205"/>
      <c r="T159" s="1206"/>
    </row>
    <row r="160" spans="1:234" ht="18" x14ac:dyDescent="0.3">
      <c r="B160" s="1207"/>
      <c r="C160" s="1208"/>
      <c r="D160" s="567"/>
      <c r="E160" s="567"/>
      <c r="F160" s="567"/>
      <c r="G160" s="2206" t="s">
        <v>919</v>
      </c>
      <c r="H160" s="2207"/>
      <c r="I160" s="1209">
        <v>385625344</v>
      </c>
      <c r="J160" s="1210"/>
      <c r="K160" s="567"/>
      <c r="L160" s="568"/>
      <c r="M160" s="567"/>
      <c r="N160" s="1205"/>
      <c r="T160" s="1206"/>
    </row>
    <row r="161" spans="1:20" ht="18" x14ac:dyDescent="0.25">
      <c r="B161" s="1211"/>
      <c r="C161" s="1208"/>
      <c r="D161" s="567"/>
      <c r="E161" s="567"/>
      <c r="F161" s="567"/>
      <c r="G161" s="2195" t="s">
        <v>920</v>
      </c>
      <c r="H161" s="2196"/>
      <c r="I161" s="1212">
        <v>40000000</v>
      </c>
      <c r="J161" s="1213"/>
      <c r="K161" s="567"/>
      <c r="L161" s="568"/>
      <c r="M161" s="567"/>
      <c r="N161" s="1205"/>
      <c r="T161" s="1206"/>
    </row>
    <row r="162" spans="1:20" ht="18" x14ac:dyDescent="0.25">
      <c r="B162" s="1211"/>
      <c r="C162" s="1208"/>
      <c r="D162" s="567"/>
      <c r="E162" s="567"/>
      <c r="F162" s="567"/>
      <c r="G162" s="2195" t="s">
        <v>1334</v>
      </c>
      <c r="H162" s="2196"/>
      <c r="I162" s="1212">
        <v>0</v>
      </c>
      <c r="J162" s="1213">
        <v>103897313.73999999</v>
      </c>
      <c r="K162" s="567"/>
      <c r="L162" s="568"/>
      <c r="M162" s="567"/>
      <c r="N162" s="1205"/>
      <c r="T162" s="1206"/>
    </row>
    <row r="163" spans="1:20" ht="18" x14ac:dyDescent="0.25">
      <c r="B163" s="1211"/>
      <c r="C163" s="1208"/>
      <c r="D163" s="567"/>
      <c r="E163" s="567"/>
      <c r="F163" s="567"/>
      <c r="G163" s="2195" t="s">
        <v>924</v>
      </c>
      <c r="H163" s="2196"/>
      <c r="I163" s="1212"/>
      <c r="J163" s="1213">
        <v>321728030.25999999</v>
      </c>
      <c r="K163" s="567"/>
      <c r="L163" s="568"/>
      <c r="M163" s="567"/>
      <c r="N163" s="1205"/>
      <c r="T163" s="1206"/>
    </row>
    <row r="164" spans="1:20" ht="18.75" thickBot="1" x14ac:dyDescent="0.3">
      <c r="B164" s="1211"/>
      <c r="C164" s="1208"/>
      <c r="D164" s="1214"/>
      <c r="E164" s="1214"/>
      <c r="F164" s="1214"/>
      <c r="G164" s="2210" t="s">
        <v>925</v>
      </c>
      <c r="H164" s="2211"/>
      <c r="I164" s="1215">
        <v>425625344</v>
      </c>
      <c r="J164" s="1216">
        <v>425625344</v>
      </c>
      <c r="K164" s="567"/>
      <c r="L164" s="568"/>
      <c r="M164" s="567"/>
      <c r="N164" s="1205"/>
      <c r="T164" s="1206"/>
    </row>
    <row r="165" spans="1:20" ht="16.5" x14ac:dyDescent="0.25">
      <c r="B165" s="1211"/>
      <c r="C165" s="1208"/>
      <c r="D165" s="1214"/>
      <c r="E165" s="1214"/>
      <c r="F165" s="1214"/>
      <c r="G165" s="1217"/>
      <c r="H165" s="1218"/>
      <c r="I165" s="569"/>
      <c r="J165" s="570"/>
      <c r="K165" s="567"/>
      <c r="L165" s="568"/>
      <c r="M165" s="567"/>
      <c r="N165" s="1205"/>
      <c r="T165" s="1206"/>
    </row>
    <row r="166" spans="1:20" x14ac:dyDescent="0.25">
      <c r="B166" s="431"/>
      <c r="C166" s="567"/>
      <c r="D166" s="567"/>
      <c r="E166" s="567"/>
      <c r="F166" s="567"/>
      <c r="G166" s="568"/>
      <c r="H166" s="567"/>
      <c r="I166" s="570"/>
      <c r="J166" s="570"/>
      <c r="K166" s="567"/>
      <c r="L166" s="568"/>
      <c r="M166" s="567"/>
      <c r="N166" s="1205"/>
      <c r="T166" s="1206"/>
    </row>
    <row r="167" spans="1:20" x14ac:dyDescent="0.25">
      <c r="B167" s="431"/>
      <c r="C167" s="567"/>
      <c r="D167" s="567"/>
      <c r="E167" s="567"/>
      <c r="F167" s="567"/>
      <c r="G167" s="568"/>
      <c r="H167" s="567"/>
      <c r="I167" s="570"/>
      <c r="J167" s="570"/>
      <c r="K167" s="567"/>
      <c r="L167" s="568"/>
      <c r="M167" s="567"/>
      <c r="N167" s="1205"/>
      <c r="T167" s="1206"/>
    </row>
    <row r="168" spans="1:20" x14ac:dyDescent="0.25">
      <c r="B168" s="431"/>
      <c r="C168" s="567"/>
      <c r="D168" s="567"/>
      <c r="E168" s="567"/>
      <c r="F168" s="567"/>
      <c r="G168" s="568"/>
      <c r="H168" s="567"/>
      <c r="I168" s="570"/>
      <c r="J168" s="570"/>
      <c r="K168" s="567"/>
      <c r="L168" s="568"/>
      <c r="M168" s="567"/>
      <c r="N168" s="1205"/>
      <c r="T168" s="1206"/>
    </row>
    <row r="169" spans="1:20" x14ac:dyDescent="0.25">
      <c r="B169" s="431"/>
      <c r="C169" s="567"/>
      <c r="D169" s="567"/>
      <c r="E169" s="567"/>
      <c r="F169" s="567"/>
      <c r="G169" s="568"/>
      <c r="H169" s="567"/>
      <c r="I169" s="570"/>
      <c r="J169" s="570"/>
      <c r="K169" s="567"/>
      <c r="L169" s="568"/>
      <c r="M169" s="567"/>
      <c r="N169" s="1205"/>
      <c r="T169" s="1206"/>
    </row>
    <row r="170" spans="1:20" x14ac:dyDescent="0.25">
      <c r="B170" s="431"/>
      <c r="C170" s="567"/>
      <c r="D170" s="567"/>
      <c r="E170" s="567"/>
      <c r="F170" s="567"/>
      <c r="G170" s="568"/>
      <c r="H170" s="567"/>
      <c r="I170" s="569"/>
      <c r="J170" s="570"/>
      <c r="K170" s="567"/>
      <c r="L170" s="568"/>
      <c r="M170" s="567"/>
      <c r="N170" s="1205"/>
    </row>
    <row r="171" spans="1:20" x14ac:dyDescent="0.25">
      <c r="B171" s="589"/>
      <c r="C171" s="807"/>
      <c r="D171" s="807"/>
      <c r="E171" s="807"/>
      <c r="F171" s="807"/>
      <c r="G171" s="1219"/>
      <c r="H171" s="807"/>
      <c r="I171" s="812"/>
      <c r="J171" s="593"/>
      <c r="K171" s="807"/>
      <c r="L171" s="1219"/>
      <c r="M171" s="807"/>
      <c r="N171" s="1220"/>
    </row>
    <row r="172" spans="1:20" x14ac:dyDescent="0.25">
      <c r="B172" s="589"/>
      <c r="C172" s="806"/>
      <c r="D172" s="807"/>
      <c r="E172" s="2042"/>
      <c r="F172" s="2042"/>
      <c r="G172" s="1221"/>
      <c r="H172" s="2042"/>
      <c r="I172" s="2042"/>
      <c r="J172" s="1222"/>
      <c r="K172" s="807"/>
      <c r="L172" s="1223"/>
      <c r="M172" s="806"/>
      <c r="N172" s="1220"/>
    </row>
    <row r="173" spans="1:20" s="972" customFormat="1" x14ac:dyDescent="0.25">
      <c r="A173" s="627"/>
      <c r="B173" s="602"/>
      <c r="C173" s="809" t="s">
        <v>1335</v>
      </c>
      <c r="D173" s="1224"/>
      <c r="E173" s="2212" t="s">
        <v>1336</v>
      </c>
      <c r="F173" s="2212"/>
      <c r="G173" s="1225"/>
      <c r="H173" s="2213" t="s">
        <v>1337</v>
      </c>
      <c r="I173" s="2213"/>
      <c r="J173" s="1226"/>
      <c r="K173" s="1224"/>
      <c r="L173" s="2208" t="s">
        <v>1338</v>
      </c>
      <c r="M173" s="2208"/>
      <c r="N173" s="1227"/>
      <c r="O173" s="571"/>
      <c r="P173" s="1228"/>
      <c r="Q173" s="571"/>
      <c r="R173" s="1228"/>
    </row>
    <row r="174" spans="1:20" s="1237" customFormat="1" ht="12" x14ac:dyDescent="0.2">
      <c r="A174" s="1229"/>
      <c r="B174" s="1230"/>
      <c r="C174" s="1231"/>
      <c r="D174" s="1231"/>
      <c r="E174" s="2209" t="s">
        <v>1339</v>
      </c>
      <c r="F174" s="2209"/>
      <c r="G174" s="1232"/>
      <c r="H174" s="2209" t="s">
        <v>1340</v>
      </c>
      <c r="I174" s="2209"/>
      <c r="J174" s="1233"/>
      <c r="K174" s="1231"/>
      <c r="L174" s="2209" t="s">
        <v>1341</v>
      </c>
      <c r="M174" s="2209"/>
      <c r="N174" s="1234"/>
      <c r="O174" s="1235"/>
      <c r="P174" s="1236"/>
      <c r="Q174" s="1235"/>
      <c r="R174" s="1236"/>
    </row>
    <row r="175" spans="1:20" ht="15.75" thickBot="1" x14ac:dyDescent="0.3">
      <c r="B175" s="610"/>
      <c r="C175" s="1238"/>
      <c r="D175" s="1238"/>
      <c r="E175" s="601"/>
      <c r="F175" s="601"/>
      <c r="G175" s="1239"/>
      <c r="H175" s="1240"/>
      <c r="I175" s="1241"/>
      <c r="J175" s="1242"/>
      <c r="K175" s="1240"/>
      <c r="L175" s="613"/>
      <c r="M175" s="1240"/>
      <c r="N175" s="1243"/>
    </row>
    <row r="179" spans="3:3" x14ac:dyDescent="0.25">
      <c r="C179" s="1244"/>
    </row>
    <row r="499" spans="1:18" x14ac:dyDescent="0.25">
      <c r="B499" s="619" t="s">
        <v>1322</v>
      </c>
      <c r="C499" s="619" t="s">
        <v>1323</v>
      </c>
    </row>
    <row r="500" spans="1:18" x14ac:dyDescent="0.25">
      <c r="C500" s="619" t="s">
        <v>1342</v>
      </c>
      <c r="D500" s="619" t="s">
        <v>1343</v>
      </c>
      <c r="E500" s="619">
        <v>0.2</v>
      </c>
      <c r="H500" s="961"/>
      <c r="I500" s="1245"/>
      <c r="J500" s="1246"/>
    </row>
    <row r="501" spans="1:18" x14ac:dyDescent="0.25">
      <c r="C501" s="619" t="s">
        <v>1344</v>
      </c>
      <c r="E501" s="619">
        <v>0.2</v>
      </c>
      <c r="F501" s="619">
        <v>26585</v>
      </c>
      <c r="H501" s="961"/>
      <c r="I501" s="1245"/>
      <c r="J501" s="1246"/>
    </row>
    <row r="502" spans="1:18" x14ac:dyDescent="0.25">
      <c r="E502" s="619">
        <v>0.15</v>
      </c>
      <c r="H502" s="961"/>
      <c r="I502" s="1245"/>
      <c r="J502" s="1246"/>
    </row>
    <row r="503" spans="1:18" x14ac:dyDescent="0.25">
      <c r="E503" s="1247">
        <v>0.4</v>
      </c>
      <c r="H503" s="961"/>
      <c r="I503" s="1245"/>
      <c r="J503" s="1246"/>
    </row>
    <row r="504" spans="1:18" x14ac:dyDescent="0.25">
      <c r="C504" s="961"/>
      <c r="D504" s="1248"/>
      <c r="H504" s="961"/>
      <c r="I504" s="1245"/>
      <c r="J504" s="1246"/>
    </row>
    <row r="505" spans="1:18" s="1250" customFormat="1" x14ac:dyDescent="0.25">
      <c r="A505" s="1249"/>
      <c r="G505" s="1251"/>
      <c r="I505" s="649"/>
      <c r="J505" s="1252"/>
      <c r="L505" s="1251"/>
      <c r="N505" s="1253"/>
      <c r="P505" s="1251"/>
      <c r="R505" s="1251"/>
    </row>
    <row r="506" spans="1:18" ht="28.5" x14ac:dyDescent="0.25">
      <c r="B506" s="1014" t="s">
        <v>1325</v>
      </c>
      <c r="C506" s="1015" t="s">
        <v>1326</v>
      </c>
      <c r="D506" s="1027"/>
      <c r="E506" s="1017"/>
      <c r="F506" s="1018"/>
      <c r="G506" s="1019"/>
      <c r="H506" s="486"/>
      <c r="I506" s="1054"/>
      <c r="J506" s="1020"/>
    </row>
    <row r="507" spans="1:18" ht="28.5" x14ac:dyDescent="0.25">
      <c r="B507" s="1014">
        <v>72</v>
      </c>
      <c r="C507" s="1015" t="s">
        <v>884</v>
      </c>
      <c r="D507" s="1027" t="s">
        <v>880</v>
      </c>
      <c r="E507" s="1017">
        <v>4.4600000000000001E-2</v>
      </c>
      <c r="F507" s="1018">
        <v>61293</v>
      </c>
      <c r="G507" s="1019">
        <v>2733.6678000000002</v>
      </c>
      <c r="H507" s="1254">
        <v>7</v>
      </c>
      <c r="I507" s="1255">
        <v>0</v>
      </c>
      <c r="J507" s="1256">
        <v>0</v>
      </c>
    </row>
    <row r="508" spans="1:18" x14ac:dyDescent="0.25">
      <c r="B508" s="1014"/>
      <c r="C508" s="1015" t="s">
        <v>1345</v>
      </c>
      <c r="D508" s="1027" t="s">
        <v>842</v>
      </c>
      <c r="E508" s="1017" t="s">
        <v>1346</v>
      </c>
      <c r="F508" s="1018">
        <v>0</v>
      </c>
      <c r="G508" s="1019"/>
      <c r="H508" s="1254" t="s">
        <v>1347</v>
      </c>
      <c r="I508" s="1255"/>
      <c r="J508" s="1256"/>
    </row>
    <row r="509" spans="1:18" x14ac:dyDescent="0.25">
      <c r="B509" s="1057"/>
      <c r="C509" s="1055" t="s">
        <v>1311</v>
      </c>
      <c r="D509" s="1049"/>
      <c r="E509" s="1257">
        <v>4.9849999999999998E-2</v>
      </c>
      <c r="F509" s="1049">
        <v>0</v>
      </c>
      <c r="G509" s="1039"/>
      <c r="H509" s="1258"/>
      <c r="I509" s="1259"/>
      <c r="J509" s="1260"/>
    </row>
    <row r="510" spans="1:18" ht="28.5" x14ac:dyDescent="0.25">
      <c r="B510" s="1014">
        <v>24</v>
      </c>
      <c r="C510" s="1015" t="s">
        <v>850</v>
      </c>
      <c r="D510" s="1027" t="s">
        <v>912</v>
      </c>
      <c r="E510" s="1017">
        <v>0.05</v>
      </c>
      <c r="F510" s="1018">
        <v>0</v>
      </c>
      <c r="G510" s="1019">
        <v>0</v>
      </c>
      <c r="H510" s="1254">
        <v>15</v>
      </c>
      <c r="I510" s="1255">
        <v>0</v>
      </c>
      <c r="J510" s="1256">
        <v>0</v>
      </c>
    </row>
    <row r="511" spans="1:18" x14ac:dyDescent="0.25">
      <c r="B511" s="1014">
        <v>68</v>
      </c>
      <c r="C511" s="1015" t="s">
        <v>1312</v>
      </c>
      <c r="D511" s="1261">
        <v>1</v>
      </c>
      <c r="E511" s="1017">
        <v>1</v>
      </c>
      <c r="F511" s="1018">
        <v>30607</v>
      </c>
      <c r="G511" s="1019">
        <v>30607</v>
      </c>
      <c r="H511" s="1254">
        <v>1</v>
      </c>
      <c r="I511" s="1255">
        <v>0</v>
      </c>
      <c r="J511" s="1256">
        <v>0</v>
      </c>
    </row>
    <row r="523" spans="1:18" x14ac:dyDescent="0.25">
      <c r="B523" s="619" t="s">
        <v>1332</v>
      </c>
      <c r="C523" s="619" t="s">
        <v>1333</v>
      </c>
    </row>
    <row r="524" spans="1:18" x14ac:dyDescent="0.25">
      <c r="C524" s="1262"/>
      <c r="D524" s="947"/>
      <c r="E524" s="1263"/>
      <c r="F524" s="1264"/>
      <c r="H524" s="946"/>
      <c r="I524" s="948"/>
    </row>
    <row r="525" spans="1:18" x14ac:dyDescent="0.25">
      <c r="C525" s="1262"/>
      <c r="D525" s="947"/>
      <c r="E525" s="1263"/>
      <c r="F525" s="1264"/>
      <c r="H525" s="946"/>
      <c r="I525" s="948"/>
    </row>
    <row r="526" spans="1:18" x14ac:dyDescent="0.25">
      <c r="C526" s="1262"/>
      <c r="D526" s="947"/>
      <c r="E526" s="1265">
        <v>0.1</v>
      </c>
      <c r="F526" s="946"/>
      <c r="H526" s="946"/>
      <c r="I526" s="948"/>
    </row>
    <row r="527" spans="1:18" x14ac:dyDescent="0.25">
      <c r="C527" s="1262"/>
      <c r="D527" s="947"/>
      <c r="E527" s="1265">
        <v>0.15</v>
      </c>
      <c r="F527" s="946"/>
      <c r="H527" s="946"/>
      <c r="I527" s="948"/>
    </row>
    <row r="528" spans="1:18" s="1267" customFormat="1" x14ac:dyDescent="0.25">
      <c r="A528" s="1266"/>
      <c r="C528" s="1268" t="s">
        <v>1348</v>
      </c>
      <c r="D528" s="947"/>
      <c r="E528" s="947">
        <v>0.4</v>
      </c>
      <c r="F528" s="1269">
        <v>38000</v>
      </c>
      <c r="G528" s="1269"/>
      <c r="H528" s="1269"/>
      <c r="I528" s="1269"/>
      <c r="J528" s="1269"/>
      <c r="L528" s="1269"/>
      <c r="N528" s="1270"/>
      <c r="O528" s="1271"/>
      <c r="P528" s="1269"/>
      <c r="Q528" s="1271"/>
      <c r="R528" s="1269"/>
    </row>
    <row r="529" spans="3:14" x14ac:dyDescent="0.25">
      <c r="C529" s="1262" t="s">
        <v>1349</v>
      </c>
      <c r="D529" s="947"/>
      <c r="E529" s="947">
        <v>0.6</v>
      </c>
      <c r="F529" s="946">
        <v>34900</v>
      </c>
      <c r="H529" s="946"/>
      <c r="I529" s="948"/>
    </row>
    <row r="530" spans="3:14" x14ac:dyDescent="0.25">
      <c r="C530" s="1262" t="s">
        <v>1350</v>
      </c>
      <c r="D530" s="947"/>
      <c r="E530" s="947">
        <v>0.6</v>
      </c>
      <c r="F530" s="946"/>
      <c r="H530" s="946"/>
      <c r="I530" s="948"/>
    </row>
    <row r="531" spans="3:14" x14ac:dyDescent="0.25">
      <c r="C531" s="1262"/>
      <c r="D531" s="947"/>
      <c r="E531" s="947"/>
      <c r="F531" s="946">
        <v>7624</v>
      </c>
      <c r="H531" s="946"/>
      <c r="I531" s="948"/>
    </row>
    <row r="532" spans="3:14" x14ac:dyDescent="0.25">
      <c r="C532" s="1272" t="s">
        <v>1351</v>
      </c>
      <c r="D532" s="947" t="s">
        <v>848</v>
      </c>
      <c r="E532" s="947">
        <v>0.1</v>
      </c>
      <c r="F532" s="946">
        <v>20900</v>
      </c>
      <c r="H532" s="946"/>
      <c r="I532" s="948"/>
    </row>
    <row r="533" spans="3:14" x14ac:dyDescent="0.25">
      <c r="D533" s="947" t="s">
        <v>1352</v>
      </c>
      <c r="E533" s="947"/>
      <c r="F533" s="946"/>
      <c r="H533" s="946"/>
      <c r="I533" s="948"/>
    </row>
    <row r="534" spans="3:14" x14ac:dyDescent="0.25">
      <c r="D534" s="947" t="s">
        <v>1353</v>
      </c>
      <c r="E534" s="947"/>
      <c r="F534" s="946"/>
      <c r="H534" s="946"/>
      <c r="I534" s="948"/>
    </row>
    <row r="535" spans="3:14" x14ac:dyDescent="0.25">
      <c r="D535" s="947" t="s">
        <v>1353</v>
      </c>
      <c r="E535" s="947"/>
      <c r="F535" s="946"/>
      <c r="H535" s="946"/>
      <c r="I535" s="948"/>
    </row>
    <row r="536" spans="3:14" x14ac:dyDescent="0.25">
      <c r="C536" s="1262"/>
      <c r="D536" s="947" t="s">
        <v>1353</v>
      </c>
      <c r="E536" s="947"/>
      <c r="F536" s="946">
        <v>298000</v>
      </c>
      <c r="H536" s="946"/>
      <c r="I536" s="948"/>
    </row>
    <row r="537" spans="3:14" x14ac:dyDescent="0.25">
      <c r="C537" s="1262"/>
      <c r="D537" s="947"/>
      <c r="E537" s="947">
        <v>0.2</v>
      </c>
      <c r="F537" s="946">
        <v>24900</v>
      </c>
      <c r="H537" s="946"/>
      <c r="I537" s="948"/>
    </row>
    <row r="538" spans="3:14" x14ac:dyDescent="0.25">
      <c r="C538" s="1262" t="s">
        <v>1354</v>
      </c>
      <c r="D538" s="947" t="s">
        <v>1353</v>
      </c>
      <c r="E538" s="947">
        <v>0.2</v>
      </c>
      <c r="F538" s="946">
        <v>18000</v>
      </c>
      <c r="H538" s="946"/>
      <c r="I538" s="948"/>
    </row>
    <row r="539" spans="3:14" x14ac:dyDescent="0.25">
      <c r="C539" s="1262" t="s">
        <v>1355</v>
      </c>
      <c r="D539" s="947" t="s">
        <v>1353</v>
      </c>
      <c r="E539" s="947">
        <v>0.2</v>
      </c>
      <c r="F539" s="946">
        <v>36800</v>
      </c>
      <c r="H539" s="946"/>
      <c r="I539" s="948"/>
    </row>
    <row r="540" spans="3:14" x14ac:dyDescent="0.25">
      <c r="D540" s="947"/>
      <c r="E540" s="947">
        <v>0.1</v>
      </c>
      <c r="F540" s="946">
        <v>180000</v>
      </c>
      <c r="H540" s="946"/>
      <c r="I540" s="948"/>
    </row>
    <row r="541" spans="3:14" x14ac:dyDescent="0.25">
      <c r="D541" s="947"/>
      <c r="E541" s="1273">
        <v>0.5</v>
      </c>
      <c r="F541" s="946"/>
      <c r="H541" s="946"/>
      <c r="I541" s="948"/>
      <c r="N541" s="949">
        <v>9000000</v>
      </c>
    </row>
    <row r="542" spans="3:14" x14ac:dyDescent="0.25">
      <c r="D542" s="947"/>
      <c r="E542" s="1273">
        <v>0.3</v>
      </c>
      <c r="F542" s="946"/>
      <c r="H542" s="946"/>
      <c r="I542" s="948"/>
    </row>
    <row r="543" spans="3:14" x14ac:dyDescent="0.25">
      <c r="D543" s="1274">
        <v>0</v>
      </c>
      <c r="H543" s="946">
        <v>0</v>
      </c>
      <c r="I543" s="948">
        <v>0</v>
      </c>
      <c r="J543" s="948">
        <v>0</v>
      </c>
    </row>
    <row r="547" spans="4:4" x14ac:dyDescent="0.25">
      <c r="D547" s="1275"/>
    </row>
  </sheetData>
  <mergeCells count="38">
    <mergeCell ref="L173:M173"/>
    <mergeCell ref="E174:F174"/>
    <mergeCell ref="H174:I174"/>
    <mergeCell ref="L174:M174"/>
    <mergeCell ref="G162:H162"/>
    <mergeCell ref="G163:H163"/>
    <mergeCell ref="G164:H164"/>
    <mergeCell ref="E172:F172"/>
    <mergeCell ref="H172:I172"/>
    <mergeCell ref="E173:F173"/>
    <mergeCell ref="H173:I173"/>
    <mergeCell ref="G161:H161"/>
    <mergeCell ref="O12:P12"/>
    <mergeCell ref="Q12:R12"/>
    <mergeCell ref="H13:I13"/>
    <mergeCell ref="C152:E152"/>
    <mergeCell ref="C153:E153"/>
    <mergeCell ref="C154:E154"/>
    <mergeCell ref="M12:N12"/>
    <mergeCell ref="C155:E155"/>
    <mergeCell ref="C156:E156"/>
    <mergeCell ref="C157:E157"/>
    <mergeCell ref="G159:J159"/>
    <mergeCell ref="G160:H160"/>
    <mergeCell ref="B11:C11"/>
    <mergeCell ref="D11:E11"/>
    <mergeCell ref="K11:L11"/>
    <mergeCell ref="H12:J12"/>
    <mergeCell ref="K12:L12"/>
    <mergeCell ref="B5:H6"/>
    <mergeCell ref="I5:P5"/>
    <mergeCell ref="K6:P7"/>
    <mergeCell ref="D7:H10"/>
    <mergeCell ref="B8:C8"/>
    <mergeCell ref="K8:L8"/>
    <mergeCell ref="K9:L9"/>
    <mergeCell ref="B10:C10"/>
    <mergeCell ref="K10:L1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3"/>
  <dimension ref="A1:L534"/>
  <sheetViews>
    <sheetView workbookViewId="0">
      <selection activeCell="M11" sqref="M11"/>
    </sheetView>
  </sheetViews>
  <sheetFormatPr baseColWidth="10" defaultRowHeight="15" x14ac:dyDescent="0.25"/>
  <cols>
    <col min="6" max="6" width="17.140625" bestFit="1" customWidth="1"/>
    <col min="8" max="8" width="12.42578125" bestFit="1" customWidth="1"/>
  </cols>
  <sheetData>
    <row r="1" spans="1:12" x14ac:dyDescent="0.25">
      <c r="A1" s="1823"/>
      <c r="B1" s="1824"/>
      <c r="C1" s="2215" t="s">
        <v>0</v>
      </c>
      <c r="D1" s="2215"/>
      <c r="E1" s="2215"/>
      <c r="F1" s="2215"/>
      <c r="G1" s="238"/>
      <c r="H1" s="238"/>
      <c r="I1" s="238"/>
      <c r="J1" s="238"/>
      <c r="K1" s="284"/>
      <c r="L1" s="1"/>
    </row>
    <row r="2" spans="1:12" x14ac:dyDescent="0.25">
      <c r="A2" s="1825" t="s">
        <v>1</v>
      </c>
      <c r="B2" s="1825"/>
      <c r="C2" s="1825"/>
      <c r="D2" s="1825"/>
      <c r="E2" s="1825"/>
      <c r="F2" s="1825"/>
      <c r="G2" s="238"/>
      <c r="H2" s="238"/>
      <c r="I2" s="238"/>
      <c r="J2" s="238"/>
      <c r="K2" s="284"/>
      <c r="L2" s="1"/>
    </row>
    <row r="3" spans="1:12" x14ac:dyDescent="0.25">
      <c r="A3" s="2216" t="s">
        <v>753</v>
      </c>
      <c r="B3" s="2217"/>
      <c r="C3" s="2217"/>
      <c r="D3" s="2217"/>
      <c r="E3" s="2217"/>
      <c r="F3" s="2218"/>
      <c r="G3" s="238"/>
      <c r="H3" s="238"/>
      <c r="I3" s="238"/>
      <c r="J3" s="238"/>
      <c r="K3" s="284"/>
      <c r="L3" s="1"/>
    </row>
    <row r="4" spans="1:12" x14ac:dyDescent="0.25">
      <c r="A4" s="2219"/>
      <c r="B4" s="2220"/>
      <c r="C4" s="2220"/>
      <c r="D4" s="2220"/>
      <c r="E4" s="2220"/>
      <c r="F4" s="2221"/>
      <c r="G4" s="238"/>
      <c r="H4" s="238"/>
      <c r="I4" s="238"/>
      <c r="J4" s="238"/>
      <c r="K4" s="284"/>
      <c r="L4" s="1"/>
    </row>
    <row r="5" spans="1:12" x14ac:dyDescent="0.25">
      <c r="A5" s="1826"/>
      <c r="B5" s="1826"/>
      <c r="C5" s="1826"/>
      <c r="D5" s="1826"/>
      <c r="E5" s="1826"/>
      <c r="F5" s="1826"/>
      <c r="G5" s="238"/>
      <c r="H5" s="238"/>
      <c r="I5" s="238"/>
      <c r="J5" s="238"/>
      <c r="K5" s="284"/>
      <c r="L5" s="1"/>
    </row>
    <row r="6" spans="1:12" x14ac:dyDescent="0.25">
      <c r="A6" s="1827" t="s">
        <v>2</v>
      </c>
      <c r="B6" s="1828"/>
      <c r="C6" s="1828"/>
      <c r="D6" s="1828"/>
      <c r="E6" s="1828"/>
      <c r="F6" s="1828"/>
      <c r="G6" s="238"/>
      <c r="H6" s="238"/>
      <c r="I6" s="238"/>
      <c r="J6" s="238"/>
      <c r="K6" s="284"/>
      <c r="L6" s="1"/>
    </row>
    <row r="7" spans="1:12" x14ac:dyDescent="0.25">
      <c r="A7" s="1835" t="s">
        <v>3</v>
      </c>
      <c r="B7" s="1835"/>
      <c r="C7" s="1835"/>
      <c r="D7" s="1835"/>
      <c r="E7" s="1835"/>
      <c r="F7" s="1835"/>
      <c r="G7" s="238"/>
      <c r="H7" t="s">
        <v>799</v>
      </c>
      <c r="I7" s="334">
        <v>0.13120000000000001</v>
      </c>
      <c r="J7" s="334">
        <v>9.2799999999999994E-2</v>
      </c>
      <c r="L7" s="1"/>
    </row>
    <row r="8" spans="1:12" ht="24" x14ac:dyDescent="0.25">
      <c r="A8" s="2" t="s">
        <v>4</v>
      </c>
      <c r="B8" s="3" t="s">
        <v>5</v>
      </c>
      <c r="C8" s="4" t="s">
        <v>6</v>
      </c>
      <c r="D8" s="5" t="s">
        <v>7</v>
      </c>
      <c r="E8" s="6" t="s">
        <v>8</v>
      </c>
      <c r="F8" s="4" t="s">
        <v>9</v>
      </c>
      <c r="G8" s="238"/>
      <c r="H8" s="2214" t="s">
        <v>798</v>
      </c>
      <c r="I8" s="2214"/>
      <c r="J8" s="2214"/>
      <c r="L8" s="1"/>
    </row>
    <row r="9" spans="1:12" ht="72" x14ac:dyDescent="0.25">
      <c r="A9" s="7" t="s">
        <v>10</v>
      </c>
      <c r="B9" s="8" t="s">
        <v>11</v>
      </c>
      <c r="C9" s="9"/>
      <c r="D9" s="10"/>
      <c r="E9" s="285"/>
      <c r="F9" s="7"/>
      <c r="G9" s="238"/>
      <c r="H9">
        <v>2022</v>
      </c>
      <c r="I9" s="238">
        <v>2023</v>
      </c>
      <c r="J9" s="238">
        <v>2024</v>
      </c>
      <c r="K9" s="284" t="s">
        <v>797</v>
      </c>
      <c r="L9" s="1"/>
    </row>
    <row r="10" spans="1:12" ht="108" x14ac:dyDescent="0.25">
      <c r="A10" s="11" t="s">
        <v>12</v>
      </c>
      <c r="B10" s="12" t="s">
        <v>13</v>
      </c>
      <c r="C10" s="13" t="s">
        <v>14</v>
      </c>
      <c r="D10" s="14">
        <v>36</v>
      </c>
      <c r="E10" s="286">
        <f>(ROUND(183588*1.1312,0))*1.0928</f>
        <v>226947.24</v>
      </c>
      <c r="F10" s="239">
        <f>ROUND(Tabla33[[#This Row],[CANTIDAD ]]*Tabla33[[#This Row],[VALOR UNITARIO ]],0)</f>
        <v>8170101</v>
      </c>
      <c r="G10" s="238"/>
      <c r="H10" s="335">
        <v>183588</v>
      </c>
      <c r="I10" s="335">
        <f>+H10*(1+I7)</f>
        <v>207674.74559999999</v>
      </c>
      <c r="J10" s="335">
        <f>ROUND(I10*(1+J7),0)</f>
        <v>226947</v>
      </c>
      <c r="K10" s="287" t="s">
        <v>786</v>
      </c>
      <c r="L10" s="288"/>
    </row>
    <row r="11" spans="1:12" ht="120" x14ac:dyDescent="0.25">
      <c r="A11" s="11" t="s">
        <v>15</v>
      </c>
      <c r="B11" s="12" t="s">
        <v>16</v>
      </c>
      <c r="C11" s="13" t="s">
        <v>6</v>
      </c>
      <c r="D11" s="16">
        <v>4</v>
      </c>
      <c r="E11" s="289"/>
      <c r="F11" s="239">
        <f>ROUND(Tabla33[[#This Row],[CANTIDAD ]]*Tabla33[[#This Row],[VALOR UNITARIO ]],0)</f>
        <v>0</v>
      </c>
      <c r="G11" s="238"/>
      <c r="H11" s="238"/>
      <c r="I11" s="238"/>
      <c r="J11" s="238"/>
      <c r="K11" s="284"/>
      <c r="L11" s="1"/>
    </row>
    <row r="12" spans="1:12" ht="96" x14ac:dyDescent="0.25">
      <c r="A12" s="11" t="s">
        <v>17</v>
      </c>
      <c r="B12" s="12" t="s">
        <v>18</v>
      </c>
      <c r="C12" s="17" t="s">
        <v>19</v>
      </c>
      <c r="D12" s="14">
        <v>288</v>
      </c>
      <c r="E12" s="18"/>
      <c r="F12" s="239">
        <f>ROUND(Tabla33[[#This Row],[CANTIDAD ]]*Tabla33[[#This Row],[VALOR UNITARIO ]],0)</f>
        <v>0</v>
      </c>
      <c r="G12" s="238"/>
      <c r="H12" s="238"/>
      <c r="I12" s="238"/>
      <c r="J12" s="238"/>
      <c r="K12" s="284"/>
      <c r="L12" s="1"/>
    </row>
    <row r="13" spans="1:12" ht="72" x14ac:dyDescent="0.25">
      <c r="A13" s="11" t="s">
        <v>20</v>
      </c>
      <c r="B13" s="12" t="s">
        <v>21</v>
      </c>
      <c r="C13" s="17" t="s">
        <v>19</v>
      </c>
      <c r="D13" s="14">
        <v>288</v>
      </c>
      <c r="E13" s="290">
        <f>ROUND(13415*1.0928,0)</f>
        <v>14660</v>
      </c>
      <c r="F13" s="239">
        <f>ROUND(Tabla33[[#This Row],[CANTIDAD ]]*Tabla33[[#This Row],[VALOR UNITARIO ]],0)</f>
        <v>4222080</v>
      </c>
      <c r="G13" s="238"/>
      <c r="H13" s="238"/>
      <c r="I13" s="238"/>
      <c r="J13" s="238"/>
      <c r="K13" s="284" t="s">
        <v>787</v>
      </c>
      <c r="L13" s="1"/>
    </row>
    <row r="14" spans="1:12" ht="108" x14ac:dyDescent="0.25">
      <c r="A14" s="11" t="s">
        <v>22</v>
      </c>
      <c r="B14" s="12" t="s">
        <v>23</v>
      </c>
      <c r="C14" s="17" t="s">
        <v>19</v>
      </c>
      <c r="D14" s="14">
        <v>288</v>
      </c>
      <c r="E14" s="290">
        <f>ROUND(26675*1.0928,0)</f>
        <v>29150</v>
      </c>
      <c r="F14" s="239">
        <f>ROUND(Tabla33[[#This Row],[CANTIDAD ]]*Tabla33[[#This Row],[VALOR UNITARIO ]],0)</f>
        <v>8395200</v>
      </c>
      <c r="G14" s="238"/>
      <c r="H14" s="238"/>
      <c r="I14" s="238"/>
      <c r="J14" s="238"/>
      <c r="K14" s="284" t="s">
        <v>787</v>
      </c>
      <c r="L14" s="1"/>
    </row>
    <row r="15" spans="1:12" ht="72" x14ac:dyDescent="0.25">
      <c r="A15" s="11" t="s">
        <v>24</v>
      </c>
      <c r="B15" s="12" t="s">
        <v>25</v>
      </c>
      <c r="C15" s="17" t="s">
        <v>19</v>
      </c>
      <c r="D15" s="14">
        <v>288</v>
      </c>
      <c r="E15" s="290">
        <f>ROUND(9711*1.0928,0)</f>
        <v>10612</v>
      </c>
      <c r="F15" s="239">
        <f>ROUND(Tabla33[[#This Row],[CANTIDAD ]]*Tabla33[[#This Row],[VALOR UNITARIO ]],0)</f>
        <v>3056256</v>
      </c>
      <c r="G15" s="238"/>
      <c r="H15" s="238"/>
      <c r="I15" s="238"/>
      <c r="J15" s="238"/>
      <c r="K15" s="284" t="s">
        <v>787</v>
      </c>
      <c r="L15" s="1"/>
    </row>
    <row r="16" spans="1:12" ht="84" x14ac:dyDescent="0.25">
      <c r="A16" s="20" t="s">
        <v>26</v>
      </c>
      <c r="B16" s="12" t="s">
        <v>27</v>
      </c>
      <c r="C16" s="17" t="s">
        <v>19</v>
      </c>
      <c r="D16" s="14">
        <v>288</v>
      </c>
      <c r="E16" s="291"/>
      <c r="F16" s="239">
        <f>ROUND(Tabla33[[#This Row],[CANTIDAD ]]*Tabla33[[#This Row],[VALOR UNITARIO ]],0)</f>
        <v>0</v>
      </c>
      <c r="G16" s="238"/>
      <c r="H16" s="238"/>
      <c r="I16" s="238"/>
      <c r="J16" s="238"/>
      <c r="K16" s="284"/>
      <c r="L16" s="1"/>
    </row>
    <row r="17" spans="1:12" ht="168" x14ac:dyDescent="0.25">
      <c r="A17" s="11" t="s">
        <v>28</v>
      </c>
      <c r="B17" s="12" t="s">
        <v>29</v>
      </c>
      <c r="C17" s="17" t="s">
        <v>19</v>
      </c>
      <c r="D17" s="21">
        <v>288</v>
      </c>
      <c r="E17" s="19"/>
      <c r="F17" s="239">
        <f>ROUND(Tabla33[[#This Row],[CANTIDAD ]]*Tabla33[[#This Row],[VALOR UNITARIO ]],0)</f>
        <v>0</v>
      </c>
      <c r="G17" s="238"/>
      <c r="H17" s="238"/>
      <c r="I17" s="238"/>
      <c r="J17" s="238"/>
      <c r="K17" s="284"/>
      <c r="L17" s="1"/>
    </row>
    <row r="18" spans="1:12" ht="252" x14ac:dyDescent="0.25">
      <c r="A18" s="20" t="s">
        <v>30</v>
      </c>
      <c r="B18" s="12" t="s">
        <v>31</v>
      </c>
      <c r="C18" s="22" t="s">
        <v>19</v>
      </c>
      <c r="D18" s="14">
        <v>288</v>
      </c>
      <c r="E18" s="291"/>
      <c r="F18" s="239">
        <f>ROUND(Tabla33[[#This Row],[CANTIDAD ]]*Tabla33[[#This Row],[VALOR UNITARIO ]],0)</f>
        <v>0</v>
      </c>
      <c r="G18" s="238"/>
      <c r="H18" s="238"/>
      <c r="I18" s="238"/>
      <c r="J18" s="238"/>
      <c r="K18" s="284"/>
      <c r="L18" s="1"/>
    </row>
    <row r="19" spans="1:12" ht="192" x14ac:dyDescent="0.25">
      <c r="A19" s="11" t="s">
        <v>32</v>
      </c>
      <c r="B19" s="23" t="s">
        <v>33</v>
      </c>
      <c r="C19" s="17" t="s">
        <v>14</v>
      </c>
      <c r="D19" s="14">
        <v>410</v>
      </c>
      <c r="E19" s="19"/>
      <c r="F19" s="239">
        <f>ROUND(Tabla33[[#This Row],[CANTIDAD ]]*Tabla33[[#This Row],[VALOR UNITARIO ]],0)</f>
        <v>0</v>
      </c>
      <c r="G19" s="238"/>
      <c r="H19" s="238"/>
      <c r="I19" s="238"/>
      <c r="J19" s="238"/>
      <c r="K19" s="284"/>
      <c r="L19" s="1"/>
    </row>
    <row r="20" spans="1:12" ht="108" x14ac:dyDescent="0.25">
      <c r="A20" s="20" t="s">
        <v>34</v>
      </c>
      <c r="B20" s="24" t="s">
        <v>35</v>
      </c>
      <c r="C20" s="22" t="s">
        <v>19</v>
      </c>
      <c r="D20" s="14">
        <v>288</v>
      </c>
      <c r="E20" s="19"/>
      <c r="F20" s="239">
        <f>ROUND(Tabla33[[#This Row],[CANTIDAD ]]*Tabla33[[#This Row],[VALOR UNITARIO ]],0)</f>
        <v>0</v>
      </c>
      <c r="G20" s="238"/>
      <c r="H20" s="238"/>
      <c r="I20" s="238"/>
      <c r="J20" s="238"/>
      <c r="K20" s="284"/>
      <c r="L20" s="1"/>
    </row>
    <row r="21" spans="1:12" ht="72" x14ac:dyDescent="0.25">
      <c r="A21" s="11" t="s">
        <v>36</v>
      </c>
      <c r="B21" s="24" t="s">
        <v>37</v>
      </c>
      <c r="C21" s="22" t="s">
        <v>14</v>
      </c>
      <c r="D21" s="14">
        <v>91</v>
      </c>
      <c r="E21" s="292">
        <f>ROUND(19393*1.0928,0)</f>
        <v>21193</v>
      </c>
      <c r="F21" s="239">
        <f>ROUND(Tabla33[[#This Row],[CANTIDAD ]]*Tabla33[[#This Row],[VALOR UNITARIO ]],0)</f>
        <v>1928563</v>
      </c>
      <c r="G21" s="238"/>
      <c r="H21" s="238"/>
      <c r="I21" s="238"/>
      <c r="J21" s="238"/>
      <c r="K21" s="284" t="s">
        <v>788</v>
      </c>
      <c r="L21" s="1"/>
    </row>
    <row r="22" spans="1:12" ht="84" x14ac:dyDescent="0.25">
      <c r="A22" s="20" t="s">
        <v>38</v>
      </c>
      <c r="B22" s="24" t="s">
        <v>39</v>
      </c>
      <c r="C22" s="22" t="s">
        <v>14</v>
      </c>
      <c r="D22" s="14">
        <v>60</v>
      </c>
      <c r="E22" s="19"/>
      <c r="F22" s="239">
        <f>ROUND(Tabla33[[#This Row],[CANTIDAD ]]*Tabla33[[#This Row],[VALOR UNITARIO ]],0)</f>
        <v>0</v>
      </c>
      <c r="G22" s="238"/>
      <c r="H22" s="238"/>
      <c r="I22" s="238"/>
      <c r="J22" s="238"/>
      <c r="K22" s="284"/>
      <c r="L22" s="1"/>
    </row>
    <row r="23" spans="1:12" ht="72" x14ac:dyDescent="0.25">
      <c r="A23" s="25" t="s">
        <v>40</v>
      </c>
      <c r="B23" s="293" t="s">
        <v>41</v>
      </c>
      <c r="C23" s="26"/>
      <c r="D23" s="16"/>
      <c r="E23" s="260"/>
      <c r="F23" s="239">
        <f>ROUND(Tabla33[[#This Row],[CANTIDAD ]]*Tabla33[[#This Row],[VALOR UNITARIO ]],0)</f>
        <v>0</v>
      </c>
      <c r="G23" s="238"/>
      <c r="H23" s="238"/>
      <c r="I23" s="238"/>
      <c r="J23" s="238"/>
      <c r="K23" s="284"/>
      <c r="L23" s="1"/>
    </row>
    <row r="24" spans="1:12" ht="96" x14ac:dyDescent="0.25">
      <c r="A24" s="11" t="s">
        <v>42</v>
      </c>
      <c r="B24" s="27" t="s">
        <v>43</v>
      </c>
      <c r="C24" s="28" t="s">
        <v>6</v>
      </c>
      <c r="D24" s="14">
        <v>52</v>
      </c>
      <c r="E24" s="263">
        <f>ROUND(59085*1.0928,0)</f>
        <v>64568</v>
      </c>
      <c r="F24" s="239">
        <f>ROUND(Tabla33[[#This Row],[CANTIDAD ]]*Tabla33[[#This Row],[VALOR UNITARIO ]],0)</f>
        <v>3357536</v>
      </c>
      <c r="G24" s="238"/>
      <c r="H24" s="238"/>
      <c r="I24" s="238"/>
      <c r="J24" s="238"/>
      <c r="K24" s="284" t="s">
        <v>787</v>
      </c>
      <c r="L24" s="1"/>
    </row>
    <row r="25" spans="1:12" ht="288" x14ac:dyDescent="0.25">
      <c r="A25" s="20" t="s">
        <v>44</v>
      </c>
      <c r="B25" s="29" t="s">
        <v>45</v>
      </c>
      <c r="C25" s="30" t="s">
        <v>6</v>
      </c>
      <c r="D25" s="14">
        <v>52</v>
      </c>
      <c r="E25" s="263">
        <f>ROUND(58950*1.0928,0)</f>
        <v>64421</v>
      </c>
      <c r="F25" s="239">
        <f>ROUND(Tabla33[[#This Row],[CANTIDAD ]]*Tabla33[[#This Row],[VALOR UNITARIO ]],0)</f>
        <v>3349892</v>
      </c>
      <c r="G25" s="238"/>
      <c r="H25" s="238"/>
      <c r="I25" s="238"/>
      <c r="J25" s="238"/>
      <c r="K25" s="284" t="s">
        <v>787</v>
      </c>
      <c r="L25" s="1"/>
    </row>
    <row r="26" spans="1:12" ht="132" x14ac:dyDescent="0.25">
      <c r="A26" s="31" t="s">
        <v>46</v>
      </c>
      <c r="B26" s="24" t="s">
        <v>47</v>
      </c>
      <c r="C26" s="22" t="s">
        <v>14</v>
      </c>
      <c r="D26" s="14">
        <v>97</v>
      </c>
      <c r="E26" s="263">
        <f>ROUND(105321*1.0928,0)</f>
        <v>115095</v>
      </c>
      <c r="F26" s="239">
        <f>ROUND(Tabla33[[#This Row],[CANTIDAD ]]*Tabla33[[#This Row],[VALOR UNITARIO ]],0)</f>
        <v>11164215</v>
      </c>
      <c r="G26" s="238"/>
      <c r="H26" s="238"/>
      <c r="I26" s="238"/>
      <c r="J26" s="238"/>
      <c r="K26" s="284" t="s">
        <v>787</v>
      </c>
      <c r="L26" s="1"/>
    </row>
    <row r="27" spans="1:12" ht="132" x14ac:dyDescent="0.25">
      <c r="A27" s="20" t="s">
        <v>48</v>
      </c>
      <c r="B27" s="24" t="s">
        <v>49</v>
      </c>
      <c r="C27" s="22" t="s">
        <v>14</v>
      </c>
      <c r="D27" s="14">
        <v>212</v>
      </c>
      <c r="E27" s="263">
        <f>ROUND(97360*1.0928,0)</f>
        <v>106395</v>
      </c>
      <c r="F27" s="239">
        <f>ROUND(Tabla33[[#This Row],[CANTIDAD ]]*Tabla33[[#This Row],[VALOR UNITARIO ]],0)</f>
        <v>22555740</v>
      </c>
      <c r="G27" s="238"/>
      <c r="H27" s="238"/>
      <c r="I27" s="238"/>
      <c r="J27" s="238"/>
      <c r="K27" s="284" t="s">
        <v>787</v>
      </c>
      <c r="L27" s="1"/>
    </row>
    <row r="28" spans="1:12" ht="144" x14ac:dyDescent="0.25">
      <c r="A28" s="32" t="s">
        <v>50</v>
      </c>
      <c r="B28" s="24" t="s">
        <v>51</v>
      </c>
      <c r="C28" s="22" t="s">
        <v>14</v>
      </c>
      <c r="D28" s="14">
        <v>255</v>
      </c>
      <c r="E28" s="263">
        <f>ROUND(89079*1.0928,0)</f>
        <v>97346</v>
      </c>
      <c r="F28" s="239">
        <f>ROUND(Tabla33[[#This Row],[CANTIDAD ]]*Tabla33[[#This Row],[VALOR UNITARIO ]],0)</f>
        <v>24823230</v>
      </c>
      <c r="G28" s="238"/>
      <c r="H28" s="238"/>
      <c r="I28" s="238"/>
      <c r="J28" s="238"/>
      <c r="K28" s="284" t="s">
        <v>787</v>
      </c>
      <c r="L28" s="1"/>
    </row>
    <row r="29" spans="1:12" ht="144" x14ac:dyDescent="0.25">
      <c r="A29" s="20" t="s">
        <v>52</v>
      </c>
      <c r="B29" s="27" t="s">
        <v>53</v>
      </c>
      <c r="C29" s="30" t="s">
        <v>19</v>
      </c>
      <c r="D29" s="14">
        <v>330</v>
      </c>
      <c r="E29" s="263">
        <f>ROUND(71300*1.0928,0)</f>
        <v>77917</v>
      </c>
      <c r="F29" s="239">
        <f>ROUND(Tabla33[[#This Row],[CANTIDAD ]]*Tabla33[[#This Row],[VALOR UNITARIO ]],0)</f>
        <v>25712610</v>
      </c>
      <c r="G29" s="238"/>
      <c r="H29" s="238"/>
      <c r="I29" s="238"/>
      <c r="J29" s="238"/>
      <c r="K29" s="284" t="s">
        <v>787</v>
      </c>
      <c r="L29" s="1"/>
    </row>
    <row r="30" spans="1:12" ht="120" x14ac:dyDescent="0.25">
      <c r="A30" s="32" t="s">
        <v>54</v>
      </c>
      <c r="B30" s="24" t="s">
        <v>55</v>
      </c>
      <c r="C30" s="22" t="s">
        <v>14</v>
      </c>
      <c r="D30" s="14">
        <v>28</v>
      </c>
      <c r="E30" s="263">
        <f>ROUND(81750*1.0928,0)</f>
        <v>89336</v>
      </c>
      <c r="F30" s="239">
        <f>ROUND(Tabla33[[#This Row],[CANTIDAD ]]*Tabla33[[#This Row],[VALOR UNITARIO ]],0)</f>
        <v>2501408</v>
      </c>
      <c r="G30" s="238"/>
      <c r="H30" s="238"/>
      <c r="I30" s="238"/>
      <c r="J30" s="238"/>
      <c r="K30" s="284" t="s">
        <v>787</v>
      </c>
      <c r="L30" s="1"/>
    </row>
    <row r="31" spans="1:12" ht="120" x14ac:dyDescent="0.25">
      <c r="A31" s="20" t="s">
        <v>56</v>
      </c>
      <c r="B31" s="24" t="s">
        <v>57</v>
      </c>
      <c r="C31" s="22" t="s">
        <v>14</v>
      </c>
      <c r="D31" s="14">
        <v>40</v>
      </c>
      <c r="E31" s="263">
        <f>ROUND(83405*1.0928,0)</f>
        <v>91145</v>
      </c>
      <c r="F31" s="239">
        <f>ROUND(Tabla33[[#This Row],[CANTIDAD ]]*Tabla33[[#This Row],[VALOR UNITARIO ]],0)</f>
        <v>3645800</v>
      </c>
      <c r="G31" s="238"/>
      <c r="H31" s="238"/>
      <c r="I31" s="238"/>
      <c r="J31" s="238"/>
      <c r="K31" s="284" t="s">
        <v>787</v>
      </c>
      <c r="L31" s="1"/>
    </row>
    <row r="32" spans="1:12" ht="36" x14ac:dyDescent="0.25">
      <c r="A32" s="32" t="s">
        <v>58</v>
      </c>
      <c r="B32" s="24" t="s">
        <v>59</v>
      </c>
      <c r="C32" s="22" t="s">
        <v>14</v>
      </c>
      <c r="D32" s="14">
        <v>40</v>
      </c>
      <c r="E32" s="263">
        <f>ROUND(13500*1.0928,0)</f>
        <v>14753</v>
      </c>
      <c r="F32" s="239">
        <f>ROUND(Tabla33[[#This Row],[CANTIDAD ]]*Tabla33[[#This Row],[VALOR UNITARIO ]],0)</f>
        <v>590120</v>
      </c>
      <c r="G32" s="238"/>
      <c r="H32" s="238"/>
      <c r="I32" s="238"/>
      <c r="J32" s="238"/>
      <c r="K32" s="284" t="s">
        <v>787</v>
      </c>
      <c r="L32" s="1"/>
    </row>
    <row r="33" spans="1:12" ht="108" x14ac:dyDescent="0.25">
      <c r="A33" s="20" t="s">
        <v>60</v>
      </c>
      <c r="B33" s="24" t="s">
        <v>61</v>
      </c>
      <c r="C33" s="22" t="s">
        <v>14</v>
      </c>
      <c r="D33" s="14">
        <v>70</v>
      </c>
      <c r="E33" s="19"/>
      <c r="F33" s="239">
        <f>ROUND(Tabla33[[#This Row],[CANTIDAD ]]*Tabla33[[#This Row],[VALOR UNITARIO ]],0)</f>
        <v>0</v>
      </c>
      <c r="G33" s="238"/>
      <c r="H33" s="238"/>
      <c r="I33" s="238"/>
      <c r="J33" s="238"/>
      <c r="K33" s="284"/>
      <c r="L33" s="1"/>
    </row>
    <row r="34" spans="1:12" ht="60" x14ac:dyDescent="0.25">
      <c r="A34" s="32" t="s">
        <v>62</v>
      </c>
      <c r="B34" s="24" t="s">
        <v>63</v>
      </c>
      <c r="C34" s="22" t="s">
        <v>6</v>
      </c>
      <c r="D34" s="14">
        <v>10</v>
      </c>
      <c r="E34" s="263">
        <f>ROUND(3825*1.0928,0)</f>
        <v>4180</v>
      </c>
      <c r="F34" s="239">
        <f>ROUND(Tabla33[[#This Row],[CANTIDAD ]]*Tabla33[[#This Row],[VALOR UNITARIO ]],0)</f>
        <v>41800</v>
      </c>
      <c r="G34" s="238"/>
      <c r="H34" s="238"/>
      <c r="I34" s="238"/>
      <c r="J34" s="238"/>
      <c r="K34" s="284" t="s">
        <v>787</v>
      </c>
      <c r="L34" s="1"/>
    </row>
    <row r="35" spans="1:12" ht="72" x14ac:dyDescent="0.25">
      <c r="A35" s="20" t="s">
        <v>64</v>
      </c>
      <c r="B35" s="24" t="s">
        <v>65</v>
      </c>
      <c r="C35" s="22" t="s">
        <v>14</v>
      </c>
      <c r="D35" s="14">
        <v>80</v>
      </c>
      <c r="E35" s="263">
        <f>ROUND(42270*1.0928,0)</f>
        <v>46193</v>
      </c>
      <c r="F35" s="239">
        <f>ROUND(Tabla33[[#This Row],[CANTIDAD ]]*Tabla33[[#This Row],[VALOR UNITARIO ]],0)</f>
        <v>3695440</v>
      </c>
      <c r="G35" s="238"/>
      <c r="H35" s="238"/>
      <c r="I35" s="238"/>
      <c r="J35" s="238"/>
      <c r="K35" s="284" t="s">
        <v>787</v>
      </c>
      <c r="L35" s="1"/>
    </row>
    <row r="36" spans="1:12" ht="60" x14ac:dyDescent="0.25">
      <c r="A36" s="20" t="s">
        <v>66</v>
      </c>
      <c r="B36" s="24" t="s">
        <v>67</v>
      </c>
      <c r="C36" s="22" t="s">
        <v>14</v>
      </c>
      <c r="D36" s="14">
        <v>7</v>
      </c>
      <c r="E36" s="33"/>
      <c r="F36" s="239">
        <f>ROUND(Tabla33[[#This Row],[CANTIDAD ]]*Tabla33[[#This Row],[VALOR UNITARIO ]],0)</f>
        <v>0</v>
      </c>
      <c r="G36" s="238"/>
      <c r="H36" s="238"/>
      <c r="I36" s="238"/>
      <c r="J36" s="238"/>
      <c r="K36" s="284"/>
      <c r="L36" s="1"/>
    </row>
    <row r="37" spans="1:12" ht="228" x14ac:dyDescent="0.25">
      <c r="A37" s="20" t="s">
        <v>68</v>
      </c>
      <c r="B37" s="34" t="s">
        <v>756</v>
      </c>
      <c r="C37" s="22" t="s">
        <v>6</v>
      </c>
      <c r="D37" s="14">
        <v>1</v>
      </c>
      <c r="E37" s="19"/>
      <c r="F37" s="239">
        <f>ROUND(Tabla33[[#This Row],[CANTIDAD ]]*Tabla33[[#This Row],[VALOR UNITARIO ]],0)</f>
        <v>0</v>
      </c>
      <c r="G37" s="238"/>
      <c r="H37" s="238"/>
      <c r="I37" s="238"/>
      <c r="J37" s="238"/>
      <c r="K37" s="284"/>
      <c r="L37" s="1"/>
    </row>
    <row r="38" spans="1:12" ht="84" x14ac:dyDescent="0.25">
      <c r="A38" s="25" t="s">
        <v>69</v>
      </c>
      <c r="B38" s="293" t="s">
        <v>70</v>
      </c>
      <c r="C38" s="35"/>
      <c r="D38" s="36"/>
      <c r="E38" s="33"/>
      <c r="F38" s="294"/>
      <c r="G38" s="238"/>
      <c r="H38" s="238"/>
      <c r="I38" s="238"/>
      <c r="J38" s="238"/>
      <c r="K38" s="284"/>
      <c r="L38" s="1"/>
    </row>
    <row r="39" spans="1:12" ht="84" x14ac:dyDescent="0.25">
      <c r="A39" s="31" t="s">
        <v>71</v>
      </c>
      <c r="B39" s="27" t="s">
        <v>72</v>
      </c>
      <c r="C39" s="37" t="s">
        <v>19</v>
      </c>
      <c r="D39" s="38">
        <v>191</v>
      </c>
      <c r="E39" s="290">
        <f>ROUND(13415*1.0928,0)</f>
        <v>14660</v>
      </c>
      <c r="F39" s="39">
        <f>ROUND(Tabla33[[#This Row],[CANTIDAD ]]*Tabla33[[#This Row],[VALOR UNITARIO ]],0)</f>
        <v>2800060</v>
      </c>
      <c r="G39" s="238"/>
      <c r="H39" s="238"/>
      <c r="I39" s="238"/>
      <c r="J39" s="238"/>
      <c r="K39" s="284" t="s">
        <v>787</v>
      </c>
      <c r="L39" s="1"/>
    </row>
    <row r="40" spans="1:12" ht="96" x14ac:dyDescent="0.25">
      <c r="A40" s="32" t="s">
        <v>73</v>
      </c>
      <c r="B40" s="40" t="s">
        <v>74</v>
      </c>
      <c r="C40" s="41" t="s">
        <v>19</v>
      </c>
      <c r="D40" s="14">
        <v>191</v>
      </c>
      <c r="E40" s="290">
        <f>ROUND(26675*1.0928,0)</f>
        <v>29150</v>
      </c>
      <c r="F40" s="39">
        <f>ROUND(Tabla33[[#This Row],[CANTIDAD ]]*Tabla33[[#This Row],[VALOR UNITARIO ]],0)</f>
        <v>5567650</v>
      </c>
      <c r="G40" s="238"/>
      <c r="H40" s="238"/>
      <c r="I40" s="238"/>
      <c r="J40" s="238"/>
      <c r="K40" s="284" t="s">
        <v>787</v>
      </c>
      <c r="L40" s="1"/>
    </row>
    <row r="41" spans="1:12" ht="84" x14ac:dyDescent="0.25">
      <c r="A41" s="31" t="s">
        <v>75</v>
      </c>
      <c r="B41" s="42" t="s">
        <v>76</v>
      </c>
      <c r="C41" s="43" t="s">
        <v>19</v>
      </c>
      <c r="D41" s="14">
        <v>51</v>
      </c>
      <c r="E41" s="290">
        <f>ROUND(208470*1.0928,0)</f>
        <v>227816</v>
      </c>
      <c r="F41" s="39">
        <f>ROUND(Tabla33[[#This Row],[CANTIDAD ]]*Tabla33[[#This Row],[VALOR UNITARIO ]],0)</f>
        <v>11618616</v>
      </c>
      <c r="G41" s="238"/>
      <c r="H41" s="238"/>
      <c r="I41" s="238"/>
      <c r="J41" s="238"/>
      <c r="K41" s="284" t="s">
        <v>789</v>
      </c>
      <c r="L41" s="1"/>
    </row>
    <row r="42" spans="1:12" ht="60" x14ac:dyDescent="0.25">
      <c r="A42" s="32" t="s">
        <v>77</v>
      </c>
      <c r="B42" s="40" t="s">
        <v>78</v>
      </c>
      <c r="C42" s="41" t="s">
        <v>19</v>
      </c>
      <c r="D42" s="14">
        <v>140</v>
      </c>
      <c r="E42" s="19"/>
      <c r="F42" s="39">
        <f>ROUND(Tabla33[[#This Row],[CANTIDAD ]]*Tabla33[[#This Row],[VALOR UNITARIO ]],0)</f>
        <v>0</v>
      </c>
      <c r="G42" s="238"/>
      <c r="H42" s="238"/>
      <c r="I42" s="238"/>
      <c r="J42" s="238"/>
      <c r="K42" s="284"/>
      <c r="L42" s="1"/>
    </row>
    <row r="43" spans="1:12" ht="132" x14ac:dyDescent="0.25">
      <c r="A43" s="32" t="s">
        <v>79</v>
      </c>
      <c r="B43" s="12" t="s">
        <v>80</v>
      </c>
      <c r="C43" s="17" t="s">
        <v>19</v>
      </c>
      <c r="D43" s="14">
        <v>140</v>
      </c>
      <c r="E43" s="19"/>
      <c r="F43" s="39">
        <f>ROUND(Tabla33[[#This Row],[CANTIDAD ]]*Tabla33[[#This Row],[VALOR UNITARIO ]],0)</f>
        <v>0</v>
      </c>
      <c r="G43" s="238"/>
      <c r="H43" s="238"/>
      <c r="I43" s="238"/>
      <c r="J43" s="238"/>
      <c r="K43" s="284"/>
      <c r="L43" s="1"/>
    </row>
    <row r="44" spans="1:12" ht="180" x14ac:dyDescent="0.25">
      <c r="A44" s="25" t="s">
        <v>81</v>
      </c>
      <c r="B44" s="8" t="s">
        <v>82</v>
      </c>
      <c r="C44" s="44"/>
      <c r="D44" s="16"/>
      <c r="E44" s="260"/>
      <c r="F44" s="295"/>
      <c r="G44" s="238"/>
      <c r="H44" s="238"/>
      <c r="I44" s="238"/>
      <c r="J44" s="238"/>
      <c r="K44" s="284"/>
      <c r="L44" s="1"/>
    </row>
    <row r="45" spans="1:12" ht="60" x14ac:dyDescent="0.25">
      <c r="A45" s="20" t="s">
        <v>83</v>
      </c>
      <c r="B45" s="40" t="s">
        <v>84</v>
      </c>
      <c r="C45" s="45" t="s">
        <v>19</v>
      </c>
      <c r="D45" s="14">
        <v>247</v>
      </c>
      <c r="E45" s="263">
        <f>ROUND(6305*1.0928,0)</f>
        <v>6890</v>
      </c>
      <c r="F45" s="18">
        <f>ROUND(Tabla33[[#This Row],[CANTIDAD ]]*Tabla33[[#This Row],[VALOR UNITARIO ]],0)</f>
        <v>1701830</v>
      </c>
      <c r="G45" s="238"/>
      <c r="H45" s="238"/>
      <c r="I45" s="238"/>
      <c r="J45" s="238"/>
      <c r="K45" s="284" t="s">
        <v>787</v>
      </c>
      <c r="L45" s="1"/>
    </row>
    <row r="46" spans="1:12" ht="180" x14ac:dyDescent="0.25">
      <c r="A46" s="11" t="s">
        <v>85</v>
      </c>
      <c r="B46" s="46" t="s">
        <v>86</v>
      </c>
      <c r="C46" s="45" t="s">
        <v>19</v>
      </c>
      <c r="D46" s="14">
        <v>247</v>
      </c>
      <c r="E46" s="263">
        <f>ROUND(39910*1.0928,0)</f>
        <v>43614</v>
      </c>
      <c r="F46" s="18">
        <f>ROUND(Tabla33[[#This Row],[CANTIDAD ]]*Tabla33[[#This Row],[VALOR UNITARIO ]],0)</f>
        <v>10772658</v>
      </c>
      <c r="G46" s="238"/>
      <c r="H46" s="238"/>
      <c r="I46" s="238"/>
      <c r="J46" s="238"/>
      <c r="K46" s="284" t="s">
        <v>787</v>
      </c>
      <c r="L46" s="1"/>
    </row>
    <row r="47" spans="1:12" ht="48" x14ac:dyDescent="0.25">
      <c r="A47" s="20" t="s">
        <v>87</v>
      </c>
      <c r="B47" s="46" t="s">
        <v>88</v>
      </c>
      <c r="C47" s="45" t="s">
        <v>19</v>
      </c>
      <c r="D47" s="14">
        <v>247</v>
      </c>
      <c r="E47" s="263">
        <f>ROUND(22520*1.0928,0)</f>
        <v>24610</v>
      </c>
      <c r="F47" s="18">
        <f>ROUND(Tabla33[[#This Row],[CANTIDAD ]]*Tabla33[[#This Row],[VALOR UNITARIO ]],0)</f>
        <v>6078670</v>
      </c>
      <c r="G47" s="238"/>
      <c r="H47" s="238"/>
      <c r="I47" s="238"/>
      <c r="J47" s="238"/>
      <c r="K47" s="284" t="s">
        <v>787</v>
      </c>
      <c r="L47" s="1"/>
    </row>
    <row r="48" spans="1:12" ht="48" x14ac:dyDescent="0.25">
      <c r="A48" s="11" t="s">
        <v>89</v>
      </c>
      <c r="B48" s="40" t="s">
        <v>90</v>
      </c>
      <c r="C48" s="45" t="s">
        <v>19</v>
      </c>
      <c r="D48" s="14">
        <v>353</v>
      </c>
      <c r="E48" s="19"/>
      <c r="F48" s="18">
        <f>ROUND(Tabla33[[#This Row],[CANTIDAD ]]*Tabla33[[#This Row],[VALOR UNITARIO ]],0)</f>
        <v>0</v>
      </c>
      <c r="G48" s="238"/>
      <c r="H48" s="238"/>
      <c r="I48" s="238"/>
      <c r="J48" s="238"/>
      <c r="K48" s="284"/>
      <c r="L48" s="1"/>
    </row>
    <row r="49" spans="1:12" ht="48" x14ac:dyDescent="0.25">
      <c r="A49" s="47" t="s">
        <v>91</v>
      </c>
      <c r="B49" s="46" t="s">
        <v>92</v>
      </c>
      <c r="C49" s="45" t="s">
        <v>19</v>
      </c>
      <c r="D49" s="14">
        <v>67.16200000000002</v>
      </c>
      <c r="E49" s="263">
        <f>ROUND(15561*1.0928,0)</f>
        <v>17005</v>
      </c>
      <c r="F49" s="18">
        <f>ROUND(Tabla33[[#This Row],[CANTIDAD ]]*Tabla33[[#This Row],[VALOR UNITARIO ]],0)</f>
        <v>1142090</v>
      </c>
      <c r="G49" s="238"/>
      <c r="H49" s="238"/>
      <c r="I49" s="238"/>
      <c r="J49" s="238"/>
      <c r="K49" s="284" t="s">
        <v>787</v>
      </c>
      <c r="L49" s="1"/>
    </row>
    <row r="50" spans="1:12" ht="48" x14ac:dyDescent="0.25">
      <c r="A50" s="11" t="s">
        <v>93</v>
      </c>
      <c r="B50" s="40" t="s">
        <v>94</v>
      </c>
      <c r="C50" s="45" t="s">
        <v>19</v>
      </c>
      <c r="D50" s="14">
        <v>66</v>
      </c>
      <c r="E50" s="19"/>
      <c r="F50" s="18">
        <f>ROUND(Tabla33[[#This Row],[CANTIDAD ]]*Tabla33[[#This Row],[VALOR UNITARIO ]],0)</f>
        <v>0</v>
      </c>
      <c r="G50" s="238"/>
      <c r="H50" s="238"/>
      <c r="I50" s="238"/>
      <c r="J50" s="238"/>
      <c r="K50" s="284"/>
      <c r="L50" s="1"/>
    </row>
    <row r="51" spans="1:12" ht="60" x14ac:dyDescent="0.25">
      <c r="A51" s="20" t="s">
        <v>95</v>
      </c>
      <c r="B51" s="40" t="s">
        <v>84</v>
      </c>
      <c r="C51" s="45" t="s">
        <v>14</v>
      </c>
      <c r="D51" s="14">
        <v>73</v>
      </c>
      <c r="E51" s="263"/>
      <c r="F51" s="18">
        <f>ROUND(Tabla33[[#This Row],[CANTIDAD ]]*Tabla33[[#This Row],[VALOR UNITARIO ]],0)</f>
        <v>0</v>
      </c>
      <c r="G51" s="238"/>
      <c r="H51" s="238"/>
      <c r="I51" s="238"/>
      <c r="J51" s="238"/>
      <c r="K51" s="284"/>
      <c r="L51" s="1"/>
    </row>
    <row r="52" spans="1:12" ht="48" x14ac:dyDescent="0.25">
      <c r="A52" s="11" t="s">
        <v>96</v>
      </c>
      <c r="B52" s="46" t="s">
        <v>88</v>
      </c>
      <c r="C52" s="45" t="s">
        <v>14</v>
      </c>
      <c r="D52" s="14">
        <v>121</v>
      </c>
      <c r="E52" s="296">
        <f>ROUND(12295*1.0928,0)</f>
        <v>13436</v>
      </c>
      <c r="F52" s="18">
        <f>ROUND(Tabla33[[#This Row],[CANTIDAD ]]*Tabla33[[#This Row],[VALOR UNITARIO ]],0)</f>
        <v>1625756</v>
      </c>
      <c r="G52" s="238"/>
      <c r="H52" s="238"/>
      <c r="I52" s="238"/>
      <c r="J52" s="238"/>
      <c r="K52" s="284" t="s">
        <v>787</v>
      </c>
      <c r="L52" s="1"/>
    </row>
    <row r="53" spans="1:12" ht="48" x14ac:dyDescent="0.25">
      <c r="A53" s="20" t="s">
        <v>97</v>
      </c>
      <c r="B53" s="24" t="s">
        <v>98</v>
      </c>
      <c r="C53" s="22" t="s">
        <v>14</v>
      </c>
      <c r="D53" s="14">
        <v>121</v>
      </c>
      <c r="E53" s="19"/>
      <c r="F53" s="18">
        <f>ROUND(Tabla33[[#This Row],[CANTIDAD ]]*Tabla33[[#This Row],[VALOR UNITARIO ]],0)</f>
        <v>0</v>
      </c>
      <c r="G53" s="238"/>
      <c r="H53" s="238"/>
      <c r="I53" s="238"/>
      <c r="J53" s="238"/>
      <c r="K53" s="284"/>
      <c r="L53" s="1"/>
    </row>
    <row r="54" spans="1:12" ht="48" x14ac:dyDescent="0.25">
      <c r="A54" s="11" t="s">
        <v>99</v>
      </c>
      <c r="B54" s="48" t="s">
        <v>92</v>
      </c>
      <c r="C54" s="49" t="s">
        <v>14</v>
      </c>
      <c r="D54" s="50">
        <v>73</v>
      </c>
      <c r="E54" s="51"/>
      <c r="F54" s="18">
        <f>ROUND(Tabla33[[#This Row],[CANTIDAD ]]*Tabla33[[#This Row],[VALOR UNITARIO ]],0)</f>
        <v>0</v>
      </c>
      <c r="G54" s="238"/>
      <c r="H54" s="238"/>
      <c r="I54" s="238"/>
      <c r="J54" s="238"/>
      <c r="K54" s="284"/>
      <c r="L54" s="1"/>
    </row>
    <row r="55" spans="1:12" ht="84" x14ac:dyDescent="0.25">
      <c r="A55" s="52" t="s">
        <v>100</v>
      </c>
      <c r="B55" s="297" t="s">
        <v>101</v>
      </c>
      <c r="C55" s="54"/>
      <c r="D55" s="55"/>
      <c r="E55" s="55"/>
      <c r="F55" s="268"/>
      <c r="G55" s="238"/>
      <c r="H55" s="238"/>
      <c r="I55" s="238"/>
      <c r="J55" s="238"/>
      <c r="K55" s="284"/>
      <c r="L55" s="1"/>
    </row>
    <row r="56" spans="1:12" ht="132" x14ac:dyDescent="0.25">
      <c r="A56" s="11" t="s">
        <v>102</v>
      </c>
      <c r="B56" s="56" t="s">
        <v>103</v>
      </c>
      <c r="C56" s="57" t="s">
        <v>19</v>
      </c>
      <c r="D56" s="38">
        <v>158</v>
      </c>
      <c r="E56" s="263">
        <f>ROUND(103790*1.0928,0)</f>
        <v>113422</v>
      </c>
      <c r="F56" s="39">
        <f>ROUND(Tabla33[[#This Row],[CANTIDAD ]]*Tabla33[[#This Row],[VALOR UNITARIO ]],0)</f>
        <v>17920676</v>
      </c>
      <c r="G56" s="238"/>
      <c r="H56" s="238"/>
      <c r="I56" s="238"/>
      <c r="J56" s="238"/>
      <c r="K56" s="284" t="s">
        <v>787</v>
      </c>
      <c r="L56" s="1"/>
    </row>
    <row r="57" spans="1:12" ht="60" x14ac:dyDescent="0.25">
      <c r="A57" s="11" t="s">
        <v>104</v>
      </c>
      <c r="B57" s="58" t="s">
        <v>105</v>
      </c>
      <c r="C57" s="59" t="s">
        <v>14</v>
      </c>
      <c r="D57" s="14">
        <v>40</v>
      </c>
      <c r="E57" s="263">
        <f>ROUND(37657*1.0928,0)</f>
        <v>41152</v>
      </c>
      <c r="F57" s="39">
        <f>ROUND(Tabla33[[#This Row],[CANTIDAD ]]*Tabla33[[#This Row],[VALOR UNITARIO ]],0)</f>
        <v>1646080</v>
      </c>
      <c r="G57" s="238"/>
      <c r="H57" s="238"/>
      <c r="I57" s="238"/>
      <c r="J57" s="238"/>
      <c r="K57" s="284" t="s">
        <v>787</v>
      </c>
      <c r="L57" s="1"/>
    </row>
    <row r="58" spans="1:12" ht="204" x14ac:dyDescent="0.25">
      <c r="A58" s="11" t="s">
        <v>106</v>
      </c>
      <c r="B58" s="24" t="s">
        <v>107</v>
      </c>
      <c r="C58" s="59" t="s">
        <v>14</v>
      </c>
      <c r="D58" s="14">
        <v>40</v>
      </c>
      <c r="E58" s="263">
        <f>ROUND(42410*1.0928,0)</f>
        <v>46346</v>
      </c>
      <c r="F58" s="39">
        <f>ROUND(Tabla33[[#This Row],[CANTIDAD ]]*Tabla33[[#This Row],[VALOR UNITARIO ]],0)</f>
        <v>1853840</v>
      </c>
      <c r="G58" s="238"/>
      <c r="H58" s="238"/>
      <c r="I58" s="238"/>
      <c r="J58" s="238"/>
      <c r="K58" s="284" t="s">
        <v>787</v>
      </c>
      <c r="L58" s="1"/>
    </row>
    <row r="59" spans="1:12" ht="60" x14ac:dyDescent="0.25">
      <c r="A59" s="11" t="s">
        <v>108</v>
      </c>
      <c r="B59" s="58" t="s">
        <v>109</v>
      </c>
      <c r="C59" s="59" t="s">
        <v>14</v>
      </c>
      <c r="D59" s="14">
        <v>60</v>
      </c>
      <c r="E59" s="263">
        <f>ROUND(33950*1.0928,0)</f>
        <v>37101</v>
      </c>
      <c r="F59" s="39">
        <f>ROUND(Tabla33[[#This Row],[CANTIDAD ]]*Tabla33[[#This Row],[VALOR UNITARIO ]],0)</f>
        <v>2226060</v>
      </c>
      <c r="G59" s="238"/>
      <c r="H59" s="238"/>
      <c r="I59" s="238"/>
      <c r="J59" s="238"/>
      <c r="K59" s="284" t="s">
        <v>787</v>
      </c>
      <c r="L59" s="1"/>
    </row>
    <row r="60" spans="1:12" ht="216" x14ac:dyDescent="0.25">
      <c r="A60" s="32" t="s">
        <v>110</v>
      </c>
      <c r="B60" s="24" t="s">
        <v>111</v>
      </c>
      <c r="C60" s="60" t="s">
        <v>6</v>
      </c>
      <c r="D60" s="61">
        <v>8</v>
      </c>
      <c r="E60" s="298">
        <f>ROUND(530275*1.0928,0)</f>
        <v>579485</v>
      </c>
      <c r="F60" s="39">
        <f>ROUND(Tabla33[[#This Row],[CANTIDAD ]]*Tabla33[[#This Row],[VALOR UNITARIO ]],0)</f>
        <v>4635880</v>
      </c>
      <c r="G60" s="238"/>
      <c r="H60" s="238"/>
      <c r="I60" s="238"/>
      <c r="J60" s="238"/>
      <c r="K60" s="284" t="s">
        <v>787</v>
      </c>
      <c r="L60" s="1"/>
    </row>
    <row r="61" spans="1:12" ht="60" x14ac:dyDescent="0.25">
      <c r="A61" s="32" t="s">
        <v>112</v>
      </c>
      <c r="B61" s="63" t="s">
        <v>113</v>
      </c>
      <c r="C61" s="59" t="s">
        <v>14</v>
      </c>
      <c r="D61" s="61">
        <v>1</v>
      </c>
      <c r="E61" s="299">
        <f>ROUND(15400*1.0928,0)</f>
        <v>16829</v>
      </c>
      <c r="F61" s="39">
        <f>ROUND(Tabla33[[#This Row],[CANTIDAD ]]*Tabla33[[#This Row],[VALOR UNITARIO ]],0)</f>
        <v>16829</v>
      </c>
      <c r="G61" s="238"/>
      <c r="H61" s="238"/>
      <c r="I61" s="238"/>
      <c r="J61" s="238"/>
      <c r="K61" s="284" t="s">
        <v>790</v>
      </c>
      <c r="L61" s="1"/>
    </row>
    <row r="62" spans="1:12" ht="132" x14ac:dyDescent="0.25">
      <c r="A62" s="32" t="s">
        <v>114</v>
      </c>
      <c r="B62" s="24" t="s">
        <v>115</v>
      </c>
      <c r="C62" s="57" t="s">
        <v>19</v>
      </c>
      <c r="D62" s="61">
        <v>16</v>
      </c>
      <c r="E62" s="62"/>
      <c r="F62" s="39">
        <f>ROUND(Tabla33[[#This Row],[CANTIDAD ]]*Tabla33[[#This Row],[VALOR UNITARIO ]],0)</f>
        <v>0</v>
      </c>
      <c r="G62" s="238"/>
      <c r="H62" s="238"/>
      <c r="I62" s="238"/>
      <c r="J62" s="238"/>
      <c r="K62" s="284"/>
      <c r="L62" s="1"/>
    </row>
    <row r="63" spans="1:12" ht="264" x14ac:dyDescent="0.25">
      <c r="A63" s="20" t="s">
        <v>116</v>
      </c>
      <c r="B63" s="63" t="s">
        <v>117</v>
      </c>
      <c r="C63" s="64" t="s">
        <v>14</v>
      </c>
      <c r="D63" s="61">
        <v>139</v>
      </c>
      <c r="E63" s="263">
        <f>ROUND(64357*1.0928,0)</f>
        <v>70329</v>
      </c>
      <c r="F63" s="39">
        <f>ROUND(Tabla33[[#This Row],[CANTIDAD ]]*Tabla33[[#This Row],[VALOR UNITARIO ]],0)</f>
        <v>9775731</v>
      </c>
      <c r="G63" s="238"/>
      <c r="H63" s="238"/>
      <c r="I63" s="238"/>
      <c r="J63" s="238"/>
      <c r="K63" s="284" t="s">
        <v>787</v>
      </c>
      <c r="L63" s="1"/>
    </row>
    <row r="64" spans="1:12" ht="156" x14ac:dyDescent="0.25">
      <c r="A64" s="65" t="s">
        <v>118</v>
      </c>
      <c r="B64" s="24" t="s">
        <v>119</v>
      </c>
      <c r="C64" s="22" t="s">
        <v>6</v>
      </c>
      <c r="D64" s="61">
        <v>105</v>
      </c>
      <c r="E64" s="263">
        <f>ROUND(29010*1.0928,0)</f>
        <v>31702</v>
      </c>
      <c r="F64" s="39">
        <f>ROUND(Tabla33[[#This Row],[CANTIDAD ]]*Tabla33[[#This Row],[VALOR UNITARIO ]],0)</f>
        <v>3328710</v>
      </c>
      <c r="G64" s="238"/>
      <c r="H64" s="238"/>
      <c r="I64" s="238"/>
      <c r="J64" s="238"/>
      <c r="K64" s="284" t="s">
        <v>787</v>
      </c>
      <c r="L64" s="1"/>
    </row>
    <row r="65" spans="1:12" ht="96" x14ac:dyDescent="0.25">
      <c r="A65" s="20" t="s">
        <v>120</v>
      </c>
      <c r="B65" s="24" t="s">
        <v>121</v>
      </c>
      <c r="C65" s="22" t="s">
        <v>14</v>
      </c>
      <c r="D65" s="61">
        <v>990</v>
      </c>
      <c r="E65" s="263">
        <f>ROUND(9412*1.0928,0)</f>
        <v>10285</v>
      </c>
      <c r="F65" s="39">
        <f>ROUND(Tabla33[[#This Row],[CANTIDAD ]]*Tabla33[[#This Row],[VALOR UNITARIO ]],0)</f>
        <v>10182150</v>
      </c>
      <c r="G65" s="238"/>
      <c r="H65" s="238"/>
      <c r="I65" s="238"/>
      <c r="J65" s="238"/>
      <c r="K65" s="284" t="s">
        <v>787</v>
      </c>
      <c r="L65" s="1"/>
    </row>
    <row r="66" spans="1:12" ht="216" x14ac:dyDescent="0.25">
      <c r="A66" s="65" t="s">
        <v>122</v>
      </c>
      <c r="B66" s="24" t="s">
        <v>123</v>
      </c>
      <c r="C66" s="22" t="s">
        <v>6</v>
      </c>
      <c r="D66" s="61">
        <v>35</v>
      </c>
      <c r="E66" s="263">
        <f>ROUND(64733*1.0928,0)</f>
        <v>70740</v>
      </c>
      <c r="F66" s="39">
        <f>ROUND(Tabla33[[#This Row],[CANTIDAD ]]*Tabla33[[#This Row],[VALOR UNITARIO ]],0)</f>
        <v>2475900</v>
      </c>
      <c r="G66" s="238"/>
      <c r="H66" s="238"/>
      <c r="I66" s="238"/>
      <c r="J66" s="238"/>
      <c r="K66" s="284" t="s">
        <v>787</v>
      </c>
      <c r="L66" s="1"/>
    </row>
    <row r="67" spans="1:12" ht="72" x14ac:dyDescent="0.25">
      <c r="A67" s="20" t="s">
        <v>124</v>
      </c>
      <c r="B67" s="24" t="s">
        <v>125</v>
      </c>
      <c r="C67" s="22" t="s">
        <v>6</v>
      </c>
      <c r="D67" s="61">
        <v>35</v>
      </c>
      <c r="E67" s="263">
        <f>ROUND(18502*1.0928,0)</f>
        <v>20219</v>
      </c>
      <c r="F67" s="39">
        <f>ROUND(Tabla33[[#This Row],[CANTIDAD ]]*Tabla33[[#This Row],[VALOR UNITARIO ]],0)</f>
        <v>707665</v>
      </c>
      <c r="G67" s="238"/>
      <c r="H67" s="238"/>
      <c r="I67" s="238"/>
      <c r="J67" s="238"/>
      <c r="K67" s="284" t="s">
        <v>787</v>
      </c>
      <c r="L67" s="1"/>
    </row>
    <row r="68" spans="1:12" ht="240" x14ac:dyDescent="0.25">
      <c r="A68" s="65" t="s">
        <v>126</v>
      </c>
      <c r="B68" s="24" t="s">
        <v>127</v>
      </c>
      <c r="C68" s="22" t="s">
        <v>6</v>
      </c>
      <c r="D68" s="61">
        <v>35</v>
      </c>
      <c r="E68" s="263">
        <v>110023</v>
      </c>
      <c r="F68" s="39">
        <f>ROUND(Tabla33[[#This Row],[CANTIDAD ]]*Tabla33[[#This Row],[VALOR UNITARIO ]],0)</f>
        <v>3850805</v>
      </c>
      <c r="G68" s="238"/>
      <c r="H68" s="238"/>
      <c r="I68" s="238"/>
      <c r="J68" s="238"/>
      <c r="K68" s="284" t="s">
        <v>787</v>
      </c>
      <c r="L68" s="1"/>
    </row>
    <row r="69" spans="1:12" ht="240" x14ac:dyDescent="0.25">
      <c r="A69" s="20" t="s">
        <v>128</v>
      </c>
      <c r="B69" s="24" t="s">
        <v>129</v>
      </c>
      <c r="C69" s="22" t="s">
        <v>6</v>
      </c>
      <c r="D69" s="61">
        <v>35</v>
      </c>
      <c r="E69" s="263">
        <f>ROUND(113421*1.0928,0)</f>
        <v>123946</v>
      </c>
      <c r="F69" s="39">
        <f>ROUND(Tabla33[[#This Row],[CANTIDAD ]]*Tabla33[[#This Row],[VALOR UNITARIO ]],0)</f>
        <v>4338110</v>
      </c>
      <c r="G69" s="238"/>
      <c r="H69" s="238"/>
      <c r="I69" s="238"/>
      <c r="J69" s="238"/>
      <c r="K69" s="284" t="s">
        <v>787</v>
      </c>
      <c r="L69" s="1"/>
    </row>
    <row r="70" spans="1:12" ht="108" x14ac:dyDescent="0.25">
      <c r="A70" s="65" t="s">
        <v>130</v>
      </c>
      <c r="B70" s="24" t="s">
        <v>131</v>
      </c>
      <c r="C70" s="22" t="s">
        <v>6</v>
      </c>
      <c r="D70" s="61">
        <v>5</v>
      </c>
      <c r="E70" s="263">
        <f>ROUND(88543*1.0928,0)</f>
        <v>96760</v>
      </c>
      <c r="F70" s="39">
        <f>ROUND(Tabla33[[#This Row],[CANTIDAD ]]*Tabla33[[#This Row],[VALOR UNITARIO ]],0)</f>
        <v>483800</v>
      </c>
      <c r="G70" s="238"/>
      <c r="H70" s="238"/>
      <c r="I70" s="238"/>
      <c r="J70" s="238"/>
      <c r="K70" s="284" t="s">
        <v>787</v>
      </c>
      <c r="L70" s="1"/>
    </row>
    <row r="71" spans="1:12" ht="156" x14ac:dyDescent="0.25">
      <c r="A71" s="20" t="s">
        <v>132</v>
      </c>
      <c r="B71" s="24" t="s">
        <v>133</v>
      </c>
      <c r="C71" s="22" t="s">
        <v>6</v>
      </c>
      <c r="D71" s="61">
        <v>20</v>
      </c>
      <c r="E71" s="263">
        <f>ROUND(130000*1.0928,0)</f>
        <v>142064</v>
      </c>
      <c r="F71" s="39">
        <f>ROUND(Tabla33[[#This Row],[CANTIDAD ]]*Tabla33[[#This Row],[VALOR UNITARIO ]],0)</f>
        <v>2841280</v>
      </c>
      <c r="G71" s="238"/>
      <c r="H71" s="238"/>
      <c r="I71" s="238"/>
      <c r="J71" s="238"/>
      <c r="K71" s="284" t="s">
        <v>787</v>
      </c>
      <c r="L71" s="1"/>
    </row>
    <row r="72" spans="1:12" ht="96" x14ac:dyDescent="0.25">
      <c r="A72" s="65" t="s">
        <v>134</v>
      </c>
      <c r="B72" s="24" t="s">
        <v>135</v>
      </c>
      <c r="C72" s="22" t="s">
        <v>14</v>
      </c>
      <c r="D72" s="61">
        <v>20</v>
      </c>
      <c r="E72" s="263">
        <f>ROUND(15132*1.0928,0)</f>
        <v>16536</v>
      </c>
      <c r="F72" s="39">
        <f>ROUND(Tabla33[[#This Row],[CANTIDAD ]]*Tabla33[[#This Row],[VALOR UNITARIO ]],0)</f>
        <v>330720</v>
      </c>
      <c r="G72" s="238"/>
      <c r="H72" s="238"/>
      <c r="I72" s="238"/>
      <c r="J72" s="238"/>
      <c r="K72" s="284" t="s">
        <v>791</v>
      </c>
      <c r="L72" s="1"/>
    </row>
    <row r="73" spans="1:12" ht="60" x14ac:dyDescent="0.25">
      <c r="A73" s="20" t="s">
        <v>136</v>
      </c>
      <c r="B73" s="24" t="s">
        <v>137</v>
      </c>
      <c r="C73" s="22" t="s">
        <v>6</v>
      </c>
      <c r="D73" s="61">
        <v>35</v>
      </c>
      <c r="E73" s="263">
        <f>ROUND(31336*1.0928,0)</f>
        <v>34244</v>
      </c>
      <c r="F73" s="39">
        <f>ROUND(Tabla33[[#This Row],[CANTIDAD ]]*Tabla33[[#This Row],[VALOR UNITARIO ]],0)</f>
        <v>1198540</v>
      </c>
      <c r="G73" s="238"/>
      <c r="H73" s="238"/>
      <c r="I73" s="238"/>
      <c r="J73" s="238"/>
      <c r="K73" s="284" t="s">
        <v>791</v>
      </c>
      <c r="L73" s="1"/>
    </row>
    <row r="74" spans="1:12" ht="60" x14ac:dyDescent="0.25">
      <c r="A74" s="65" t="s">
        <v>138</v>
      </c>
      <c r="B74" s="24" t="s">
        <v>139</v>
      </c>
      <c r="C74" s="22" t="s">
        <v>6</v>
      </c>
      <c r="D74" s="61">
        <v>5</v>
      </c>
      <c r="E74" s="263">
        <f>ROUND(42155*1.0928,0)</f>
        <v>46067</v>
      </c>
      <c r="F74" s="39">
        <f>ROUND(Tabla33[[#This Row],[CANTIDAD ]]*Tabla33[[#This Row],[VALOR UNITARIO ]],0)</f>
        <v>230335</v>
      </c>
      <c r="G74" s="238"/>
      <c r="H74" s="238"/>
      <c r="I74" s="238"/>
      <c r="J74" s="238"/>
      <c r="K74" s="284" t="s">
        <v>791</v>
      </c>
      <c r="L74" s="1"/>
    </row>
    <row r="75" spans="1:12" ht="108" x14ac:dyDescent="0.25">
      <c r="A75" s="20" t="s">
        <v>140</v>
      </c>
      <c r="B75" s="24" t="s">
        <v>141</v>
      </c>
      <c r="C75" s="22" t="s">
        <v>6</v>
      </c>
      <c r="D75" s="61">
        <v>1</v>
      </c>
      <c r="E75" s="263">
        <f>ROUND(2786713*1.0928,0)</f>
        <v>3045320</v>
      </c>
      <c r="F75" s="39">
        <f>ROUND(Tabla33[[#This Row],[CANTIDAD ]]*Tabla33[[#This Row],[VALOR UNITARIO ]],0)</f>
        <v>3045320</v>
      </c>
      <c r="G75" s="238"/>
      <c r="H75" s="238"/>
      <c r="I75" s="238"/>
      <c r="J75" s="238"/>
      <c r="K75" s="284" t="s">
        <v>791</v>
      </c>
      <c r="L75" s="1"/>
    </row>
    <row r="76" spans="1:12" ht="96" x14ac:dyDescent="0.25">
      <c r="A76" s="65" t="s">
        <v>142</v>
      </c>
      <c r="B76" s="24" t="s">
        <v>143</v>
      </c>
      <c r="C76" s="22" t="s">
        <v>6</v>
      </c>
      <c r="D76" s="61">
        <v>1</v>
      </c>
      <c r="E76" s="62"/>
      <c r="F76" s="39">
        <f>ROUND(Tabla33[[#This Row],[CANTIDAD ]]*Tabla33[[#This Row],[VALOR UNITARIO ]],0)</f>
        <v>0</v>
      </c>
      <c r="G76" s="238"/>
      <c r="H76" s="238"/>
      <c r="I76" s="238"/>
      <c r="J76" s="238"/>
      <c r="K76" s="284"/>
      <c r="L76" s="1"/>
    </row>
    <row r="77" spans="1:12" ht="72" x14ac:dyDescent="0.25">
      <c r="A77" s="20" t="s">
        <v>144</v>
      </c>
      <c r="B77" s="66" t="s">
        <v>145</v>
      </c>
      <c r="C77" s="67" t="s">
        <v>19</v>
      </c>
      <c r="D77" s="68">
        <v>5</v>
      </c>
      <c r="E77" s="263">
        <f>ROUND(16976*1.0928,0)</f>
        <v>18551</v>
      </c>
      <c r="F77" s="39">
        <f>ROUND(Tabla33[[#This Row],[CANTIDAD ]]*Tabla33[[#This Row],[VALOR UNITARIO ]],0)</f>
        <v>92755</v>
      </c>
      <c r="G77" s="238"/>
      <c r="H77" s="238"/>
      <c r="I77" s="238"/>
      <c r="J77" s="238"/>
      <c r="K77" s="284" t="s">
        <v>791</v>
      </c>
      <c r="L77" s="1"/>
    </row>
    <row r="78" spans="1:12" ht="36" x14ac:dyDescent="0.25">
      <c r="A78" s="70" t="s">
        <v>146</v>
      </c>
      <c r="B78" s="297" t="s">
        <v>147</v>
      </c>
      <c r="C78" s="71"/>
      <c r="D78" s="72"/>
      <c r="E78" s="73"/>
      <c r="F78" s="268"/>
      <c r="G78" s="238"/>
      <c r="H78" s="238"/>
      <c r="I78" s="238"/>
      <c r="J78" s="238"/>
      <c r="K78" s="284"/>
      <c r="L78" s="1"/>
    </row>
    <row r="79" spans="1:12" ht="36" x14ac:dyDescent="0.25">
      <c r="A79" s="65" t="s">
        <v>148</v>
      </c>
      <c r="B79" s="74" t="s">
        <v>149</v>
      </c>
      <c r="C79" s="75" t="s">
        <v>150</v>
      </c>
      <c r="D79" s="76">
        <v>3</v>
      </c>
      <c r="E79" s="77"/>
      <c r="F79" s="39">
        <f>ROUND(Tabla33[[#This Row],[CANTIDAD ]]*Tabla33[[#This Row],[VALOR UNITARIO ]],0)</f>
        <v>0</v>
      </c>
      <c r="G79" s="238"/>
      <c r="H79" s="238"/>
      <c r="I79" s="238"/>
      <c r="J79" s="238"/>
      <c r="K79" s="284"/>
      <c r="L79" s="1"/>
    </row>
    <row r="80" spans="1:12" ht="144" x14ac:dyDescent="0.25">
      <c r="A80" s="65" t="s">
        <v>151</v>
      </c>
      <c r="B80" s="63" t="s">
        <v>152</v>
      </c>
      <c r="C80" s="17" t="s">
        <v>19</v>
      </c>
      <c r="D80" s="61">
        <v>17</v>
      </c>
      <c r="E80" s="62"/>
      <c r="F80" s="39">
        <f>ROUND(Tabla33[[#This Row],[CANTIDAD ]]*Tabla33[[#This Row],[VALOR UNITARIO ]],0)</f>
        <v>0</v>
      </c>
      <c r="G80" s="238"/>
      <c r="H80" s="238"/>
      <c r="I80" s="238"/>
      <c r="J80" s="238"/>
      <c r="K80" s="284"/>
      <c r="L80" s="1"/>
    </row>
    <row r="81" spans="1:12" ht="84" x14ac:dyDescent="0.25">
      <c r="A81" s="65" t="s">
        <v>153</v>
      </c>
      <c r="B81" s="24" t="s">
        <v>154</v>
      </c>
      <c r="C81" s="22" t="s">
        <v>14</v>
      </c>
      <c r="D81" s="61">
        <v>33</v>
      </c>
      <c r="E81" s="62"/>
      <c r="F81" s="39">
        <f>ROUND(Tabla33[[#This Row],[CANTIDAD ]]*Tabla33[[#This Row],[VALOR UNITARIO ]],0)</f>
        <v>0</v>
      </c>
      <c r="G81" s="238"/>
      <c r="H81" s="238"/>
      <c r="I81" s="238"/>
      <c r="J81" s="238"/>
      <c r="K81" s="284"/>
      <c r="L81" s="1"/>
    </row>
    <row r="82" spans="1:12" ht="48" x14ac:dyDescent="0.25">
      <c r="A82" s="20" t="s">
        <v>155</v>
      </c>
      <c r="B82" s="24" t="s">
        <v>156</v>
      </c>
      <c r="C82" s="22" t="s">
        <v>19</v>
      </c>
      <c r="D82" s="61">
        <v>24</v>
      </c>
      <c r="E82" s="62"/>
      <c r="F82" s="39">
        <f>ROUND(Tabla33[[#This Row],[CANTIDAD ]]*Tabla33[[#This Row],[VALOR UNITARIO ]],0)</f>
        <v>0</v>
      </c>
      <c r="G82" s="238"/>
      <c r="H82" s="238"/>
      <c r="I82" s="238"/>
      <c r="J82" s="238"/>
      <c r="K82" s="284"/>
      <c r="L82" s="1"/>
    </row>
    <row r="83" spans="1:12" ht="48" x14ac:dyDescent="0.25">
      <c r="A83" s="65" t="s">
        <v>157</v>
      </c>
      <c r="B83" s="24" t="s">
        <v>158</v>
      </c>
      <c r="C83" s="78" t="s">
        <v>14</v>
      </c>
      <c r="D83" s="61">
        <v>3</v>
      </c>
      <c r="E83" s="263">
        <f>ROUND(12246*1.0298,0)</f>
        <v>12611</v>
      </c>
      <c r="F83" s="39">
        <f>ROUND(Tabla33[[#This Row],[CANTIDAD ]]*Tabla33[[#This Row],[VALOR UNITARIO ]],0)</f>
        <v>37833</v>
      </c>
      <c r="G83" s="238"/>
      <c r="H83" s="238"/>
      <c r="I83" s="238"/>
      <c r="J83" s="238"/>
      <c r="K83" s="284" t="s">
        <v>791</v>
      </c>
      <c r="L83" s="1"/>
    </row>
    <row r="84" spans="1:12" ht="36" x14ac:dyDescent="0.25">
      <c r="A84" s="65" t="s">
        <v>159</v>
      </c>
      <c r="B84" s="24" t="s">
        <v>160</v>
      </c>
      <c r="C84" s="22" t="s">
        <v>150</v>
      </c>
      <c r="D84" s="68">
        <v>1</v>
      </c>
      <c r="E84" s="69"/>
      <c r="F84" s="39">
        <f>ROUND(Tabla33[[#This Row],[CANTIDAD ]]*Tabla33[[#This Row],[VALOR UNITARIO ]],0)</f>
        <v>0</v>
      </c>
      <c r="G84" s="238"/>
      <c r="H84" s="238"/>
      <c r="I84" s="238"/>
      <c r="J84" s="238"/>
      <c r="K84" s="284"/>
      <c r="L84" s="1"/>
    </row>
    <row r="85" spans="1:12" ht="96" x14ac:dyDescent="0.25">
      <c r="A85" s="65" t="s">
        <v>161</v>
      </c>
      <c r="B85" s="24" t="s">
        <v>162</v>
      </c>
      <c r="C85" s="22" t="s">
        <v>14</v>
      </c>
      <c r="D85" s="61">
        <v>3</v>
      </c>
      <c r="E85" s="263">
        <f>ROUND(42270*1.0928,0)</f>
        <v>46193</v>
      </c>
      <c r="F85" s="39">
        <f>ROUND(Tabla33[[#This Row],[CANTIDAD ]]*Tabla33[[#This Row],[VALOR UNITARIO ]],0)</f>
        <v>138579</v>
      </c>
      <c r="G85" s="238"/>
      <c r="H85" s="238"/>
      <c r="I85" s="238"/>
      <c r="J85" s="238"/>
      <c r="K85" s="284" t="s">
        <v>791</v>
      </c>
      <c r="L85" s="1"/>
    </row>
    <row r="86" spans="1:12" ht="120" x14ac:dyDescent="0.25">
      <c r="A86" s="65" t="s">
        <v>163</v>
      </c>
      <c r="B86" s="24" t="s">
        <v>164</v>
      </c>
      <c r="C86" s="59" t="s">
        <v>19</v>
      </c>
      <c r="D86" s="61">
        <v>20</v>
      </c>
      <c r="E86" s="62"/>
      <c r="F86" s="39">
        <f>ROUND(Tabla33[[#This Row],[CANTIDAD ]]*Tabla33[[#This Row],[VALOR UNITARIO ]],0)</f>
        <v>0</v>
      </c>
      <c r="G86" s="238"/>
      <c r="H86" s="238"/>
      <c r="I86" s="238"/>
      <c r="J86" s="238"/>
      <c r="K86" s="284"/>
      <c r="L86" s="1"/>
    </row>
    <row r="87" spans="1:12" ht="72" x14ac:dyDescent="0.25">
      <c r="A87" s="65" t="s">
        <v>165</v>
      </c>
      <c r="B87" s="48" t="s">
        <v>166</v>
      </c>
      <c r="C87" s="49" t="s">
        <v>150</v>
      </c>
      <c r="D87" s="68">
        <v>2</v>
      </c>
      <c r="E87" s="263">
        <f>ROUND(70878*1.0928,0)</f>
        <v>77455</v>
      </c>
      <c r="F87" s="39">
        <f>ROUND(Tabla33[[#This Row],[CANTIDAD ]]*Tabla33[[#This Row],[VALOR UNITARIO ]],0)</f>
        <v>154910</v>
      </c>
      <c r="G87" s="238"/>
      <c r="H87" s="238"/>
      <c r="I87" s="238"/>
      <c r="J87" s="238"/>
      <c r="K87" s="284" t="s">
        <v>791</v>
      </c>
      <c r="L87" s="1"/>
    </row>
    <row r="88" spans="1:12" ht="36" x14ac:dyDescent="0.25">
      <c r="A88" s="70" t="s">
        <v>167</v>
      </c>
      <c r="B88" s="53" t="s">
        <v>168</v>
      </c>
      <c r="C88" s="79"/>
      <c r="D88" s="72"/>
      <c r="E88" s="73"/>
      <c r="F88" s="39">
        <f>ROUND(Tabla33[[#This Row],[CANTIDAD ]]*Tabla33[[#This Row],[VALOR UNITARIO ]],0)</f>
        <v>0</v>
      </c>
      <c r="G88" s="238"/>
      <c r="H88" s="238"/>
      <c r="I88" s="238"/>
      <c r="J88" s="238"/>
      <c r="K88" s="284"/>
      <c r="L88" s="1"/>
    </row>
    <row r="89" spans="1:12" ht="48" x14ac:dyDescent="0.25">
      <c r="A89" s="80" t="s">
        <v>169</v>
      </c>
      <c r="B89" s="56" t="s">
        <v>158</v>
      </c>
      <c r="C89" s="13" t="s">
        <v>14</v>
      </c>
      <c r="D89" s="76">
        <v>220</v>
      </c>
      <c r="E89" s="263">
        <f>ROUND(12246*1.0298,0)</f>
        <v>12611</v>
      </c>
      <c r="F89" s="39">
        <f>ROUND(Tabla33[[#This Row],[CANTIDAD ]]*Tabla33[[#This Row],[VALOR UNITARIO ]],0)</f>
        <v>2774420</v>
      </c>
      <c r="G89" s="238"/>
      <c r="H89" s="238"/>
      <c r="I89" s="238"/>
      <c r="J89" s="238"/>
      <c r="K89" s="284" t="s">
        <v>791</v>
      </c>
      <c r="L89" s="1"/>
    </row>
    <row r="90" spans="1:12" ht="96" x14ac:dyDescent="0.25">
      <c r="A90" s="65" t="s">
        <v>170</v>
      </c>
      <c r="B90" s="81" t="s">
        <v>171</v>
      </c>
      <c r="C90" s="17" t="s">
        <v>14</v>
      </c>
      <c r="D90" s="61">
        <v>120</v>
      </c>
      <c r="E90" s="263">
        <f>ROUND(36251*1.0928,0)</f>
        <v>39615</v>
      </c>
      <c r="F90" s="39">
        <f>ROUND(Tabla33[[#This Row],[CANTIDAD ]]*Tabla33[[#This Row],[VALOR UNITARIO ]],0)</f>
        <v>4753800</v>
      </c>
      <c r="G90" s="238"/>
      <c r="H90" s="238"/>
      <c r="I90" s="238"/>
      <c r="J90" s="238"/>
      <c r="K90" s="284" t="s">
        <v>791</v>
      </c>
      <c r="L90" s="1"/>
    </row>
    <row r="91" spans="1:12" ht="72" x14ac:dyDescent="0.25">
      <c r="A91" s="65" t="s">
        <v>172</v>
      </c>
      <c r="B91" s="82" t="s">
        <v>173</v>
      </c>
      <c r="C91" s="83" t="s">
        <v>14</v>
      </c>
      <c r="D91" s="68">
        <v>100</v>
      </c>
      <c r="E91" s="263">
        <f>ROUND(24172*1.0928,0)</f>
        <v>26415</v>
      </c>
      <c r="F91" s="39">
        <f>ROUND(Tabla33[[#This Row],[CANTIDAD ]]*Tabla33[[#This Row],[VALOR UNITARIO ]],0)</f>
        <v>2641500</v>
      </c>
      <c r="G91" s="238"/>
      <c r="H91" s="238"/>
      <c r="I91" s="238"/>
      <c r="J91" s="238"/>
      <c r="K91" s="284" t="s">
        <v>791</v>
      </c>
      <c r="L91" s="1"/>
    </row>
    <row r="92" spans="1:12" ht="84" x14ac:dyDescent="0.25">
      <c r="A92" s="65" t="s">
        <v>174</v>
      </c>
      <c r="B92" s="82" t="s">
        <v>175</v>
      </c>
      <c r="C92" s="84" t="s">
        <v>14</v>
      </c>
      <c r="D92" s="61">
        <v>100</v>
      </c>
      <c r="E92" s="85"/>
      <c r="F92" s="39">
        <f>ROUND(Tabla33[[#This Row],[CANTIDAD ]]*Tabla33[[#This Row],[VALOR UNITARIO ]],0)</f>
        <v>0</v>
      </c>
      <c r="G92" s="238"/>
      <c r="H92" s="238"/>
      <c r="I92" s="238"/>
      <c r="J92" s="238"/>
      <c r="K92" s="284"/>
      <c r="L92" s="1"/>
    </row>
    <row r="93" spans="1:12" ht="48" x14ac:dyDescent="0.25">
      <c r="A93" s="70" t="s">
        <v>176</v>
      </c>
      <c r="B93" s="53" t="s">
        <v>177</v>
      </c>
      <c r="C93" s="35"/>
      <c r="D93" s="72"/>
      <c r="E93" s="73"/>
      <c r="F93" s="268"/>
      <c r="G93" s="238"/>
      <c r="H93" s="238"/>
      <c r="I93" s="238"/>
      <c r="J93" s="238"/>
      <c r="K93" s="284"/>
      <c r="L93" s="1"/>
    </row>
    <row r="94" spans="1:12" ht="48" x14ac:dyDescent="0.25">
      <c r="A94" s="80" t="s">
        <v>178</v>
      </c>
      <c r="B94" s="56" t="s">
        <v>179</v>
      </c>
      <c r="C94" s="86" t="s">
        <v>14</v>
      </c>
      <c r="D94" s="76">
        <v>170</v>
      </c>
      <c r="E94" s="77"/>
      <c r="F94" s="39">
        <f>ROUND(Tabla33[[#This Row],[CANTIDAD ]]*Tabla33[[#This Row],[VALOR UNITARIO ]],0)</f>
        <v>0</v>
      </c>
      <c r="G94" s="238"/>
      <c r="H94" s="238"/>
      <c r="I94" s="238"/>
      <c r="J94" s="238"/>
      <c r="K94" s="284"/>
      <c r="L94" s="1"/>
    </row>
    <row r="95" spans="1:12" ht="48" x14ac:dyDescent="0.25">
      <c r="A95" s="65" t="s">
        <v>180</v>
      </c>
      <c r="B95" s="24" t="s">
        <v>181</v>
      </c>
      <c r="C95" s="22" t="s">
        <v>14</v>
      </c>
      <c r="D95" s="61">
        <v>97</v>
      </c>
      <c r="E95" s="62"/>
      <c r="F95" s="39">
        <f>ROUND(Tabla33[[#This Row],[CANTIDAD ]]*Tabla33[[#This Row],[VALOR UNITARIO ]],0)</f>
        <v>0</v>
      </c>
      <c r="G95" s="238"/>
      <c r="H95" s="238"/>
      <c r="I95" s="238"/>
      <c r="J95" s="238"/>
      <c r="K95" s="284"/>
      <c r="L95" s="1"/>
    </row>
    <row r="96" spans="1:12" ht="96" x14ac:dyDescent="0.25">
      <c r="A96" s="20" t="s">
        <v>182</v>
      </c>
      <c r="B96" s="24" t="s">
        <v>183</v>
      </c>
      <c r="C96" s="22" t="s">
        <v>19</v>
      </c>
      <c r="D96" s="61">
        <v>50</v>
      </c>
      <c r="E96" s="62"/>
      <c r="F96" s="39">
        <f>ROUND(Tabla33[[#This Row],[CANTIDAD ]]*Tabla33[[#This Row],[VALOR UNITARIO ]],0)</f>
        <v>0</v>
      </c>
      <c r="G96" s="238"/>
      <c r="H96" s="238"/>
      <c r="I96" s="238"/>
      <c r="J96" s="238"/>
      <c r="K96" s="284"/>
      <c r="L96" s="1"/>
    </row>
    <row r="97" spans="1:12" ht="96" x14ac:dyDescent="0.25">
      <c r="A97" s="65" t="s">
        <v>184</v>
      </c>
      <c r="B97" s="48" t="s">
        <v>185</v>
      </c>
      <c r="C97" s="49" t="s">
        <v>14</v>
      </c>
      <c r="D97" s="68">
        <v>112</v>
      </c>
      <c r="E97" s="69"/>
      <c r="F97" s="39">
        <f>ROUND(Tabla33[[#This Row],[CANTIDAD ]]*Tabla33[[#This Row],[VALOR UNITARIO ]],0)</f>
        <v>0</v>
      </c>
      <c r="G97" s="238"/>
      <c r="H97" s="238"/>
      <c r="I97" s="238"/>
      <c r="J97" s="238"/>
      <c r="K97" s="284"/>
      <c r="L97" s="1"/>
    </row>
    <row r="98" spans="1:12" ht="60" x14ac:dyDescent="0.25">
      <c r="A98" s="70" t="s">
        <v>186</v>
      </c>
      <c r="B98" s="53" t="s">
        <v>187</v>
      </c>
      <c r="C98" s="35"/>
      <c r="D98" s="72"/>
      <c r="E98" s="73"/>
      <c r="F98" s="268"/>
      <c r="G98" s="238"/>
      <c r="H98" s="238"/>
      <c r="I98" s="238"/>
      <c r="J98" s="238"/>
      <c r="K98" s="284"/>
      <c r="L98" s="1"/>
    </row>
    <row r="99" spans="1:12" ht="84" x14ac:dyDescent="0.25">
      <c r="A99" s="20" t="s">
        <v>188</v>
      </c>
      <c r="B99" s="87" t="s">
        <v>189</v>
      </c>
      <c r="C99" s="37" t="s">
        <v>19</v>
      </c>
      <c r="D99" s="76">
        <v>41</v>
      </c>
      <c r="E99" s="77"/>
      <c r="F99" s="39">
        <f>ROUND(Tabla33[[#This Row],[CANTIDAD ]]*Tabla33[[#This Row],[VALOR UNITARIO ]],0)</f>
        <v>0</v>
      </c>
      <c r="G99" s="238"/>
      <c r="H99" s="238"/>
      <c r="I99" s="238"/>
      <c r="J99" s="238"/>
      <c r="K99" s="284"/>
      <c r="L99" s="1"/>
    </row>
    <row r="100" spans="1:12" ht="108" x14ac:dyDescent="0.25">
      <c r="A100" s="65" t="s">
        <v>190</v>
      </c>
      <c r="B100" s="24" t="s">
        <v>191</v>
      </c>
      <c r="C100" s="22" t="s">
        <v>19</v>
      </c>
      <c r="D100" s="61">
        <v>41</v>
      </c>
      <c r="E100" s="290">
        <f>ROUND(26675*1.0928,0)</f>
        <v>29150</v>
      </c>
      <c r="F100" s="39">
        <f>ROUND(Tabla33[[#This Row],[CANTIDAD ]]*Tabla33[[#This Row],[VALOR UNITARIO ]],0)</f>
        <v>1195150</v>
      </c>
      <c r="G100" s="238"/>
      <c r="H100" s="238"/>
      <c r="I100" s="238"/>
      <c r="J100" s="238"/>
      <c r="K100" s="284" t="s">
        <v>787</v>
      </c>
      <c r="L100" s="1"/>
    </row>
    <row r="101" spans="1:12" ht="120" x14ac:dyDescent="0.25">
      <c r="A101" s="20" t="s">
        <v>192</v>
      </c>
      <c r="B101" s="40" t="s">
        <v>193</v>
      </c>
      <c r="C101" s="41" t="s">
        <v>19</v>
      </c>
      <c r="D101" s="61">
        <v>41</v>
      </c>
      <c r="E101" s="62"/>
      <c r="F101" s="39">
        <f>ROUND(Tabla33[[#This Row],[CANTIDAD ]]*Tabla33[[#This Row],[VALOR UNITARIO ]],0)</f>
        <v>0</v>
      </c>
      <c r="G101" s="238"/>
      <c r="H101" s="238"/>
      <c r="I101" s="238"/>
      <c r="J101" s="238"/>
      <c r="K101" s="284"/>
      <c r="L101" s="1"/>
    </row>
    <row r="102" spans="1:12" ht="24" x14ac:dyDescent="0.25">
      <c r="A102" s="88" t="s">
        <v>194</v>
      </c>
      <c r="B102" s="82" t="s">
        <v>195</v>
      </c>
      <c r="C102" s="83" t="s">
        <v>19</v>
      </c>
      <c r="D102" s="68">
        <v>41</v>
      </c>
      <c r="E102" s="263">
        <f>ROUND(4850*1.0928,0)</f>
        <v>5300</v>
      </c>
      <c r="F102" s="39">
        <f>ROUND(Tabla33[[#This Row],[CANTIDAD ]]*Tabla33[[#This Row],[VALOR UNITARIO ]],0)</f>
        <v>217300</v>
      </c>
      <c r="G102" s="238"/>
      <c r="H102" s="238"/>
      <c r="I102" s="238"/>
      <c r="J102" s="238"/>
      <c r="K102" s="284" t="s">
        <v>787</v>
      </c>
      <c r="L102" s="1"/>
    </row>
    <row r="103" spans="1:12" x14ac:dyDescent="0.25">
      <c r="A103" s="89"/>
      <c r="B103" s="90"/>
      <c r="C103" s="91" t="s">
        <v>196</v>
      </c>
      <c r="D103" s="92"/>
      <c r="E103" s="22"/>
      <c r="F103" s="300">
        <f>SUBTOTAL(109,F9:F102)</f>
        <v>251611999</v>
      </c>
      <c r="G103" s="238"/>
      <c r="H103" s="238"/>
      <c r="I103" s="238"/>
      <c r="J103" s="238"/>
      <c r="K103" s="284"/>
      <c r="L103" s="1"/>
    </row>
    <row r="104" spans="1:12" x14ac:dyDescent="0.25">
      <c r="A104" s="93"/>
      <c r="B104" s="94"/>
      <c r="C104" s="95" t="s">
        <v>197</v>
      </c>
      <c r="D104" s="96"/>
      <c r="E104" s="97">
        <v>0</v>
      </c>
      <c r="F104" s="301">
        <f>F103*Tabla33[[#This Row],[VALOR UNITARIO ]]</f>
        <v>0</v>
      </c>
      <c r="G104" s="238"/>
      <c r="H104" s="238"/>
      <c r="I104" s="238"/>
      <c r="J104" s="238"/>
      <c r="K104" s="284"/>
      <c r="L104" s="1"/>
    </row>
    <row r="105" spans="1:12" x14ac:dyDescent="0.25">
      <c r="A105" s="93"/>
      <c r="B105" s="94"/>
      <c r="C105" s="95" t="s">
        <v>198</v>
      </c>
      <c r="D105" s="96"/>
      <c r="E105" s="97">
        <v>0</v>
      </c>
      <c r="F105" s="301">
        <f>F103*Tabla33[[#This Row],[VALOR UNITARIO ]]</f>
        <v>0</v>
      </c>
      <c r="G105" s="238"/>
      <c r="H105" s="238"/>
      <c r="I105" s="238"/>
      <c r="J105" s="238"/>
      <c r="K105" s="284"/>
      <c r="L105" s="1"/>
    </row>
    <row r="106" spans="1:12" x14ac:dyDescent="0.25">
      <c r="A106" s="93"/>
      <c r="B106" s="94"/>
      <c r="C106" s="95" t="s">
        <v>199</v>
      </c>
      <c r="D106" s="96"/>
      <c r="E106" s="97">
        <v>0</v>
      </c>
      <c r="F106" s="301">
        <f>F103*Tabla33[[#This Row],[VALOR UNITARIO ]]</f>
        <v>0</v>
      </c>
      <c r="G106" s="238"/>
      <c r="H106" s="238"/>
      <c r="I106" s="238"/>
      <c r="J106" s="238"/>
      <c r="K106" s="284"/>
      <c r="L106" s="1"/>
    </row>
    <row r="107" spans="1:12" x14ac:dyDescent="0.25">
      <c r="A107" s="93"/>
      <c r="B107" s="94"/>
      <c r="C107" s="95" t="s">
        <v>200</v>
      </c>
      <c r="D107" s="96"/>
      <c r="E107" s="97">
        <v>0</v>
      </c>
      <c r="F107" s="301">
        <f>F106*Tabla33[[#This Row],[VALOR UNITARIO ]]</f>
        <v>0</v>
      </c>
      <c r="G107" s="238"/>
      <c r="H107" s="238"/>
      <c r="I107" s="238"/>
      <c r="J107" s="238"/>
      <c r="K107" s="284"/>
      <c r="L107" s="1"/>
    </row>
    <row r="108" spans="1:12" x14ac:dyDescent="0.25">
      <c r="A108" s="98"/>
      <c r="B108" s="99"/>
      <c r="C108" s="91" t="s">
        <v>201</v>
      </c>
      <c r="D108" s="100"/>
      <c r="E108" s="49"/>
      <c r="F108" s="300">
        <f>F103+F104++F105+F106+F107</f>
        <v>251611999</v>
      </c>
      <c r="G108" s="238"/>
      <c r="H108" s="238"/>
      <c r="I108" s="238"/>
      <c r="J108" s="238"/>
      <c r="K108" s="284"/>
      <c r="L108" s="302">
        <v>168723179</v>
      </c>
    </row>
    <row r="109" spans="1:12" x14ac:dyDescent="0.25">
      <c r="A109" s="101" t="s">
        <v>202</v>
      </c>
      <c r="B109" s="102" t="s">
        <v>203</v>
      </c>
      <c r="C109" s="103"/>
      <c r="D109" s="104"/>
      <c r="E109" s="103"/>
      <c r="F109" s="303"/>
      <c r="G109" s="238"/>
      <c r="H109" s="238"/>
      <c r="I109" s="238"/>
      <c r="J109" s="238"/>
      <c r="K109" s="284"/>
      <c r="L109" s="1"/>
    </row>
    <row r="110" spans="1:12" ht="72" x14ac:dyDescent="0.25">
      <c r="A110" s="20" t="s">
        <v>204</v>
      </c>
      <c r="B110" s="12" t="s">
        <v>21</v>
      </c>
      <c r="C110" s="17" t="s">
        <v>19</v>
      </c>
      <c r="D110" s="14">
        <v>6</v>
      </c>
      <c r="E110" s="290">
        <f>ROUND(13415*1.0928,0)</f>
        <v>14660</v>
      </c>
      <c r="F110" s="18">
        <f>ROUND(Tabla33[[#This Row],[CANTIDAD ]]*Tabla33[[#This Row],[VALOR UNITARIO ]],0)</f>
        <v>87960</v>
      </c>
      <c r="G110" s="238"/>
      <c r="H110" s="238"/>
      <c r="I110" s="238"/>
      <c r="J110" s="238"/>
      <c r="K110" s="284" t="s">
        <v>787</v>
      </c>
      <c r="L110" s="1"/>
    </row>
    <row r="111" spans="1:12" ht="72" x14ac:dyDescent="0.25">
      <c r="A111" s="20" t="s">
        <v>205</v>
      </c>
      <c r="B111" s="12" t="s">
        <v>206</v>
      </c>
      <c r="C111" s="17" t="s">
        <v>19</v>
      </c>
      <c r="D111" s="14">
        <v>6</v>
      </c>
      <c r="E111" s="290">
        <f>ROUND(26675*1.0928,0)</f>
        <v>29150</v>
      </c>
      <c r="F111" s="18">
        <f>ROUND(Tabla33[[#This Row],[CANTIDAD ]]*Tabla33[[#This Row],[VALOR UNITARIO ]],0)</f>
        <v>174900</v>
      </c>
      <c r="G111" s="238"/>
      <c r="H111" s="238"/>
      <c r="I111" s="238"/>
      <c r="J111" s="238"/>
      <c r="K111" s="284" t="s">
        <v>787</v>
      </c>
      <c r="L111" s="1"/>
    </row>
    <row r="112" spans="1:12" ht="120" x14ac:dyDescent="0.25">
      <c r="A112" s="11" t="s">
        <v>207</v>
      </c>
      <c r="B112" s="12" t="s">
        <v>208</v>
      </c>
      <c r="C112" s="17" t="s">
        <v>19</v>
      </c>
      <c r="D112" s="14">
        <v>6</v>
      </c>
      <c r="E112" s="19"/>
      <c r="F112" s="18">
        <f>ROUND(Tabla33[[#This Row],[CANTIDAD ]]*Tabla33[[#This Row],[VALOR UNITARIO ]],0)</f>
        <v>0</v>
      </c>
      <c r="G112" s="238"/>
      <c r="H112" s="238"/>
      <c r="I112" s="238"/>
      <c r="J112" s="238"/>
      <c r="K112" s="284"/>
      <c r="L112" s="1"/>
    </row>
    <row r="113" spans="1:12" ht="84" x14ac:dyDescent="0.25">
      <c r="A113" s="20" t="s">
        <v>209</v>
      </c>
      <c r="B113" s="105" t="s">
        <v>76</v>
      </c>
      <c r="C113" s="106" t="s">
        <v>19</v>
      </c>
      <c r="D113" s="14">
        <v>6</v>
      </c>
      <c r="E113" s="290">
        <f>ROUND(208470*1.0928,0)</f>
        <v>227816</v>
      </c>
      <c r="F113" s="18">
        <f>ROUND(Tabla33[[#This Row],[CANTIDAD ]]*Tabla33[[#This Row],[VALOR UNITARIO ]],0)</f>
        <v>1366896</v>
      </c>
      <c r="G113" s="238"/>
      <c r="H113" s="238"/>
      <c r="I113" s="238"/>
      <c r="J113" s="238"/>
      <c r="K113" s="284" t="s">
        <v>792</v>
      </c>
      <c r="L113" s="1"/>
    </row>
    <row r="114" spans="1:12" ht="24" x14ac:dyDescent="0.25">
      <c r="A114" s="11" t="s">
        <v>210</v>
      </c>
      <c r="B114" s="12" t="s">
        <v>211</v>
      </c>
      <c r="C114" s="45" t="s">
        <v>19</v>
      </c>
      <c r="D114" s="14">
        <v>20</v>
      </c>
      <c r="E114" s="263">
        <f>ROUND(7728*1.0928,0)</f>
        <v>8445</v>
      </c>
      <c r="F114" s="18">
        <f>ROUND(Tabla33[[#This Row],[CANTIDAD ]]*Tabla33[[#This Row],[VALOR UNITARIO ]],0)</f>
        <v>168900</v>
      </c>
      <c r="G114" s="238"/>
      <c r="H114" s="238"/>
      <c r="I114" s="238"/>
      <c r="J114" s="238"/>
      <c r="K114" s="284" t="s">
        <v>787</v>
      </c>
      <c r="L114" s="1"/>
    </row>
    <row r="115" spans="1:12" ht="180" x14ac:dyDescent="0.25">
      <c r="A115" s="20" t="s">
        <v>212</v>
      </c>
      <c r="B115" s="46" t="s">
        <v>86</v>
      </c>
      <c r="C115" s="17" t="s">
        <v>19</v>
      </c>
      <c r="D115" s="14">
        <v>3</v>
      </c>
      <c r="E115" s="263">
        <f>ROUND(39910*1.0928,0)</f>
        <v>43614</v>
      </c>
      <c r="F115" s="18">
        <f>ROUND(Tabla33[[#This Row],[CANTIDAD ]]*Tabla33[[#This Row],[VALOR UNITARIO ]],0)</f>
        <v>130842</v>
      </c>
      <c r="G115" s="238"/>
      <c r="H115" s="238"/>
      <c r="I115" s="238"/>
      <c r="J115" s="238"/>
      <c r="K115" s="284" t="s">
        <v>787</v>
      </c>
      <c r="L115" s="1"/>
    </row>
    <row r="116" spans="1:12" ht="48" x14ac:dyDescent="0.25">
      <c r="A116" s="11" t="s">
        <v>213</v>
      </c>
      <c r="B116" s="12" t="s">
        <v>88</v>
      </c>
      <c r="C116" s="45" t="s">
        <v>19</v>
      </c>
      <c r="D116" s="14">
        <v>20</v>
      </c>
      <c r="E116" s="263">
        <f>ROUND(22520*1.0928,0)</f>
        <v>24610</v>
      </c>
      <c r="F116" s="18">
        <f>ROUND(Tabla33[[#This Row],[CANTIDAD ]]*Tabla33[[#This Row],[VALOR UNITARIO ]],0)</f>
        <v>492200</v>
      </c>
      <c r="G116" s="238"/>
      <c r="H116" s="238"/>
      <c r="I116" s="238"/>
      <c r="J116" s="238"/>
      <c r="K116" s="284" t="s">
        <v>787</v>
      </c>
      <c r="L116" s="1"/>
    </row>
    <row r="117" spans="1:12" ht="48" x14ac:dyDescent="0.25">
      <c r="A117" s="20" t="s">
        <v>214</v>
      </c>
      <c r="B117" s="12" t="s">
        <v>98</v>
      </c>
      <c r="C117" s="45" t="s">
        <v>19</v>
      </c>
      <c r="D117" s="14">
        <v>20</v>
      </c>
      <c r="E117" s="19"/>
      <c r="F117" s="18">
        <f>ROUND(Tabla33[[#This Row],[CANTIDAD ]]*Tabla33[[#This Row],[VALOR UNITARIO ]],0)</f>
        <v>0</v>
      </c>
      <c r="G117" s="238"/>
      <c r="H117" s="238"/>
      <c r="I117" s="238"/>
      <c r="J117" s="238"/>
      <c r="K117" s="284"/>
      <c r="L117" s="1"/>
    </row>
    <row r="118" spans="1:12" ht="48" x14ac:dyDescent="0.25">
      <c r="A118" s="17" t="s">
        <v>215</v>
      </c>
      <c r="B118" s="12" t="s">
        <v>92</v>
      </c>
      <c r="C118" s="45" t="s">
        <v>19</v>
      </c>
      <c r="D118" s="14">
        <v>4</v>
      </c>
      <c r="E118" s="263">
        <f>ROUND(15561*1.0928,0)</f>
        <v>17005</v>
      </c>
      <c r="F118" s="18">
        <f>ROUND(Tabla33[[#This Row],[CANTIDAD ]]*Tabla33[[#This Row],[VALOR UNITARIO ]],0)</f>
        <v>68020</v>
      </c>
      <c r="G118" s="238"/>
      <c r="H118" s="238"/>
      <c r="I118" s="238"/>
      <c r="J118" s="238"/>
      <c r="K118" s="284" t="s">
        <v>787</v>
      </c>
      <c r="L118" s="1"/>
    </row>
    <row r="119" spans="1:12" ht="24" x14ac:dyDescent="0.25">
      <c r="A119" s="83" t="s">
        <v>216</v>
      </c>
      <c r="B119" s="82" t="s">
        <v>195</v>
      </c>
      <c r="C119" s="17" t="s">
        <v>19</v>
      </c>
      <c r="D119" s="14">
        <v>21</v>
      </c>
      <c r="E119" s="263">
        <f>ROUND(4850*1.0928,0)</f>
        <v>5300</v>
      </c>
      <c r="F119" s="18">
        <f>ROUND(Tabla33[[#This Row],[CANTIDAD ]]*Tabla33[[#This Row],[VALOR UNITARIO ]],0)</f>
        <v>111300</v>
      </c>
      <c r="G119" s="238"/>
      <c r="H119" s="238"/>
      <c r="I119" s="238"/>
      <c r="J119" s="238"/>
      <c r="K119" s="284" t="s">
        <v>787</v>
      </c>
      <c r="L119" s="1"/>
    </row>
    <row r="120" spans="1:12" x14ac:dyDescent="0.25">
      <c r="A120" s="107"/>
      <c r="B120" s="90"/>
      <c r="C120" s="108" t="s">
        <v>196</v>
      </c>
      <c r="D120" s="109"/>
      <c r="E120" s="22"/>
      <c r="F120" s="300">
        <f>SUBTOTAL(109,F110:F119)</f>
        <v>2601018</v>
      </c>
      <c r="G120" s="238"/>
      <c r="H120" s="238"/>
      <c r="I120" s="238"/>
      <c r="J120" s="238"/>
      <c r="K120" s="284"/>
      <c r="L120" s="1"/>
    </row>
    <row r="121" spans="1:12" x14ac:dyDescent="0.25">
      <c r="A121" s="110"/>
      <c r="B121" s="94"/>
      <c r="C121" s="95" t="s">
        <v>197</v>
      </c>
      <c r="D121" s="96"/>
      <c r="E121" s="97">
        <v>0</v>
      </c>
      <c r="F121" s="301">
        <f>F120*Tabla33[[#This Row],[VALOR UNITARIO ]]</f>
        <v>0</v>
      </c>
      <c r="G121" s="238"/>
      <c r="H121" s="238"/>
      <c r="I121" s="238"/>
      <c r="J121" s="238"/>
      <c r="K121" s="284"/>
      <c r="L121" s="1"/>
    </row>
    <row r="122" spans="1:12" x14ac:dyDescent="0.25">
      <c r="A122" s="110"/>
      <c r="B122" s="94"/>
      <c r="C122" s="95" t="s">
        <v>198</v>
      </c>
      <c r="D122" s="96"/>
      <c r="E122" s="97">
        <v>0</v>
      </c>
      <c r="F122" s="301">
        <f>F120*Tabla33[[#This Row],[VALOR UNITARIO ]]</f>
        <v>0</v>
      </c>
      <c r="G122" s="238"/>
      <c r="H122" s="238"/>
      <c r="I122" s="238"/>
      <c r="J122" s="238"/>
      <c r="K122" s="284"/>
      <c r="L122" s="1"/>
    </row>
    <row r="123" spans="1:12" x14ac:dyDescent="0.25">
      <c r="A123" s="110"/>
      <c r="B123" s="94"/>
      <c r="C123" s="95" t="s">
        <v>199</v>
      </c>
      <c r="D123" s="96"/>
      <c r="E123" s="97">
        <v>0</v>
      </c>
      <c r="F123" s="301">
        <f>F120*Tabla33[[#This Row],[VALOR UNITARIO ]]</f>
        <v>0</v>
      </c>
      <c r="G123" s="238"/>
      <c r="H123" s="238"/>
      <c r="I123" s="238"/>
      <c r="J123" s="238"/>
      <c r="K123" s="284"/>
      <c r="L123" s="1"/>
    </row>
    <row r="124" spans="1:12" x14ac:dyDescent="0.25">
      <c r="A124" s="110"/>
      <c r="B124" s="94"/>
      <c r="C124" s="95" t="s">
        <v>200</v>
      </c>
      <c r="D124" s="96"/>
      <c r="E124" s="97">
        <v>0</v>
      </c>
      <c r="F124" s="301">
        <f>F123*Tabla33[[#This Row],[VALOR UNITARIO ]]</f>
        <v>0</v>
      </c>
      <c r="G124" s="238"/>
      <c r="H124" s="238"/>
      <c r="I124" s="238"/>
      <c r="J124" s="238"/>
      <c r="K124" s="284"/>
      <c r="L124" s="1"/>
    </row>
    <row r="125" spans="1:12" x14ac:dyDescent="0.25">
      <c r="A125" s="111"/>
      <c r="B125" s="99"/>
      <c r="C125" s="91" t="s">
        <v>201</v>
      </c>
      <c r="D125" s="100"/>
      <c r="E125" s="49"/>
      <c r="F125" s="300">
        <f>F120+F121++F122+F123+F124</f>
        <v>2601018</v>
      </c>
      <c r="G125" s="238"/>
      <c r="H125" s="238"/>
      <c r="I125" s="238"/>
      <c r="J125" s="238"/>
      <c r="K125" s="284"/>
      <c r="L125" s="304">
        <v>6013327</v>
      </c>
    </row>
    <row r="126" spans="1:12" x14ac:dyDescent="0.25">
      <c r="A126" s="101" t="s">
        <v>217</v>
      </c>
      <c r="B126" s="112" t="s">
        <v>218</v>
      </c>
      <c r="C126" s="113"/>
      <c r="D126" s="113"/>
      <c r="E126" s="113"/>
      <c r="F126" s="113"/>
      <c r="G126" s="238"/>
      <c r="H126" s="238"/>
      <c r="I126" s="238"/>
      <c r="J126" s="238"/>
      <c r="K126" s="284"/>
      <c r="L126" s="1"/>
    </row>
    <row r="127" spans="1:12" x14ac:dyDescent="0.25">
      <c r="A127" s="114" t="s">
        <v>219</v>
      </c>
      <c r="B127" s="115" t="s">
        <v>220</v>
      </c>
      <c r="C127" s="116"/>
      <c r="D127" s="116"/>
      <c r="E127" s="116"/>
      <c r="F127" s="268"/>
      <c r="G127" s="238"/>
      <c r="H127" s="238"/>
      <c r="I127" s="238"/>
      <c r="J127" s="238"/>
      <c r="K127" s="284"/>
      <c r="L127" s="1"/>
    </row>
    <row r="128" spans="1:12" ht="180" x14ac:dyDescent="0.25">
      <c r="A128" s="11" t="s">
        <v>221</v>
      </c>
      <c r="B128" s="12" t="s">
        <v>222</v>
      </c>
      <c r="C128" s="13" t="s">
        <v>14</v>
      </c>
      <c r="D128" s="38">
        <v>47</v>
      </c>
      <c r="E128" s="305">
        <f>ROUND((183588*1.1312)*1.0928,0)</f>
        <v>226947</v>
      </c>
      <c r="F128" s="39">
        <f>ROUND(Tabla33[[#This Row],[CANTIDAD ]]*Tabla33[[#This Row],[VALOR UNITARIO ]],0)</f>
        <v>10666509</v>
      </c>
      <c r="G128" s="238"/>
      <c r="H128" s="238"/>
      <c r="I128" s="238"/>
      <c r="J128" s="238"/>
      <c r="K128" s="284" t="s">
        <v>786</v>
      </c>
      <c r="L128" s="1"/>
    </row>
    <row r="129" spans="1:12" ht="132" x14ac:dyDescent="0.25">
      <c r="A129" s="117" t="s">
        <v>223</v>
      </c>
      <c r="B129" s="63" t="s">
        <v>224</v>
      </c>
      <c r="C129" s="17" t="s">
        <v>19</v>
      </c>
      <c r="D129" s="14">
        <v>47</v>
      </c>
      <c r="E129" s="263">
        <f>ROUND((13494*1.1312)*1.0928,0)</f>
        <v>16681</v>
      </c>
      <c r="F129" s="39">
        <f>ROUND(Tabla33[[#This Row],[CANTIDAD ]]*Tabla33[[#This Row],[VALOR UNITARIO ]],0)</f>
        <v>784007</v>
      </c>
      <c r="G129" s="238"/>
      <c r="H129" s="238"/>
      <c r="I129" s="238"/>
      <c r="J129" s="238"/>
      <c r="K129" s="284" t="s">
        <v>786</v>
      </c>
      <c r="L129" s="1">
        <v>13494</v>
      </c>
    </row>
    <row r="130" spans="1:12" ht="60" x14ac:dyDescent="0.25">
      <c r="A130" s="11" t="s">
        <v>225</v>
      </c>
      <c r="B130" s="63" t="s">
        <v>226</v>
      </c>
      <c r="C130" s="17" t="s">
        <v>19</v>
      </c>
      <c r="D130" s="14">
        <v>1037</v>
      </c>
      <c r="E130" s="21"/>
      <c r="F130" s="39">
        <f>ROUND(Tabla33[[#This Row],[CANTIDAD ]]*Tabla33[[#This Row],[VALOR UNITARIO ]],0)</f>
        <v>0</v>
      </c>
      <c r="G130" s="238"/>
      <c r="H130" s="238"/>
      <c r="I130" s="238"/>
      <c r="J130" s="238"/>
      <c r="K130" s="284"/>
      <c r="L130" s="1"/>
    </row>
    <row r="131" spans="1:12" ht="72" x14ac:dyDescent="0.25">
      <c r="A131" s="20" t="s">
        <v>227</v>
      </c>
      <c r="B131" s="63" t="s">
        <v>228</v>
      </c>
      <c r="C131" s="17" t="s">
        <v>19</v>
      </c>
      <c r="D131" s="14">
        <v>1234</v>
      </c>
      <c r="E131" s="21"/>
      <c r="F131" s="39">
        <f>ROUND(Tabla33[[#This Row],[CANTIDAD ]]*Tabla33[[#This Row],[VALOR UNITARIO ]],0)</f>
        <v>0</v>
      </c>
      <c r="G131" s="238"/>
      <c r="H131" s="238"/>
      <c r="I131" s="238"/>
      <c r="J131" s="238"/>
      <c r="K131" s="284"/>
      <c r="L131" s="1"/>
    </row>
    <row r="132" spans="1:12" ht="108" x14ac:dyDescent="0.25">
      <c r="A132" s="20" t="s">
        <v>229</v>
      </c>
      <c r="B132" s="63" t="s">
        <v>230</v>
      </c>
      <c r="C132" s="17" t="s">
        <v>19</v>
      </c>
      <c r="D132" s="14">
        <v>1037</v>
      </c>
      <c r="E132" s="306"/>
      <c r="F132" s="39">
        <f>ROUND(Tabla33[[#This Row],[CANTIDAD ]]*Tabla33[[#This Row],[VALOR UNITARIO ]],0)</f>
        <v>0</v>
      </c>
      <c r="G132" s="238"/>
      <c r="H132" s="238"/>
      <c r="I132" s="238"/>
      <c r="J132" s="238"/>
      <c r="K132" s="284"/>
      <c r="L132" s="1"/>
    </row>
    <row r="133" spans="1:12" ht="84" x14ac:dyDescent="0.25">
      <c r="A133" s="20" t="s">
        <v>231</v>
      </c>
      <c r="B133" s="82" t="s">
        <v>232</v>
      </c>
      <c r="C133" s="49" t="s">
        <v>14</v>
      </c>
      <c r="D133" s="50">
        <v>117</v>
      </c>
      <c r="E133" s="307"/>
      <c r="F133" s="39">
        <f>ROUND(Tabla33[[#This Row],[CANTIDAD ]]*Tabla33[[#This Row],[VALOR UNITARIO ]],0)</f>
        <v>0</v>
      </c>
      <c r="G133" s="238"/>
      <c r="H133" s="238"/>
      <c r="I133" s="238"/>
      <c r="J133" s="238"/>
      <c r="K133" s="284"/>
      <c r="L133" s="1"/>
    </row>
    <row r="134" spans="1:12" x14ac:dyDescent="0.25">
      <c r="A134" s="118" t="s">
        <v>233</v>
      </c>
      <c r="B134" s="115" t="s">
        <v>234</v>
      </c>
      <c r="C134" s="79"/>
      <c r="D134" s="36"/>
      <c r="E134" s="119"/>
      <c r="F134" s="268"/>
      <c r="G134" s="238"/>
      <c r="H134" s="238"/>
      <c r="I134" s="238"/>
      <c r="J134" s="238"/>
      <c r="K134" s="284"/>
      <c r="L134" s="1"/>
    </row>
    <row r="135" spans="1:12" ht="60" x14ac:dyDescent="0.25">
      <c r="A135" s="117" t="s">
        <v>235</v>
      </c>
      <c r="B135" s="87" t="s">
        <v>84</v>
      </c>
      <c r="C135" s="75" t="s">
        <v>19</v>
      </c>
      <c r="D135" s="120">
        <v>179</v>
      </c>
      <c r="E135" s="263">
        <f>ROUND(6305*1.0928,0)</f>
        <v>6890</v>
      </c>
      <c r="F135" s="39">
        <f>ROUND(Tabla33[[#This Row],[CANTIDAD ]]*Tabla33[[#This Row],[VALOR UNITARIO ]],0)</f>
        <v>1233310</v>
      </c>
      <c r="G135" s="238"/>
      <c r="H135" s="238"/>
      <c r="I135" s="238"/>
      <c r="J135" s="238"/>
      <c r="K135" s="284" t="s">
        <v>787</v>
      </c>
      <c r="L135" s="1"/>
    </row>
    <row r="136" spans="1:12" ht="180" x14ac:dyDescent="0.25">
      <c r="A136" s="11" t="s">
        <v>236</v>
      </c>
      <c r="B136" s="46" t="s">
        <v>86</v>
      </c>
      <c r="C136" s="45" t="s">
        <v>19</v>
      </c>
      <c r="D136" s="14">
        <v>90</v>
      </c>
      <c r="E136" s="263">
        <f>ROUND(39910*1.0928,0)</f>
        <v>43614</v>
      </c>
      <c r="F136" s="39">
        <f>ROUND(Tabla33[[#This Row],[CANTIDAD ]]*Tabla33[[#This Row],[VALOR UNITARIO ]],0)</f>
        <v>3925260</v>
      </c>
      <c r="G136" s="238"/>
      <c r="H136" s="238"/>
      <c r="I136" s="238"/>
      <c r="J136" s="238"/>
      <c r="K136" s="284" t="s">
        <v>787</v>
      </c>
      <c r="L136" s="1"/>
    </row>
    <row r="137" spans="1:12" ht="48" x14ac:dyDescent="0.25">
      <c r="A137" s="45" t="s">
        <v>237</v>
      </c>
      <c r="B137" s="46" t="s">
        <v>88</v>
      </c>
      <c r="C137" s="45" t="s">
        <v>19</v>
      </c>
      <c r="D137" s="14">
        <v>149</v>
      </c>
      <c r="E137" s="263">
        <f>ROUND(22520*1.0928,0)</f>
        <v>24610</v>
      </c>
      <c r="F137" s="39">
        <f>ROUND(Tabla33[[#This Row],[CANTIDAD ]]*Tabla33[[#This Row],[VALOR UNITARIO ]],0)</f>
        <v>3666890</v>
      </c>
      <c r="G137" s="238"/>
      <c r="H137" s="238"/>
      <c r="I137" s="238"/>
      <c r="J137" s="238"/>
      <c r="K137" s="284" t="s">
        <v>787</v>
      </c>
      <c r="L137" s="1"/>
    </row>
    <row r="138" spans="1:12" ht="48" x14ac:dyDescent="0.25">
      <c r="A138" s="11" t="s">
        <v>238</v>
      </c>
      <c r="B138" s="40" t="s">
        <v>90</v>
      </c>
      <c r="C138" s="45" t="s">
        <v>19</v>
      </c>
      <c r="D138" s="14">
        <v>298</v>
      </c>
      <c r="E138" s="14"/>
      <c r="F138" s="39">
        <f>ROUND(Tabla33[[#This Row],[CANTIDAD ]]*Tabla33[[#This Row],[VALOR UNITARIO ]],0)</f>
        <v>0</v>
      </c>
      <c r="G138" s="238"/>
      <c r="H138" s="238"/>
      <c r="I138" s="238"/>
      <c r="J138" s="238"/>
      <c r="K138" s="284"/>
      <c r="L138" s="1"/>
    </row>
    <row r="139" spans="1:12" ht="48" x14ac:dyDescent="0.25">
      <c r="A139" s="45" t="s">
        <v>239</v>
      </c>
      <c r="B139" s="46" t="s">
        <v>92</v>
      </c>
      <c r="C139" s="45" t="s">
        <v>19</v>
      </c>
      <c r="D139" s="14">
        <v>60</v>
      </c>
      <c r="E139" s="263">
        <f>ROUND(15561*1.0928,0)</f>
        <v>17005</v>
      </c>
      <c r="F139" s="39">
        <f>ROUND(Tabla33[[#This Row],[CANTIDAD ]]*Tabla33[[#This Row],[VALOR UNITARIO ]],0)</f>
        <v>1020300</v>
      </c>
      <c r="G139" s="238"/>
      <c r="H139" s="238"/>
      <c r="I139" s="238"/>
      <c r="J139" s="238"/>
      <c r="K139" s="284" t="s">
        <v>787</v>
      </c>
      <c r="L139" s="1"/>
    </row>
    <row r="140" spans="1:12" ht="48" x14ac:dyDescent="0.25">
      <c r="A140" s="45" t="s">
        <v>240</v>
      </c>
      <c r="B140" s="40" t="s">
        <v>94</v>
      </c>
      <c r="C140" s="45" t="s">
        <v>19</v>
      </c>
      <c r="D140" s="14">
        <v>56</v>
      </c>
      <c r="E140" s="14"/>
      <c r="F140" s="39">
        <f>ROUND(Tabla33[[#This Row],[CANTIDAD ]]*Tabla33[[#This Row],[VALOR UNITARIO ]],0)</f>
        <v>0</v>
      </c>
      <c r="G140" s="238"/>
      <c r="H140" s="238"/>
      <c r="I140" s="238"/>
      <c r="J140" s="238"/>
      <c r="K140" s="284"/>
      <c r="L140" s="1"/>
    </row>
    <row r="141" spans="1:12" ht="60" x14ac:dyDescent="0.25">
      <c r="A141" s="45" t="s">
        <v>241</v>
      </c>
      <c r="B141" s="40" t="s">
        <v>84</v>
      </c>
      <c r="C141" s="45" t="s">
        <v>14</v>
      </c>
      <c r="D141" s="14">
        <v>149</v>
      </c>
      <c r="E141" s="45"/>
      <c r="F141" s="39">
        <f>ROUND(Tabla33[[#This Row],[CANTIDAD ]]*Tabla33[[#This Row],[VALOR UNITARIO ]],0)</f>
        <v>0</v>
      </c>
      <c r="G141" s="238"/>
      <c r="H141" s="238"/>
      <c r="I141" s="238"/>
      <c r="J141" s="238"/>
      <c r="K141" s="284"/>
      <c r="L141" s="1"/>
    </row>
    <row r="142" spans="1:12" ht="180" x14ac:dyDescent="0.25">
      <c r="A142" s="45" t="s">
        <v>242</v>
      </c>
      <c r="B142" s="46" t="s">
        <v>86</v>
      </c>
      <c r="C142" s="45" t="s">
        <v>14</v>
      </c>
      <c r="D142" s="14">
        <v>74</v>
      </c>
      <c r="E142" s="14"/>
      <c r="F142" s="39">
        <f>ROUND(Tabla33[[#This Row],[CANTIDAD ]]*Tabla33[[#This Row],[VALOR UNITARIO ]],0)</f>
        <v>0</v>
      </c>
      <c r="G142" s="238"/>
      <c r="H142" s="238"/>
      <c r="I142" s="238"/>
      <c r="J142" s="238"/>
      <c r="K142" s="284"/>
      <c r="L142" s="1"/>
    </row>
    <row r="143" spans="1:12" ht="48" x14ac:dyDescent="0.25">
      <c r="A143" s="45" t="s">
        <v>243</v>
      </c>
      <c r="B143" s="46" t="s">
        <v>88</v>
      </c>
      <c r="C143" s="45" t="s">
        <v>14</v>
      </c>
      <c r="D143" s="14">
        <v>124</v>
      </c>
      <c r="E143" s="296">
        <f>ROUND(12295*1.0928,0)</f>
        <v>13436</v>
      </c>
      <c r="F143" s="39">
        <f>ROUND(Tabla33[[#This Row],[CANTIDAD ]]*Tabla33[[#This Row],[VALOR UNITARIO ]],0)</f>
        <v>1666064</v>
      </c>
      <c r="G143" s="238"/>
      <c r="H143" s="238"/>
      <c r="I143" s="238"/>
      <c r="J143" s="238"/>
      <c r="K143" s="284" t="s">
        <v>787</v>
      </c>
      <c r="L143" s="1"/>
    </row>
    <row r="144" spans="1:12" ht="48" x14ac:dyDescent="0.25">
      <c r="A144" s="45" t="s">
        <v>244</v>
      </c>
      <c r="B144" s="46" t="s">
        <v>98</v>
      </c>
      <c r="C144" s="45" t="s">
        <v>14</v>
      </c>
      <c r="D144" s="14">
        <v>248</v>
      </c>
      <c r="E144" s="14"/>
      <c r="F144" s="39">
        <f>ROUND(Tabla33[[#This Row],[CANTIDAD ]]*Tabla33[[#This Row],[VALOR UNITARIO ]],0)</f>
        <v>0</v>
      </c>
      <c r="G144" s="238"/>
      <c r="H144" s="238"/>
      <c r="I144" s="238"/>
      <c r="J144" s="238"/>
      <c r="K144" s="284"/>
      <c r="L144" s="1"/>
    </row>
    <row r="145" spans="1:12" ht="48" x14ac:dyDescent="0.25">
      <c r="A145" s="45" t="s">
        <v>245</v>
      </c>
      <c r="B145" s="46" t="s">
        <v>92</v>
      </c>
      <c r="C145" s="45" t="s">
        <v>14</v>
      </c>
      <c r="D145" s="14">
        <v>50</v>
      </c>
      <c r="E145" s="45"/>
      <c r="F145" s="39">
        <f>ROUND(Tabla33[[#This Row],[CANTIDAD ]]*Tabla33[[#This Row],[VALOR UNITARIO ]],0)</f>
        <v>0</v>
      </c>
      <c r="G145" s="238"/>
      <c r="H145" s="238"/>
      <c r="I145" s="238"/>
      <c r="J145" s="238"/>
      <c r="K145" s="284"/>
      <c r="L145" s="1"/>
    </row>
    <row r="146" spans="1:12" ht="96" x14ac:dyDescent="0.25">
      <c r="A146" s="45" t="s">
        <v>246</v>
      </c>
      <c r="B146" s="48" t="s">
        <v>247</v>
      </c>
      <c r="C146" s="49" t="s">
        <v>14</v>
      </c>
      <c r="D146" s="50">
        <v>384</v>
      </c>
      <c r="E146" s="50"/>
      <c r="F146" s="39">
        <f>ROUND(Tabla33[[#This Row],[CANTIDAD ]]*Tabla33[[#This Row],[VALOR UNITARIO ]],0)</f>
        <v>0</v>
      </c>
      <c r="G146" s="238"/>
      <c r="H146" s="238"/>
      <c r="I146" s="238"/>
      <c r="J146" s="238"/>
      <c r="K146" s="284"/>
      <c r="L146" s="1"/>
    </row>
    <row r="147" spans="1:12" ht="96" x14ac:dyDescent="0.25">
      <c r="A147" s="121" t="s">
        <v>248</v>
      </c>
      <c r="B147" s="34" t="s">
        <v>249</v>
      </c>
      <c r="C147" s="22" t="s">
        <v>19</v>
      </c>
      <c r="D147" s="14">
        <v>230</v>
      </c>
      <c r="E147" s="14"/>
      <c r="F147" s="39">
        <f>ROUND(Tabla33[[#This Row],[CANTIDAD ]]*Tabla33[[#This Row],[VALOR UNITARIO ]],0)</f>
        <v>0</v>
      </c>
      <c r="G147" s="238"/>
      <c r="H147" s="238"/>
      <c r="I147" s="238"/>
      <c r="J147" s="238"/>
      <c r="K147" s="284"/>
      <c r="L147" s="1"/>
    </row>
    <row r="148" spans="1:12" ht="24" x14ac:dyDescent="0.25">
      <c r="A148" s="118" t="s">
        <v>250</v>
      </c>
      <c r="B148" s="53" t="s">
        <v>251</v>
      </c>
      <c r="C148" s="54"/>
      <c r="D148" s="36"/>
      <c r="E148" s="36"/>
      <c r="F148" s="39">
        <f>ROUND(Tabla33[[#This Row],[CANTIDAD ]]*Tabla33[[#This Row],[VALOR UNITARIO ]],0)</f>
        <v>0</v>
      </c>
      <c r="G148" s="238"/>
      <c r="H148" s="238"/>
      <c r="I148" s="238"/>
      <c r="J148" s="238"/>
      <c r="K148" s="284"/>
      <c r="L148" s="1"/>
    </row>
    <row r="149" spans="1:12" ht="84" x14ac:dyDescent="0.25">
      <c r="A149" s="11" t="s">
        <v>252</v>
      </c>
      <c r="B149" s="122" t="s">
        <v>253</v>
      </c>
      <c r="C149" s="86" t="s">
        <v>6</v>
      </c>
      <c r="D149" s="38">
        <v>1</v>
      </c>
      <c r="E149" s="38"/>
      <c r="F149" s="39">
        <f>ROUND(Tabla33[[#This Row],[CANTIDAD ]]*Tabla33[[#This Row],[VALOR UNITARIO ]],0)</f>
        <v>0</v>
      </c>
      <c r="G149" s="238"/>
      <c r="H149" s="238"/>
      <c r="I149" s="238"/>
      <c r="J149" s="238"/>
      <c r="K149" s="284"/>
      <c r="L149" s="1"/>
    </row>
    <row r="150" spans="1:12" ht="108" x14ac:dyDescent="0.25">
      <c r="A150" s="123" t="s">
        <v>254</v>
      </c>
      <c r="B150" s="124" t="s">
        <v>255</v>
      </c>
      <c r="C150" s="67" t="s">
        <v>6</v>
      </c>
      <c r="D150" s="67">
        <v>1</v>
      </c>
      <c r="E150" s="67"/>
      <c r="F150" s="39">
        <f>ROUND(Tabla33[[#This Row],[CANTIDAD ]]*Tabla33[[#This Row],[VALOR UNITARIO ]],0)</f>
        <v>0</v>
      </c>
      <c r="G150" s="238"/>
      <c r="H150" s="238"/>
      <c r="I150" s="238"/>
      <c r="J150" s="238"/>
      <c r="K150" s="284"/>
      <c r="L150" s="1"/>
    </row>
    <row r="151" spans="1:12" ht="48" x14ac:dyDescent="0.25">
      <c r="A151" s="118" t="s">
        <v>256</v>
      </c>
      <c r="B151" s="8" t="s">
        <v>257</v>
      </c>
      <c r="C151" s="35"/>
      <c r="D151" s="36"/>
      <c r="E151" s="79"/>
      <c r="F151" s="39">
        <f>ROUND(Tabla33[[#This Row],[CANTIDAD ]]*Tabla33[[#This Row],[VALOR UNITARIO ]],0)</f>
        <v>0</v>
      </c>
      <c r="G151" s="238"/>
      <c r="H151" s="238"/>
      <c r="I151" s="238"/>
      <c r="J151" s="238"/>
      <c r="K151" s="284"/>
      <c r="L151" s="1"/>
    </row>
    <row r="152" spans="1:12" ht="72" x14ac:dyDescent="0.25">
      <c r="A152" s="123" t="s">
        <v>258</v>
      </c>
      <c r="B152" s="12" t="s">
        <v>21</v>
      </c>
      <c r="C152" s="13" t="s">
        <v>19</v>
      </c>
      <c r="D152" s="38">
        <v>86</v>
      </c>
      <c r="E152" s="290">
        <f>ROUND(13415*1.0928,0)</f>
        <v>14660</v>
      </c>
      <c r="F152" s="39">
        <f>ROUND(Tabla33[[#This Row],[CANTIDAD ]]*Tabla33[[#This Row],[VALOR UNITARIO ]],0)</f>
        <v>1260760</v>
      </c>
      <c r="G152" s="238"/>
      <c r="H152" s="238"/>
      <c r="I152" s="238"/>
      <c r="J152" s="238"/>
      <c r="K152" s="284" t="s">
        <v>787</v>
      </c>
      <c r="L152" s="1"/>
    </row>
    <row r="153" spans="1:12" ht="108" x14ac:dyDescent="0.25">
      <c r="A153" s="123" t="s">
        <v>259</v>
      </c>
      <c r="B153" s="24" t="s">
        <v>23</v>
      </c>
      <c r="C153" s="22" t="s">
        <v>19</v>
      </c>
      <c r="D153" s="14">
        <v>86</v>
      </c>
      <c r="E153" s="290">
        <f>ROUND(26675*1.0928,0)</f>
        <v>29150</v>
      </c>
      <c r="F153" s="39">
        <f>ROUND(Tabla33[[#This Row],[CANTIDAD ]]*Tabla33[[#This Row],[VALOR UNITARIO ]],0)</f>
        <v>2506900</v>
      </c>
      <c r="G153" s="238"/>
      <c r="H153" s="238"/>
      <c r="I153" s="238"/>
      <c r="J153" s="238"/>
      <c r="K153" s="284" t="s">
        <v>787</v>
      </c>
      <c r="L153" s="1"/>
    </row>
    <row r="154" spans="1:12" ht="168" x14ac:dyDescent="0.25">
      <c r="A154" s="123" t="s">
        <v>260</v>
      </c>
      <c r="B154" s="24" t="s">
        <v>29</v>
      </c>
      <c r="C154" s="22" t="s">
        <v>19</v>
      </c>
      <c r="D154" s="14">
        <v>86</v>
      </c>
      <c r="E154" s="17"/>
      <c r="F154" s="39">
        <f>ROUND(Tabla33[[#This Row],[CANTIDAD ]]*Tabla33[[#This Row],[VALOR UNITARIO ]],0)</f>
        <v>0</v>
      </c>
      <c r="G154" s="238"/>
      <c r="H154" s="238"/>
      <c r="I154" s="238"/>
      <c r="J154" s="238"/>
      <c r="K154" s="284"/>
      <c r="L154" s="1"/>
    </row>
    <row r="155" spans="1:12" ht="180" x14ac:dyDescent="0.25">
      <c r="A155" s="123" t="s">
        <v>261</v>
      </c>
      <c r="B155" s="34" t="s">
        <v>262</v>
      </c>
      <c r="C155" s="22" t="s">
        <v>19</v>
      </c>
      <c r="D155" s="14">
        <v>86</v>
      </c>
      <c r="E155" s="17"/>
      <c r="F155" s="39">
        <f>ROUND(Tabla33[[#This Row],[CANTIDAD ]]*Tabla33[[#This Row],[VALOR UNITARIO ]],0)</f>
        <v>0</v>
      </c>
      <c r="G155" s="238"/>
      <c r="H155" s="238"/>
      <c r="I155" s="238"/>
      <c r="J155" s="238"/>
      <c r="K155" s="284"/>
      <c r="L155" s="1"/>
    </row>
    <row r="156" spans="1:12" ht="72" x14ac:dyDescent="0.25">
      <c r="A156" s="123" t="s">
        <v>263</v>
      </c>
      <c r="B156" s="63" t="s">
        <v>264</v>
      </c>
      <c r="C156" s="17" t="s">
        <v>19</v>
      </c>
      <c r="D156" s="14">
        <v>1516</v>
      </c>
      <c r="E156" s="17"/>
      <c r="F156" s="39">
        <f>ROUND(Tabla33[[#This Row],[CANTIDAD ]]*Tabla33[[#This Row],[VALOR UNITARIO ]],0)</f>
        <v>0</v>
      </c>
      <c r="G156" s="238"/>
      <c r="H156" s="238"/>
      <c r="I156" s="238"/>
      <c r="J156" s="238"/>
      <c r="K156" s="284"/>
      <c r="L156" s="1"/>
    </row>
    <row r="157" spans="1:12" ht="84" x14ac:dyDescent="0.25">
      <c r="A157" s="118" t="s">
        <v>265</v>
      </c>
      <c r="B157" s="53" t="s">
        <v>101</v>
      </c>
      <c r="C157" s="54"/>
      <c r="D157" s="55"/>
      <c r="E157" s="36"/>
      <c r="F157" s="268"/>
      <c r="G157" s="238"/>
      <c r="H157" s="238"/>
      <c r="I157" s="238"/>
      <c r="J157" s="238"/>
      <c r="K157" s="284"/>
      <c r="L157" s="1"/>
    </row>
    <row r="158" spans="1:12" ht="132" x14ac:dyDescent="0.25">
      <c r="A158" s="123" t="s">
        <v>266</v>
      </c>
      <c r="B158" s="56" t="s">
        <v>103</v>
      </c>
      <c r="C158" s="57" t="s">
        <v>19</v>
      </c>
      <c r="D158" s="38">
        <v>24</v>
      </c>
      <c r="E158" s="263">
        <f>ROUND(103790*1.0928,0)</f>
        <v>113422</v>
      </c>
      <c r="F158" s="39">
        <f>ROUND(Tabla33[[#This Row],[CANTIDAD ]]*Tabla33[[#This Row],[VALOR UNITARIO ]],0)</f>
        <v>2722128</v>
      </c>
      <c r="G158" s="238"/>
      <c r="H158" s="238"/>
      <c r="I158" s="238"/>
      <c r="J158" s="238"/>
      <c r="K158" s="284" t="s">
        <v>787</v>
      </c>
      <c r="L158" s="1"/>
    </row>
    <row r="159" spans="1:12" ht="60" x14ac:dyDescent="0.25">
      <c r="A159" s="123" t="s">
        <v>267</v>
      </c>
      <c r="B159" s="58" t="s">
        <v>105</v>
      </c>
      <c r="C159" s="59" t="s">
        <v>14</v>
      </c>
      <c r="D159" s="14">
        <v>15</v>
      </c>
      <c r="E159" s="263">
        <f>ROUND(37657*1.0928,0)</f>
        <v>41152</v>
      </c>
      <c r="F159" s="39">
        <f>ROUND(Tabla33[[#This Row],[CANTIDAD ]]*Tabla33[[#This Row],[VALOR UNITARIO ]],0)</f>
        <v>617280</v>
      </c>
      <c r="G159" s="238"/>
      <c r="H159" s="238"/>
      <c r="I159" s="238"/>
      <c r="J159" s="238"/>
      <c r="K159" s="284" t="s">
        <v>787</v>
      </c>
      <c r="L159" s="1"/>
    </row>
    <row r="160" spans="1:12" ht="204" x14ac:dyDescent="0.25">
      <c r="A160" s="123" t="s">
        <v>268</v>
      </c>
      <c r="B160" s="24" t="s">
        <v>107</v>
      </c>
      <c r="C160" s="59" t="s">
        <v>14</v>
      </c>
      <c r="D160" s="14">
        <v>15</v>
      </c>
      <c r="E160" s="263">
        <f>ROUND(42410*1.0928,0)</f>
        <v>46346</v>
      </c>
      <c r="F160" s="39">
        <f>ROUND(Tabla33[[#This Row],[CANTIDAD ]]*Tabla33[[#This Row],[VALOR UNITARIO ]],0)</f>
        <v>695190</v>
      </c>
      <c r="G160" s="238"/>
      <c r="H160" s="238"/>
      <c r="I160" s="238"/>
      <c r="J160" s="238"/>
      <c r="K160" s="284" t="s">
        <v>787</v>
      </c>
      <c r="L160" s="1"/>
    </row>
    <row r="161" spans="1:12" ht="60" x14ac:dyDescent="0.25">
      <c r="A161" s="123" t="s">
        <v>269</v>
      </c>
      <c r="B161" s="58" t="s">
        <v>109</v>
      </c>
      <c r="C161" s="59" t="s">
        <v>14</v>
      </c>
      <c r="D161" s="14">
        <v>9.39</v>
      </c>
      <c r="E161" s="263">
        <f>ROUND(33950*1.0928,0)</f>
        <v>37101</v>
      </c>
      <c r="F161" s="39">
        <f>ROUND(Tabla33[[#This Row],[CANTIDAD ]]*Tabla33[[#This Row],[VALOR UNITARIO ]],0)</f>
        <v>348378</v>
      </c>
      <c r="G161" s="238"/>
      <c r="H161" s="238"/>
      <c r="I161" s="238"/>
      <c r="J161" s="238"/>
      <c r="K161" s="284" t="s">
        <v>787</v>
      </c>
      <c r="L161" s="1"/>
    </row>
    <row r="162" spans="1:12" ht="216" x14ac:dyDescent="0.25">
      <c r="A162" s="123" t="s">
        <v>270</v>
      </c>
      <c r="B162" s="125" t="s">
        <v>111</v>
      </c>
      <c r="C162" s="60" t="s">
        <v>6</v>
      </c>
      <c r="D162" s="61">
        <v>3</v>
      </c>
      <c r="E162" s="298">
        <f>ROUND(530275*1.0928,0)</f>
        <v>579485</v>
      </c>
      <c r="F162" s="39">
        <f>ROUND(Tabla33[[#This Row],[CANTIDAD ]]*Tabla33[[#This Row],[VALOR UNITARIO ]],0)</f>
        <v>1738455</v>
      </c>
      <c r="G162" s="238"/>
      <c r="H162" s="238"/>
      <c r="I162" s="238"/>
      <c r="J162" s="238"/>
      <c r="K162" s="284" t="s">
        <v>787</v>
      </c>
      <c r="L162" s="1"/>
    </row>
    <row r="163" spans="1:12" ht="264" x14ac:dyDescent="0.25">
      <c r="A163" s="123" t="s">
        <v>271</v>
      </c>
      <c r="B163" s="58" t="s">
        <v>117</v>
      </c>
      <c r="C163" s="60" t="s">
        <v>14</v>
      </c>
      <c r="D163" s="61">
        <v>54</v>
      </c>
      <c r="E163" s="263">
        <f>ROUND(64357*1.0928,0)</f>
        <v>70329</v>
      </c>
      <c r="F163" s="39">
        <f>ROUND(Tabla33[[#This Row],[CANTIDAD ]]*Tabla33[[#This Row],[VALOR UNITARIO ]],0)</f>
        <v>3797766</v>
      </c>
      <c r="G163" s="238"/>
      <c r="H163" s="238"/>
      <c r="I163" s="238"/>
      <c r="J163" s="238"/>
      <c r="K163" s="284" t="s">
        <v>787</v>
      </c>
      <c r="L163" s="1"/>
    </row>
    <row r="164" spans="1:12" ht="156" x14ac:dyDescent="0.25">
      <c r="A164" s="11" t="s">
        <v>272</v>
      </c>
      <c r="B164" s="24" t="s">
        <v>119</v>
      </c>
      <c r="C164" s="60" t="s">
        <v>6</v>
      </c>
      <c r="D164" s="61">
        <v>48</v>
      </c>
      <c r="E164" s="263">
        <f>ROUND(29010*1.0928,0)</f>
        <v>31702</v>
      </c>
      <c r="F164" s="39">
        <f>ROUND(Tabla33[[#This Row],[CANTIDAD ]]*Tabla33[[#This Row],[VALOR UNITARIO ]],0)</f>
        <v>1521696</v>
      </c>
      <c r="G164" s="238"/>
      <c r="H164" s="238"/>
      <c r="I164" s="238"/>
      <c r="J164" s="238"/>
      <c r="K164" s="284" t="s">
        <v>787</v>
      </c>
      <c r="L164" s="1"/>
    </row>
    <row r="165" spans="1:12" ht="96" x14ac:dyDescent="0.25">
      <c r="A165" s="11" t="s">
        <v>273</v>
      </c>
      <c r="B165" s="58" t="s">
        <v>121</v>
      </c>
      <c r="C165" s="60" t="s">
        <v>14</v>
      </c>
      <c r="D165" s="61">
        <v>375</v>
      </c>
      <c r="E165" s="263">
        <f>ROUND(9412*1.0928,0)</f>
        <v>10285</v>
      </c>
      <c r="F165" s="39">
        <f>ROUND(Tabla33[[#This Row],[CANTIDAD ]]*Tabla33[[#This Row],[VALOR UNITARIO ]],0)</f>
        <v>3856875</v>
      </c>
      <c r="G165" s="238"/>
      <c r="H165" s="238"/>
      <c r="I165" s="238"/>
      <c r="J165" s="238"/>
      <c r="K165" s="284" t="s">
        <v>787</v>
      </c>
      <c r="L165" s="1"/>
    </row>
    <row r="166" spans="1:12" ht="216" x14ac:dyDescent="0.25">
      <c r="A166" s="11" t="s">
        <v>274</v>
      </c>
      <c r="B166" s="125" t="s">
        <v>123</v>
      </c>
      <c r="C166" s="60" t="s">
        <v>6</v>
      </c>
      <c r="D166" s="61">
        <v>18</v>
      </c>
      <c r="E166" s="263">
        <f>ROUND(64733*1.0928,0)</f>
        <v>70740</v>
      </c>
      <c r="F166" s="39">
        <f>ROUND(Tabla33[[#This Row],[CANTIDAD ]]*Tabla33[[#This Row],[VALOR UNITARIO ]],0)</f>
        <v>1273320</v>
      </c>
      <c r="G166" s="238"/>
      <c r="H166" s="238"/>
      <c r="I166" s="238"/>
      <c r="J166" s="238"/>
      <c r="K166" s="284" t="s">
        <v>787</v>
      </c>
      <c r="L166" s="1"/>
    </row>
    <row r="167" spans="1:12" ht="72" x14ac:dyDescent="0.25">
      <c r="A167" s="11" t="s">
        <v>275</v>
      </c>
      <c r="B167" s="58" t="s">
        <v>125</v>
      </c>
      <c r="C167" s="60" t="s">
        <v>6</v>
      </c>
      <c r="D167" s="61">
        <v>18</v>
      </c>
      <c r="E167" s="263">
        <f>ROUND(18502*1.0928,0)</f>
        <v>20219</v>
      </c>
      <c r="F167" s="39">
        <f>ROUND(Tabla33[[#This Row],[CANTIDAD ]]*Tabla33[[#This Row],[VALOR UNITARIO ]],0)</f>
        <v>363942</v>
      </c>
      <c r="G167" s="238"/>
      <c r="H167" s="238"/>
      <c r="I167" s="238"/>
      <c r="J167" s="238"/>
      <c r="K167" s="284" t="s">
        <v>787</v>
      </c>
      <c r="L167" s="1"/>
    </row>
    <row r="168" spans="1:12" ht="240" x14ac:dyDescent="0.25">
      <c r="A168" s="11" t="s">
        <v>276</v>
      </c>
      <c r="B168" s="126" t="s">
        <v>127</v>
      </c>
      <c r="C168" s="60" t="s">
        <v>6</v>
      </c>
      <c r="D168" s="61">
        <v>18</v>
      </c>
      <c r="E168" s="263">
        <v>110023</v>
      </c>
      <c r="F168" s="39">
        <f>ROUND(Tabla33[[#This Row],[CANTIDAD ]]*Tabla33[[#This Row],[VALOR UNITARIO ]],0)</f>
        <v>1980414</v>
      </c>
      <c r="G168" s="238"/>
      <c r="H168" s="238"/>
      <c r="I168" s="238"/>
      <c r="J168" s="238"/>
      <c r="K168" s="284" t="s">
        <v>787</v>
      </c>
      <c r="L168" s="1"/>
    </row>
    <row r="169" spans="1:12" ht="240" x14ac:dyDescent="0.25">
      <c r="A169" s="11" t="s">
        <v>277</v>
      </c>
      <c r="B169" s="127" t="s">
        <v>129</v>
      </c>
      <c r="C169" s="64" t="s">
        <v>6</v>
      </c>
      <c r="D169" s="61">
        <v>18</v>
      </c>
      <c r="E169" s="263">
        <f>ROUND(113421*1.0928,0)</f>
        <v>123946</v>
      </c>
      <c r="F169" s="39">
        <f>ROUND(Tabla33[[#This Row],[CANTIDAD ]]*Tabla33[[#This Row],[VALOR UNITARIO ]],0)</f>
        <v>2231028</v>
      </c>
      <c r="G169" s="238"/>
      <c r="H169" s="238"/>
      <c r="I169" s="238"/>
      <c r="J169" s="238"/>
      <c r="K169" s="284" t="s">
        <v>787</v>
      </c>
      <c r="L169" s="1"/>
    </row>
    <row r="170" spans="1:12" ht="96" x14ac:dyDescent="0.25">
      <c r="A170" s="11" t="s">
        <v>278</v>
      </c>
      <c r="B170" s="63" t="s">
        <v>279</v>
      </c>
      <c r="C170" s="64" t="s">
        <v>6</v>
      </c>
      <c r="D170" s="61">
        <v>3</v>
      </c>
      <c r="E170" s="263">
        <f>ROUND(88543*1.0928,0)</f>
        <v>96760</v>
      </c>
      <c r="F170" s="39">
        <f>ROUND(Tabla33[[#This Row],[CANTIDAD ]]*Tabla33[[#This Row],[VALOR UNITARIO ]],0)</f>
        <v>290280</v>
      </c>
      <c r="G170" s="238"/>
      <c r="H170" s="238"/>
      <c r="I170" s="238"/>
      <c r="J170" s="238"/>
      <c r="K170" s="284" t="s">
        <v>787</v>
      </c>
      <c r="L170" s="1"/>
    </row>
    <row r="171" spans="1:12" ht="156" x14ac:dyDescent="0.25">
      <c r="A171" s="11" t="s">
        <v>280</v>
      </c>
      <c r="B171" s="63" t="s">
        <v>133</v>
      </c>
      <c r="C171" s="64" t="s">
        <v>6</v>
      </c>
      <c r="D171" s="61">
        <v>12</v>
      </c>
      <c r="E171" s="263">
        <f>ROUND(130000*1.0928,0)</f>
        <v>142064</v>
      </c>
      <c r="F171" s="39">
        <f>ROUND(Tabla33[[#This Row],[CANTIDAD ]]*Tabla33[[#This Row],[VALOR UNITARIO ]],0)</f>
        <v>1704768</v>
      </c>
      <c r="G171" s="238"/>
      <c r="H171" s="238"/>
      <c r="I171" s="238"/>
      <c r="J171" s="238"/>
      <c r="K171" s="284" t="s">
        <v>787</v>
      </c>
      <c r="L171" s="1"/>
    </row>
    <row r="172" spans="1:12" ht="96" x14ac:dyDescent="0.25">
      <c r="A172" s="11" t="s">
        <v>281</v>
      </c>
      <c r="B172" s="58" t="s">
        <v>135</v>
      </c>
      <c r="C172" s="60" t="s">
        <v>14</v>
      </c>
      <c r="D172" s="61">
        <v>20</v>
      </c>
      <c r="E172" s="263">
        <f>ROUND(15132*1.0928,0)</f>
        <v>16536</v>
      </c>
      <c r="F172" s="39">
        <f>ROUND(Tabla33[[#This Row],[CANTIDAD ]]*Tabla33[[#This Row],[VALOR UNITARIO ]],0)</f>
        <v>330720</v>
      </c>
      <c r="G172" s="238"/>
      <c r="H172" s="238"/>
      <c r="I172" s="238"/>
      <c r="J172" s="238"/>
      <c r="K172" s="284" t="s">
        <v>791</v>
      </c>
      <c r="L172" s="1"/>
    </row>
    <row r="173" spans="1:12" x14ac:dyDescent="0.25">
      <c r="A173" s="11" t="s">
        <v>282</v>
      </c>
      <c r="B173" s="128" t="s">
        <v>137</v>
      </c>
      <c r="C173" s="60" t="s">
        <v>6</v>
      </c>
      <c r="D173" s="61">
        <v>18</v>
      </c>
      <c r="E173" s="263">
        <f>ROUND(31336*1.0928,0)</f>
        <v>34244</v>
      </c>
      <c r="F173" s="39">
        <f>ROUND(Tabla33[[#This Row],[CANTIDAD ]]*Tabla33[[#This Row],[VALOR UNITARIO ]],0)</f>
        <v>616392</v>
      </c>
      <c r="G173" s="238"/>
      <c r="H173" s="238"/>
      <c r="I173" s="238"/>
      <c r="J173" s="238"/>
      <c r="K173" s="284" t="s">
        <v>791</v>
      </c>
      <c r="L173" s="1"/>
    </row>
    <row r="174" spans="1:12" x14ac:dyDescent="0.25">
      <c r="A174" s="11" t="s">
        <v>283</v>
      </c>
      <c r="B174" s="128" t="s">
        <v>139</v>
      </c>
      <c r="C174" s="60" t="s">
        <v>6</v>
      </c>
      <c r="D174" s="61">
        <v>3</v>
      </c>
      <c r="E174" s="263">
        <f>ROUND(42155*1.0928,0)</f>
        <v>46067</v>
      </c>
      <c r="F174" s="39">
        <f>ROUND(Tabla33[[#This Row],[CANTIDAD ]]*Tabla33[[#This Row],[VALOR UNITARIO ]],0)</f>
        <v>138201</v>
      </c>
      <c r="G174" s="238"/>
      <c r="H174" s="238"/>
      <c r="I174" s="238"/>
      <c r="J174" s="238"/>
      <c r="K174" s="284" t="s">
        <v>791</v>
      </c>
      <c r="L174" s="1"/>
    </row>
    <row r="175" spans="1:12" ht="108" x14ac:dyDescent="0.25">
      <c r="A175" s="11" t="s">
        <v>284</v>
      </c>
      <c r="B175" s="129" t="s">
        <v>141</v>
      </c>
      <c r="C175" s="130" t="s">
        <v>6</v>
      </c>
      <c r="D175" s="61">
        <v>1</v>
      </c>
      <c r="E175" s="263">
        <f>ROUND(2786713*1.0298,0)</f>
        <v>2869757</v>
      </c>
      <c r="F175" s="39">
        <f>ROUND(Tabla33[[#This Row],[CANTIDAD ]]*Tabla33[[#This Row],[VALOR UNITARIO ]],0)</f>
        <v>2869757</v>
      </c>
      <c r="G175" s="238"/>
      <c r="H175" s="238"/>
      <c r="I175" s="238"/>
      <c r="J175" s="238"/>
      <c r="K175" s="284" t="s">
        <v>791</v>
      </c>
      <c r="L175" s="1"/>
    </row>
    <row r="176" spans="1:12" ht="96" x14ac:dyDescent="0.25">
      <c r="A176" s="11" t="s">
        <v>285</v>
      </c>
      <c r="B176" s="131" t="s">
        <v>286</v>
      </c>
      <c r="C176" s="130" t="s">
        <v>6</v>
      </c>
      <c r="D176" s="68">
        <v>1</v>
      </c>
      <c r="E176" s="50"/>
      <c r="F176" s="39">
        <f>ROUND(Tabla33[[#This Row],[CANTIDAD ]]*Tabla33[[#This Row],[VALOR UNITARIO ]],0)</f>
        <v>0</v>
      </c>
      <c r="G176" s="238"/>
      <c r="H176" s="238"/>
      <c r="I176" s="238"/>
      <c r="J176" s="238"/>
      <c r="K176" s="284"/>
      <c r="L176" s="1"/>
    </row>
    <row r="177" spans="1:12" ht="204" x14ac:dyDescent="0.25">
      <c r="A177" s="52" t="s">
        <v>287</v>
      </c>
      <c r="B177" s="132" t="s">
        <v>288</v>
      </c>
      <c r="C177" s="35"/>
      <c r="D177" s="36"/>
      <c r="E177" s="36"/>
      <c r="F177" s="268"/>
      <c r="G177" s="238"/>
      <c r="H177" s="238"/>
      <c r="I177" s="238"/>
      <c r="J177" s="238"/>
      <c r="K177" s="284"/>
      <c r="L177" s="1"/>
    </row>
    <row r="178" spans="1:12" ht="96" x14ac:dyDescent="0.25">
      <c r="A178" s="11" t="s">
        <v>289</v>
      </c>
      <c r="B178" s="12" t="s">
        <v>290</v>
      </c>
      <c r="C178" s="86" t="s">
        <v>19</v>
      </c>
      <c r="D178" s="38">
        <v>225</v>
      </c>
      <c r="E178" s="38"/>
      <c r="F178" s="39">
        <f>ROUND(Tabla33[[#This Row],[CANTIDAD ]]*Tabla33[[#This Row],[VALOR UNITARIO ]],0)</f>
        <v>0</v>
      </c>
      <c r="G178" s="238"/>
      <c r="H178" s="238"/>
      <c r="I178" s="238"/>
      <c r="J178" s="238"/>
      <c r="K178" s="284"/>
      <c r="L178" s="1"/>
    </row>
    <row r="179" spans="1:12" ht="96" x14ac:dyDescent="0.25">
      <c r="A179" s="11" t="s">
        <v>291</v>
      </c>
      <c r="B179" s="58" t="s">
        <v>292</v>
      </c>
      <c r="C179" s="49" t="s">
        <v>19</v>
      </c>
      <c r="D179" s="50">
        <v>225</v>
      </c>
      <c r="E179" s="50"/>
      <c r="F179" s="39">
        <f>ROUND(Tabla33[[#This Row],[CANTIDAD ]]*Tabla33[[#This Row],[VALOR UNITARIO ]],0)</f>
        <v>0</v>
      </c>
      <c r="G179" s="238"/>
      <c r="H179" s="238"/>
      <c r="I179" s="238"/>
      <c r="J179" s="238"/>
      <c r="K179" s="284"/>
      <c r="L179" s="1"/>
    </row>
    <row r="180" spans="1:12" x14ac:dyDescent="0.25">
      <c r="A180" s="118" t="s">
        <v>293</v>
      </c>
      <c r="B180" s="8" t="s">
        <v>294</v>
      </c>
      <c r="C180" s="35"/>
      <c r="D180" s="36"/>
      <c r="E180" s="36"/>
      <c r="F180" s="268"/>
      <c r="G180" s="238"/>
      <c r="H180" s="238"/>
      <c r="I180" s="238"/>
      <c r="J180" s="238"/>
      <c r="K180" s="284"/>
      <c r="L180" s="1"/>
    </row>
    <row r="181" spans="1:12" ht="156" x14ac:dyDescent="0.25">
      <c r="A181" s="123" t="s">
        <v>295</v>
      </c>
      <c r="B181" s="56" t="s">
        <v>296</v>
      </c>
      <c r="C181" s="86" t="s">
        <v>6</v>
      </c>
      <c r="D181" s="38">
        <v>1</v>
      </c>
      <c r="E181" s="38"/>
      <c r="F181" s="39">
        <f>ROUND(Tabla33[[#This Row],[CANTIDAD ]]*Tabla33[[#This Row],[VALOR UNITARIO ]],0)</f>
        <v>0</v>
      </c>
      <c r="G181" s="238"/>
      <c r="H181" s="238"/>
      <c r="I181" s="238"/>
      <c r="J181" s="238"/>
      <c r="K181" s="284"/>
      <c r="L181" s="1"/>
    </row>
    <row r="182" spans="1:12" ht="72" x14ac:dyDescent="0.25">
      <c r="A182" s="11" t="s">
        <v>297</v>
      </c>
      <c r="B182" s="24" t="s">
        <v>298</v>
      </c>
      <c r="C182" s="22" t="s">
        <v>14</v>
      </c>
      <c r="D182" s="14">
        <v>486.00000000000006</v>
      </c>
      <c r="E182" s="14"/>
      <c r="F182" s="39">
        <f>ROUND(Tabla33[[#This Row],[CANTIDAD ]]*Tabla33[[#This Row],[VALOR UNITARIO ]],0)</f>
        <v>0</v>
      </c>
      <c r="G182" s="238"/>
      <c r="H182" s="238"/>
      <c r="I182" s="238"/>
      <c r="J182" s="238"/>
      <c r="K182" s="284"/>
      <c r="L182" s="1"/>
    </row>
    <row r="183" spans="1:12" ht="72" x14ac:dyDescent="0.25">
      <c r="A183" s="123" t="s">
        <v>299</v>
      </c>
      <c r="B183" s="24" t="s">
        <v>300</v>
      </c>
      <c r="C183" s="22" t="s">
        <v>6</v>
      </c>
      <c r="D183" s="14">
        <v>6</v>
      </c>
      <c r="E183" s="14"/>
      <c r="F183" s="39">
        <f>ROUND(Tabla33[[#This Row],[CANTIDAD ]]*Tabla33[[#This Row],[VALOR UNITARIO ]],0)</f>
        <v>0</v>
      </c>
      <c r="G183" s="238"/>
      <c r="H183" s="238"/>
      <c r="I183" s="238"/>
      <c r="J183" s="238"/>
      <c r="K183" s="284"/>
      <c r="L183" s="1"/>
    </row>
    <row r="184" spans="1:12" ht="72" x14ac:dyDescent="0.25">
      <c r="A184" s="11" t="s">
        <v>301</v>
      </c>
      <c r="B184" s="24" t="s">
        <v>302</v>
      </c>
      <c r="C184" s="22" t="s">
        <v>6</v>
      </c>
      <c r="D184" s="14">
        <v>6</v>
      </c>
      <c r="E184" s="14"/>
      <c r="F184" s="39">
        <f>ROUND(Tabla33[[#This Row],[CANTIDAD ]]*Tabla33[[#This Row],[VALOR UNITARIO ]],0)</f>
        <v>0</v>
      </c>
      <c r="G184" s="238"/>
      <c r="H184" s="238"/>
      <c r="I184" s="238"/>
      <c r="J184" s="238"/>
      <c r="K184" s="284"/>
      <c r="L184" s="1"/>
    </row>
    <row r="185" spans="1:12" ht="132" x14ac:dyDescent="0.25">
      <c r="A185" s="123" t="s">
        <v>303</v>
      </c>
      <c r="B185" s="63" t="s">
        <v>304</v>
      </c>
      <c r="C185" s="17" t="s">
        <v>14</v>
      </c>
      <c r="D185" s="14">
        <v>3</v>
      </c>
      <c r="E185" s="14"/>
      <c r="F185" s="39">
        <f>ROUND(Tabla33[[#This Row],[CANTIDAD ]]*Tabla33[[#This Row],[VALOR UNITARIO ]],0)</f>
        <v>0</v>
      </c>
      <c r="G185" s="238"/>
      <c r="H185" s="238"/>
      <c r="I185" s="238"/>
      <c r="J185" s="238"/>
      <c r="K185" s="284"/>
      <c r="L185" s="1"/>
    </row>
    <row r="186" spans="1:12" ht="24" x14ac:dyDescent="0.25">
      <c r="A186" s="11" t="s">
        <v>305</v>
      </c>
      <c r="B186" s="48" t="s">
        <v>195</v>
      </c>
      <c r="C186" s="49" t="s">
        <v>19</v>
      </c>
      <c r="D186" s="50">
        <v>1148</v>
      </c>
      <c r="E186" s="263">
        <f>ROUND(4850*1.0928,0)</f>
        <v>5300</v>
      </c>
      <c r="F186" s="39">
        <f>ROUND(Tabla33[[#This Row],[CANTIDAD ]]*Tabla33[[#This Row],[VALOR UNITARIO ]],0)</f>
        <v>6084400</v>
      </c>
      <c r="G186" s="238"/>
      <c r="H186" s="238"/>
      <c r="I186" s="238"/>
      <c r="J186" s="238"/>
      <c r="K186" s="284" t="s">
        <v>791</v>
      </c>
      <c r="L186" s="1"/>
    </row>
    <row r="187" spans="1:12" x14ac:dyDescent="0.25">
      <c r="A187" s="133" t="s">
        <v>306</v>
      </c>
      <c r="B187" s="8" t="s">
        <v>307</v>
      </c>
      <c r="C187" s="35"/>
      <c r="D187" s="36"/>
      <c r="E187" s="36"/>
      <c r="F187" s="268"/>
      <c r="G187" s="238"/>
      <c r="H187" s="238"/>
      <c r="I187" s="238"/>
      <c r="J187" s="238"/>
      <c r="K187" s="284"/>
      <c r="L187" s="1"/>
    </row>
    <row r="188" spans="1:12" ht="72" x14ac:dyDescent="0.25">
      <c r="A188" s="123" t="s">
        <v>308</v>
      </c>
      <c r="B188" s="56" t="s">
        <v>309</v>
      </c>
      <c r="C188" s="86" t="s">
        <v>19</v>
      </c>
      <c r="D188" s="38">
        <v>175</v>
      </c>
      <c r="E188" s="38"/>
      <c r="F188" s="39">
        <f>ROUND(Tabla33[[#This Row],[CANTIDAD ]]*Tabla33[[#This Row],[VALOR UNITARIO ]],0)</f>
        <v>0</v>
      </c>
      <c r="G188" s="238"/>
      <c r="H188" s="238"/>
      <c r="I188" s="238"/>
      <c r="J188" s="238"/>
      <c r="K188" s="284"/>
      <c r="L188" s="1"/>
    </row>
    <row r="189" spans="1:12" ht="96" x14ac:dyDescent="0.25">
      <c r="A189" s="123" t="s">
        <v>310</v>
      </c>
      <c r="B189" s="63" t="s">
        <v>43</v>
      </c>
      <c r="C189" s="17" t="s">
        <v>6</v>
      </c>
      <c r="D189" s="14">
        <v>16</v>
      </c>
      <c r="E189" s="263">
        <f>ROUND(59085*1.0928,0)</f>
        <v>64568</v>
      </c>
      <c r="F189" s="39">
        <f>ROUND(Tabla33[[#This Row],[CANTIDAD ]]*Tabla33[[#This Row],[VALOR UNITARIO ]],0)</f>
        <v>1033088</v>
      </c>
      <c r="G189" s="238"/>
      <c r="H189" s="238"/>
      <c r="I189" s="238"/>
      <c r="J189" s="238"/>
      <c r="K189" s="284" t="s">
        <v>791</v>
      </c>
      <c r="L189" s="1"/>
    </row>
    <row r="190" spans="1:12" ht="288" x14ac:dyDescent="0.25">
      <c r="A190" s="123" t="s">
        <v>311</v>
      </c>
      <c r="B190" s="24" t="s">
        <v>45</v>
      </c>
      <c r="C190" s="134" t="s">
        <v>6</v>
      </c>
      <c r="D190" s="14">
        <v>16</v>
      </c>
      <c r="E190" s="263">
        <f>ROUND(58950*1.0928,0)</f>
        <v>64421</v>
      </c>
      <c r="F190" s="39">
        <f>ROUND(Tabla33[[#This Row],[CANTIDAD ]]*Tabla33[[#This Row],[VALOR UNITARIO ]],0)</f>
        <v>1030736</v>
      </c>
      <c r="G190" s="238"/>
      <c r="H190" s="238"/>
      <c r="I190" s="238"/>
      <c r="J190" s="238"/>
      <c r="K190" s="284" t="s">
        <v>791</v>
      </c>
      <c r="L190" s="1"/>
    </row>
    <row r="191" spans="1:12" ht="132" x14ac:dyDescent="0.25">
      <c r="A191" s="123" t="s">
        <v>312</v>
      </c>
      <c r="B191" s="63" t="s">
        <v>49</v>
      </c>
      <c r="C191" s="17" t="s">
        <v>14</v>
      </c>
      <c r="D191" s="14">
        <v>116</v>
      </c>
      <c r="E191" s="263">
        <f>ROUND(97360*1.0928,0)</f>
        <v>106395</v>
      </c>
      <c r="F191" s="39">
        <f>ROUND(Tabla33[[#This Row],[CANTIDAD ]]*Tabla33[[#This Row],[VALOR UNITARIO ]],0)</f>
        <v>12341820</v>
      </c>
      <c r="G191" s="238"/>
      <c r="H191" s="238"/>
      <c r="I191" s="238"/>
      <c r="J191" s="238"/>
      <c r="K191" s="284" t="s">
        <v>791</v>
      </c>
      <c r="L191" s="1"/>
    </row>
    <row r="192" spans="1:12" ht="132" x14ac:dyDescent="0.25">
      <c r="A192" s="123" t="s">
        <v>313</v>
      </c>
      <c r="B192" s="63" t="s">
        <v>314</v>
      </c>
      <c r="C192" s="17" t="s">
        <v>14</v>
      </c>
      <c r="D192" s="14">
        <v>195</v>
      </c>
      <c r="E192" s="263">
        <f>ROUND(89079*1.0928,0)</f>
        <v>97346</v>
      </c>
      <c r="F192" s="39">
        <f>ROUND(Tabla33[[#This Row],[CANTIDAD ]]*Tabla33[[#This Row],[VALOR UNITARIO ]],0)</f>
        <v>18982470</v>
      </c>
      <c r="G192" s="238"/>
      <c r="H192" s="238"/>
      <c r="I192" s="238"/>
      <c r="J192" s="238"/>
      <c r="K192" s="284" t="s">
        <v>791</v>
      </c>
      <c r="L192" s="1"/>
    </row>
    <row r="193" spans="1:12" ht="96" x14ac:dyDescent="0.25">
      <c r="A193" s="135" t="s">
        <v>315</v>
      </c>
      <c r="B193" s="82" t="s">
        <v>316</v>
      </c>
      <c r="C193" s="17" t="s">
        <v>19</v>
      </c>
      <c r="D193" s="14">
        <v>201</v>
      </c>
      <c r="E193" s="263">
        <f>ROUND(71300*1.0928,0)</f>
        <v>77917</v>
      </c>
      <c r="F193" s="39">
        <f>ROUND(Tabla33[[#This Row],[CANTIDAD ]]*Tabla33[[#This Row],[VALOR UNITARIO ]],0)</f>
        <v>15661317</v>
      </c>
      <c r="G193" s="238"/>
      <c r="H193" s="238"/>
      <c r="I193" s="238"/>
      <c r="J193" s="238"/>
      <c r="K193" s="284" t="s">
        <v>791</v>
      </c>
      <c r="L193" s="1"/>
    </row>
    <row r="194" spans="1:12" x14ac:dyDescent="0.25">
      <c r="A194" s="136"/>
      <c r="B194" s="90"/>
      <c r="C194" s="108" t="s">
        <v>196</v>
      </c>
      <c r="D194" s="109"/>
      <c r="E194" s="22"/>
      <c r="F194" s="300">
        <f>SUBTOTAL(109,F128:F193)</f>
        <v>108960421</v>
      </c>
      <c r="G194" s="238"/>
      <c r="H194" s="238"/>
      <c r="I194" s="238"/>
      <c r="J194" s="238"/>
      <c r="K194" s="284"/>
      <c r="L194" s="1"/>
    </row>
    <row r="195" spans="1:12" x14ac:dyDescent="0.25">
      <c r="A195" s="137"/>
      <c r="B195" s="94"/>
      <c r="C195" s="95" t="s">
        <v>197</v>
      </c>
      <c r="D195" s="96"/>
      <c r="E195" s="97">
        <v>0</v>
      </c>
      <c r="F195" s="301">
        <f>F194*Tabla33[[#This Row],[VALOR UNITARIO ]]</f>
        <v>0</v>
      </c>
      <c r="G195" s="238"/>
      <c r="H195" s="238"/>
      <c r="I195" s="238"/>
      <c r="J195" s="238"/>
      <c r="K195" s="284"/>
      <c r="L195" s="1"/>
    </row>
    <row r="196" spans="1:12" x14ac:dyDescent="0.25">
      <c r="A196" s="138"/>
      <c r="B196" s="94"/>
      <c r="C196" s="95" t="s">
        <v>198</v>
      </c>
      <c r="D196" s="96"/>
      <c r="E196" s="97">
        <v>0</v>
      </c>
      <c r="F196" s="301">
        <f>F194*Tabla33[[#This Row],[VALOR UNITARIO ]]</f>
        <v>0</v>
      </c>
      <c r="G196" s="238"/>
      <c r="H196" s="238"/>
      <c r="I196" s="238"/>
      <c r="J196" s="238"/>
      <c r="K196" s="284"/>
      <c r="L196" s="1"/>
    </row>
    <row r="197" spans="1:12" x14ac:dyDescent="0.25">
      <c r="A197" s="137"/>
      <c r="B197" s="94"/>
      <c r="C197" s="95" t="s">
        <v>199</v>
      </c>
      <c r="D197" s="96"/>
      <c r="E197" s="97">
        <v>0</v>
      </c>
      <c r="F197" s="301">
        <f>F194*Tabla33[[#This Row],[VALOR UNITARIO ]]</f>
        <v>0</v>
      </c>
      <c r="G197" s="238"/>
      <c r="H197" s="238"/>
      <c r="I197" s="238"/>
      <c r="J197" s="238"/>
      <c r="K197" s="284"/>
      <c r="L197" s="1"/>
    </row>
    <row r="198" spans="1:12" x14ac:dyDescent="0.25">
      <c r="A198" s="137"/>
      <c r="B198" s="94"/>
      <c r="C198" s="95" t="s">
        <v>200</v>
      </c>
      <c r="D198" s="96"/>
      <c r="E198" s="97">
        <v>0</v>
      </c>
      <c r="F198" s="301">
        <f>F197*Tabla33[[#This Row],[VALOR UNITARIO ]]</f>
        <v>0</v>
      </c>
      <c r="G198" s="238"/>
      <c r="H198" s="238"/>
      <c r="I198" s="238"/>
      <c r="J198" s="238"/>
      <c r="K198" s="284"/>
      <c r="L198" s="1"/>
    </row>
    <row r="199" spans="1:12" x14ac:dyDescent="0.25">
      <c r="A199" s="139"/>
      <c r="B199" s="99"/>
      <c r="C199" s="91" t="s">
        <v>201</v>
      </c>
      <c r="D199" s="100"/>
      <c r="E199" s="49"/>
      <c r="F199" s="300">
        <f>F194+F195++F196+F197+F198</f>
        <v>108960421</v>
      </c>
      <c r="G199" s="238"/>
      <c r="H199" s="238"/>
      <c r="I199" s="238"/>
      <c r="J199" s="238"/>
      <c r="K199" s="284"/>
      <c r="L199" s="308">
        <v>232938067</v>
      </c>
    </row>
    <row r="200" spans="1:12" x14ac:dyDescent="0.25">
      <c r="A200" s="140" t="s">
        <v>317</v>
      </c>
      <c r="B200" s="141" t="s">
        <v>318</v>
      </c>
      <c r="C200" s="142"/>
      <c r="D200" s="142"/>
      <c r="E200" s="142"/>
      <c r="F200" s="142"/>
      <c r="G200" s="238"/>
      <c r="H200" s="238"/>
      <c r="I200" s="238"/>
      <c r="J200" s="238"/>
      <c r="K200" s="284"/>
      <c r="L200" s="1"/>
    </row>
    <row r="201" spans="1:12" ht="36" x14ac:dyDescent="0.25">
      <c r="A201" s="143" t="s">
        <v>319</v>
      </c>
      <c r="B201" s="8" t="s">
        <v>320</v>
      </c>
      <c r="C201" s="9"/>
      <c r="D201" s="9"/>
      <c r="E201" s="9"/>
      <c r="F201" s="7"/>
      <c r="G201" s="238"/>
      <c r="H201" s="238"/>
      <c r="I201" s="238"/>
      <c r="J201" s="238"/>
      <c r="K201" s="284"/>
      <c r="L201" s="1"/>
    </row>
    <row r="202" spans="1:12" ht="180" x14ac:dyDescent="0.25">
      <c r="A202" s="11" t="s">
        <v>321</v>
      </c>
      <c r="B202" s="12" t="s">
        <v>222</v>
      </c>
      <c r="C202" s="13" t="s">
        <v>14</v>
      </c>
      <c r="D202" s="38">
        <v>29</v>
      </c>
      <c r="E202" s="239">
        <f>ROUND((183588*1.1312)*1.0928,0)</f>
        <v>226947</v>
      </c>
      <c r="F202" s="239">
        <f>ROUND(Tabla33[[#This Row],[CANTIDAD ]]*Tabla33[[#This Row],[VALOR UNITARIO ]],0)</f>
        <v>6581463</v>
      </c>
      <c r="G202" s="238"/>
      <c r="H202" s="238"/>
      <c r="I202" s="238"/>
      <c r="J202" s="238"/>
      <c r="K202" s="284" t="s">
        <v>786</v>
      </c>
      <c r="L202" s="1"/>
    </row>
    <row r="203" spans="1:12" ht="132" x14ac:dyDescent="0.25">
      <c r="A203" s="117" t="s">
        <v>322</v>
      </c>
      <c r="B203" s="63" t="s">
        <v>224</v>
      </c>
      <c r="C203" s="17" t="s">
        <v>19</v>
      </c>
      <c r="D203" s="14">
        <v>73</v>
      </c>
      <c r="E203" s="261">
        <f>ROUND((13494*1.1312)*1.0928,0)</f>
        <v>16681</v>
      </c>
      <c r="F203" s="239">
        <f>ROUND(Tabla33[[#This Row],[CANTIDAD ]]*Tabla33[[#This Row],[VALOR UNITARIO ]],0)</f>
        <v>1217713</v>
      </c>
      <c r="G203" s="238"/>
      <c r="H203" s="238"/>
      <c r="I203" s="238"/>
      <c r="J203" s="238"/>
      <c r="K203" s="284" t="s">
        <v>793</v>
      </c>
      <c r="L203" s="1"/>
    </row>
    <row r="204" spans="1:12" ht="48" x14ac:dyDescent="0.25">
      <c r="A204" s="123" t="s">
        <v>323</v>
      </c>
      <c r="B204" s="24" t="s">
        <v>324</v>
      </c>
      <c r="C204" s="59" t="s">
        <v>19</v>
      </c>
      <c r="D204" s="59">
        <v>7</v>
      </c>
      <c r="E204" s="24"/>
      <c r="F204" s="239">
        <f>ROUND(Tabla33[[#This Row],[CANTIDAD ]]*Tabla33[[#This Row],[VALOR UNITARIO ]],0)</f>
        <v>0</v>
      </c>
      <c r="G204" s="238"/>
      <c r="H204" s="238"/>
      <c r="I204" s="238"/>
      <c r="J204" s="238"/>
      <c r="K204" s="284"/>
      <c r="L204" s="1"/>
    </row>
    <row r="205" spans="1:12" ht="48" x14ac:dyDescent="0.25">
      <c r="A205" s="117" t="s">
        <v>325</v>
      </c>
      <c r="B205" s="24" t="s">
        <v>324</v>
      </c>
      <c r="C205" s="59" t="s">
        <v>14</v>
      </c>
      <c r="D205" s="59">
        <v>91</v>
      </c>
      <c r="E205" s="24"/>
      <c r="F205" s="239">
        <f>ROUND(Tabla33[[#This Row],[CANTIDAD ]]*Tabla33[[#This Row],[VALOR UNITARIO ]],0)</f>
        <v>0</v>
      </c>
      <c r="G205" s="238"/>
      <c r="H205" s="238"/>
      <c r="I205" s="238"/>
      <c r="J205" s="238"/>
      <c r="K205" s="284"/>
      <c r="L205" s="1"/>
    </row>
    <row r="206" spans="1:12" ht="96" x14ac:dyDescent="0.25">
      <c r="A206" s="117" t="s">
        <v>326</v>
      </c>
      <c r="B206" s="58" t="s">
        <v>327</v>
      </c>
      <c r="C206" s="22" t="s">
        <v>19</v>
      </c>
      <c r="D206" s="59">
        <v>7</v>
      </c>
      <c r="E206" s="24"/>
      <c r="F206" s="239">
        <f>ROUND(Tabla33[[#This Row],[CANTIDAD ]]*Tabla33[[#This Row],[VALOR UNITARIO ]],0)</f>
        <v>0</v>
      </c>
      <c r="G206" s="238"/>
      <c r="H206" s="238"/>
      <c r="I206" s="238"/>
      <c r="J206" s="238"/>
      <c r="K206" s="284"/>
      <c r="L206" s="1"/>
    </row>
    <row r="207" spans="1:12" ht="48" x14ac:dyDescent="0.25">
      <c r="A207" s="117" t="s">
        <v>328</v>
      </c>
      <c r="B207" s="46" t="s">
        <v>88</v>
      </c>
      <c r="C207" s="45" t="s">
        <v>19</v>
      </c>
      <c r="D207" s="59">
        <v>189</v>
      </c>
      <c r="E207" s="263">
        <f>ROUND(22520*1.0928,0)</f>
        <v>24610</v>
      </c>
      <c r="F207" s="239">
        <f>ROUND(Tabla33[[#This Row],[CANTIDAD ]]*Tabla33[[#This Row],[VALOR UNITARIO ]],0)</f>
        <v>4651290</v>
      </c>
      <c r="G207" s="238"/>
      <c r="H207" s="238"/>
      <c r="I207" s="238"/>
      <c r="J207" s="238"/>
      <c r="K207" s="284" t="s">
        <v>791</v>
      </c>
      <c r="L207" s="1"/>
    </row>
    <row r="208" spans="1:12" ht="96" x14ac:dyDescent="0.25">
      <c r="A208" s="123" t="s">
        <v>329</v>
      </c>
      <c r="B208" s="24" t="s">
        <v>330</v>
      </c>
      <c r="C208" s="22" t="s">
        <v>19</v>
      </c>
      <c r="D208" s="59">
        <v>377</v>
      </c>
      <c r="E208" s="24"/>
      <c r="F208" s="239">
        <f>ROUND(Tabla33[[#This Row],[CANTIDAD ]]*Tabla33[[#This Row],[VALOR UNITARIO ]],0)</f>
        <v>0</v>
      </c>
      <c r="G208" s="238"/>
      <c r="H208" s="238"/>
      <c r="I208" s="238"/>
      <c r="J208" s="238"/>
      <c r="K208" s="284"/>
      <c r="L208" s="1"/>
    </row>
    <row r="209" spans="1:12" ht="96" x14ac:dyDescent="0.25">
      <c r="A209" s="117" t="s">
        <v>331</v>
      </c>
      <c r="B209" s="24" t="s">
        <v>332</v>
      </c>
      <c r="C209" s="22" t="s">
        <v>14</v>
      </c>
      <c r="D209" s="59">
        <v>28</v>
      </c>
      <c r="E209" s="24"/>
      <c r="F209" s="239">
        <f>ROUND(Tabla33[[#This Row],[CANTIDAD ]]*Tabla33[[#This Row],[VALOR UNITARIO ]],0)</f>
        <v>0</v>
      </c>
      <c r="G209" s="238"/>
      <c r="H209" s="238"/>
      <c r="I209" s="238"/>
      <c r="J209" s="238"/>
      <c r="K209" s="284"/>
      <c r="L209" s="1"/>
    </row>
    <row r="210" spans="1:12" ht="108" x14ac:dyDescent="0.25">
      <c r="A210" s="123" t="s">
        <v>333</v>
      </c>
      <c r="B210" s="24" t="s">
        <v>334</v>
      </c>
      <c r="C210" s="22" t="s">
        <v>14</v>
      </c>
      <c r="D210" s="59">
        <v>16</v>
      </c>
      <c r="E210" s="24"/>
      <c r="F210" s="239">
        <f>ROUND(Tabla33[[#This Row],[CANTIDAD ]]*Tabla33[[#This Row],[VALOR UNITARIO ]],0)</f>
        <v>0</v>
      </c>
      <c r="G210" s="238"/>
      <c r="H210" s="238"/>
      <c r="I210" s="238"/>
      <c r="J210" s="238"/>
      <c r="K210" s="284"/>
      <c r="L210" s="1"/>
    </row>
    <row r="211" spans="1:12" ht="84" x14ac:dyDescent="0.25">
      <c r="A211" s="117" t="s">
        <v>335</v>
      </c>
      <c r="B211" s="24" t="s">
        <v>336</v>
      </c>
      <c r="C211" s="22" t="s">
        <v>14</v>
      </c>
      <c r="D211" s="59">
        <v>90</v>
      </c>
      <c r="E211" s="24"/>
      <c r="F211" s="239">
        <f>ROUND(Tabla33[[#This Row],[CANTIDAD ]]*Tabla33[[#This Row],[VALOR UNITARIO ]],0)</f>
        <v>0</v>
      </c>
      <c r="G211" s="238"/>
      <c r="H211" s="238"/>
      <c r="I211" s="238"/>
      <c r="J211" s="238"/>
      <c r="K211" s="284"/>
      <c r="L211" s="1"/>
    </row>
    <row r="212" spans="1:12" ht="60" x14ac:dyDescent="0.25">
      <c r="A212" s="117" t="s">
        <v>337</v>
      </c>
      <c r="B212" s="58" t="s">
        <v>338</v>
      </c>
      <c r="C212" s="49" t="s">
        <v>14</v>
      </c>
      <c r="D212" s="100">
        <v>29</v>
      </c>
      <c r="E212" s="51"/>
      <c r="F212" s="239">
        <f>ROUND(Tabla33[[#This Row],[CANTIDAD ]]*Tabla33[[#This Row],[VALOR UNITARIO ]],0)</f>
        <v>0</v>
      </c>
      <c r="G212" s="238"/>
      <c r="H212" s="238"/>
      <c r="I212" s="238"/>
      <c r="J212" s="238"/>
      <c r="K212" s="284"/>
      <c r="L212" s="1"/>
    </row>
    <row r="213" spans="1:12" ht="108" x14ac:dyDescent="0.25">
      <c r="A213" s="117" t="s">
        <v>339</v>
      </c>
      <c r="B213" s="34" t="s">
        <v>340</v>
      </c>
      <c r="C213" s="22" t="s">
        <v>19</v>
      </c>
      <c r="D213" s="21">
        <v>9</v>
      </c>
      <c r="E213" s="19"/>
      <c r="F213" s="239">
        <f>ROUND(Tabla33[[#This Row],[CANTIDAD ]]*Tabla33[[#This Row],[VALOR UNITARIO ]],0)</f>
        <v>0</v>
      </c>
      <c r="G213" s="238"/>
      <c r="H213" s="238"/>
      <c r="I213" s="238"/>
      <c r="J213" s="238"/>
      <c r="K213" s="284"/>
      <c r="L213" s="1"/>
    </row>
    <row r="214" spans="1:12" ht="48" x14ac:dyDescent="0.25">
      <c r="A214" s="118" t="s">
        <v>341</v>
      </c>
      <c r="B214" s="8" t="s">
        <v>342</v>
      </c>
      <c r="C214" s="35"/>
      <c r="D214" s="144"/>
      <c r="E214" s="144"/>
      <c r="F214" s="65"/>
      <c r="G214" s="238"/>
      <c r="H214" s="238"/>
      <c r="I214" s="238"/>
      <c r="J214" s="238"/>
      <c r="K214" s="284"/>
      <c r="L214" s="1"/>
    </row>
    <row r="215" spans="1:12" ht="72" x14ac:dyDescent="0.25">
      <c r="A215" s="117" t="s">
        <v>343</v>
      </c>
      <c r="B215" s="12" t="s">
        <v>21</v>
      </c>
      <c r="C215" s="75" t="s">
        <v>19</v>
      </c>
      <c r="D215" s="57">
        <v>14</v>
      </c>
      <c r="E215" s="290">
        <f>ROUND(13415*1.0928,0)</f>
        <v>14660</v>
      </c>
      <c r="F215" s="239">
        <f>ROUND(Tabla33[[#This Row],[CANTIDAD ]]*Tabla33[[#This Row],[VALOR UNITARIO ]],0)</f>
        <v>205240</v>
      </c>
      <c r="G215" s="238"/>
      <c r="H215" s="238"/>
      <c r="I215" s="238"/>
      <c r="J215" s="238"/>
      <c r="K215" s="284" t="s">
        <v>787</v>
      </c>
      <c r="L215" s="1"/>
    </row>
    <row r="216" spans="1:12" ht="36" x14ac:dyDescent="0.25">
      <c r="A216" s="11" t="s">
        <v>344</v>
      </c>
      <c r="B216" s="24" t="s">
        <v>345</v>
      </c>
      <c r="C216" s="22" t="s">
        <v>19</v>
      </c>
      <c r="D216" s="57">
        <v>14</v>
      </c>
      <c r="E216" s="56"/>
      <c r="F216" s="239">
        <f>ROUND(Tabla33[[#This Row],[CANTIDAD ]]*Tabla33[[#This Row],[VALOR UNITARIO ]],0)</f>
        <v>0</v>
      </c>
      <c r="G216" s="238"/>
      <c r="H216" s="238"/>
      <c r="I216" s="238"/>
      <c r="J216" s="238"/>
      <c r="K216" s="284"/>
      <c r="L216" s="1"/>
    </row>
    <row r="217" spans="1:12" ht="72" x14ac:dyDescent="0.25">
      <c r="A217" s="145" t="s">
        <v>346</v>
      </c>
      <c r="B217" s="146" t="s">
        <v>206</v>
      </c>
      <c r="C217" s="17" t="s">
        <v>19</v>
      </c>
      <c r="D217" s="59">
        <v>14</v>
      </c>
      <c r="E217" s="290">
        <f>ROUND(26675*1.0928,0)</f>
        <v>29150</v>
      </c>
      <c r="F217" s="239">
        <f>ROUND(Tabla33[[#This Row],[CANTIDAD ]]*Tabla33[[#This Row],[VALOR UNITARIO ]],0)</f>
        <v>408100</v>
      </c>
      <c r="G217" s="238"/>
      <c r="H217" s="238"/>
      <c r="I217" s="238"/>
      <c r="J217" s="238"/>
      <c r="K217" s="284" t="s">
        <v>787</v>
      </c>
      <c r="L217" s="1"/>
    </row>
    <row r="218" spans="1:12" ht="120" x14ac:dyDescent="0.25">
      <c r="A218" s="20" t="s">
        <v>347</v>
      </c>
      <c r="B218" s="24" t="s">
        <v>208</v>
      </c>
      <c r="C218" s="22" t="s">
        <v>19</v>
      </c>
      <c r="D218" s="59">
        <v>15</v>
      </c>
      <c r="E218" s="24"/>
      <c r="F218" s="239">
        <f>ROUND(Tabla33[[#This Row],[CANTIDAD ]]*Tabla33[[#This Row],[VALOR UNITARIO ]],0)</f>
        <v>0</v>
      </c>
      <c r="G218" s="238"/>
      <c r="H218" s="238"/>
      <c r="I218" s="238"/>
      <c r="J218" s="238"/>
      <c r="K218" s="284"/>
      <c r="L218" s="1"/>
    </row>
    <row r="219" spans="1:12" ht="84" x14ac:dyDescent="0.25">
      <c r="A219" s="145" t="s">
        <v>348</v>
      </c>
      <c r="B219" s="42" t="s">
        <v>76</v>
      </c>
      <c r="C219" s="43" t="s">
        <v>19</v>
      </c>
      <c r="D219" s="59">
        <v>16</v>
      </c>
      <c r="E219" s="309">
        <f>ROUND(208470*1.0928,0)</f>
        <v>227816</v>
      </c>
      <c r="F219" s="239">
        <f>ROUND(Tabla33[[#This Row],[CANTIDAD ]]*Tabla33[[#This Row],[VALOR UNITARIO ]],0)</f>
        <v>3645056</v>
      </c>
      <c r="G219" s="238"/>
      <c r="H219" s="238"/>
      <c r="I219" s="238"/>
      <c r="J219" s="238"/>
      <c r="K219" s="284"/>
      <c r="L219" s="1"/>
    </row>
    <row r="220" spans="1:12" ht="36" x14ac:dyDescent="0.25">
      <c r="A220" s="20" t="s">
        <v>349</v>
      </c>
      <c r="B220" s="58" t="s">
        <v>350</v>
      </c>
      <c r="C220" s="22" t="s">
        <v>6</v>
      </c>
      <c r="D220" s="59">
        <v>4</v>
      </c>
      <c r="E220" s="24"/>
      <c r="F220" s="239">
        <f>ROUND(Tabla33[[#This Row],[CANTIDAD ]]*Tabla33[[#This Row],[VALOR UNITARIO ]],0)</f>
        <v>0</v>
      </c>
      <c r="G220" s="238"/>
      <c r="H220" s="238"/>
      <c r="I220" s="238"/>
      <c r="J220" s="238"/>
      <c r="K220" s="284"/>
      <c r="L220" s="1"/>
    </row>
    <row r="221" spans="1:12" ht="120" x14ac:dyDescent="0.25">
      <c r="A221" s="145" t="s">
        <v>351</v>
      </c>
      <c r="B221" s="147" t="s">
        <v>352</v>
      </c>
      <c r="C221" s="22" t="s">
        <v>14</v>
      </c>
      <c r="D221" s="59">
        <v>27</v>
      </c>
      <c r="E221" s="24"/>
      <c r="F221" s="239">
        <f>ROUND(Tabla33[[#This Row],[CANTIDAD ]]*Tabla33[[#This Row],[VALOR UNITARIO ]],0)</f>
        <v>0</v>
      </c>
      <c r="G221" s="238"/>
      <c r="H221" s="238"/>
      <c r="I221" s="238"/>
      <c r="J221" s="238"/>
      <c r="K221" s="284"/>
      <c r="L221" s="1"/>
    </row>
    <row r="222" spans="1:12" ht="144" x14ac:dyDescent="0.25">
      <c r="A222" s="20" t="s">
        <v>353</v>
      </c>
      <c r="B222" s="147" t="s">
        <v>354</v>
      </c>
      <c r="C222" s="22" t="s">
        <v>14</v>
      </c>
      <c r="D222" s="59">
        <v>34</v>
      </c>
      <c r="E222" s="24"/>
      <c r="F222" s="239">
        <f>ROUND(Tabla33[[#This Row],[CANTIDAD ]]*Tabla33[[#This Row],[VALOR UNITARIO ]],0)</f>
        <v>0</v>
      </c>
      <c r="G222" s="238"/>
      <c r="H222" s="238"/>
      <c r="I222" s="238"/>
      <c r="J222" s="238"/>
      <c r="K222" s="284"/>
      <c r="L222" s="1"/>
    </row>
    <row r="223" spans="1:12" x14ac:dyDescent="0.25">
      <c r="A223" s="145" t="s">
        <v>355</v>
      </c>
      <c r="B223" s="148" t="s">
        <v>63</v>
      </c>
      <c r="C223" s="134" t="s">
        <v>6</v>
      </c>
      <c r="D223" s="21">
        <v>4</v>
      </c>
      <c r="E223" s="263">
        <f>ROUND(3825*1.0928,0)</f>
        <v>4180</v>
      </c>
      <c r="F223" s="239">
        <f>ROUND(Tabla33[[#This Row],[CANTIDAD ]]*Tabla33[[#This Row],[VALOR UNITARIO ]],0)</f>
        <v>16720</v>
      </c>
      <c r="G223" s="238"/>
      <c r="H223" s="238"/>
      <c r="I223" s="238"/>
      <c r="J223" s="238"/>
      <c r="K223" s="284" t="s">
        <v>787</v>
      </c>
      <c r="L223" s="1"/>
    </row>
    <row r="224" spans="1:12" ht="96" x14ac:dyDescent="0.25">
      <c r="A224" s="20" t="s">
        <v>356</v>
      </c>
      <c r="B224" s="149" t="s">
        <v>357</v>
      </c>
      <c r="C224" s="22" t="s">
        <v>14</v>
      </c>
      <c r="D224" s="100">
        <v>24</v>
      </c>
      <c r="E224" s="48"/>
      <c r="F224" s="239">
        <f>ROUND(Tabla33[[#This Row],[CANTIDAD ]]*Tabla33[[#This Row],[VALOR UNITARIO ]],0)</f>
        <v>0</v>
      </c>
      <c r="G224" s="238"/>
      <c r="H224" s="238"/>
      <c r="I224" s="238"/>
      <c r="J224" s="238"/>
      <c r="K224" s="284"/>
      <c r="L224" s="1"/>
    </row>
    <row r="225" spans="1:12" x14ac:dyDescent="0.25">
      <c r="A225" s="118" t="s">
        <v>358</v>
      </c>
      <c r="B225" s="115" t="s">
        <v>234</v>
      </c>
      <c r="C225" s="79"/>
      <c r="D225" s="144"/>
      <c r="E225" s="144"/>
      <c r="F225" s="65"/>
      <c r="G225" s="238"/>
      <c r="H225" s="238"/>
      <c r="I225" s="238"/>
      <c r="J225" s="238"/>
      <c r="K225" s="284"/>
      <c r="L225" s="1"/>
    </row>
    <row r="226" spans="1:12" ht="60" x14ac:dyDescent="0.25">
      <c r="A226" s="145" t="s">
        <v>359</v>
      </c>
      <c r="B226" s="87" t="s">
        <v>84</v>
      </c>
      <c r="C226" s="75" t="s">
        <v>19</v>
      </c>
      <c r="D226" s="57">
        <v>7</v>
      </c>
      <c r="E226" s="263">
        <f>ROUND(6305*1.0928,0)</f>
        <v>6890</v>
      </c>
      <c r="F226" s="239">
        <f>ROUND(Tabla33[[#This Row],[CANTIDAD ]]*Tabla33[[#This Row],[VALOR UNITARIO ]],0)</f>
        <v>48230</v>
      </c>
      <c r="G226" s="238"/>
      <c r="H226" s="238"/>
      <c r="I226" s="238"/>
      <c r="J226" s="238"/>
      <c r="K226" s="284" t="s">
        <v>787</v>
      </c>
      <c r="L226" s="1"/>
    </row>
    <row r="227" spans="1:12" ht="180" x14ac:dyDescent="0.25">
      <c r="A227" s="145" t="s">
        <v>360</v>
      </c>
      <c r="B227" s="46" t="s">
        <v>86</v>
      </c>
      <c r="C227" s="45" t="s">
        <v>19</v>
      </c>
      <c r="D227" s="59">
        <v>7</v>
      </c>
      <c r="E227" s="263">
        <f>ROUND(39910*1.0928,0)</f>
        <v>43614</v>
      </c>
      <c r="F227" s="239">
        <f>ROUND(Tabla33[[#This Row],[CANTIDAD ]]*Tabla33[[#This Row],[VALOR UNITARIO ]],0)</f>
        <v>305298</v>
      </c>
      <c r="G227" s="238"/>
      <c r="H227" s="238"/>
      <c r="I227" s="238"/>
      <c r="J227" s="238"/>
      <c r="K227" s="284" t="s">
        <v>787</v>
      </c>
      <c r="L227" s="1"/>
    </row>
    <row r="228" spans="1:12" ht="48" x14ac:dyDescent="0.25">
      <c r="A228" s="145" t="s">
        <v>361</v>
      </c>
      <c r="B228" s="46" t="s">
        <v>88</v>
      </c>
      <c r="C228" s="45" t="s">
        <v>19</v>
      </c>
      <c r="D228" s="59">
        <v>8</v>
      </c>
      <c r="E228" s="263">
        <f>ROUND(22520*1.0928,0)</f>
        <v>24610</v>
      </c>
      <c r="F228" s="239">
        <f>ROUND(Tabla33[[#This Row],[CANTIDAD ]]*Tabla33[[#This Row],[VALOR UNITARIO ]],0)</f>
        <v>196880</v>
      </c>
      <c r="G228" s="238"/>
      <c r="H228" s="238"/>
      <c r="I228" s="238"/>
      <c r="J228" s="238"/>
      <c r="K228" s="284" t="s">
        <v>787</v>
      </c>
      <c r="L228" s="1"/>
    </row>
    <row r="229" spans="1:12" ht="48" x14ac:dyDescent="0.25">
      <c r="A229" s="145" t="s">
        <v>362</v>
      </c>
      <c r="B229" s="40" t="s">
        <v>90</v>
      </c>
      <c r="C229" s="45" t="s">
        <v>19</v>
      </c>
      <c r="D229" s="59">
        <v>9</v>
      </c>
      <c r="E229" s="24"/>
      <c r="F229" s="239">
        <f>ROUND(Tabla33[[#This Row],[CANTIDAD ]]*Tabla33[[#This Row],[VALOR UNITARIO ]],0)</f>
        <v>0</v>
      </c>
      <c r="G229" s="238"/>
      <c r="H229" s="238"/>
      <c r="I229" s="238"/>
      <c r="J229" s="238"/>
      <c r="K229" s="284"/>
      <c r="L229" s="1"/>
    </row>
    <row r="230" spans="1:12" ht="48" x14ac:dyDescent="0.25">
      <c r="A230" s="145" t="s">
        <v>363</v>
      </c>
      <c r="B230" s="46" t="s">
        <v>92</v>
      </c>
      <c r="C230" s="45" t="s">
        <v>19</v>
      </c>
      <c r="D230" s="59">
        <v>2</v>
      </c>
      <c r="E230" s="263">
        <f>ROUND(15561*1.0928,0)</f>
        <v>17005</v>
      </c>
      <c r="F230" s="239">
        <f>ROUND(Tabla33[[#This Row],[CANTIDAD ]]*Tabla33[[#This Row],[VALOR UNITARIO ]],0)</f>
        <v>34010</v>
      </c>
      <c r="G230" s="238"/>
      <c r="H230" s="238"/>
      <c r="I230" s="238"/>
      <c r="J230" s="238"/>
      <c r="K230" s="284" t="s">
        <v>787</v>
      </c>
      <c r="L230" s="1"/>
    </row>
    <row r="231" spans="1:12" ht="48" x14ac:dyDescent="0.25">
      <c r="A231" s="11" t="s">
        <v>364</v>
      </c>
      <c r="B231" s="40" t="s">
        <v>94</v>
      </c>
      <c r="C231" s="45" t="s">
        <v>19</v>
      </c>
      <c r="D231" s="59">
        <v>11</v>
      </c>
      <c r="E231" s="24"/>
      <c r="F231" s="239">
        <f>ROUND(Tabla33[[#This Row],[CANTIDAD ]]*Tabla33[[#This Row],[VALOR UNITARIO ]],0)</f>
        <v>0</v>
      </c>
      <c r="G231" s="238"/>
      <c r="H231" s="238"/>
      <c r="I231" s="238"/>
      <c r="J231" s="238"/>
      <c r="K231" s="284"/>
      <c r="L231" s="1"/>
    </row>
    <row r="232" spans="1:12" ht="60" x14ac:dyDescent="0.25">
      <c r="A232" s="145" t="s">
        <v>365</v>
      </c>
      <c r="B232" s="40" t="s">
        <v>84</v>
      </c>
      <c r="C232" s="45" t="s">
        <v>14</v>
      </c>
      <c r="D232" s="59">
        <v>4</v>
      </c>
      <c r="E232" s="24"/>
      <c r="F232" s="239">
        <f>ROUND(Tabla33[[#This Row],[CANTIDAD ]]*Tabla33[[#This Row],[VALOR UNITARIO ]],0)</f>
        <v>0</v>
      </c>
      <c r="G232" s="238"/>
      <c r="H232" s="238"/>
      <c r="I232" s="238"/>
      <c r="J232" s="238"/>
      <c r="K232" s="284"/>
      <c r="L232" s="1"/>
    </row>
    <row r="233" spans="1:12" ht="180" x14ac:dyDescent="0.25">
      <c r="A233" s="11" t="s">
        <v>366</v>
      </c>
      <c r="B233" s="46" t="s">
        <v>86</v>
      </c>
      <c r="C233" s="45" t="s">
        <v>14</v>
      </c>
      <c r="D233" s="59">
        <v>3</v>
      </c>
      <c r="E233" s="24"/>
      <c r="F233" s="239">
        <f>ROUND(Tabla33[[#This Row],[CANTIDAD ]]*Tabla33[[#This Row],[VALOR UNITARIO ]],0)</f>
        <v>0</v>
      </c>
      <c r="G233" s="238"/>
      <c r="H233" s="238"/>
      <c r="I233" s="238"/>
      <c r="J233" s="238"/>
      <c r="K233" s="284"/>
      <c r="L233" s="1"/>
    </row>
    <row r="234" spans="1:12" ht="48" x14ac:dyDescent="0.25">
      <c r="A234" s="145" t="s">
        <v>367</v>
      </c>
      <c r="B234" s="46" t="s">
        <v>88</v>
      </c>
      <c r="C234" s="45" t="s">
        <v>14</v>
      </c>
      <c r="D234" s="59">
        <v>4</v>
      </c>
      <c r="E234" s="296">
        <f>ROUND(12295*1.0928,0)</f>
        <v>13436</v>
      </c>
      <c r="F234" s="239">
        <f>ROUND(Tabla33[[#This Row],[CANTIDAD ]]*Tabla33[[#This Row],[VALOR UNITARIO ]],0)</f>
        <v>53744</v>
      </c>
      <c r="G234" s="238"/>
      <c r="H234" s="238"/>
      <c r="I234" s="238"/>
      <c r="J234" s="238"/>
      <c r="K234" s="284" t="s">
        <v>787</v>
      </c>
      <c r="L234" s="1"/>
    </row>
    <row r="235" spans="1:12" ht="48" x14ac:dyDescent="0.25">
      <c r="A235" s="11" t="s">
        <v>368</v>
      </c>
      <c r="B235" s="46" t="s">
        <v>98</v>
      </c>
      <c r="C235" s="45" t="s">
        <v>14</v>
      </c>
      <c r="D235" s="59">
        <v>6</v>
      </c>
      <c r="E235" s="24"/>
      <c r="F235" s="239">
        <f>ROUND(Tabla33[[#This Row],[CANTIDAD ]]*Tabla33[[#This Row],[VALOR UNITARIO ]],0)</f>
        <v>0</v>
      </c>
      <c r="G235" s="238"/>
      <c r="H235" s="238"/>
      <c r="I235" s="238"/>
      <c r="J235" s="238"/>
      <c r="K235" s="284"/>
      <c r="L235" s="1"/>
    </row>
    <row r="236" spans="1:12" ht="48" x14ac:dyDescent="0.25">
      <c r="A236" s="145" t="s">
        <v>369</v>
      </c>
      <c r="B236" s="46" t="s">
        <v>92</v>
      </c>
      <c r="C236" s="45" t="s">
        <v>14</v>
      </c>
      <c r="D236" s="123">
        <v>1</v>
      </c>
      <c r="E236" s="123"/>
      <c r="F236" s="239">
        <f>ROUND(Tabla33[[#This Row],[CANTIDAD ]]*Tabla33[[#This Row],[VALOR UNITARIO ]],0)</f>
        <v>0</v>
      </c>
      <c r="G236" s="238"/>
      <c r="H236" s="238"/>
      <c r="I236" s="238"/>
      <c r="J236" s="238"/>
      <c r="K236" s="284"/>
      <c r="L236" s="1"/>
    </row>
    <row r="237" spans="1:12" ht="48" x14ac:dyDescent="0.25">
      <c r="A237" s="11" t="s">
        <v>370</v>
      </c>
      <c r="B237" s="46" t="s">
        <v>371</v>
      </c>
      <c r="C237" s="45" t="s">
        <v>19</v>
      </c>
      <c r="D237" s="123">
        <v>18</v>
      </c>
      <c r="E237" s="123"/>
      <c r="F237" s="239">
        <f>ROUND(Tabla33[[#This Row],[CANTIDAD ]]*Tabla33[[#This Row],[VALOR UNITARIO ]],0)</f>
        <v>0</v>
      </c>
      <c r="G237" s="238"/>
      <c r="H237" s="238"/>
      <c r="I237" s="238"/>
      <c r="J237" s="238"/>
      <c r="K237" s="284"/>
      <c r="L237" s="1"/>
    </row>
    <row r="238" spans="1:12" ht="72" x14ac:dyDescent="0.25">
      <c r="A238" s="11" t="s">
        <v>372</v>
      </c>
      <c r="B238" s="46" t="s">
        <v>145</v>
      </c>
      <c r="C238" s="45" t="s">
        <v>19</v>
      </c>
      <c r="D238" s="123">
        <v>4</v>
      </c>
      <c r="E238" s="263">
        <f>ROUND(16976*1.0928,0)</f>
        <v>18551</v>
      </c>
      <c r="F238" s="239">
        <f>ROUND(Tabla33[[#This Row],[CANTIDAD ]]*Tabla33[[#This Row],[VALOR UNITARIO ]],0)</f>
        <v>74204</v>
      </c>
      <c r="G238" s="238"/>
      <c r="H238" s="238"/>
      <c r="I238" s="238"/>
      <c r="J238" s="238"/>
      <c r="K238" s="284"/>
      <c r="L238" s="1"/>
    </row>
    <row r="239" spans="1:12" ht="48" x14ac:dyDescent="0.25">
      <c r="A239" s="11" t="s">
        <v>373</v>
      </c>
      <c r="B239" s="66" t="s">
        <v>374</v>
      </c>
      <c r="C239" s="67" t="s">
        <v>19</v>
      </c>
      <c r="D239" s="150">
        <v>18</v>
      </c>
      <c r="E239" s="150"/>
      <c r="F239" s="239">
        <f>ROUND(Tabla33[[#This Row],[CANTIDAD ]]*Tabla33[[#This Row],[VALOR UNITARIO ]],0)</f>
        <v>0</v>
      </c>
      <c r="G239" s="238"/>
      <c r="H239" s="238"/>
      <c r="I239" s="238"/>
      <c r="J239" s="238"/>
      <c r="K239" s="284"/>
      <c r="L239" s="1"/>
    </row>
    <row r="240" spans="1:12" ht="36" x14ac:dyDescent="0.25">
      <c r="A240" s="52" t="s">
        <v>375</v>
      </c>
      <c r="B240" s="53" t="s">
        <v>376</v>
      </c>
      <c r="C240" s="54"/>
      <c r="D240" s="151"/>
      <c r="E240" s="151"/>
      <c r="F240" s="268"/>
      <c r="G240" s="238"/>
      <c r="H240" s="238"/>
      <c r="I240" s="238"/>
      <c r="J240" s="238"/>
      <c r="K240" s="284"/>
      <c r="L240" s="1"/>
    </row>
    <row r="241" spans="1:12" ht="192" x14ac:dyDescent="0.25">
      <c r="A241" s="11" t="s">
        <v>377</v>
      </c>
      <c r="B241" s="152" t="s">
        <v>378</v>
      </c>
      <c r="C241" s="153" t="s">
        <v>14</v>
      </c>
      <c r="D241" s="15">
        <v>20</v>
      </c>
      <c r="E241" s="15"/>
      <c r="F241" s="39">
        <f>ROUND(Tabla33[[#This Row],[CANTIDAD ]]*Tabla33[[#This Row],[VALOR UNITARIO ]],0)</f>
        <v>0</v>
      </c>
      <c r="G241" s="238"/>
      <c r="H241" s="238"/>
      <c r="I241" s="238"/>
      <c r="J241" s="238"/>
      <c r="K241" s="284"/>
      <c r="L241" s="1"/>
    </row>
    <row r="242" spans="1:12" ht="120" x14ac:dyDescent="0.25">
      <c r="A242" s="11" t="s">
        <v>379</v>
      </c>
      <c r="B242" s="46" t="s">
        <v>380</v>
      </c>
      <c r="C242" s="45" t="s">
        <v>19</v>
      </c>
      <c r="D242" s="15">
        <v>12</v>
      </c>
      <c r="E242" s="15"/>
      <c r="F242" s="39">
        <f>ROUND(Tabla33[[#This Row],[CANTIDAD ]]*Tabla33[[#This Row],[VALOR UNITARIO ]],0)</f>
        <v>0</v>
      </c>
      <c r="G242" s="238"/>
      <c r="H242" s="238"/>
      <c r="I242" s="238"/>
      <c r="J242" s="238"/>
      <c r="K242" s="284"/>
      <c r="L242" s="1"/>
    </row>
    <row r="243" spans="1:12" ht="108" x14ac:dyDescent="0.25">
      <c r="A243" s="11" t="s">
        <v>381</v>
      </c>
      <c r="B243" s="27" t="s">
        <v>61</v>
      </c>
      <c r="C243" s="30" t="s">
        <v>14</v>
      </c>
      <c r="D243" s="15">
        <v>16</v>
      </c>
      <c r="E243" s="15"/>
      <c r="F243" s="39">
        <f>ROUND(Tabla33[[#This Row],[CANTIDAD ]]*Tabla33[[#This Row],[VALOR UNITARIO ]],0)</f>
        <v>0</v>
      </c>
      <c r="G243" s="238"/>
      <c r="H243" s="238"/>
      <c r="I243" s="238"/>
      <c r="J243" s="238"/>
      <c r="K243" s="284"/>
      <c r="L243" s="1"/>
    </row>
    <row r="244" spans="1:12" x14ac:dyDescent="0.25">
      <c r="A244" s="11" t="s">
        <v>382</v>
      </c>
      <c r="B244" s="154" t="s">
        <v>59</v>
      </c>
      <c r="C244" s="30" t="s">
        <v>14</v>
      </c>
      <c r="D244" s="15">
        <v>10</v>
      </c>
      <c r="E244" s="263">
        <f>ROUND(13500*1.0928,0)</f>
        <v>14753</v>
      </c>
      <c r="F244" s="39">
        <f>ROUND(Tabla33[[#This Row],[CANTIDAD ]]*Tabla33[[#This Row],[VALOR UNITARIO ]],0)</f>
        <v>147530</v>
      </c>
      <c r="G244" s="238"/>
      <c r="H244" s="238"/>
      <c r="I244" s="238"/>
      <c r="J244" s="238"/>
      <c r="K244" s="284" t="s">
        <v>787</v>
      </c>
      <c r="L244" s="1"/>
    </row>
    <row r="245" spans="1:12" x14ac:dyDescent="0.25">
      <c r="A245" s="11" t="s">
        <v>383</v>
      </c>
      <c r="B245" s="154" t="s">
        <v>63</v>
      </c>
      <c r="C245" s="30" t="s">
        <v>6</v>
      </c>
      <c r="D245" s="15">
        <v>2</v>
      </c>
      <c r="E245" s="263">
        <f>ROUND(3825*1.0928,0)</f>
        <v>4180</v>
      </c>
      <c r="F245" s="39">
        <f>ROUND(Tabla33[[#This Row],[CANTIDAD ]]*Tabla33[[#This Row],[VALOR UNITARIO ]],0)</f>
        <v>8360</v>
      </c>
      <c r="G245" s="238"/>
      <c r="H245" s="238"/>
      <c r="I245" s="238"/>
      <c r="J245" s="238"/>
      <c r="K245" s="284" t="s">
        <v>787</v>
      </c>
      <c r="L245" s="1"/>
    </row>
    <row r="246" spans="1:12" x14ac:dyDescent="0.25">
      <c r="A246" s="11" t="s">
        <v>384</v>
      </c>
      <c r="B246" s="154" t="s">
        <v>65</v>
      </c>
      <c r="C246" s="30" t="s">
        <v>14</v>
      </c>
      <c r="D246" s="15">
        <v>6</v>
      </c>
      <c r="E246" s="263">
        <f>42270*1.0928</f>
        <v>46192.656000000003</v>
      </c>
      <c r="F246" s="39">
        <f>ROUND(Tabla33[[#This Row],[CANTIDAD ]]*Tabla33[[#This Row],[VALOR UNITARIO ]],0)</f>
        <v>277156</v>
      </c>
      <c r="G246" s="238"/>
      <c r="H246" s="238"/>
      <c r="I246" s="238"/>
      <c r="J246" s="238"/>
      <c r="K246" s="284" t="s">
        <v>787</v>
      </c>
      <c r="L246" s="1"/>
    </row>
    <row r="247" spans="1:12" ht="120" x14ac:dyDescent="0.25">
      <c r="A247" s="11" t="s">
        <v>385</v>
      </c>
      <c r="B247" s="149" t="s">
        <v>57</v>
      </c>
      <c r="C247" s="155" t="s">
        <v>14</v>
      </c>
      <c r="D247" s="156">
        <v>4</v>
      </c>
      <c r="E247" s="156"/>
      <c r="F247" s="39">
        <f>ROUND(Tabla33[[#This Row],[CANTIDAD ]]*Tabla33[[#This Row],[VALOR UNITARIO ]],0)</f>
        <v>0</v>
      </c>
      <c r="G247" s="238"/>
      <c r="H247" s="238"/>
      <c r="I247" s="238"/>
      <c r="J247" s="238"/>
      <c r="K247" s="284"/>
      <c r="L247" s="1"/>
    </row>
    <row r="248" spans="1:12" ht="84" x14ac:dyDescent="0.25">
      <c r="A248" s="9" t="s">
        <v>386</v>
      </c>
      <c r="B248" s="53" t="s">
        <v>101</v>
      </c>
      <c r="C248" s="54"/>
      <c r="D248" s="151"/>
      <c r="E248" s="151"/>
      <c r="F248" s="268"/>
      <c r="G248" s="238"/>
      <c r="H248" s="238"/>
      <c r="I248" s="238"/>
      <c r="J248" s="238"/>
      <c r="K248" s="284"/>
      <c r="L248" s="1"/>
    </row>
    <row r="249" spans="1:12" ht="132" x14ac:dyDescent="0.25">
      <c r="A249" s="11" t="s">
        <v>387</v>
      </c>
      <c r="B249" s="56" t="s">
        <v>103</v>
      </c>
      <c r="C249" s="57" t="s">
        <v>19</v>
      </c>
      <c r="D249" s="15">
        <v>10</v>
      </c>
      <c r="E249" s="263">
        <f>ROUND(103790*1.0928,0)</f>
        <v>113422</v>
      </c>
      <c r="F249" s="39">
        <f>ROUND(Tabla33[[#This Row],[CANTIDAD ]]*Tabla33[[#This Row],[VALOR UNITARIO ]],0)</f>
        <v>1134220</v>
      </c>
      <c r="G249" s="238"/>
      <c r="H249" s="238"/>
      <c r="I249" s="238"/>
      <c r="J249" s="238"/>
      <c r="K249" s="284" t="s">
        <v>787</v>
      </c>
      <c r="L249" s="1"/>
    </row>
    <row r="250" spans="1:12" ht="60" x14ac:dyDescent="0.25">
      <c r="A250" s="11" t="s">
        <v>388</v>
      </c>
      <c r="B250" s="58" t="s">
        <v>105</v>
      </c>
      <c r="C250" s="59" t="s">
        <v>14</v>
      </c>
      <c r="D250" s="15">
        <v>5</v>
      </c>
      <c r="E250" s="263">
        <f>ROUND(37657*1.0928,0)</f>
        <v>41152</v>
      </c>
      <c r="F250" s="39">
        <f>ROUND(Tabla33[[#This Row],[CANTIDAD ]]*Tabla33[[#This Row],[VALOR UNITARIO ]],0)</f>
        <v>205760</v>
      </c>
      <c r="G250" s="238"/>
      <c r="H250" s="238"/>
      <c r="I250" s="238"/>
      <c r="J250" s="238"/>
      <c r="K250" s="284" t="s">
        <v>787</v>
      </c>
      <c r="L250" s="1"/>
    </row>
    <row r="251" spans="1:12" ht="204" x14ac:dyDescent="0.25">
      <c r="A251" s="11" t="s">
        <v>389</v>
      </c>
      <c r="B251" s="24" t="s">
        <v>107</v>
      </c>
      <c r="C251" s="59" t="s">
        <v>14</v>
      </c>
      <c r="D251" s="15">
        <v>5</v>
      </c>
      <c r="E251" s="263">
        <f>ROUND(42410*1.0928,0)</f>
        <v>46346</v>
      </c>
      <c r="F251" s="39">
        <f>ROUND(Tabla33[[#This Row],[CANTIDAD ]]*Tabla33[[#This Row],[VALOR UNITARIO ]],0)</f>
        <v>231730</v>
      </c>
      <c r="G251" s="238"/>
      <c r="H251" s="238"/>
      <c r="I251" s="238"/>
      <c r="J251" s="238"/>
      <c r="K251" s="284" t="s">
        <v>787</v>
      </c>
      <c r="L251" s="1"/>
    </row>
    <row r="252" spans="1:12" ht="60" x14ac:dyDescent="0.25">
      <c r="A252" s="11" t="s">
        <v>390</v>
      </c>
      <c r="B252" s="58" t="s">
        <v>109</v>
      </c>
      <c r="C252" s="59" t="s">
        <v>14</v>
      </c>
      <c r="D252" s="15">
        <v>8</v>
      </c>
      <c r="E252" s="263">
        <f>ROUND(33950*1.0928,0)</f>
        <v>37101</v>
      </c>
      <c r="F252" s="39">
        <f>ROUND(Tabla33[[#This Row],[CANTIDAD ]]*Tabla33[[#This Row],[VALOR UNITARIO ]],0)</f>
        <v>296808</v>
      </c>
      <c r="G252" s="238"/>
      <c r="H252" s="238"/>
      <c r="I252" s="238"/>
      <c r="J252" s="238"/>
      <c r="K252" s="284" t="s">
        <v>787</v>
      </c>
      <c r="L252" s="1"/>
    </row>
    <row r="253" spans="1:12" ht="216" x14ac:dyDescent="0.25">
      <c r="A253" s="11" t="s">
        <v>391</v>
      </c>
      <c r="B253" s="24" t="s">
        <v>111</v>
      </c>
      <c r="C253" s="60" t="s">
        <v>6</v>
      </c>
      <c r="D253" s="15">
        <v>1</v>
      </c>
      <c r="E253" s="263">
        <f>ROUND(530275*1.0928,0)</f>
        <v>579485</v>
      </c>
      <c r="F253" s="39">
        <f>ROUND(Tabla33[[#This Row],[CANTIDAD ]]*Tabla33[[#This Row],[VALOR UNITARIO ]],0)</f>
        <v>579485</v>
      </c>
      <c r="G253" s="238"/>
      <c r="H253" s="238"/>
      <c r="I253" s="238"/>
      <c r="J253" s="238"/>
      <c r="K253" s="284" t="s">
        <v>787</v>
      </c>
      <c r="L253" s="1"/>
    </row>
    <row r="254" spans="1:12" ht="264" x14ac:dyDescent="0.25">
      <c r="A254" s="145" t="s">
        <v>392</v>
      </c>
      <c r="B254" s="58" t="s">
        <v>117</v>
      </c>
      <c r="C254" s="60" t="s">
        <v>14</v>
      </c>
      <c r="D254" s="15">
        <v>12</v>
      </c>
      <c r="E254" s="263">
        <f>ROUND(64357*1.0928,0)</f>
        <v>70329</v>
      </c>
      <c r="F254" s="39">
        <f>ROUND(Tabla33[[#This Row],[CANTIDAD ]]*Tabla33[[#This Row],[VALOR UNITARIO ]],0)</f>
        <v>843948</v>
      </c>
      <c r="G254" s="238"/>
      <c r="H254" s="238"/>
      <c r="I254" s="238"/>
      <c r="J254" s="238"/>
      <c r="K254" s="284" t="s">
        <v>787</v>
      </c>
      <c r="L254" s="1"/>
    </row>
    <row r="255" spans="1:12" ht="156" x14ac:dyDescent="0.25">
      <c r="A255" s="145" t="s">
        <v>393</v>
      </c>
      <c r="B255" s="24" t="s">
        <v>119</v>
      </c>
      <c r="C255" s="60" t="s">
        <v>6</v>
      </c>
      <c r="D255" s="15">
        <v>7</v>
      </c>
      <c r="E255" s="263">
        <f>ROUND(29010*1.0928,0)</f>
        <v>31702</v>
      </c>
      <c r="F255" s="39">
        <f>ROUND(Tabla33[[#This Row],[CANTIDAD ]]*Tabla33[[#This Row],[VALOR UNITARIO ]],0)</f>
        <v>221914</v>
      </c>
      <c r="G255" s="238"/>
      <c r="H255" s="238"/>
      <c r="I255" s="238"/>
      <c r="J255" s="238"/>
      <c r="K255" s="284" t="s">
        <v>787</v>
      </c>
      <c r="L255" s="1"/>
    </row>
    <row r="256" spans="1:12" ht="96" x14ac:dyDescent="0.25">
      <c r="A256" s="145" t="s">
        <v>394</v>
      </c>
      <c r="B256" s="58" t="s">
        <v>121</v>
      </c>
      <c r="C256" s="60" t="s">
        <v>14</v>
      </c>
      <c r="D256" s="15">
        <v>110</v>
      </c>
      <c r="E256" s="263">
        <f>ROUND(9412*1.0928,0)</f>
        <v>10285</v>
      </c>
      <c r="F256" s="39">
        <f>ROUND(Tabla33[[#This Row],[CANTIDAD ]]*Tabla33[[#This Row],[VALOR UNITARIO ]],0)</f>
        <v>1131350</v>
      </c>
      <c r="G256" s="238"/>
      <c r="H256" s="238"/>
      <c r="I256" s="238"/>
      <c r="J256" s="238"/>
      <c r="K256" s="284" t="s">
        <v>787</v>
      </c>
      <c r="L256" s="1"/>
    </row>
    <row r="257" spans="1:12" ht="216" x14ac:dyDescent="0.25">
      <c r="A257" s="145" t="s">
        <v>395</v>
      </c>
      <c r="B257" s="24" t="s">
        <v>123</v>
      </c>
      <c r="C257" s="60" t="s">
        <v>6</v>
      </c>
      <c r="D257" s="15">
        <v>7</v>
      </c>
      <c r="E257" s="263">
        <f>ROUND(64733*1.0928,0)</f>
        <v>70740</v>
      </c>
      <c r="F257" s="39">
        <f>ROUND(Tabla33[[#This Row],[CANTIDAD ]]*Tabla33[[#This Row],[VALOR UNITARIO ]],0)</f>
        <v>495180</v>
      </c>
      <c r="G257" s="238"/>
      <c r="H257" s="238"/>
      <c r="I257" s="238"/>
      <c r="J257" s="238"/>
      <c r="K257" s="284" t="s">
        <v>787</v>
      </c>
      <c r="L257" s="1"/>
    </row>
    <row r="258" spans="1:12" ht="72" x14ac:dyDescent="0.25">
      <c r="A258" s="145" t="s">
        <v>396</v>
      </c>
      <c r="B258" s="58" t="s">
        <v>125</v>
      </c>
      <c r="C258" s="60" t="s">
        <v>6</v>
      </c>
      <c r="D258" s="15">
        <v>7</v>
      </c>
      <c r="E258" s="263">
        <f>ROUND(18502*1.0928,0)</f>
        <v>20219</v>
      </c>
      <c r="F258" s="39">
        <f>ROUND(Tabla33[[#This Row],[CANTIDAD ]]*Tabla33[[#This Row],[VALOR UNITARIO ]],0)</f>
        <v>141533</v>
      </c>
      <c r="G258" s="238"/>
      <c r="H258" s="238"/>
      <c r="I258" s="238"/>
      <c r="J258" s="238"/>
      <c r="K258" s="284" t="s">
        <v>787</v>
      </c>
      <c r="L258" s="1"/>
    </row>
    <row r="259" spans="1:12" ht="240" x14ac:dyDescent="0.25">
      <c r="A259" s="145" t="s">
        <v>397</v>
      </c>
      <c r="B259" s="24" t="s">
        <v>127</v>
      </c>
      <c r="C259" s="60" t="s">
        <v>6</v>
      </c>
      <c r="D259" s="15">
        <v>7</v>
      </c>
      <c r="E259" s="263">
        <v>110023</v>
      </c>
      <c r="F259" s="39">
        <f>ROUND(Tabla33[[#This Row],[CANTIDAD ]]*Tabla33[[#This Row],[VALOR UNITARIO ]],0)</f>
        <v>770161</v>
      </c>
      <c r="G259" s="238"/>
      <c r="H259" s="238"/>
      <c r="I259" s="238"/>
      <c r="J259" s="238"/>
      <c r="K259" s="284" t="s">
        <v>787</v>
      </c>
      <c r="L259" s="1"/>
    </row>
    <row r="260" spans="1:12" ht="240" x14ac:dyDescent="0.25">
      <c r="A260" s="145" t="s">
        <v>398</v>
      </c>
      <c r="B260" s="58" t="s">
        <v>129</v>
      </c>
      <c r="C260" s="64" t="s">
        <v>6</v>
      </c>
      <c r="D260" s="15">
        <v>7</v>
      </c>
      <c r="E260" s="263">
        <f>ROUND(113421*1.0928,0)</f>
        <v>123946</v>
      </c>
      <c r="F260" s="39">
        <f>ROUND(Tabla33[[#This Row],[CANTIDAD ]]*Tabla33[[#This Row],[VALOR UNITARIO ]],0)</f>
        <v>867622</v>
      </c>
      <c r="G260" s="238"/>
      <c r="H260" s="238"/>
      <c r="I260" s="238"/>
      <c r="J260" s="238"/>
      <c r="K260" s="284" t="s">
        <v>787</v>
      </c>
      <c r="L260" s="1"/>
    </row>
    <row r="261" spans="1:12" ht="96" x14ac:dyDescent="0.25">
      <c r="A261" s="145" t="s">
        <v>399</v>
      </c>
      <c r="B261" s="63" t="s">
        <v>279</v>
      </c>
      <c r="C261" s="64" t="s">
        <v>6</v>
      </c>
      <c r="D261" s="15">
        <v>1</v>
      </c>
      <c r="E261" s="263">
        <f>ROUND(88543*1.0928,0)</f>
        <v>96760</v>
      </c>
      <c r="F261" s="39">
        <f>ROUND(Tabla33[[#This Row],[CANTIDAD ]]*Tabla33[[#This Row],[VALOR UNITARIO ]],0)</f>
        <v>96760</v>
      </c>
      <c r="G261" s="238"/>
      <c r="H261" s="238"/>
      <c r="I261" s="238"/>
      <c r="J261" s="238"/>
      <c r="K261" s="284" t="s">
        <v>787</v>
      </c>
      <c r="L261" s="1"/>
    </row>
    <row r="262" spans="1:12" ht="156" x14ac:dyDescent="0.25">
      <c r="A262" s="11" t="s">
        <v>400</v>
      </c>
      <c r="B262" s="63" t="s">
        <v>133</v>
      </c>
      <c r="C262" s="64" t="s">
        <v>6</v>
      </c>
      <c r="D262" s="15">
        <v>3</v>
      </c>
      <c r="E262" s="263">
        <f>ROUND(130000*1.0928,0)</f>
        <v>142064</v>
      </c>
      <c r="F262" s="39">
        <f>ROUND(Tabla33[[#This Row],[CANTIDAD ]]*Tabla33[[#This Row],[VALOR UNITARIO ]],0)</f>
        <v>426192</v>
      </c>
      <c r="G262" s="238"/>
      <c r="H262" s="238"/>
      <c r="I262" s="238"/>
      <c r="J262" s="238"/>
      <c r="K262" s="284" t="s">
        <v>787</v>
      </c>
      <c r="L262" s="1"/>
    </row>
    <row r="263" spans="1:12" ht="96" x14ac:dyDescent="0.25">
      <c r="A263" s="145" t="s">
        <v>401</v>
      </c>
      <c r="B263" s="58" t="s">
        <v>135</v>
      </c>
      <c r="C263" s="60" t="s">
        <v>14</v>
      </c>
      <c r="D263" s="15">
        <v>5</v>
      </c>
      <c r="E263" s="263">
        <f>ROUND(15132*1.0928,0)</f>
        <v>16536</v>
      </c>
      <c r="F263" s="39">
        <f>ROUND(Tabla33[[#This Row],[CANTIDAD ]]*Tabla33[[#This Row],[VALOR UNITARIO ]],0)</f>
        <v>82680</v>
      </c>
      <c r="G263" s="238"/>
      <c r="H263" s="238"/>
      <c r="I263" s="238"/>
      <c r="J263" s="238"/>
      <c r="K263" s="284"/>
      <c r="L263" s="1"/>
    </row>
    <row r="264" spans="1:12" x14ac:dyDescent="0.25">
      <c r="A264" s="11" t="s">
        <v>402</v>
      </c>
      <c r="B264" s="128" t="s">
        <v>137</v>
      </c>
      <c r="C264" s="60" t="s">
        <v>6</v>
      </c>
      <c r="D264" s="15">
        <v>7</v>
      </c>
      <c r="E264" s="263">
        <f>ROUND(31336*1.0928,0)</f>
        <v>34244</v>
      </c>
      <c r="F264" s="39">
        <f>ROUND(Tabla33[[#This Row],[CANTIDAD ]]*Tabla33[[#This Row],[VALOR UNITARIO ]],0)</f>
        <v>239708</v>
      </c>
      <c r="G264" s="238"/>
      <c r="H264" s="238"/>
      <c r="I264" s="238"/>
      <c r="J264" s="238"/>
      <c r="K264" s="284" t="s">
        <v>787</v>
      </c>
      <c r="L264" s="1"/>
    </row>
    <row r="265" spans="1:12" x14ac:dyDescent="0.25">
      <c r="A265" s="145" t="s">
        <v>403</v>
      </c>
      <c r="B265" s="128" t="s">
        <v>139</v>
      </c>
      <c r="C265" s="60" t="s">
        <v>6</v>
      </c>
      <c r="D265" s="15">
        <v>1</v>
      </c>
      <c r="E265" s="263">
        <f>ROUND(42155*1.0928,0)</f>
        <v>46067</v>
      </c>
      <c r="F265" s="39">
        <f>ROUND(Tabla33[[#This Row],[CANTIDAD ]]*Tabla33[[#This Row],[VALOR UNITARIO ]],0)</f>
        <v>46067</v>
      </c>
      <c r="G265" s="238"/>
      <c r="H265" s="238"/>
      <c r="I265" s="238"/>
      <c r="J265" s="238"/>
      <c r="K265" s="284" t="s">
        <v>787</v>
      </c>
      <c r="L265" s="1"/>
    </row>
    <row r="266" spans="1:12" ht="108" x14ac:dyDescent="0.25">
      <c r="A266" s="11" t="s">
        <v>404</v>
      </c>
      <c r="B266" s="129" t="s">
        <v>141</v>
      </c>
      <c r="C266" s="130" t="s">
        <v>6</v>
      </c>
      <c r="D266" s="15">
        <v>1</v>
      </c>
      <c r="E266" s="263">
        <f>ROUND(2786713*1.0298,0)</f>
        <v>2869757</v>
      </c>
      <c r="F266" s="39">
        <f>ROUND(Tabla33[[#This Row],[CANTIDAD ]]*Tabla33[[#This Row],[VALOR UNITARIO ]],0)</f>
        <v>2869757</v>
      </c>
      <c r="G266" s="238"/>
      <c r="H266" s="238"/>
      <c r="I266" s="238"/>
      <c r="J266" s="238"/>
      <c r="K266" s="284" t="s">
        <v>787</v>
      </c>
      <c r="L266" s="1"/>
    </row>
    <row r="267" spans="1:12" ht="96" x14ac:dyDescent="0.25">
      <c r="A267" s="145" t="s">
        <v>405</v>
      </c>
      <c r="B267" s="131" t="s">
        <v>286</v>
      </c>
      <c r="C267" s="130" t="s">
        <v>6</v>
      </c>
      <c r="D267" s="156">
        <v>1</v>
      </c>
      <c r="E267" s="156"/>
      <c r="F267" s="39">
        <f>ROUND(Tabla33[[#This Row],[CANTIDAD ]]*Tabla33[[#This Row],[VALOR UNITARIO ]],0)</f>
        <v>0</v>
      </c>
      <c r="G267" s="238"/>
      <c r="H267" s="238"/>
      <c r="I267" s="238"/>
      <c r="J267" s="238"/>
      <c r="K267" s="284"/>
      <c r="L267" s="1"/>
    </row>
    <row r="268" spans="1:12" ht="132" x14ac:dyDescent="0.25">
      <c r="A268" s="20" t="s">
        <v>406</v>
      </c>
      <c r="B268" s="24" t="s">
        <v>407</v>
      </c>
      <c r="C268" s="22" t="s">
        <v>6</v>
      </c>
      <c r="D268" s="123">
        <v>1</v>
      </c>
      <c r="E268" s="263">
        <f>ROUND(1599967*1.0928,0)</f>
        <v>1748444</v>
      </c>
      <c r="F268" s="39">
        <f>ROUND(Tabla33[[#This Row],[CANTIDAD ]]*Tabla33[[#This Row],[VALOR UNITARIO ]],0)</f>
        <v>1748444</v>
      </c>
      <c r="G268" s="238"/>
      <c r="H268" s="238"/>
      <c r="I268" s="238"/>
      <c r="J268" s="238"/>
      <c r="K268" s="284" t="s">
        <v>787</v>
      </c>
      <c r="L268" s="1"/>
    </row>
    <row r="269" spans="1:12" ht="168" x14ac:dyDescent="0.25">
      <c r="A269" s="145" t="s">
        <v>408</v>
      </c>
      <c r="B269" s="24" t="s">
        <v>409</v>
      </c>
      <c r="C269" s="22" t="s">
        <v>14</v>
      </c>
      <c r="D269" s="123">
        <v>1</v>
      </c>
      <c r="E269" s="298">
        <f>207303*1.0928</f>
        <v>226540.71840000001</v>
      </c>
      <c r="F269" s="39">
        <f>ROUND(Tabla33[[#This Row],[CANTIDAD ]]*Tabla33[[#This Row],[VALOR UNITARIO ]],0)</f>
        <v>226541</v>
      </c>
      <c r="G269" s="238"/>
      <c r="H269" s="238"/>
      <c r="I269" s="238"/>
      <c r="J269" s="238"/>
      <c r="K269" s="284" t="s">
        <v>787</v>
      </c>
      <c r="L269" s="1"/>
    </row>
    <row r="270" spans="1:12" x14ac:dyDescent="0.25">
      <c r="A270" s="52" t="s">
        <v>410</v>
      </c>
      <c r="B270" s="8" t="s">
        <v>294</v>
      </c>
      <c r="C270" s="35"/>
      <c r="D270" s="151"/>
      <c r="E270" s="151"/>
      <c r="F270" s="268"/>
      <c r="G270" s="238"/>
      <c r="H270" s="238"/>
      <c r="I270" s="238"/>
      <c r="J270" s="238"/>
      <c r="K270" s="284"/>
      <c r="L270" s="1"/>
    </row>
    <row r="271" spans="1:12" ht="48" x14ac:dyDescent="0.25">
      <c r="A271" s="157" t="s">
        <v>411</v>
      </c>
      <c r="B271" s="48" t="s">
        <v>412</v>
      </c>
      <c r="C271" s="86" t="s">
        <v>6</v>
      </c>
      <c r="D271" s="15">
        <v>6</v>
      </c>
      <c r="E271" s="15"/>
      <c r="F271" s="39">
        <f>ROUND(Tabla33[[#This Row],[CANTIDAD ]]*Tabla33[[#This Row],[VALOR UNITARIO ]],0)</f>
        <v>0</v>
      </c>
      <c r="G271" s="238"/>
      <c r="H271" s="238"/>
      <c r="I271" s="238"/>
      <c r="J271" s="238"/>
      <c r="K271" s="284"/>
      <c r="L271" s="1"/>
    </row>
    <row r="272" spans="1:12" ht="24" x14ac:dyDescent="0.25">
      <c r="A272" s="158" t="s">
        <v>751</v>
      </c>
      <c r="B272" s="48" t="s">
        <v>195</v>
      </c>
      <c r="C272" s="49" t="s">
        <v>19</v>
      </c>
      <c r="D272" s="159">
        <v>380</v>
      </c>
      <c r="E272" s="263">
        <f>ROUND(4850*1.0928,0)</f>
        <v>5300</v>
      </c>
      <c r="F272" s="39">
        <f>ROUND(Tabla33[[#This Row],[CANTIDAD ]]*Tabla33[[#This Row],[VALOR UNITARIO ]],0)</f>
        <v>2014000</v>
      </c>
      <c r="G272" s="238"/>
      <c r="H272" s="238"/>
      <c r="I272" s="238"/>
      <c r="J272" s="238"/>
      <c r="K272" s="284" t="s">
        <v>787</v>
      </c>
      <c r="L272" s="1"/>
    </row>
    <row r="273" spans="1:12" x14ac:dyDescent="0.25">
      <c r="A273" s="160"/>
      <c r="B273" s="161"/>
      <c r="C273" s="108" t="s">
        <v>196</v>
      </c>
      <c r="D273" s="109"/>
      <c r="E273" s="22"/>
      <c r="F273" s="300">
        <f>SUBTOTAL(109,F202:F272)</f>
        <v>32540854</v>
      </c>
      <c r="G273" s="238"/>
      <c r="H273" s="238"/>
      <c r="I273" s="238"/>
      <c r="J273" s="238"/>
      <c r="K273" s="284"/>
      <c r="L273" s="1"/>
    </row>
    <row r="274" spans="1:12" x14ac:dyDescent="0.25">
      <c r="A274" s="162"/>
      <c r="B274" s="163"/>
      <c r="C274" s="95" t="s">
        <v>197</v>
      </c>
      <c r="D274" s="96"/>
      <c r="E274" s="97">
        <v>0</v>
      </c>
      <c r="F274" s="301">
        <f>F273*Tabla33[[#This Row],[VALOR UNITARIO ]]</f>
        <v>0</v>
      </c>
      <c r="G274" s="238"/>
      <c r="H274" s="238"/>
      <c r="I274" s="238"/>
      <c r="J274" s="238"/>
      <c r="K274" s="284"/>
      <c r="L274" s="1"/>
    </row>
    <row r="275" spans="1:12" x14ac:dyDescent="0.25">
      <c r="A275" s="162"/>
      <c r="B275" s="163"/>
      <c r="C275" s="95" t="s">
        <v>198</v>
      </c>
      <c r="D275" s="96"/>
      <c r="E275" s="97">
        <v>0</v>
      </c>
      <c r="F275" s="301">
        <f>F273*Tabla33[[#This Row],[VALOR UNITARIO ]]</f>
        <v>0</v>
      </c>
      <c r="G275" s="238"/>
      <c r="H275" s="238"/>
      <c r="I275" s="238"/>
      <c r="J275" s="238"/>
      <c r="K275" s="284"/>
      <c r="L275" s="1"/>
    </row>
    <row r="276" spans="1:12" x14ac:dyDescent="0.25">
      <c r="A276" s="162"/>
      <c r="B276" s="163"/>
      <c r="C276" s="95" t="s">
        <v>199</v>
      </c>
      <c r="D276" s="96"/>
      <c r="E276" s="97">
        <v>0</v>
      </c>
      <c r="F276" s="301">
        <f>F273*Tabla33[[#This Row],[VALOR UNITARIO ]]</f>
        <v>0</v>
      </c>
      <c r="G276" s="238"/>
      <c r="H276" s="238"/>
      <c r="I276" s="238"/>
      <c r="J276" s="238"/>
      <c r="K276" s="284"/>
      <c r="L276" s="1"/>
    </row>
    <row r="277" spans="1:12" x14ac:dyDescent="0.25">
      <c r="A277" s="162"/>
      <c r="B277" s="163"/>
      <c r="C277" s="95" t="s">
        <v>200</v>
      </c>
      <c r="D277" s="96"/>
      <c r="E277" s="97">
        <v>0</v>
      </c>
      <c r="F277" s="301">
        <f>F276*Tabla33[[#This Row],[VALOR UNITARIO ]]</f>
        <v>0</v>
      </c>
      <c r="G277" s="238"/>
      <c r="H277" s="238"/>
      <c r="I277" s="238"/>
      <c r="J277" s="238"/>
      <c r="K277" s="284"/>
      <c r="L277" s="1"/>
    </row>
    <row r="278" spans="1:12" x14ac:dyDescent="0.25">
      <c r="A278" s="164"/>
      <c r="B278" s="165"/>
      <c r="C278" s="91" t="s">
        <v>201</v>
      </c>
      <c r="D278" s="100"/>
      <c r="E278" s="49"/>
      <c r="F278" s="300">
        <f>F273+F274++F275+F276+F277</f>
        <v>32540854</v>
      </c>
      <c r="G278" s="238"/>
      <c r="H278" s="238"/>
      <c r="I278" s="238"/>
      <c r="J278" s="238"/>
      <c r="K278" s="284"/>
      <c r="L278" s="304">
        <v>49116854</v>
      </c>
    </row>
    <row r="279" spans="1:12" x14ac:dyDescent="0.25">
      <c r="A279" s="166" t="s">
        <v>413</v>
      </c>
      <c r="B279" s="141" t="s">
        <v>414</v>
      </c>
      <c r="C279" s="142"/>
      <c r="D279" s="142"/>
      <c r="E279" s="142"/>
      <c r="F279" s="142"/>
      <c r="G279" s="238"/>
      <c r="H279" s="238"/>
      <c r="I279" s="238"/>
      <c r="J279" s="238"/>
      <c r="K279" s="284"/>
      <c r="L279" s="1"/>
    </row>
    <row r="280" spans="1:12" ht="60" x14ac:dyDescent="0.25">
      <c r="A280" s="167" t="s">
        <v>415</v>
      </c>
      <c r="B280" s="132" t="s">
        <v>416</v>
      </c>
      <c r="C280" s="151"/>
      <c r="D280" s="151"/>
      <c r="E280" s="151"/>
      <c r="F280" s="268"/>
      <c r="G280" s="238"/>
      <c r="H280" s="238"/>
      <c r="I280" s="238"/>
      <c r="J280" s="238"/>
      <c r="K280" s="284"/>
      <c r="L280" s="1"/>
    </row>
    <row r="281" spans="1:12" ht="108" x14ac:dyDescent="0.25">
      <c r="A281" s="123" t="s">
        <v>417</v>
      </c>
      <c r="B281" s="12" t="s">
        <v>418</v>
      </c>
      <c r="C281" s="86" t="s">
        <v>19</v>
      </c>
      <c r="D281" s="15">
        <v>197</v>
      </c>
      <c r="E281" s="15"/>
      <c r="F281" s="39">
        <f>Tabla33[[#This Row],[CANTIDAD ]]*Tabla33[[#This Row],[VALOR UNITARIO ]]</f>
        <v>0</v>
      </c>
      <c r="G281" s="238"/>
      <c r="H281" s="238"/>
      <c r="I281" s="238"/>
      <c r="J281" s="238"/>
      <c r="K281" s="284"/>
      <c r="L281" s="1"/>
    </row>
    <row r="282" spans="1:12" ht="276" x14ac:dyDescent="0.25">
      <c r="A282" s="168" t="s">
        <v>419</v>
      </c>
      <c r="B282" s="56" t="s">
        <v>794</v>
      </c>
      <c r="C282" s="13" t="s">
        <v>6</v>
      </c>
      <c r="D282" s="15">
        <v>113</v>
      </c>
      <c r="E282" s="15"/>
      <c r="F282" s="39">
        <f>Tabla33[[#This Row],[CANTIDAD ]]*Tabla33[[#This Row],[VALOR UNITARIO ]]</f>
        <v>0</v>
      </c>
      <c r="G282" s="238"/>
      <c r="H282" s="238"/>
      <c r="I282" s="238"/>
      <c r="J282" s="238"/>
      <c r="K282" s="284"/>
      <c r="L282" s="1"/>
    </row>
    <row r="283" spans="1:12" ht="312" x14ac:dyDescent="0.25">
      <c r="A283" s="123" t="s">
        <v>420</v>
      </c>
      <c r="B283" s="24" t="s">
        <v>754</v>
      </c>
      <c r="C283" s="17" t="s">
        <v>6</v>
      </c>
      <c r="D283" s="123">
        <v>16</v>
      </c>
      <c r="E283" s="123"/>
      <c r="F283" s="39">
        <f>Tabla33[[#This Row],[CANTIDAD ]]*Tabla33[[#This Row],[VALOR UNITARIO ]]</f>
        <v>0</v>
      </c>
      <c r="G283" s="238"/>
      <c r="H283" s="238"/>
      <c r="I283" s="238"/>
      <c r="J283" s="238"/>
      <c r="K283" s="284"/>
      <c r="L283" s="1"/>
    </row>
    <row r="284" spans="1:12" ht="276" x14ac:dyDescent="0.25">
      <c r="A284" s="145" t="s">
        <v>421</v>
      </c>
      <c r="B284" s="56" t="s">
        <v>755</v>
      </c>
      <c r="C284" s="17" t="s">
        <v>6</v>
      </c>
      <c r="D284" s="123">
        <v>6</v>
      </c>
      <c r="E284" s="123"/>
      <c r="F284" s="39">
        <f>Tabla33[[#This Row],[CANTIDAD ]]*Tabla33[[#This Row],[VALOR UNITARIO ]]</f>
        <v>0</v>
      </c>
      <c r="G284" s="238"/>
      <c r="H284" s="238"/>
      <c r="I284" s="238"/>
      <c r="J284" s="238"/>
      <c r="K284" s="284"/>
      <c r="L284" s="1"/>
    </row>
    <row r="285" spans="1:12" ht="264" x14ac:dyDescent="0.25">
      <c r="A285" s="145" t="s">
        <v>422</v>
      </c>
      <c r="B285" s="169" t="s">
        <v>423</v>
      </c>
      <c r="C285" s="17" t="s">
        <v>6</v>
      </c>
      <c r="D285" s="123">
        <v>5</v>
      </c>
      <c r="E285" s="123"/>
      <c r="F285" s="39">
        <f>Tabla33[[#This Row],[CANTIDAD ]]*Tabla33[[#This Row],[VALOR UNITARIO ]]</f>
        <v>0</v>
      </c>
      <c r="G285" s="238"/>
      <c r="H285" s="238"/>
      <c r="I285" s="238"/>
      <c r="J285" s="238"/>
      <c r="K285" s="284"/>
      <c r="L285" s="1"/>
    </row>
    <row r="286" spans="1:12" ht="120" x14ac:dyDescent="0.25">
      <c r="A286" s="170" t="s">
        <v>424</v>
      </c>
      <c r="B286" s="171" t="s">
        <v>425</v>
      </c>
      <c r="C286" s="83" t="s">
        <v>19</v>
      </c>
      <c r="D286" s="150">
        <v>4</v>
      </c>
      <c r="E286" s="150"/>
      <c r="F286" s="39">
        <f>Tabla33[[#This Row],[CANTIDAD ]]*Tabla33[[#This Row],[VALOR UNITARIO ]]</f>
        <v>0</v>
      </c>
      <c r="G286" s="238"/>
      <c r="H286" s="238"/>
      <c r="I286" s="238"/>
      <c r="J286" s="238"/>
      <c r="K286" s="284"/>
      <c r="L286" s="1"/>
    </row>
    <row r="287" spans="1:12" ht="252" x14ac:dyDescent="0.25">
      <c r="A287" s="170" t="s">
        <v>426</v>
      </c>
      <c r="B287" s="172" t="s">
        <v>427</v>
      </c>
      <c r="C287" s="17" t="s">
        <v>6</v>
      </c>
      <c r="D287" s="123">
        <v>1</v>
      </c>
      <c r="E287" s="123"/>
      <c r="F287" s="39">
        <f>Tabla33[[#This Row],[CANTIDAD ]]*Tabla33[[#This Row],[VALOR UNITARIO ]]</f>
        <v>0</v>
      </c>
      <c r="G287" s="238"/>
      <c r="H287" s="238"/>
      <c r="I287" s="238"/>
      <c r="J287" s="238"/>
      <c r="K287" s="284"/>
      <c r="L287" s="1"/>
    </row>
    <row r="288" spans="1:12" ht="36" x14ac:dyDescent="0.25">
      <c r="A288" s="143" t="s">
        <v>428</v>
      </c>
      <c r="B288" s="132" t="s">
        <v>429</v>
      </c>
      <c r="C288" s="151"/>
      <c r="D288" s="151"/>
      <c r="E288" s="151"/>
      <c r="F288" s="268"/>
      <c r="G288" s="238"/>
      <c r="H288" s="238"/>
      <c r="I288" s="238"/>
      <c r="J288" s="238"/>
      <c r="K288" s="284"/>
      <c r="L288" s="1"/>
    </row>
    <row r="289" spans="1:12" ht="228" x14ac:dyDescent="0.25">
      <c r="A289" s="20" t="s">
        <v>430</v>
      </c>
      <c r="B289" s="169" t="s">
        <v>431</v>
      </c>
      <c r="C289" s="13" t="s">
        <v>6</v>
      </c>
      <c r="D289" s="15">
        <v>37</v>
      </c>
      <c r="E289" s="15"/>
      <c r="F289" s="39">
        <f>Tabla33[[#This Row],[CANTIDAD ]]*Tabla33[[#This Row],[VALOR UNITARIO ]]</f>
        <v>0</v>
      </c>
      <c r="G289" s="238"/>
      <c r="H289" s="238"/>
      <c r="I289" s="238"/>
      <c r="J289" s="238"/>
      <c r="K289" s="284"/>
      <c r="L289" s="1"/>
    </row>
    <row r="290" spans="1:12" ht="252" x14ac:dyDescent="0.25">
      <c r="A290" s="45" t="s">
        <v>432</v>
      </c>
      <c r="B290" s="173" t="s">
        <v>433</v>
      </c>
      <c r="C290" s="17" t="s">
        <v>6</v>
      </c>
      <c r="D290" s="174">
        <v>2</v>
      </c>
      <c r="E290" s="123"/>
      <c r="F290" s="39">
        <f>Tabla33[[#This Row],[CANTIDAD ]]*Tabla33[[#This Row],[VALOR UNITARIO ]]</f>
        <v>0</v>
      </c>
      <c r="G290" s="238"/>
      <c r="H290" s="238"/>
      <c r="I290" s="238"/>
      <c r="J290" s="238"/>
      <c r="K290" s="284"/>
      <c r="L290" s="1"/>
    </row>
    <row r="291" spans="1:12" ht="228" x14ac:dyDescent="0.25">
      <c r="A291" s="20" t="s">
        <v>434</v>
      </c>
      <c r="B291" s="173" t="s">
        <v>435</v>
      </c>
      <c r="C291" s="17" t="s">
        <v>6</v>
      </c>
      <c r="D291" s="174">
        <v>1</v>
      </c>
      <c r="E291" s="123"/>
      <c r="F291" s="39">
        <f>Tabla33[[#This Row],[CANTIDAD ]]*Tabla33[[#This Row],[VALOR UNITARIO ]]</f>
        <v>0</v>
      </c>
      <c r="G291" s="238"/>
      <c r="H291" s="238"/>
      <c r="I291" s="238"/>
      <c r="J291" s="238"/>
      <c r="K291" s="284"/>
      <c r="L291" s="1"/>
    </row>
    <row r="292" spans="1:12" ht="240" x14ac:dyDescent="0.25">
      <c r="A292" s="45" t="s">
        <v>436</v>
      </c>
      <c r="B292" s="173" t="s">
        <v>437</v>
      </c>
      <c r="C292" s="17" t="s">
        <v>6</v>
      </c>
      <c r="D292" s="174">
        <v>15</v>
      </c>
      <c r="E292" s="123"/>
      <c r="F292" s="39">
        <f>Tabla33[[#This Row],[CANTIDAD ]]*Tabla33[[#This Row],[VALOR UNITARIO ]]</f>
        <v>0</v>
      </c>
      <c r="G292" s="238"/>
      <c r="H292" s="238"/>
      <c r="I292" s="238"/>
      <c r="J292" s="238"/>
      <c r="K292" s="284"/>
      <c r="L292" s="1"/>
    </row>
    <row r="293" spans="1:12" ht="228" x14ac:dyDescent="0.25">
      <c r="A293" s="20" t="s">
        <v>438</v>
      </c>
      <c r="B293" s="169" t="s">
        <v>439</v>
      </c>
      <c r="C293" s="17" t="s">
        <v>6</v>
      </c>
      <c r="D293" s="174">
        <v>7</v>
      </c>
      <c r="E293" s="123"/>
      <c r="F293" s="39">
        <f>Tabla33[[#This Row],[CANTIDAD ]]*Tabla33[[#This Row],[VALOR UNITARIO ]]</f>
        <v>0</v>
      </c>
      <c r="G293" s="238"/>
      <c r="H293" s="238"/>
      <c r="I293" s="238"/>
      <c r="J293" s="238"/>
      <c r="K293" s="284"/>
      <c r="L293" s="1"/>
    </row>
    <row r="294" spans="1:12" ht="84" x14ac:dyDescent="0.25">
      <c r="A294" s="20" t="s">
        <v>440</v>
      </c>
      <c r="B294" s="24" t="s">
        <v>441</v>
      </c>
      <c r="C294" s="22" t="s">
        <v>6</v>
      </c>
      <c r="D294" s="175">
        <v>5</v>
      </c>
      <c r="E294" s="150"/>
      <c r="F294" s="39">
        <f>Tabla33[[#This Row],[CANTIDAD ]]*Tabla33[[#This Row],[VALOR UNITARIO ]]</f>
        <v>0</v>
      </c>
      <c r="G294" s="238"/>
      <c r="H294" s="238"/>
      <c r="I294" s="238"/>
      <c r="J294" s="238"/>
      <c r="K294" s="284"/>
      <c r="L294" s="1"/>
    </row>
    <row r="295" spans="1:12" ht="204" x14ac:dyDescent="0.25">
      <c r="A295" s="20" t="s">
        <v>442</v>
      </c>
      <c r="B295" s="176" t="s">
        <v>443</v>
      </c>
      <c r="C295" s="83" t="s">
        <v>6</v>
      </c>
      <c r="D295" s="175">
        <v>5</v>
      </c>
      <c r="E295" s="310"/>
      <c r="F295" s="39">
        <f>Tabla33[[#This Row],[CANTIDAD ]]*Tabla33[[#This Row],[VALOR UNITARIO ]]</f>
        <v>0</v>
      </c>
      <c r="G295" s="238"/>
      <c r="H295" s="238"/>
      <c r="I295" s="238"/>
      <c r="J295" s="238"/>
      <c r="K295" s="284"/>
      <c r="L295" s="1"/>
    </row>
    <row r="296" spans="1:12" x14ac:dyDescent="0.25">
      <c r="A296" s="118" t="s">
        <v>444</v>
      </c>
      <c r="B296" s="115" t="s">
        <v>234</v>
      </c>
      <c r="C296" s="79"/>
      <c r="D296" s="177"/>
      <c r="E296" s="119"/>
      <c r="F296" s="268"/>
      <c r="G296" s="238"/>
      <c r="H296" s="238"/>
      <c r="I296" s="238"/>
      <c r="J296" s="238"/>
      <c r="K296" s="284"/>
      <c r="L296" s="1"/>
    </row>
    <row r="297" spans="1:12" ht="60" x14ac:dyDescent="0.25">
      <c r="A297" s="117" t="s">
        <v>445</v>
      </c>
      <c r="B297" s="87" t="s">
        <v>84</v>
      </c>
      <c r="C297" s="75" t="s">
        <v>19</v>
      </c>
      <c r="D297" s="178">
        <v>426</v>
      </c>
      <c r="E297" s="263">
        <f>ROUND(6305*1.0928,0)</f>
        <v>6890</v>
      </c>
      <c r="F297" s="39">
        <f>Tabla33[[#This Row],[CANTIDAD ]]*Tabla33[[#This Row],[VALOR UNITARIO ]]</f>
        <v>2935140</v>
      </c>
      <c r="G297" s="238"/>
      <c r="H297" s="238"/>
      <c r="I297" s="238"/>
      <c r="J297" s="238"/>
      <c r="K297" s="284" t="s">
        <v>791</v>
      </c>
      <c r="L297" s="1"/>
    </row>
    <row r="298" spans="1:12" ht="180" x14ac:dyDescent="0.25">
      <c r="A298" s="179" t="s">
        <v>446</v>
      </c>
      <c r="B298" s="46" t="s">
        <v>86</v>
      </c>
      <c r="C298" s="45" t="s">
        <v>19</v>
      </c>
      <c r="D298" s="178">
        <v>355</v>
      </c>
      <c r="E298" s="263">
        <f>ROUND(39910*1.0928,0)</f>
        <v>43614</v>
      </c>
      <c r="F298" s="39">
        <f>Tabla33[[#This Row],[CANTIDAD ]]*Tabla33[[#This Row],[VALOR UNITARIO ]]</f>
        <v>15482970</v>
      </c>
      <c r="G298" s="238"/>
      <c r="H298" s="238"/>
      <c r="I298" s="238"/>
      <c r="J298" s="238"/>
      <c r="K298" s="284" t="s">
        <v>791</v>
      </c>
      <c r="L298" s="1"/>
    </row>
    <row r="299" spans="1:12" ht="48" x14ac:dyDescent="0.25">
      <c r="A299" s="179" t="s">
        <v>447</v>
      </c>
      <c r="B299" s="46" t="s">
        <v>88</v>
      </c>
      <c r="C299" s="45" t="s">
        <v>19</v>
      </c>
      <c r="D299" s="178">
        <v>568</v>
      </c>
      <c r="E299" s="263">
        <f>ROUND(22520*1.0928,0)</f>
        <v>24610</v>
      </c>
      <c r="F299" s="39">
        <f>Tabla33[[#This Row],[CANTIDAD ]]*Tabla33[[#This Row],[VALOR UNITARIO ]]</f>
        <v>13978480</v>
      </c>
      <c r="G299" s="238"/>
      <c r="H299" s="238"/>
      <c r="I299" s="238"/>
      <c r="J299" s="238"/>
      <c r="K299" s="284" t="s">
        <v>791</v>
      </c>
      <c r="L299" s="1"/>
    </row>
    <row r="300" spans="1:12" ht="48" x14ac:dyDescent="0.25">
      <c r="A300" s="179" t="s">
        <v>448</v>
      </c>
      <c r="B300" s="40" t="s">
        <v>90</v>
      </c>
      <c r="C300" s="45" t="s">
        <v>19</v>
      </c>
      <c r="D300" s="178">
        <v>710</v>
      </c>
      <c r="E300" s="180"/>
      <c r="F300" s="39">
        <f>Tabla33[[#This Row],[CANTIDAD ]]*Tabla33[[#This Row],[VALOR UNITARIO ]]</f>
        <v>0</v>
      </c>
      <c r="G300" s="238"/>
      <c r="H300" s="238"/>
      <c r="I300" s="238"/>
      <c r="J300" s="238"/>
      <c r="K300" s="284"/>
      <c r="L300" s="1"/>
    </row>
    <row r="301" spans="1:12" ht="48" x14ac:dyDescent="0.25">
      <c r="A301" s="179" t="s">
        <v>449</v>
      </c>
      <c r="B301" s="46" t="s">
        <v>92</v>
      </c>
      <c r="C301" s="45" t="s">
        <v>19</v>
      </c>
      <c r="D301" s="178">
        <v>497</v>
      </c>
      <c r="E301" s="263">
        <f>ROUND(15561*1.0928,0)</f>
        <v>17005</v>
      </c>
      <c r="F301" s="39">
        <f>Tabla33[[#This Row],[CANTIDAD ]]*Tabla33[[#This Row],[VALOR UNITARIO ]]</f>
        <v>8451485</v>
      </c>
      <c r="G301" s="238"/>
      <c r="H301" s="238"/>
      <c r="I301" s="238"/>
      <c r="J301" s="238"/>
      <c r="K301" s="284" t="s">
        <v>791</v>
      </c>
      <c r="L301" s="1"/>
    </row>
    <row r="302" spans="1:12" ht="48" x14ac:dyDescent="0.25">
      <c r="A302" s="179" t="s">
        <v>450</v>
      </c>
      <c r="B302" s="40" t="s">
        <v>94</v>
      </c>
      <c r="C302" s="45" t="s">
        <v>19</v>
      </c>
      <c r="D302" s="178">
        <v>474</v>
      </c>
      <c r="E302" s="180"/>
      <c r="F302" s="39">
        <f>Tabla33[[#This Row],[CANTIDAD ]]*Tabla33[[#This Row],[VALOR UNITARIO ]]</f>
        <v>0</v>
      </c>
      <c r="G302" s="238"/>
      <c r="H302" s="238"/>
      <c r="I302" s="238"/>
      <c r="J302" s="238"/>
      <c r="K302" s="284"/>
      <c r="L302" s="1"/>
    </row>
    <row r="303" spans="1:12" ht="60" x14ac:dyDescent="0.25">
      <c r="A303" s="45" t="s">
        <v>451</v>
      </c>
      <c r="B303" s="40" t="s">
        <v>84</v>
      </c>
      <c r="C303" s="45" t="s">
        <v>14</v>
      </c>
      <c r="D303" s="178">
        <v>281</v>
      </c>
      <c r="E303" s="180"/>
      <c r="F303" s="39">
        <f>Tabla33[[#This Row],[CANTIDAD ]]*Tabla33[[#This Row],[VALOR UNITARIO ]]</f>
        <v>0</v>
      </c>
      <c r="G303" s="238"/>
      <c r="H303" s="238"/>
      <c r="I303" s="238"/>
      <c r="J303" s="238"/>
      <c r="K303" s="284"/>
      <c r="L303" s="1"/>
    </row>
    <row r="304" spans="1:12" ht="180" x14ac:dyDescent="0.25">
      <c r="A304" s="45" t="s">
        <v>452</v>
      </c>
      <c r="B304" s="46" t="s">
        <v>86</v>
      </c>
      <c r="C304" s="45" t="s">
        <v>14</v>
      </c>
      <c r="D304" s="178">
        <v>281</v>
      </c>
      <c r="E304" s="180"/>
      <c r="F304" s="39">
        <f>Tabla33[[#This Row],[CANTIDAD ]]*Tabla33[[#This Row],[VALOR UNITARIO ]]</f>
        <v>0</v>
      </c>
      <c r="G304" s="238"/>
      <c r="H304" s="238"/>
      <c r="I304" s="238"/>
      <c r="J304" s="238"/>
      <c r="K304" s="284"/>
      <c r="L304" s="1"/>
    </row>
    <row r="305" spans="1:12" ht="48" x14ac:dyDescent="0.25">
      <c r="A305" s="45" t="s">
        <v>453</v>
      </c>
      <c r="B305" s="46" t="s">
        <v>88</v>
      </c>
      <c r="C305" s="45" t="s">
        <v>14</v>
      </c>
      <c r="D305" s="178">
        <v>351</v>
      </c>
      <c r="E305" s="296">
        <f>ROUND(12295*1.0928,0)</f>
        <v>13436</v>
      </c>
      <c r="F305" s="39">
        <f>Tabla33[[#This Row],[CANTIDAD ]]*Tabla33[[#This Row],[VALOR UNITARIO ]]</f>
        <v>4716036</v>
      </c>
      <c r="G305" s="238"/>
      <c r="H305" s="238"/>
      <c r="I305" s="238"/>
      <c r="J305" s="238"/>
      <c r="K305" s="284" t="s">
        <v>791</v>
      </c>
      <c r="L305" s="1"/>
    </row>
    <row r="306" spans="1:12" ht="48" x14ac:dyDescent="0.25">
      <c r="A306" s="45" t="s">
        <v>454</v>
      </c>
      <c r="B306" s="46" t="s">
        <v>90</v>
      </c>
      <c r="C306" s="45" t="s">
        <v>14</v>
      </c>
      <c r="D306" s="178">
        <v>351</v>
      </c>
      <c r="E306" s="180"/>
      <c r="F306" s="39">
        <f>Tabla33[[#This Row],[CANTIDAD ]]*Tabla33[[#This Row],[VALOR UNITARIO ]]</f>
        <v>0</v>
      </c>
      <c r="G306" s="238"/>
      <c r="H306" s="238"/>
      <c r="I306" s="238"/>
      <c r="J306" s="238"/>
      <c r="K306" s="284"/>
      <c r="L306" s="1"/>
    </row>
    <row r="307" spans="1:12" ht="48" x14ac:dyDescent="0.25">
      <c r="A307" s="45" t="s">
        <v>455</v>
      </c>
      <c r="B307" s="66" t="s">
        <v>92</v>
      </c>
      <c r="C307" s="67" t="s">
        <v>14</v>
      </c>
      <c r="D307" s="181">
        <v>351</v>
      </c>
      <c r="E307" s="310"/>
      <c r="F307" s="39">
        <f>Tabla33[[#This Row],[CANTIDAD ]]*Tabla33[[#This Row],[VALOR UNITARIO ]]</f>
        <v>0</v>
      </c>
      <c r="G307" s="238"/>
      <c r="H307" s="238"/>
      <c r="I307" s="238"/>
      <c r="J307" s="238"/>
      <c r="K307" s="284"/>
      <c r="L307" s="1"/>
    </row>
    <row r="308" spans="1:12" x14ac:dyDescent="0.25">
      <c r="A308" s="182" t="s">
        <v>456</v>
      </c>
      <c r="B308" s="115" t="s">
        <v>457</v>
      </c>
      <c r="C308" s="79"/>
      <c r="D308" s="177"/>
      <c r="E308" s="119"/>
      <c r="F308" s="268"/>
      <c r="G308" s="238"/>
      <c r="H308" s="238"/>
      <c r="I308" s="238"/>
      <c r="J308" s="238"/>
      <c r="K308" s="284"/>
      <c r="L308" s="1"/>
    </row>
    <row r="309" spans="1:12" ht="132" x14ac:dyDescent="0.25">
      <c r="A309" s="179" t="s">
        <v>458</v>
      </c>
      <c r="B309" s="46" t="s">
        <v>459</v>
      </c>
      <c r="C309" s="17" t="s">
        <v>6</v>
      </c>
      <c r="D309" s="174">
        <v>4</v>
      </c>
      <c r="E309" s="180"/>
      <c r="F309" s="18">
        <f>Tabla33[[#This Row],[CANTIDAD ]]*Tabla33[[#This Row],[VALOR UNITARIO ]]</f>
        <v>0</v>
      </c>
      <c r="G309" s="238"/>
      <c r="H309" s="238"/>
      <c r="I309" s="238"/>
      <c r="J309" s="238"/>
      <c r="K309" s="284"/>
      <c r="L309" s="1"/>
    </row>
    <row r="310" spans="1:12" ht="96" x14ac:dyDescent="0.25">
      <c r="A310" s="179" t="s">
        <v>460</v>
      </c>
      <c r="B310" s="82" t="s">
        <v>461</v>
      </c>
      <c r="C310" s="17" t="s">
        <v>6</v>
      </c>
      <c r="D310" s="174">
        <v>1</v>
      </c>
      <c r="E310" s="180"/>
      <c r="F310" s="18">
        <f>Tabla33[[#This Row],[CANTIDAD ]]*Tabla33[[#This Row],[VALOR UNITARIO ]]</f>
        <v>0</v>
      </c>
      <c r="G310" s="238"/>
      <c r="H310" s="238"/>
      <c r="I310" s="238"/>
      <c r="J310" s="238"/>
      <c r="K310" s="284"/>
      <c r="L310" s="1"/>
    </row>
    <row r="311" spans="1:12" ht="48" x14ac:dyDescent="0.25">
      <c r="A311" s="20" t="s">
        <v>462</v>
      </c>
      <c r="B311" s="46" t="s">
        <v>463</v>
      </c>
      <c r="C311" s="17" t="s">
        <v>150</v>
      </c>
      <c r="D311" s="174">
        <v>25</v>
      </c>
      <c r="E311" s="180"/>
      <c r="F311" s="18">
        <f>Tabla33[[#This Row],[CANTIDAD ]]*Tabla33[[#This Row],[VALOR UNITARIO ]]</f>
        <v>0</v>
      </c>
      <c r="G311" s="238"/>
      <c r="H311" s="238"/>
      <c r="I311" s="238"/>
      <c r="J311" s="238"/>
      <c r="K311" s="284"/>
      <c r="L311" s="1"/>
    </row>
    <row r="312" spans="1:12" ht="48" x14ac:dyDescent="0.25">
      <c r="A312" s="20" t="s">
        <v>464</v>
      </c>
      <c r="B312" s="46" t="s">
        <v>465</v>
      </c>
      <c r="C312" s="17" t="s">
        <v>14</v>
      </c>
      <c r="D312" s="174">
        <v>16</v>
      </c>
      <c r="E312" s="180"/>
      <c r="F312" s="18">
        <f>Tabla33[[#This Row],[CANTIDAD ]]*Tabla33[[#This Row],[VALOR UNITARIO ]]</f>
        <v>0</v>
      </c>
      <c r="G312" s="238"/>
      <c r="H312" s="238"/>
      <c r="I312" s="238"/>
      <c r="J312" s="238"/>
      <c r="K312" s="284"/>
      <c r="L312" s="1"/>
    </row>
    <row r="313" spans="1:12" ht="48" x14ac:dyDescent="0.25">
      <c r="A313" s="20" t="s">
        <v>466</v>
      </c>
      <c r="B313" s="122" t="s">
        <v>467</v>
      </c>
      <c r="C313" s="17" t="s">
        <v>14</v>
      </c>
      <c r="D313" s="174">
        <v>16</v>
      </c>
      <c r="E313" s="263">
        <f>ROUND(12246*1.0298,0)</f>
        <v>12611</v>
      </c>
      <c r="F313" s="18">
        <f>Tabla33[[#This Row],[CANTIDAD ]]*Tabla33[[#This Row],[VALOR UNITARIO ]]</f>
        <v>201776</v>
      </c>
      <c r="G313" s="238"/>
      <c r="H313" s="238"/>
      <c r="I313" s="238"/>
      <c r="J313" s="238"/>
      <c r="K313" s="284" t="s">
        <v>791</v>
      </c>
      <c r="L313" s="1"/>
    </row>
    <row r="314" spans="1:12" ht="36" x14ac:dyDescent="0.25">
      <c r="A314" s="20" t="s">
        <v>468</v>
      </c>
      <c r="B314" s="24" t="s">
        <v>469</v>
      </c>
      <c r="C314" s="22" t="s">
        <v>6</v>
      </c>
      <c r="D314" s="178">
        <v>4</v>
      </c>
      <c r="E314" s="311"/>
      <c r="F314" s="18">
        <f>Tabla33[[#This Row],[CANTIDAD ]]*Tabla33[[#This Row],[VALOR UNITARIO ]]</f>
        <v>0</v>
      </c>
      <c r="G314" s="238"/>
      <c r="H314" s="238"/>
      <c r="I314" s="238"/>
      <c r="J314" s="238"/>
      <c r="K314" s="284"/>
      <c r="L314" s="1"/>
    </row>
    <row r="315" spans="1:12" ht="48" x14ac:dyDescent="0.25">
      <c r="A315" s="20" t="s">
        <v>470</v>
      </c>
      <c r="B315" s="12" t="s">
        <v>471</v>
      </c>
      <c r="C315" s="13" t="s">
        <v>14</v>
      </c>
      <c r="D315" s="178">
        <v>50</v>
      </c>
      <c r="E315" s="311"/>
      <c r="F315" s="18">
        <f>Tabla33[[#This Row],[CANTIDAD ]]*Tabla33[[#This Row],[VALOR UNITARIO ]]</f>
        <v>0</v>
      </c>
      <c r="G315" s="238"/>
      <c r="H315" s="238"/>
      <c r="I315" s="238"/>
      <c r="J315" s="238"/>
      <c r="K315" s="284"/>
      <c r="L315" s="1"/>
    </row>
    <row r="316" spans="1:12" ht="36" x14ac:dyDescent="0.25">
      <c r="A316" s="20" t="s">
        <v>472</v>
      </c>
      <c r="B316" s="12" t="s">
        <v>473</v>
      </c>
      <c r="C316" s="13" t="s">
        <v>474</v>
      </c>
      <c r="D316" s="178">
        <v>25</v>
      </c>
      <c r="E316" s="311"/>
      <c r="F316" s="18">
        <f>Tabla33[[#This Row],[CANTIDAD ]]*Tabla33[[#This Row],[VALOR UNITARIO ]]</f>
        <v>0</v>
      </c>
      <c r="G316" s="238"/>
      <c r="H316" s="238"/>
      <c r="I316" s="238"/>
      <c r="J316" s="238"/>
      <c r="K316" s="284"/>
      <c r="L316" s="1"/>
    </row>
    <row r="317" spans="1:12" ht="156" x14ac:dyDescent="0.25">
      <c r="A317" s="20" t="s">
        <v>475</v>
      </c>
      <c r="B317" s="63" t="s">
        <v>476</v>
      </c>
      <c r="C317" s="17" t="s">
        <v>14</v>
      </c>
      <c r="D317" s="178">
        <v>30</v>
      </c>
      <c r="E317" s="263">
        <f>ROUND(42270*1.0928,0)</f>
        <v>46193</v>
      </c>
      <c r="F317" s="18">
        <f>Tabla33[[#This Row],[CANTIDAD ]]*Tabla33[[#This Row],[VALOR UNITARIO ]]</f>
        <v>1385790</v>
      </c>
      <c r="G317" s="238"/>
      <c r="H317" s="238"/>
      <c r="I317" s="238"/>
      <c r="J317" s="238"/>
      <c r="K317" s="284" t="s">
        <v>791</v>
      </c>
      <c r="L317" s="1"/>
    </row>
    <row r="318" spans="1:12" ht="156" x14ac:dyDescent="0.25">
      <c r="A318" s="20" t="s">
        <v>477</v>
      </c>
      <c r="B318" s="63" t="s">
        <v>478</v>
      </c>
      <c r="C318" s="17" t="s">
        <v>14</v>
      </c>
      <c r="D318" s="178">
        <v>25</v>
      </c>
      <c r="E318" s="180"/>
      <c r="F318" s="18">
        <f>Tabla33[[#This Row],[CANTIDAD ]]*Tabla33[[#This Row],[VALOR UNITARIO ]]</f>
        <v>0</v>
      </c>
      <c r="G318" s="238"/>
      <c r="H318" s="238"/>
      <c r="I318" s="238"/>
      <c r="J318" s="238"/>
      <c r="K318" s="284"/>
      <c r="L318" s="1"/>
    </row>
    <row r="319" spans="1:12" ht="132" x14ac:dyDescent="0.25">
      <c r="A319" s="20" t="s">
        <v>479</v>
      </c>
      <c r="B319" s="63" t="s">
        <v>480</v>
      </c>
      <c r="C319" s="17" t="s">
        <v>6</v>
      </c>
      <c r="D319" s="178">
        <v>5</v>
      </c>
      <c r="E319" s="263">
        <v>162835</v>
      </c>
      <c r="F319" s="18">
        <f>Tabla33[[#This Row],[CANTIDAD ]]*Tabla33[[#This Row],[VALOR UNITARIO ]]</f>
        <v>814175</v>
      </c>
      <c r="G319" s="238"/>
      <c r="H319" s="238"/>
      <c r="I319" s="238"/>
      <c r="J319" s="238"/>
      <c r="K319" s="284" t="s">
        <v>791</v>
      </c>
      <c r="L319" s="1"/>
    </row>
    <row r="320" spans="1:12" ht="48" x14ac:dyDescent="0.25">
      <c r="A320" s="20" t="s">
        <v>481</v>
      </c>
      <c r="B320" s="74" t="s">
        <v>482</v>
      </c>
      <c r="C320" s="75" t="s">
        <v>150</v>
      </c>
      <c r="D320" s="178">
        <v>2</v>
      </c>
      <c r="E320" s="180"/>
      <c r="F320" s="18">
        <f>Tabla33[[#This Row],[CANTIDAD ]]*Tabla33[[#This Row],[VALOR UNITARIO ]]</f>
        <v>0</v>
      </c>
      <c r="G320" s="238"/>
      <c r="H320" s="238"/>
      <c r="I320" s="238"/>
      <c r="J320" s="238"/>
      <c r="K320" s="284"/>
      <c r="L320" s="1"/>
    </row>
    <row r="321" spans="1:12" ht="168" x14ac:dyDescent="0.25">
      <c r="A321" s="20" t="s">
        <v>483</v>
      </c>
      <c r="B321" s="63" t="s">
        <v>484</v>
      </c>
      <c r="C321" s="83" t="s">
        <v>14</v>
      </c>
      <c r="D321" s="181">
        <v>15</v>
      </c>
      <c r="E321" s="310"/>
      <c r="F321" s="18">
        <f>Tabla33[[#This Row],[CANTIDAD ]]*Tabla33[[#This Row],[VALOR UNITARIO ]]</f>
        <v>0</v>
      </c>
      <c r="G321" s="238"/>
      <c r="H321" s="238"/>
      <c r="I321" s="238"/>
      <c r="J321" s="238"/>
      <c r="K321" s="284"/>
      <c r="L321" s="1"/>
    </row>
    <row r="322" spans="1:12" ht="156" x14ac:dyDescent="0.25">
      <c r="A322" s="20" t="s">
        <v>485</v>
      </c>
      <c r="B322" s="63" t="s">
        <v>486</v>
      </c>
      <c r="C322" s="17" t="s">
        <v>14</v>
      </c>
      <c r="D322" s="174">
        <v>15</v>
      </c>
      <c r="E322" s="180"/>
      <c r="F322" s="18">
        <f>Tabla33[[#This Row],[CANTIDAD ]]*Tabla33[[#This Row],[VALOR UNITARIO ]]</f>
        <v>0</v>
      </c>
      <c r="G322" s="238"/>
      <c r="H322" s="238"/>
      <c r="I322" s="238"/>
      <c r="J322" s="238"/>
      <c r="K322" s="284"/>
      <c r="L322" s="1"/>
    </row>
    <row r="323" spans="1:12" ht="132" x14ac:dyDescent="0.25">
      <c r="A323" s="20" t="s">
        <v>487</v>
      </c>
      <c r="B323" s="63" t="s">
        <v>488</v>
      </c>
      <c r="C323" s="83" t="s">
        <v>6</v>
      </c>
      <c r="D323" s="175">
        <v>2</v>
      </c>
      <c r="E323" s="310"/>
      <c r="F323" s="18">
        <f>Tabla33[[#This Row],[CANTIDAD ]]*Tabla33[[#This Row],[VALOR UNITARIO ]]</f>
        <v>0</v>
      </c>
      <c r="G323" s="238"/>
      <c r="H323" s="238"/>
      <c r="I323" s="238"/>
      <c r="J323" s="238"/>
      <c r="K323" s="284"/>
      <c r="L323" s="1"/>
    </row>
    <row r="324" spans="1:12" ht="60" x14ac:dyDescent="0.25">
      <c r="A324" s="20" t="s">
        <v>489</v>
      </c>
      <c r="B324" s="122" t="s">
        <v>490</v>
      </c>
      <c r="C324" s="17" t="s">
        <v>14</v>
      </c>
      <c r="D324" s="174">
        <v>1</v>
      </c>
      <c r="E324" s="183"/>
      <c r="F324" s="18">
        <f>Tabla33[[#This Row],[CANTIDAD ]]*Tabla33[[#This Row],[VALOR UNITARIO ]]</f>
        <v>0</v>
      </c>
      <c r="G324" s="238"/>
      <c r="H324" s="238"/>
      <c r="I324" s="238"/>
      <c r="J324" s="238"/>
      <c r="K324" s="284"/>
      <c r="L324" s="1"/>
    </row>
    <row r="325" spans="1:12" ht="60" x14ac:dyDescent="0.25">
      <c r="A325" s="20" t="s">
        <v>491</v>
      </c>
      <c r="B325" s="63" t="s">
        <v>492</v>
      </c>
      <c r="C325" s="17" t="s">
        <v>14</v>
      </c>
      <c r="D325" s="174">
        <v>25</v>
      </c>
      <c r="E325" s="180"/>
      <c r="F325" s="18">
        <f>Tabla33[[#This Row],[CANTIDAD ]]*Tabla33[[#This Row],[VALOR UNITARIO ]]</f>
        <v>0</v>
      </c>
      <c r="G325" s="238"/>
      <c r="H325" s="238"/>
      <c r="I325" s="238"/>
      <c r="J325" s="238"/>
      <c r="K325" s="284"/>
      <c r="L325" s="1"/>
    </row>
    <row r="326" spans="1:12" ht="60" x14ac:dyDescent="0.25">
      <c r="A326" s="20" t="s">
        <v>493</v>
      </c>
      <c r="B326" s="122" t="s">
        <v>494</v>
      </c>
      <c r="C326" s="17" t="s">
        <v>6</v>
      </c>
      <c r="D326" s="174">
        <v>1</v>
      </c>
      <c r="E326" s="180"/>
      <c r="F326" s="18">
        <f>Tabla33[[#This Row],[CANTIDAD ]]*Tabla33[[#This Row],[VALOR UNITARIO ]]</f>
        <v>0</v>
      </c>
      <c r="G326" s="238"/>
      <c r="H326" s="238"/>
      <c r="I326" s="238"/>
      <c r="J326" s="238"/>
      <c r="K326" s="284"/>
      <c r="L326" s="1"/>
    </row>
    <row r="327" spans="1:12" x14ac:dyDescent="0.25">
      <c r="A327" s="184"/>
      <c r="B327" s="185" t="s">
        <v>294</v>
      </c>
      <c r="C327" s="177"/>
      <c r="D327" s="177"/>
      <c r="E327" s="119"/>
      <c r="F327" s="268"/>
      <c r="G327" s="238"/>
      <c r="H327" s="238"/>
      <c r="I327" s="238"/>
      <c r="J327" s="238"/>
      <c r="K327" s="284"/>
      <c r="L327" s="1"/>
    </row>
    <row r="328" spans="1:12" ht="72" x14ac:dyDescent="0.25">
      <c r="A328" s="186" t="s">
        <v>495</v>
      </c>
      <c r="B328" s="12" t="s">
        <v>264</v>
      </c>
      <c r="C328" s="13" t="s">
        <v>19</v>
      </c>
      <c r="D328" s="178">
        <v>616</v>
      </c>
      <c r="E328" s="312"/>
      <c r="F328" s="18">
        <f>Tabla33[[#This Row],[CANTIDAD ]]*Tabla33[[#This Row],[VALOR UNITARIO ]]</f>
        <v>0</v>
      </c>
      <c r="G328" s="238"/>
      <c r="H328" s="238"/>
      <c r="I328" s="238"/>
      <c r="J328" s="238"/>
      <c r="K328" s="284"/>
      <c r="L328" s="1"/>
    </row>
    <row r="329" spans="1:12" ht="24" x14ac:dyDescent="0.25">
      <c r="A329" s="186" t="s">
        <v>496</v>
      </c>
      <c r="B329" s="63" t="s">
        <v>195</v>
      </c>
      <c r="C329" s="17" t="s">
        <v>19</v>
      </c>
      <c r="D329" s="174">
        <v>816</v>
      </c>
      <c r="E329" s="263">
        <f>ROUND(4850*1.0928,0)</f>
        <v>5300</v>
      </c>
      <c r="F329" s="18">
        <f>Tabla33[[#This Row],[CANTIDAD ]]*Tabla33[[#This Row],[VALOR UNITARIO ]]</f>
        <v>4324800</v>
      </c>
      <c r="G329" s="238"/>
      <c r="H329" s="238"/>
      <c r="I329" s="238"/>
      <c r="J329" s="238"/>
      <c r="K329" s="284" t="s">
        <v>791</v>
      </c>
      <c r="L329" s="1"/>
    </row>
    <row r="330" spans="1:12" ht="72" x14ac:dyDescent="0.25">
      <c r="A330" s="186" t="s">
        <v>497</v>
      </c>
      <c r="B330" s="82" t="s">
        <v>498</v>
      </c>
      <c r="C330" s="22" t="s">
        <v>14</v>
      </c>
      <c r="D330" s="174">
        <v>167</v>
      </c>
      <c r="E330" s="180"/>
      <c r="F330" s="18">
        <f>Tabla33[[#This Row],[CANTIDAD ]]*Tabla33[[#This Row],[VALOR UNITARIO ]]</f>
        <v>0</v>
      </c>
      <c r="G330" s="238"/>
      <c r="H330" s="238"/>
      <c r="I330" s="238"/>
      <c r="J330" s="238"/>
      <c r="K330" s="284"/>
      <c r="L330" s="1"/>
    </row>
    <row r="331" spans="1:12" ht="156" x14ac:dyDescent="0.25">
      <c r="A331" s="186" t="s">
        <v>499</v>
      </c>
      <c r="B331" s="90" t="s">
        <v>500</v>
      </c>
      <c r="C331" s="22" t="s">
        <v>501</v>
      </c>
      <c r="D331" s="174">
        <v>1</v>
      </c>
      <c r="E331" s="180"/>
      <c r="F331" s="18">
        <f>Tabla33[[#This Row],[CANTIDAD ]]*Tabla33[[#This Row],[VALOR UNITARIO ]]</f>
        <v>0</v>
      </c>
      <c r="G331" s="238"/>
      <c r="H331" s="238"/>
      <c r="I331" s="238"/>
      <c r="J331" s="238"/>
      <c r="K331" s="284"/>
      <c r="L331" s="1"/>
    </row>
    <row r="332" spans="1:12" ht="60" x14ac:dyDescent="0.25">
      <c r="A332" s="186" t="s">
        <v>502</v>
      </c>
      <c r="B332" s="90" t="s">
        <v>503</v>
      </c>
      <c r="C332" s="35" t="s">
        <v>19</v>
      </c>
      <c r="D332" s="174">
        <v>110</v>
      </c>
      <c r="E332" s="180"/>
      <c r="F332" s="18">
        <f>Tabla33[[#This Row],[CANTIDAD ]]*Tabla33[[#This Row],[VALOR UNITARIO ]]</f>
        <v>0</v>
      </c>
      <c r="G332" s="238"/>
      <c r="H332" s="238"/>
      <c r="I332" s="238"/>
      <c r="J332" s="238"/>
      <c r="K332" s="284"/>
      <c r="L332" s="1"/>
    </row>
    <row r="333" spans="1:12" ht="84" x14ac:dyDescent="0.25">
      <c r="A333" s="186" t="s">
        <v>504</v>
      </c>
      <c r="B333" s="63" t="s">
        <v>505</v>
      </c>
      <c r="C333" s="22" t="s">
        <v>6</v>
      </c>
      <c r="D333" s="174">
        <v>36</v>
      </c>
      <c r="E333" s="180"/>
      <c r="F333" s="18">
        <f>Tabla33[[#This Row],[CANTIDAD ]]*Tabla33[[#This Row],[VALOR UNITARIO ]]</f>
        <v>0</v>
      </c>
      <c r="G333" s="238"/>
      <c r="H333" s="238"/>
      <c r="I333" s="238"/>
      <c r="J333" s="238"/>
      <c r="K333" s="284"/>
      <c r="L333" s="1"/>
    </row>
    <row r="334" spans="1:12" ht="156" x14ac:dyDescent="0.25">
      <c r="A334" s="186" t="s">
        <v>506</v>
      </c>
      <c r="B334" s="63" t="s">
        <v>507</v>
      </c>
      <c r="C334" s="22" t="s">
        <v>6</v>
      </c>
      <c r="D334" s="174">
        <v>36</v>
      </c>
      <c r="E334" s="180"/>
      <c r="F334" s="18">
        <f>Tabla33[[#This Row],[CANTIDAD ]]*Tabla33[[#This Row],[VALOR UNITARIO ]]</f>
        <v>0</v>
      </c>
      <c r="G334" s="238"/>
      <c r="H334" s="238"/>
      <c r="I334" s="238"/>
      <c r="J334" s="238"/>
      <c r="K334" s="284"/>
      <c r="L334" s="1"/>
    </row>
    <row r="335" spans="1:12" ht="72" x14ac:dyDescent="0.25">
      <c r="A335" s="186" t="s">
        <v>508</v>
      </c>
      <c r="B335" s="63" t="s">
        <v>173</v>
      </c>
      <c r="C335" s="22" t="s">
        <v>14</v>
      </c>
      <c r="D335" s="174">
        <v>172</v>
      </c>
      <c r="E335" s="263">
        <f>ROUND(24172*1.0928,0)</f>
        <v>26415</v>
      </c>
      <c r="F335" s="18">
        <f>Tabla33[[#This Row],[CANTIDAD ]]*Tabla33[[#This Row],[VALOR UNITARIO ]]</f>
        <v>4543380</v>
      </c>
      <c r="G335" s="238"/>
      <c r="H335" s="238"/>
      <c r="I335" s="238"/>
      <c r="J335" s="238"/>
      <c r="K335" s="284" t="s">
        <v>791</v>
      </c>
      <c r="L335" s="1"/>
    </row>
    <row r="336" spans="1:12" ht="108" x14ac:dyDescent="0.25">
      <c r="A336" s="186" t="s">
        <v>509</v>
      </c>
      <c r="B336" s="146" t="s">
        <v>23</v>
      </c>
      <c r="C336" s="17" t="s">
        <v>19</v>
      </c>
      <c r="D336" s="174">
        <v>97</v>
      </c>
      <c r="E336" s="290">
        <f>ROUND(26675*1.0928,0)</f>
        <v>29150</v>
      </c>
      <c r="F336" s="18">
        <f>Tabla33[[#This Row],[CANTIDAD ]]*Tabla33[[#This Row],[VALOR UNITARIO ]]</f>
        <v>2827550</v>
      </c>
      <c r="G336" s="238"/>
      <c r="H336" s="238"/>
      <c r="I336" s="238"/>
      <c r="J336" s="238"/>
      <c r="K336" s="284" t="s">
        <v>791</v>
      </c>
      <c r="L336" s="1"/>
    </row>
    <row r="337" spans="1:12" ht="72" x14ac:dyDescent="0.25">
      <c r="A337" s="186" t="s">
        <v>510</v>
      </c>
      <c r="B337" s="63" t="s">
        <v>25</v>
      </c>
      <c r="C337" s="22" t="s">
        <v>19</v>
      </c>
      <c r="D337" s="174">
        <v>97</v>
      </c>
      <c r="E337" s="180"/>
      <c r="F337" s="18">
        <f>Tabla33[[#This Row],[CANTIDAD ]]*Tabla33[[#This Row],[VALOR UNITARIO ]]</f>
        <v>0</v>
      </c>
      <c r="G337" s="238"/>
      <c r="H337" s="238"/>
      <c r="I337" s="238"/>
      <c r="J337" s="238"/>
      <c r="K337" s="284"/>
      <c r="L337" s="1"/>
    </row>
    <row r="338" spans="1:12" ht="84" x14ac:dyDescent="0.25">
      <c r="A338" s="186" t="s">
        <v>511</v>
      </c>
      <c r="B338" s="146" t="s">
        <v>27</v>
      </c>
      <c r="C338" s="17" t="s">
        <v>19</v>
      </c>
      <c r="D338" s="174">
        <v>97</v>
      </c>
      <c r="E338" s="180"/>
      <c r="F338" s="18">
        <f>Tabla33[[#This Row],[CANTIDAD ]]*Tabla33[[#This Row],[VALOR UNITARIO ]]</f>
        <v>0</v>
      </c>
      <c r="G338" s="238"/>
      <c r="H338" s="238"/>
      <c r="I338" s="238"/>
      <c r="J338" s="238"/>
      <c r="K338" s="284"/>
      <c r="L338" s="1"/>
    </row>
    <row r="339" spans="1:12" ht="168" x14ac:dyDescent="0.25">
      <c r="A339" s="186" t="s">
        <v>512</v>
      </c>
      <c r="B339" s="63" t="s">
        <v>29</v>
      </c>
      <c r="C339" s="22" t="s">
        <v>19</v>
      </c>
      <c r="D339" s="174">
        <v>97</v>
      </c>
      <c r="E339" s="180"/>
      <c r="F339" s="18">
        <f>Tabla33[[#This Row],[CANTIDAD ]]*Tabla33[[#This Row],[VALOR UNITARIO ]]</f>
        <v>0</v>
      </c>
      <c r="G339" s="238"/>
      <c r="H339" s="238"/>
      <c r="I339" s="238"/>
      <c r="J339" s="238"/>
      <c r="K339" s="284"/>
      <c r="L339" s="1"/>
    </row>
    <row r="340" spans="1:12" ht="252" x14ac:dyDescent="0.25">
      <c r="A340" s="186" t="s">
        <v>513</v>
      </c>
      <c r="B340" s="146" t="s">
        <v>31</v>
      </c>
      <c r="C340" s="22" t="s">
        <v>19</v>
      </c>
      <c r="D340" s="174">
        <v>97</v>
      </c>
      <c r="E340" s="180"/>
      <c r="F340" s="18">
        <f>Tabla33[[#This Row],[CANTIDAD ]]*Tabla33[[#This Row],[VALOR UNITARIO ]]</f>
        <v>0</v>
      </c>
      <c r="G340" s="238"/>
      <c r="H340" s="238"/>
      <c r="I340" s="238"/>
      <c r="J340" s="238"/>
      <c r="K340" s="284"/>
      <c r="L340" s="1"/>
    </row>
    <row r="341" spans="1:12" ht="192" x14ac:dyDescent="0.25">
      <c r="A341" s="186" t="s">
        <v>514</v>
      </c>
      <c r="B341" s="63" t="s">
        <v>33</v>
      </c>
      <c r="C341" s="22" t="s">
        <v>14</v>
      </c>
      <c r="D341" s="174">
        <v>131</v>
      </c>
      <c r="E341" s="180"/>
      <c r="F341" s="18">
        <f>Tabla33[[#This Row],[CANTIDAD ]]*Tabla33[[#This Row],[VALOR UNITARIO ]]</f>
        <v>0</v>
      </c>
      <c r="G341" s="238"/>
      <c r="H341" s="238"/>
      <c r="I341" s="238"/>
      <c r="J341" s="238"/>
      <c r="K341" s="284"/>
      <c r="L341" s="1"/>
    </row>
    <row r="342" spans="1:12" ht="108" x14ac:dyDescent="0.25">
      <c r="A342" s="186" t="s">
        <v>515</v>
      </c>
      <c r="B342" s="24" t="s">
        <v>35</v>
      </c>
      <c r="C342" s="22" t="s">
        <v>19</v>
      </c>
      <c r="D342" s="174">
        <v>97</v>
      </c>
      <c r="E342" s="180"/>
      <c r="F342" s="18">
        <f>Tabla33[[#This Row],[CANTIDAD ]]*Tabla33[[#This Row],[VALOR UNITARIO ]]</f>
        <v>0</v>
      </c>
      <c r="G342" s="238"/>
      <c r="H342" s="238"/>
      <c r="I342" s="238"/>
      <c r="J342" s="238"/>
      <c r="K342" s="284"/>
      <c r="L342" s="1"/>
    </row>
    <row r="343" spans="1:12" ht="72" x14ac:dyDescent="0.25">
      <c r="A343" s="186" t="s">
        <v>516</v>
      </c>
      <c r="B343" s="63" t="s">
        <v>37</v>
      </c>
      <c r="C343" s="22" t="s">
        <v>14</v>
      </c>
      <c r="D343" s="174">
        <v>26</v>
      </c>
      <c r="E343" s="292">
        <f>ROUND(19393*1.0928,0)</f>
        <v>21193</v>
      </c>
      <c r="F343" s="18">
        <f>Tabla33[[#This Row],[CANTIDAD ]]*Tabla33[[#This Row],[VALOR UNITARIO ]]</f>
        <v>551018</v>
      </c>
      <c r="G343" s="238"/>
      <c r="H343" s="238"/>
      <c r="I343" s="238"/>
      <c r="J343" s="238"/>
      <c r="K343" s="284" t="s">
        <v>788</v>
      </c>
      <c r="L343" s="1"/>
    </row>
    <row r="344" spans="1:12" ht="84" x14ac:dyDescent="0.25">
      <c r="A344" s="186" t="s">
        <v>517</v>
      </c>
      <c r="B344" s="24" t="s">
        <v>39</v>
      </c>
      <c r="C344" s="22" t="s">
        <v>14</v>
      </c>
      <c r="D344" s="174">
        <v>55</v>
      </c>
      <c r="E344" s="180"/>
      <c r="F344" s="18">
        <f>Tabla33[[#This Row],[CANTIDAD ]]*Tabla33[[#This Row],[VALOR UNITARIO ]]</f>
        <v>0</v>
      </c>
      <c r="G344" s="238"/>
      <c r="H344" s="238"/>
      <c r="I344" s="238"/>
      <c r="J344" s="238"/>
      <c r="K344" s="284"/>
      <c r="L344" s="1"/>
    </row>
    <row r="345" spans="1:12" ht="84" x14ac:dyDescent="0.25">
      <c r="A345" s="9" t="s">
        <v>518</v>
      </c>
      <c r="B345" s="53" t="s">
        <v>101</v>
      </c>
      <c r="C345" s="54"/>
      <c r="D345" s="151"/>
      <c r="E345" s="151"/>
      <c r="F345" s="268"/>
      <c r="G345" s="238"/>
      <c r="H345" s="238"/>
      <c r="I345" s="238"/>
      <c r="J345" s="238"/>
      <c r="K345" s="284"/>
      <c r="L345" s="1"/>
    </row>
    <row r="346" spans="1:12" ht="132" x14ac:dyDescent="0.25">
      <c r="A346" s="11" t="s">
        <v>519</v>
      </c>
      <c r="B346" s="56" t="s">
        <v>103</v>
      </c>
      <c r="C346" s="57" t="s">
        <v>19</v>
      </c>
      <c r="D346" s="15">
        <v>10</v>
      </c>
      <c r="E346" s="263">
        <f>ROUND(103790*1.0928,0)</f>
        <v>113422</v>
      </c>
      <c r="F346" s="39">
        <f>Tabla33[[#This Row],[CANTIDAD ]]*Tabla33[[#This Row],[VALOR UNITARIO ]]</f>
        <v>1134220</v>
      </c>
      <c r="G346" s="238"/>
      <c r="H346" s="238"/>
      <c r="I346" s="238"/>
      <c r="J346" s="238"/>
      <c r="K346" s="284" t="s">
        <v>791</v>
      </c>
      <c r="L346" s="1"/>
    </row>
    <row r="347" spans="1:12" ht="60" x14ac:dyDescent="0.25">
      <c r="A347" s="11" t="s">
        <v>520</v>
      </c>
      <c r="B347" s="58" t="s">
        <v>105</v>
      </c>
      <c r="C347" s="59" t="s">
        <v>14</v>
      </c>
      <c r="D347" s="15">
        <v>5</v>
      </c>
      <c r="E347" s="263">
        <f>ROUND(37657*1.0928,0)</f>
        <v>41152</v>
      </c>
      <c r="F347" s="39">
        <f>Tabla33[[#This Row],[CANTIDAD ]]*Tabla33[[#This Row],[VALOR UNITARIO ]]</f>
        <v>205760</v>
      </c>
      <c r="G347" s="238"/>
      <c r="H347" s="238"/>
      <c r="I347" s="238"/>
      <c r="J347" s="238"/>
      <c r="K347" s="284" t="s">
        <v>791</v>
      </c>
      <c r="L347" s="1"/>
    </row>
    <row r="348" spans="1:12" ht="204" x14ac:dyDescent="0.25">
      <c r="A348" s="11" t="s">
        <v>521</v>
      </c>
      <c r="B348" s="24" t="s">
        <v>107</v>
      </c>
      <c r="C348" s="59" t="s">
        <v>14</v>
      </c>
      <c r="D348" s="15">
        <v>5</v>
      </c>
      <c r="E348" s="263">
        <f>ROUND(42410*1.0928,0)</f>
        <v>46346</v>
      </c>
      <c r="F348" s="39">
        <f>Tabla33[[#This Row],[CANTIDAD ]]*Tabla33[[#This Row],[VALOR UNITARIO ]]</f>
        <v>231730</v>
      </c>
      <c r="G348" s="238"/>
      <c r="H348" s="238"/>
      <c r="I348" s="238"/>
      <c r="J348" s="238"/>
      <c r="K348" s="284" t="s">
        <v>791</v>
      </c>
      <c r="L348" s="1"/>
    </row>
    <row r="349" spans="1:12" ht="60" x14ac:dyDescent="0.25">
      <c r="A349" s="11" t="s">
        <v>522</v>
      </c>
      <c r="B349" s="58" t="s">
        <v>109</v>
      </c>
      <c r="C349" s="59" t="s">
        <v>14</v>
      </c>
      <c r="D349" s="15">
        <v>8</v>
      </c>
      <c r="E349" s="263">
        <f>ROUND(33950*1.0928,0)</f>
        <v>37101</v>
      </c>
      <c r="F349" s="39">
        <f>Tabla33[[#This Row],[CANTIDAD ]]*Tabla33[[#This Row],[VALOR UNITARIO ]]</f>
        <v>296808</v>
      </c>
      <c r="G349" s="238"/>
      <c r="H349" s="238"/>
      <c r="I349" s="238"/>
      <c r="J349" s="238"/>
      <c r="K349" s="284" t="s">
        <v>791</v>
      </c>
      <c r="L349" s="1"/>
    </row>
    <row r="350" spans="1:12" ht="216" x14ac:dyDescent="0.25">
      <c r="A350" s="11" t="s">
        <v>523</v>
      </c>
      <c r="B350" s="24" t="s">
        <v>111</v>
      </c>
      <c r="C350" s="60" t="s">
        <v>6</v>
      </c>
      <c r="D350" s="15">
        <v>1</v>
      </c>
      <c r="E350" s="298">
        <f>ROUND(530275*1.0928,0)</f>
        <v>579485</v>
      </c>
      <c r="F350" s="39">
        <f>Tabla33[[#This Row],[CANTIDAD ]]*Tabla33[[#This Row],[VALOR UNITARIO ]]</f>
        <v>579485</v>
      </c>
      <c r="G350" s="238"/>
      <c r="H350" s="238"/>
      <c r="I350" s="238"/>
      <c r="J350" s="238"/>
      <c r="K350" s="284" t="s">
        <v>791</v>
      </c>
      <c r="L350" s="1"/>
    </row>
    <row r="351" spans="1:12" x14ac:dyDescent="0.25">
      <c r="A351" s="187"/>
      <c r="B351" s="90"/>
      <c r="C351" s="108" t="s">
        <v>196</v>
      </c>
      <c r="D351" s="109"/>
      <c r="E351" s="22"/>
      <c r="F351" s="300">
        <f>SUBTOTAL(109,F280:F350)</f>
        <v>62660603</v>
      </c>
      <c r="G351" s="238"/>
      <c r="H351" s="238"/>
      <c r="I351" s="238"/>
      <c r="J351" s="238"/>
      <c r="K351" s="284"/>
      <c r="L351" s="1"/>
    </row>
    <row r="352" spans="1:12" x14ac:dyDescent="0.25">
      <c r="A352" s="188"/>
      <c r="B352" s="94"/>
      <c r="C352" s="95" t="s">
        <v>197</v>
      </c>
      <c r="D352" s="96"/>
      <c r="E352" s="97">
        <v>0</v>
      </c>
      <c r="F352" s="301">
        <f>F351*Tabla33[[#This Row],[VALOR UNITARIO ]]</f>
        <v>0</v>
      </c>
      <c r="G352" s="238"/>
      <c r="H352" s="238"/>
      <c r="I352" s="238"/>
      <c r="J352" s="238"/>
      <c r="K352" s="284"/>
      <c r="L352" s="1"/>
    </row>
    <row r="353" spans="1:12" x14ac:dyDescent="0.25">
      <c r="A353" s="188"/>
      <c r="B353" s="94"/>
      <c r="C353" s="95" t="s">
        <v>198</v>
      </c>
      <c r="D353" s="96"/>
      <c r="E353" s="97">
        <v>0</v>
      </c>
      <c r="F353" s="301">
        <f>F351*Tabla33[[#This Row],[VALOR UNITARIO ]]</f>
        <v>0</v>
      </c>
      <c r="G353" s="238"/>
      <c r="H353" s="238"/>
      <c r="I353" s="238"/>
      <c r="J353" s="238"/>
      <c r="K353" s="284"/>
      <c r="L353" s="1"/>
    </row>
    <row r="354" spans="1:12" x14ac:dyDescent="0.25">
      <c r="A354" s="188"/>
      <c r="B354" s="94"/>
      <c r="C354" s="95"/>
      <c r="D354" s="96"/>
      <c r="E354" s="97">
        <v>0</v>
      </c>
      <c r="F354" s="301">
        <f>F351*Tabla33[[#This Row],[VALOR UNITARIO ]]</f>
        <v>0</v>
      </c>
      <c r="G354" s="238"/>
      <c r="H354" s="238"/>
      <c r="I354" s="238"/>
      <c r="J354" s="238"/>
      <c r="K354" s="284"/>
      <c r="L354" s="1"/>
    </row>
    <row r="355" spans="1:12" x14ac:dyDescent="0.25">
      <c r="A355" s="188"/>
      <c r="B355" s="94"/>
      <c r="C355" s="95" t="s">
        <v>200</v>
      </c>
      <c r="D355" s="96"/>
      <c r="E355" s="97">
        <v>0</v>
      </c>
      <c r="F355" s="301">
        <f>F354*Tabla33[[#This Row],[VALOR UNITARIO ]]</f>
        <v>0</v>
      </c>
      <c r="G355" s="238"/>
      <c r="H355" s="238"/>
      <c r="I355" s="238"/>
      <c r="J355" s="238"/>
      <c r="K355" s="284"/>
      <c r="L355" s="1"/>
    </row>
    <row r="356" spans="1:12" x14ac:dyDescent="0.25">
      <c r="A356" s="189"/>
      <c r="B356" s="99"/>
      <c r="C356" s="91" t="s">
        <v>201</v>
      </c>
      <c r="D356" s="100"/>
      <c r="E356" s="49"/>
      <c r="F356" s="300">
        <f>F351+F352++F353+F354+F355</f>
        <v>62660603</v>
      </c>
      <c r="G356" s="238"/>
      <c r="H356" s="238"/>
      <c r="I356" s="238"/>
      <c r="J356" s="238"/>
      <c r="K356" s="284"/>
      <c r="L356" s="308">
        <v>78860597</v>
      </c>
    </row>
    <row r="357" spans="1:12" x14ac:dyDescent="0.25">
      <c r="A357" s="166" t="s">
        <v>524</v>
      </c>
      <c r="B357" s="141" t="s">
        <v>525</v>
      </c>
      <c r="C357" s="142"/>
      <c r="D357" s="142"/>
      <c r="E357" s="142"/>
      <c r="F357" s="142"/>
      <c r="G357" s="238"/>
      <c r="H357" s="238"/>
      <c r="I357" s="238"/>
      <c r="J357" s="238"/>
      <c r="K357" s="284"/>
      <c r="L357" s="1"/>
    </row>
    <row r="358" spans="1:12" ht="48" x14ac:dyDescent="0.25">
      <c r="A358" s="190" t="s">
        <v>526</v>
      </c>
      <c r="B358" s="132" t="s">
        <v>527</v>
      </c>
      <c r="C358" s="191"/>
      <c r="D358" s="9"/>
      <c r="E358" s="9"/>
      <c r="F358" s="268"/>
      <c r="G358" s="238"/>
      <c r="H358" s="238"/>
      <c r="I358" s="238"/>
      <c r="J358" s="238"/>
      <c r="K358" s="284"/>
      <c r="L358" s="1"/>
    </row>
    <row r="359" spans="1:12" ht="132" x14ac:dyDescent="0.25">
      <c r="A359" s="20" t="s">
        <v>528</v>
      </c>
      <c r="B359" s="24" t="s">
        <v>529</v>
      </c>
      <c r="C359" s="59" t="s">
        <v>19</v>
      </c>
      <c r="D359" s="123">
        <v>22</v>
      </c>
      <c r="E359" s="286">
        <f>(ROUND(183588*1.1312,0))*1.0928</f>
        <v>226947.24</v>
      </c>
      <c r="F359" s="39">
        <f>Tabla33[[#This Row],[CANTIDAD ]]*Tabla33[[#This Row],[VALOR UNITARIO ]]</f>
        <v>4992839.2799999993</v>
      </c>
      <c r="G359" s="238"/>
      <c r="H359" s="238"/>
      <c r="I359" s="238"/>
      <c r="J359" s="238"/>
      <c r="K359" s="284" t="s">
        <v>793</v>
      </c>
      <c r="L359" s="1"/>
    </row>
    <row r="360" spans="1:12" ht="132" x14ac:dyDescent="0.25">
      <c r="A360" s="186" t="s">
        <v>530</v>
      </c>
      <c r="B360" s="24" t="s">
        <v>531</v>
      </c>
      <c r="C360" s="22" t="s">
        <v>19</v>
      </c>
      <c r="D360" s="21">
        <v>395</v>
      </c>
      <c r="E360" s="313"/>
      <c r="F360" s="39">
        <f>Tabla33[[#This Row],[CANTIDAD ]]*Tabla33[[#This Row],[VALOR UNITARIO ]]</f>
        <v>0</v>
      </c>
      <c r="G360" s="238"/>
      <c r="H360" s="238"/>
      <c r="I360" s="238"/>
      <c r="J360" s="238"/>
      <c r="K360" s="284"/>
      <c r="L360" s="1"/>
    </row>
    <row r="361" spans="1:12" ht="60" x14ac:dyDescent="0.25">
      <c r="A361" s="20" t="s">
        <v>532</v>
      </c>
      <c r="B361" s="24" t="s">
        <v>533</v>
      </c>
      <c r="C361" s="22" t="s">
        <v>19</v>
      </c>
      <c r="D361" s="21">
        <v>245</v>
      </c>
      <c r="E361" s="263">
        <f>ROUND(6305*1.0928,0)</f>
        <v>6890</v>
      </c>
      <c r="F361" s="39">
        <f>Tabla33[[#This Row],[CANTIDAD ]]*Tabla33[[#This Row],[VALOR UNITARIO ]]</f>
        <v>1688050</v>
      </c>
      <c r="G361" s="238"/>
      <c r="H361" s="238"/>
      <c r="I361" s="238"/>
      <c r="J361" s="238"/>
      <c r="K361" s="284" t="s">
        <v>791</v>
      </c>
      <c r="L361" s="1"/>
    </row>
    <row r="362" spans="1:12" ht="180" x14ac:dyDescent="0.25">
      <c r="A362" s="186" t="s">
        <v>534</v>
      </c>
      <c r="B362" s="24" t="s">
        <v>86</v>
      </c>
      <c r="C362" s="22" t="s">
        <v>19</v>
      </c>
      <c r="D362" s="21">
        <v>245</v>
      </c>
      <c r="E362" s="263">
        <f>ROUND(39910*1.0928,0)</f>
        <v>43614</v>
      </c>
      <c r="F362" s="39">
        <f>Tabla33[[#This Row],[CANTIDAD ]]*Tabla33[[#This Row],[VALOR UNITARIO ]]</f>
        <v>10685430</v>
      </c>
      <c r="G362" s="238"/>
      <c r="H362" s="238"/>
      <c r="I362" s="238"/>
      <c r="J362" s="238"/>
      <c r="K362" s="284" t="s">
        <v>791</v>
      </c>
      <c r="L362" s="1"/>
    </row>
    <row r="363" spans="1:12" ht="72" x14ac:dyDescent="0.25">
      <c r="A363" s="186" t="s">
        <v>535</v>
      </c>
      <c r="B363" s="24" t="s">
        <v>536</v>
      </c>
      <c r="C363" s="22" t="s">
        <v>19</v>
      </c>
      <c r="D363" s="21">
        <v>350</v>
      </c>
      <c r="E363" s="313"/>
      <c r="F363" s="39">
        <f>Tabla33[[#This Row],[CANTIDAD ]]*Tabla33[[#This Row],[VALOR UNITARIO ]]</f>
        <v>0</v>
      </c>
      <c r="G363" s="238"/>
      <c r="H363" s="238"/>
      <c r="I363" s="238"/>
      <c r="J363" s="238"/>
      <c r="K363" s="284"/>
      <c r="L363" s="1"/>
    </row>
    <row r="364" spans="1:12" ht="156" x14ac:dyDescent="0.25">
      <c r="A364" s="20" t="s">
        <v>537</v>
      </c>
      <c r="B364" s="48" t="s">
        <v>538</v>
      </c>
      <c r="C364" s="49" t="s">
        <v>19</v>
      </c>
      <c r="D364" s="100">
        <v>350</v>
      </c>
      <c r="E364" s="4"/>
      <c r="F364" s="39">
        <f>Tabla33[[#This Row],[CANTIDAD ]]*Tabla33[[#This Row],[VALOR UNITARIO ]]</f>
        <v>0</v>
      </c>
      <c r="G364" s="238"/>
      <c r="H364" s="238"/>
      <c r="I364" s="238"/>
      <c r="J364" s="238"/>
      <c r="K364" s="284"/>
      <c r="L364" s="1"/>
    </row>
    <row r="365" spans="1:12" ht="48" x14ac:dyDescent="0.25">
      <c r="A365" s="184" t="s">
        <v>539</v>
      </c>
      <c r="B365" s="132" t="s">
        <v>540</v>
      </c>
      <c r="C365" s="151"/>
      <c r="D365" s="9"/>
      <c r="E365" s="9"/>
      <c r="F365" s="268"/>
      <c r="G365" s="238"/>
      <c r="H365" s="238"/>
      <c r="I365" s="238"/>
      <c r="J365" s="238"/>
      <c r="K365" s="284"/>
      <c r="L365" s="1"/>
    </row>
    <row r="366" spans="1:12" ht="72" x14ac:dyDescent="0.25">
      <c r="A366" s="186" t="s">
        <v>541</v>
      </c>
      <c r="B366" s="56" t="s">
        <v>542</v>
      </c>
      <c r="C366" s="86" t="s">
        <v>6</v>
      </c>
      <c r="D366" s="15">
        <v>6</v>
      </c>
      <c r="E366" s="140"/>
      <c r="F366" s="39">
        <f>Tabla33[[#This Row],[CANTIDAD ]]*Tabla33[[#This Row],[VALOR UNITARIO ]]</f>
        <v>0</v>
      </c>
      <c r="G366" s="238"/>
      <c r="H366" s="238"/>
      <c r="I366" s="238"/>
      <c r="J366" s="238"/>
      <c r="K366" s="284"/>
      <c r="L366" s="1"/>
    </row>
    <row r="367" spans="1:12" ht="204" x14ac:dyDescent="0.25">
      <c r="A367" s="20" t="s">
        <v>543</v>
      </c>
      <c r="B367" s="24" t="s">
        <v>544</v>
      </c>
      <c r="C367" s="17" t="s">
        <v>6</v>
      </c>
      <c r="D367" s="123">
        <v>22</v>
      </c>
      <c r="E367" s="313"/>
      <c r="F367" s="39">
        <f>Tabla33[[#This Row],[CANTIDAD ]]*Tabla33[[#This Row],[VALOR UNITARIO ]]</f>
        <v>0</v>
      </c>
      <c r="G367" s="238"/>
      <c r="H367" s="238"/>
      <c r="I367" s="238"/>
      <c r="J367" s="238"/>
      <c r="K367" s="284"/>
      <c r="L367" s="1"/>
    </row>
    <row r="368" spans="1:12" ht="288" x14ac:dyDescent="0.25">
      <c r="A368" s="186" t="s">
        <v>545</v>
      </c>
      <c r="B368" s="24" t="s">
        <v>546</v>
      </c>
      <c r="C368" s="22" t="s">
        <v>6</v>
      </c>
      <c r="D368" s="21">
        <v>6</v>
      </c>
      <c r="E368" s="313"/>
      <c r="F368" s="39">
        <f>Tabla33[[#This Row],[CANTIDAD ]]*Tabla33[[#This Row],[VALOR UNITARIO ]]</f>
        <v>0</v>
      </c>
      <c r="G368" s="238"/>
      <c r="H368" s="238"/>
      <c r="I368" s="238"/>
      <c r="J368" s="238"/>
      <c r="K368" s="284"/>
      <c r="L368" s="1"/>
    </row>
    <row r="369" spans="1:12" ht="144" x14ac:dyDescent="0.25">
      <c r="A369" s="20" t="s">
        <v>547</v>
      </c>
      <c r="B369" s="24" t="s">
        <v>548</v>
      </c>
      <c r="C369" s="22" t="s">
        <v>6</v>
      </c>
      <c r="D369" s="21">
        <v>6</v>
      </c>
      <c r="E369" s="313"/>
      <c r="F369" s="39">
        <f>Tabla33[[#This Row],[CANTIDAD ]]*Tabla33[[#This Row],[VALOR UNITARIO ]]</f>
        <v>0</v>
      </c>
      <c r="G369" s="238"/>
      <c r="H369" s="238"/>
      <c r="I369" s="238"/>
      <c r="J369" s="238"/>
      <c r="K369" s="284"/>
      <c r="L369" s="1"/>
    </row>
    <row r="370" spans="1:12" ht="72" x14ac:dyDescent="0.25">
      <c r="A370" s="186" t="s">
        <v>549</v>
      </c>
      <c r="B370" s="24" t="s">
        <v>550</v>
      </c>
      <c r="C370" s="22" t="s">
        <v>6</v>
      </c>
      <c r="D370" s="21">
        <v>12</v>
      </c>
      <c r="E370" s="313"/>
      <c r="F370" s="39">
        <f>Tabla33[[#This Row],[CANTIDAD ]]*Tabla33[[#This Row],[VALOR UNITARIO ]]</f>
        <v>0</v>
      </c>
      <c r="G370" s="238"/>
      <c r="H370" s="238"/>
      <c r="I370" s="238"/>
      <c r="J370" s="238"/>
      <c r="K370" s="284"/>
      <c r="L370" s="1"/>
    </row>
    <row r="371" spans="1:12" x14ac:dyDescent="0.25">
      <c r="A371" s="184" t="s">
        <v>551</v>
      </c>
      <c r="B371" s="115" t="s">
        <v>234</v>
      </c>
      <c r="C371" s="79"/>
      <c r="D371" s="9"/>
      <c r="E371" s="9"/>
      <c r="F371" s="268"/>
      <c r="G371" s="238"/>
      <c r="H371" s="238"/>
      <c r="I371" s="238"/>
      <c r="J371" s="238"/>
      <c r="K371" s="284"/>
      <c r="L371" s="1"/>
    </row>
    <row r="372" spans="1:12" ht="60" x14ac:dyDescent="0.25">
      <c r="A372" s="20" t="s">
        <v>552</v>
      </c>
      <c r="B372" s="87" t="s">
        <v>84</v>
      </c>
      <c r="C372" s="75" t="s">
        <v>19</v>
      </c>
      <c r="D372" s="15">
        <v>191</v>
      </c>
      <c r="E372" s="263">
        <f>ROUND(6305*1.0928,0)</f>
        <v>6890</v>
      </c>
      <c r="F372" s="39">
        <f>Tabla33[[#This Row],[CANTIDAD ]]*Tabla33[[#This Row],[VALOR UNITARIO ]]</f>
        <v>1315990</v>
      </c>
      <c r="G372" s="238"/>
      <c r="H372" s="238"/>
      <c r="I372" s="238"/>
      <c r="J372" s="238"/>
      <c r="K372" s="284" t="s">
        <v>791</v>
      </c>
      <c r="L372" s="1"/>
    </row>
    <row r="373" spans="1:12" ht="180" x14ac:dyDescent="0.25">
      <c r="A373" s="186" t="s">
        <v>553</v>
      </c>
      <c r="B373" s="46" t="s">
        <v>86</v>
      </c>
      <c r="C373" s="45" t="s">
        <v>19</v>
      </c>
      <c r="D373" s="123">
        <v>191</v>
      </c>
      <c r="E373" s="263">
        <f>ROUND(39910*1.0928,0)</f>
        <v>43614</v>
      </c>
      <c r="F373" s="39">
        <f>Tabla33[[#This Row],[CANTIDAD ]]*Tabla33[[#This Row],[VALOR UNITARIO ]]</f>
        <v>8330274</v>
      </c>
      <c r="G373" s="238"/>
      <c r="H373" s="238"/>
      <c r="I373" s="238"/>
      <c r="J373" s="238"/>
      <c r="K373" s="284" t="s">
        <v>791</v>
      </c>
      <c r="L373" s="1"/>
    </row>
    <row r="374" spans="1:12" ht="48" x14ac:dyDescent="0.25">
      <c r="A374" s="20" t="s">
        <v>554</v>
      </c>
      <c r="B374" s="46" t="s">
        <v>88</v>
      </c>
      <c r="C374" s="45" t="s">
        <v>19</v>
      </c>
      <c r="D374" s="123">
        <v>239</v>
      </c>
      <c r="E374" s="263">
        <f>ROUND(22520*1.0928,0)</f>
        <v>24610</v>
      </c>
      <c r="F374" s="39">
        <f>Tabla33[[#This Row],[CANTIDAD ]]*Tabla33[[#This Row],[VALOR UNITARIO ]]</f>
        <v>5881790</v>
      </c>
      <c r="G374" s="238"/>
      <c r="H374" s="238"/>
      <c r="I374" s="238"/>
      <c r="J374" s="238"/>
      <c r="K374" s="284" t="s">
        <v>791</v>
      </c>
      <c r="L374" s="1"/>
    </row>
    <row r="375" spans="1:12" ht="48" x14ac:dyDescent="0.25">
      <c r="A375" s="186" t="s">
        <v>555</v>
      </c>
      <c r="B375" s="40" t="s">
        <v>90</v>
      </c>
      <c r="C375" s="45" t="s">
        <v>19</v>
      </c>
      <c r="D375" s="123">
        <v>239</v>
      </c>
      <c r="E375" s="313"/>
      <c r="F375" s="39">
        <f>Tabla33[[#This Row],[CANTIDAD ]]*Tabla33[[#This Row],[VALOR UNITARIO ]]</f>
        <v>0</v>
      </c>
      <c r="G375" s="238"/>
      <c r="H375" s="238"/>
      <c r="I375" s="238"/>
      <c r="J375" s="238"/>
      <c r="K375" s="284"/>
      <c r="L375" s="1"/>
    </row>
    <row r="376" spans="1:12" ht="48" x14ac:dyDescent="0.25">
      <c r="A376" s="20" t="s">
        <v>556</v>
      </c>
      <c r="B376" s="46" t="s">
        <v>92</v>
      </c>
      <c r="C376" s="45" t="s">
        <v>19</v>
      </c>
      <c r="D376" s="123">
        <v>167</v>
      </c>
      <c r="E376" s="263">
        <f>ROUND(15561*1.0928,0)</f>
        <v>17005</v>
      </c>
      <c r="F376" s="39">
        <f>Tabla33[[#This Row],[CANTIDAD ]]*Tabla33[[#This Row],[VALOR UNITARIO ]]</f>
        <v>2839835</v>
      </c>
      <c r="G376" s="238"/>
      <c r="H376" s="238"/>
      <c r="I376" s="238"/>
      <c r="J376" s="238"/>
      <c r="K376" s="284" t="s">
        <v>791</v>
      </c>
      <c r="L376" s="1"/>
    </row>
    <row r="377" spans="1:12" x14ac:dyDescent="0.25">
      <c r="A377" s="186" t="s">
        <v>557</v>
      </c>
      <c r="B377" s="192" t="s">
        <v>94</v>
      </c>
      <c r="C377" s="45" t="s">
        <v>19</v>
      </c>
      <c r="D377" s="123">
        <v>3</v>
      </c>
      <c r="E377" s="313"/>
      <c r="F377" s="39">
        <f>Tabla33[[#This Row],[CANTIDAD ]]*Tabla33[[#This Row],[VALOR UNITARIO ]]</f>
        <v>0</v>
      </c>
      <c r="G377" s="238"/>
      <c r="H377" s="238"/>
      <c r="I377" s="238"/>
      <c r="J377" s="238"/>
      <c r="K377" s="284"/>
      <c r="L377" s="1"/>
    </row>
    <row r="378" spans="1:12" ht="60" x14ac:dyDescent="0.25">
      <c r="A378" s="20" t="s">
        <v>558</v>
      </c>
      <c r="B378" s="40" t="s">
        <v>84</v>
      </c>
      <c r="C378" s="45" t="s">
        <v>14</v>
      </c>
      <c r="D378" s="123">
        <v>10</v>
      </c>
      <c r="E378" s="313"/>
      <c r="F378" s="39">
        <f>Tabla33[[#This Row],[CANTIDAD ]]*Tabla33[[#This Row],[VALOR UNITARIO ]]</f>
        <v>0</v>
      </c>
      <c r="G378" s="238"/>
      <c r="H378" s="238"/>
      <c r="I378" s="238"/>
      <c r="J378" s="238"/>
      <c r="K378" s="284"/>
      <c r="L378" s="1"/>
    </row>
    <row r="379" spans="1:12" ht="180" x14ac:dyDescent="0.25">
      <c r="A379" s="186" t="s">
        <v>559</v>
      </c>
      <c r="B379" s="46" t="s">
        <v>86</v>
      </c>
      <c r="C379" s="45" t="s">
        <v>14</v>
      </c>
      <c r="D379" s="123">
        <v>10</v>
      </c>
      <c r="E379" s="313"/>
      <c r="F379" s="39">
        <f>Tabla33[[#This Row],[CANTIDAD ]]*Tabla33[[#This Row],[VALOR UNITARIO ]]</f>
        <v>0</v>
      </c>
      <c r="G379" s="238"/>
      <c r="H379" s="238"/>
      <c r="I379" s="238"/>
      <c r="J379" s="238"/>
      <c r="K379" s="284"/>
      <c r="L379" s="1"/>
    </row>
    <row r="380" spans="1:12" ht="48" x14ac:dyDescent="0.25">
      <c r="A380" s="20" t="s">
        <v>560</v>
      </c>
      <c r="B380" s="46" t="s">
        <v>88</v>
      </c>
      <c r="C380" s="45" t="s">
        <v>14</v>
      </c>
      <c r="D380" s="123">
        <v>10</v>
      </c>
      <c r="E380" s="296">
        <f>ROUND(12295*1.0928,0)</f>
        <v>13436</v>
      </c>
      <c r="F380" s="39">
        <f>Tabla33[[#This Row],[CANTIDAD ]]*Tabla33[[#This Row],[VALOR UNITARIO ]]</f>
        <v>134360</v>
      </c>
      <c r="G380" s="238"/>
      <c r="H380" s="238"/>
      <c r="I380" s="238"/>
      <c r="J380" s="238"/>
      <c r="K380" s="284" t="s">
        <v>791</v>
      </c>
      <c r="L380" s="1"/>
    </row>
    <row r="381" spans="1:12" ht="48" x14ac:dyDescent="0.25">
      <c r="A381" s="186" t="s">
        <v>561</v>
      </c>
      <c r="B381" s="46" t="s">
        <v>98</v>
      </c>
      <c r="C381" s="45" t="s">
        <v>14</v>
      </c>
      <c r="D381" s="123">
        <v>10</v>
      </c>
      <c r="E381" s="313"/>
      <c r="F381" s="39">
        <f>Tabla33[[#This Row],[CANTIDAD ]]*Tabla33[[#This Row],[VALOR UNITARIO ]]</f>
        <v>0</v>
      </c>
      <c r="G381" s="238"/>
      <c r="H381" s="238"/>
      <c r="I381" s="238"/>
      <c r="J381" s="238"/>
      <c r="K381" s="284"/>
      <c r="L381" s="1"/>
    </row>
    <row r="382" spans="1:12" ht="48" x14ac:dyDescent="0.25">
      <c r="A382" s="20" t="s">
        <v>562</v>
      </c>
      <c r="B382" s="66" t="s">
        <v>92</v>
      </c>
      <c r="C382" s="67" t="s">
        <v>14</v>
      </c>
      <c r="D382" s="150">
        <v>10</v>
      </c>
      <c r="E382" s="4"/>
      <c r="F382" s="39">
        <f>Tabla33[[#This Row],[CANTIDAD ]]*Tabla33[[#This Row],[VALOR UNITARIO ]]</f>
        <v>0</v>
      </c>
      <c r="G382" s="238"/>
      <c r="H382" s="238"/>
      <c r="I382" s="238"/>
      <c r="J382" s="238"/>
      <c r="K382" s="284"/>
      <c r="L382" s="1"/>
    </row>
    <row r="383" spans="1:12" x14ac:dyDescent="0.25">
      <c r="A383" s="9" t="s">
        <v>563</v>
      </c>
      <c r="B383" s="193" t="s">
        <v>564</v>
      </c>
      <c r="C383" s="79"/>
      <c r="D383" s="9"/>
      <c r="E383" s="9"/>
      <c r="F383" s="268"/>
      <c r="G383" s="238"/>
      <c r="H383" s="238"/>
      <c r="I383" s="238"/>
      <c r="J383" s="238"/>
      <c r="K383" s="284"/>
      <c r="L383" s="1"/>
    </row>
    <row r="384" spans="1:12" ht="168" x14ac:dyDescent="0.25">
      <c r="A384" s="186" t="s">
        <v>565</v>
      </c>
      <c r="B384" s="194" t="s">
        <v>566</v>
      </c>
      <c r="C384" s="195" t="s">
        <v>19</v>
      </c>
      <c r="D384" s="15">
        <v>490</v>
      </c>
      <c r="E384" s="140"/>
      <c r="F384" s="39">
        <f>Tabla33[[#This Row],[CANTIDAD ]]*Tabla33[[#This Row],[VALOR UNITARIO ]]</f>
        <v>0</v>
      </c>
      <c r="G384" s="238"/>
      <c r="H384" s="238"/>
      <c r="I384" s="238"/>
      <c r="J384" s="238"/>
      <c r="K384" s="284"/>
      <c r="L384" s="1"/>
    </row>
    <row r="385" spans="1:12" ht="72" x14ac:dyDescent="0.25">
      <c r="A385" s="179" t="s">
        <v>567</v>
      </c>
      <c r="B385" s="46" t="s">
        <v>568</v>
      </c>
      <c r="C385" s="196" t="s">
        <v>14</v>
      </c>
      <c r="D385" s="123">
        <v>60</v>
      </c>
      <c r="E385" s="263">
        <f>ROUND(51019*1.0928,0)</f>
        <v>55754</v>
      </c>
      <c r="F385" s="39">
        <f>Tabla33[[#This Row],[CANTIDAD ]]*Tabla33[[#This Row],[VALOR UNITARIO ]]</f>
        <v>3345240</v>
      </c>
      <c r="G385" s="238"/>
      <c r="H385" s="238"/>
      <c r="I385" s="238"/>
      <c r="J385" s="238"/>
      <c r="K385" s="284" t="s">
        <v>791</v>
      </c>
      <c r="L385" s="1"/>
    </row>
    <row r="386" spans="1:12" ht="108" x14ac:dyDescent="0.25">
      <c r="A386" s="186" t="s">
        <v>569</v>
      </c>
      <c r="B386" s="27" t="s">
        <v>61</v>
      </c>
      <c r="C386" s="197" t="s">
        <v>14</v>
      </c>
      <c r="D386" s="123">
        <v>40</v>
      </c>
      <c r="E386" s="313"/>
      <c r="F386" s="39">
        <f>Tabla33[[#This Row],[CANTIDAD ]]*Tabla33[[#This Row],[VALOR UNITARIO ]]</f>
        <v>0</v>
      </c>
      <c r="G386" s="238"/>
      <c r="H386" s="238"/>
      <c r="I386" s="238"/>
      <c r="J386" s="238"/>
      <c r="K386" s="284"/>
      <c r="L386" s="1"/>
    </row>
    <row r="387" spans="1:12" ht="72" x14ac:dyDescent="0.25">
      <c r="A387" s="179" t="s">
        <v>570</v>
      </c>
      <c r="B387" s="24" t="s">
        <v>264</v>
      </c>
      <c r="C387" s="22" t="s">
        <v>19</v>
      </c>
      <c r="D387" s="123">
        <v>15</v>
      </c>
      <c r="E387" s="313"/>
      <c r="F387" s="39">
        <f>Tabla33[[#This Row],[CANTIDAD ]]*Tabla33[[#This Row],[VALOR UNITARIO ]]</f>
        <v>0</v>
      </c>
      <c r="G387" s="238"/>
      <c r="H387" s="238"/>
      <c r="I387" s="238"/>
      <c r="J387" s="238"/>
      <c r="K387" s="284"/>
      <c r="L387" s="1"/>
    </row>
    <row r="388" spans="1:12" ht="24" x14ac:dyDescent="0.25">
      <c r="A388" s="186" t="s">
        <v>571</v>
      </c>
      <c r="B388" s="48" t="s">
        <v>195</v>
      </c>
      <c r="C388" s="22" t="s">
        <v>19</v>
      </c>
      <c r="D388" s="123">
        <v>570</v>
      </c>
      <c r="E388" s="263">
        <f>ROUND(4850*1.0928,0)</f>
        <v>5300</v>
      </c>
      <c r="F388" s="39">
        <f>Tabla33[[#This Row],[CANTIDAD ]]*Tabla33[[#This Row],[VALOR UNITARIO ]]</f>
        <v>3021000</v>
      </c>
      <c r="G388" s="238"/>
      <c r="H388" s="238"/>
      <c r="I388" s="238"/>
      <c r="J388" s="238"/>
      <c r="K388" s="284" t="s">
        <v>791</v>
      </c>
      <c r="L388" s="1"/>
    </row>
    <row r="389" spans="1:12" ht="60" x14ac:dyDescent="0.25">
      <c r="A389" s="186" t="s">
        <v>572</v>
      </c>
      <c r="B389" s="198" t="s">
        <v>573</v>
      </c>
      <c r="C389" s="22" t="s">
        <v>6</v>
      </c>
      <c r="D389" s="123">
        <v>6</v>
      </c>
      <c r="E389" s="313"/>
      <c r="F389" s="39">
        <f>Tabla33[[#This Row],[CANTIDAD ]]*Tabla33[[#This Row],[VALOR UNITARIO ]]</f>
        <v>0</v>
      </c>
      <c r="G389" s="238"/>
      <c r="H389" s="238"/>
      <c r="I389" s="238"/>
      <c r="J389" s="238"/>
      <c r="K389" s="284"/>
      <c r="L389" s="1"/>
    </row>
    <row r="390" spans="1:12" ht="48" x14ac:dyDescent="0.25">
      <c r="A390" s="186" t="s">
        <v>574</v>
      </c>
      <c r="B390" s="24" t="s">
        <v>575</v>
      </c>
      <c r="C390" s="22" t="s">
        <v>6</v>
      </c>
      <c r="D390" s="123">
        <v>6</v>
      </c>
      <c r="E390" s="313"/>
      <c r="F390" s="39">
        <f>Tabla33[[#This Row],[CANTIDAD ]]*Tabla33[[#This Row],[VALOR UNITARIO ]]</f>
        <v>0</v>
      </c>
      <c r="G390" s="238"/>
      <c r="H390" s="238"/>
      <c r="I390" s="238"/>
      <c r="J390" s="238"/>
      <c r="K390" s="284"/>
      <c r="L390" s="1"/>
    </row>
    <row r="391" spans="1:12" x14ac:dyDescent="0.25">
      <c r="A391" s="187"/>
      <c r="B391" s="161"/>
      <c r="C391" s="108" t="s">
        <v>196</v>
      </c>
      <c r="D391" s="109"/>
      <c r="E391" s="22"/>
      <c r="F391" s="300">
        <f>SUBTOTAL(109,F358:F390)</f>
        <v>42234808.280000001</v>
      </c>
      <c r="G391" s="238"/>
      <c r="H391" s="238"/>
      <c r="I391" s="238"/>
      <c r="J391" s="238"/>
      <c r="K391" s="284"/>
      <c r="L391" s="1"/>
    </row>
    <row r="392" spans="1:12" x14ac:dyDescent="0.25">
      <c r="A392" s="188"/>
      <c r="B392" s="163"/>
      <c r="C392" s="95" t="s">
        <v>197</v>
      </c>
      <c r="D392" s="96"/>
      <c r="E392" s="97">
        <v>0</v>
      </c>
      <c r="F392" s="301">
        <f>F391*Tabla33[[#This Row],[VALOR UNITARIO ]]</f>
        <v>0</v>
      </c>
      <c r="G392" s="238"/>
      <c r="H392" s="238"/>
      <c r="I392" s="238"/>
      <c r="J392" s="238"/>
      <c r="K392" s="284"/>
      <c r="L392" s="1"/>
    </row>
    <row r="393" spans="1:12" x14ac:dyDescent="0.25">
      <c r="A393" s="188"/>
      <c r="B393" s="163"/>
      <c r="C393" s="95" t="s">
        <v>198</v>
      </c>
      <c r="D393" s="96"/>
      <c r="E393" s="97">
        <v>0</v>
      </c>
      <c r="F393" s="301">
        <f>F391*Tabla33[[#This Row],[VALOR UNITARIO ]]</f>
        <v>0</v>
      </c>
      <c r="G393" s="238"/>
      <c r="H393" s="238"/>
      <c r="I393" s="238"/>
      <c r="J393" s="238"/>
      <c r="K393" s="284"/>
      <c r="L393" s="1"/>
    </row>
    <row r="394" spans="1:12" x14ac:dyDescent="0.25">
      <c r="A394" s="188"/>
      <c r="B394" s="163"/>
      <c r="C394" s="95" t="s">
        <v>199</v>
      </c>
      <c r="D394" s="96"/>
      <c r="E394" s="97">
        <v>0</v>
      </c>
      <c r="F394" s="301">
        <f>F391*Tabla33[[#This Row],[VALOR UNITARIO ]]</f>
        <v>0</v>
      </c>
      <c r="G394" s="238"/>
      <c r="H394" s="238"/>
      <c r="I394" s="238"/>
      <c r="J394" s="238"/>
      <c r="K394" s="284"/>
      <c r="L394" s="1"/>
    </row>
    <row r="395" spans="1:12" x14ac:dyDescent="0.25">
      <c r="A395" s="188"/>
      <c r="B395" s="163"/>
      <c r="C395" s="95" t="s">
        <v>200</v>
      </c>
      <c r="D395" s="96"/>
      <c r="E395" s="97">
        <v>0</v>
      </c>
      <c r="F395" s="301">
        <f>F394*Tabla33[[#This Row],[VALOR UNITARIO ]]</f>
        <v>0</v>
      </c>
      <c r="G395" s="238"/>
      <c r="H395" s="238"/>
      <c r="I395" s="238"/>
      <c r="J395" s="238"/>
      <c r="K395" s="284"/>
      <c r="L395" s="1"/>
    </row>
    <row r="396" spans="1:12" x14ac:dyDescent="0.25">
      <c r="A396" s="189"/>
      <c r="B396" s="165"/>
      <c r="C396" s="91" t="s">
        <v>201</v>
      </c>
      <c r="D396" s="100"/>
      <c r="E396" s="49"/>
      <c r="F396" s="300">
        <f>F391+F392++F393+F394+F395</f>
        <v>42234808.280000001</v>
      </c>
      <c r="G396" s="238"/>
      <c r="H396" s="238"/>
      <c r="I396" s="238"/>
      <c r="J396" s="238"/>
      <c r="K396" s="284"/>
      <c r="L396" s="304">
        <v>31316585</v>
      </c>
    </row>
    <row r="397" spans="1:12" x14ac:dyDescent="0.25">
      <c r="A397" s="101" t="s">
        <v>576</v>
      </c>
      <c r="B397" s="141" t="s">
        <v>577</v>
      </c>
      <c r="C397" s="142"/>
      <c r="D397" s="142"/>
      <c r="E397" s="142"/>
      <c r="F397" s="142"/>
      <c r="G397" s="238"/>
      <c r="H397" s="238"/>
      <c r="I397" s="238"/>
      <c r="J397" s="238"/>
      <c r="K397" s="284"/>
      <c r="L397" s="1"/>
    </row>
    <row r="398" spans="1:12" ht="48" x14ac:dyDescent="0.25">
      <c r="A398" s="9" t="s">
        <v>578</v>
      </c>
      <c r="B398" s="132" t="s">
        <v>527</v>
      </c>
      <c r="C398" s="191"/>
      <c r="D398" s="9"/>
      <c r="E398" s="9"/>
      <c r="F398" s="268"/>
      <c r="G398" s="238"/>
      <c r="H398" s="238"/>
      <c r="I398" s="238"/>
      <c r="J398" s="238"/>
      <c r="K398" s="284"/>
      <c r="L398" s="1"/>
    </row>
    <row r="399" spans="1:12" ht="132" x14ac:dyDescent="0.25">
      <c r="A399" s="179" t="s">
        <v>579</v>
      </c>
      <c r="B399" s="56" t="s">
        <v>529</v>
      </c>
      <c r="C399" s="86" t="s">
        <v>19</v>
      </c>
      <c r="D399" s="15">
        <v>33</v>
      </c>
      <c r="E399" s="286">
        <f>(ROUND(183588*1.1312,0))*1.0928</f>
        <v>226947.24</v>
      </c>
      <c r="F399" s="39">
        <f>Tabla33[[#This Row],[CANTIDAD ]]*Tabla33[[#This Row],[VALOR UNITARIO ]]</f>
        <v>7489258.9199999999</v>
      </c>
      <c r="G399" s="238"/>
      <c r="H399" s="238"/>
      <c r="I399" s="238"/>
      <c r="J399" s="238"/>
      <c r="K399" s="284" t="s">
        <v>793</v>
      </c>
      <c r="L399" s="1"/>
    </row>
    <row r="400" spans="1:12" ht="132" x14ac:dyDescent="0.25">
      <c r="A400" s="20" t="s">
        <v>580</v>
      </c>
      <c r="B400" s="24" t="s">
        <v>531</v>
      </c>
      <c r="C400" s="22" t="s">
        <v>19</v>
      </c>
      <c r="D400" s="123">
        <v>33</v>
      </c>
      <c r="E400" s="313"/>
      <c r="F400" s="39">
        <f>Tabla33[[#This Row],[CANTIDAD ]]*Tabla33[[#This Row],[VALOR UNITARIO ]]</f>
        <v>0</v>
      </c>
      <c r="G400" s="238"/>
      <c r="H400" s="238"/>
      <c r="I400" s="238"/>
      <c r="J400" s="238"/>
      <c r="K400" s="284"/>
      <c r="L400" s="1"/>
    </row>
    <row r="401" spans="1:12" ht="108" x14ac:dyDescent="0.25">
      <c r="A401" s="179" t="s">
        <v>581</v>
      </c>
      <c r="B401" s="24" t="s">
        <v>582</v>
      </c>
      <c r="C401" s="22" t="s">
        <v>14</v>
      </c>
      <c r="D401" s="123">
        <v>5</v>
      </c>
      <c r="E401" s="313"/>
      <c r="F401" s="39">
        <f>Tabla33[[#This Row],[CANTIDAD ]]*Tabla33[[#This Row],[VALOR UNITARIO ]]</f>
        <v>0</v>
      </c>
      <c r="G401" s="238"/>
      <c r="H401" s="238"/>
      <c r="I401" s="238"/>
      <c r="J401" s="238"/>
      <c r="K401" s="284"/>
      <c r="L401" s="1"/>
    </row>
    <row r="402" spans="1:12" ht="60" x14ac:dyDescent="0.25">
      <c r="A402" s="20" t="s">
        <v>583</v>
      </c>
      <c r="B402" s="24" t="s">
        <v>533</v>
      </c>
      <c r="C402" s="22" t="s">
        <v>19</v>
      </c>
      <c r="D402" s="123">
        <v>20</v>
      </c>
      <c r="E402" s="263">
        <f>ROUND(6305*1.0928,0)</f>
        <v>6890</v>
      </c>
      <c r="F402" s="39">
        <f>Tabla33[[#This Row],[CANTIDAD ]]*Tabla33[[#This Row],[VALOR UNITARIO ]]</f>
        <v>137800</v>
      </c>
      <c r="G402" s="238"/>
      <c r="H402" s="238"/>
      <c r="I402" s="238"/>
      <c r="J402" s="238"/>
      <c r="K402" s="284" t="s">
        <v>791</v>
      </c>
      <c r="L402" s="1"/>
    </row>
    <row r="403" spans="1:12" ht="120" x14ac:dyDescent="0.25">
      <c r="A403" s="179" t="s">
        <v>584</v>
      </c>
      <c r="B403" s="24" t="s">
        <v>585</v>
      </c>
      <c r="C403" s="22" t="s">
        <v>19</v>
      </c>
      <c r="D403" s="123">
        <v>33</v>
      </c>
      <c r="E403" s="313"/>
      <c r="F403" s="39">
        <f>Tabla33[[#This Row],[CANTIDAD ]]*Tabla33[[#This Row],[VALOR UNITARIO ]]</f>
        <v>0</v>
      </c>
      <c r="G403" s="238"/>
      <c r="H403" s="238"/>
      <c r="I403" s="238"/>
      <c r="J403" s="238"/>
      <c r="K403" s="284"/>
      <c r="L403" s="1"/>
    </row>
    <row r="404" spans="1:12" ht="84" x14ac:dyDescent="0.25">
      <c r="A404" s="20" t="s">
        <v>586</v>
      </c>
      <c r="B404" s="48" t="s">
        <v>587</v>
      </c>
      <c r="C404" s="49" t="s">
        <v>19</v>
      </c>
      <c r="D404" s="150">
        <v>33</v>
      </c>
      <c r="E404" s="4"/>
      <c r="F404" s="39">
        <f>Tabla33[[#This Row],[CANTIDAD ]]*Tabla33[[#This Row],[VALOR UNITARIO ]]</f>
        <v>0</v>
      </c>
      <c r="G404" s="238"/>
      <c r="H404" s="238"/>
      <c r="I404" s="238"/>
      <c r="J404" s="238"/>
      <c r="K404" s="284"/>
      <c r="L404" s="1"/>
    </row>
    <row r="405" spans="1:12" ht="180" x14ac:dyDescent="0.25">
      <c r="A405" s="20" t="s">
        <v>588</v>
      </c>
      <c r="B405" s="24" t="s">
        <v>86</v>
      </c>
      <c r="C405" s="22" t="s">
        <v>19</v>
      </c>
      <c r="D405" s="123">
        <v>20</v>
      </c>
      <c r="E405" s="263">
        <f>ROUND(39910*1.0928,0)</f>
        <v>43614</v>
      </c>
      <c r="F405" s="39">
        <f>Tabla33[[#This Row],[CANTIDAD ]]*Tabla33[[#This Row],[VALOR UNITARIO ]]</f>
        <v>872280</v>
      </c>
      <c r="G405" s="238"/>
      <c r="H405" s="238"/>
      <c r="I405" s="238"/>
      <c r="J405" s="238"/>
      <c r="K405" s="284" t="s">
        <v>791</v>
      </c>
      <c r="L405" s="1"/>
    </row>
    <row r="406" spans="1:12" x14ac:dyDescent="0.25">
      <c r="A406" s="9" t="s">
        <v>589</v>
      </c>
      <c r="B406" s="193" t="s">
        <v>590</v>
      </c>
      <c r="C406" s="9"/>
      <c r="D406" s="9"/>
      <c r="E406" s="9"/>
      <c r="F406" s="268"/>
      <c r="G406" s="238"/>
      <c r="H406" s="238"/>
      <c r="I406" s="238"/>
      <c r="J406" s="238"/>
      <c r="K406" s="284"/>
      <c r="L406" s="1"/>
    </row>
    <row r="407" spans="1:12" ht="84" x14ac:dyDescent="0.25">
      <c r="A407" s="179" t="s">
        <v>591</v>
      </c>
      <c r="B407" s="199" t="s">
        <v>592</v>
      </c>
      <c r="C407" s="200" t="s">
        <v>14</v>
      </c>
      <c r="D407" s="15">
        <v>20</v>
      </c>
      <c r="E407" s="140"/>
      <c r="F407" s="39">
        <f>Tabla33[[#This Row],[CANTIDAD ]]*Tabla33[[#This Row],[VALOR UNITARIO ]]</f>
        <v>0</v>
      </c>
      <c r="G407" s="238"/>
      <c r="H407" s="238"/>
      <c r="I407" s="238"/>
      <c r="J407" s="238"/>
      <c r="K407" s="284"/>
      <c r="L407" s="1"/>
    </row>
    <row r="408" spans="1:12" ht="60" x14ac:dyDescent="0.25">
      <c r="A408" s="179" t="s">
        <v>593</v>
      </c>
      <c r="B408" s="87" t="s">
        <v>84</v>
      </c>
      <c r="C408" s="75" t="s">
        <v>19</v>
      </c>
      <c r="D408" s="123">
        <v>50</v>
      </c>
      <c r="E408" s="263">
        <f>ROUND(6305*1.0928,0)</f>
        <v>6890</v>
      </c>
      <c r="F408" s="39">
        <f>Tabla33[[#This Row],[CANTIDAD ]]*Tabla33[[#This Row],[VALOR UNITARIO ]]</f>
        <v>344500</v>
      </c>
      <c r="G408" s="238"/>
      <c r="H408" s="238"/>
      <c r="I408" s="238"/>
      <c r="J408" s="238"/>
      <c r="K408" s="284" t="s">
        <v>791</v>
      </c>
      <c r="L408" s="1"/>
    </row>
    <row r="409" spans="1:12" ht="180" x14ac:dyDescent="0.25">
      <c r="A409" s="179" t="s">
        <v>594</v>
      </c>
      <c r="B409" s="24" t="s">
        <v>86</v>
      </c>
      <c r="C409" s="22" t="s">
        <v>19</v>
      </c>
      <c r="D409" s="123">
        <v>50</v>
      </c>
      <c r="E409" s="263">
        <f>ROUND(39910*1.0928,0)</f>
        <v>43614</v>
      </c>
      <c r="F409" s="39">
        <f>Tabla33[[#This Row],[CANTIDAD ]]*Tabla33[[#This Row],[VALOR UNITARIO ]]</f>
        <v>2180700</v>
      </c>
      <c r="G409" s="238"/>
      <c r="H409" s="238"/>
      <c r="I409" s="238"/>
      <c r="J409" s="238"/>
      <c r="K409" s="284" t="s">
        <v>791</v>
      </c>
      <c r="L409" s="1"/>
    </row>
    <row r="410" spans="1:12" ht="48" x14ac:dyDescent="0.25">
      <c r="A410" s="179" t="s">
        <v>595</v>
      </c>
      <c r="B410" s="24" t="s">
        <v>88</v>
      </c>
      <c r="C410" s="22" t="s">
        <v>19</v>
      </c>
      <c r="D410" s="123">
        <v>80</v>
      </c>
      <c r="E410" s="263">
        <f>ROUND(22520*1.0928,0)</f>
        <v>24610</v>
      </c>
      <c r="F410" s="39">
        <f>Tabla33[[#This Row],[CANTIDAD ]]*Tabla33[[#This Row],[VALOR UNITARIO ]]</f>
        <v>1968800</v>
      </c>
      <c r="G410" s="238"/>
      <c r="H410" s="238"/>
      <c r="I410" s="238"/>
      <c r="J410" s="238"/>
      <c r="K410" s="284" t="s">
        <v>791</v>
      </c>
      <c r="L410" s="1"/>
    </row>
    <row r="411" spans="1:12" ht="48" x14ac:dyDescent="0.25">
      <c r="A411" s="20" t="s">
        <v>596</v>
      </c>
      <c r="B411" s="24" t="s">
        <v>90</v>
      </c>
      <c r="C411" s="22" t="s">
        <v>19</v>
      </c>
      <c r="D411" s="123">
        <v>114</v>
      </c>
      <c r="E411" s="313"/>
      <c r="F411" s="39">
        <f>Tabla33[[#This Row],[CANTIDAD ]]*Tabla33[[#This Row],[VALOR UNITARIO ]]</f>
        <v>0</v>
      </c>
      <c r="G411" s="238"/>
      <c r="H411" s="238"/>
      <c r="I411" s="238"/>
      <c r="J411" s="238"/>
      <c r="K411" s="284"/>
      <c r="L411" s="1"/>
    </row>
    <row r="412" spans="1:12" ht="48" x14ac:dyDescent="0.25">
      <c r="A412" s="179" t="s">
        <v>597</v>
      </c>
      <c r="B412" s="24" t="s">
        <v>92</v>
      </c>
      <c r="C412" s="22" t="s">
        <v>19</v>
      </c>
      <c r="D412" s="123">
        <v>23</v>
      </c>
      <c r="E412" s="263">
        <f>ROUND(15561*1.0928,0)</f>
        <v>17005</v>
      </c>
      <c r="F412" s="39">
        <f>Tabla33[[#This Row],[CANTIDAD ]]*Tabla33[[#This Row],[VALOR UNITARIO ]]</f>
        <v>391115</v>
      </c>
      <c r="G412" s="238"/>
      <c r="H412" s="238"/>
      <c r="I412" s="238"/>
      <c r="J412" s="238"/>
      <c r="K412" s="284" t="s">
        <v>791</v>
      </c>
      <c r="L412" s="1"/>
    </row>
    <row r="413" spans="1:12" ht="48" x14ac:dyDescent="0.25">
      <c r="A413" s="20" t="s">
        <v>598</v>
      </c>
      <c r="B413" s="24" t="s">
        <v>94</v>
      </c>
      <c r="C413" s="22" t="s">
        <v>19</v>
      </c>
      <c r="D413" s="123">
        <v>6</v>
      </c>
      <c r="E413" s="313"/>
      <c r="F413" s="39">
        <f>Tabla33[[#This Row],[CANTIDAD ]]*Tabla33[[#This Row],[VALOR UNITARIO ]]</f>
        <v>0</v>
      </c>
      <c r="G413" s="238"/>
      <c r="H413" s="238"/>
      <c r="I413" s="238"/>
      <c r="J413" s="238"/>
      <c r="K413" s="284"/>
      <c r="L413" s="1"/>
    </row>
    <row r="414" spans="1:12" ht="60" x14ac:dyDescent="0.25">
      <c r="A414" s="179" t="s">
        <v>599</v>
      </c>
      <c r="B414" s="24" t="s">
        <v>84</v>
      </c>
      <c r="C414" s="22" t="s">
        <v>14</v>
      </c>
      <c r="D414" s="123">
        <v>3</v>
      </c>
      <c r="E414" s="313"/>
      <c r="F414" s="39">
        <f>Tabla33[[#This Row],[CANTIDAD ]]*Tabla33[[#This Row],[VALOR UNITARIO ]]</f>
        <v>0</v>
      </c>
      <c r="G414" s="238"/>
      <c r="H414" s="238"/>
      <c r="I414" s="238"/>
      <c r="J414" s="238"/>
      <c r="K414" s="284"/>
      <c r="L414" s="1"/>
    </row>
    <row r="415" spans="1:12" ht="180" x14ac:dyDescent="0.25">
      <c r="A415" s="20" t="s">
        <v>600</v>
      </c>
      <c r="B415" s="24" t="s">
        <v>86</v>
      </c>
      <c r="C415" s="22" t="s">
        <v>14</v>
      </c>
      <c r="D415" s="123">
        <v>3</v>
      </c>
      <c r="E415" s="313"/>
      <c r="F415" s="39">
        <f>Tabla33[[#This Row],[CANTIDAD ]]*Tabla33[[#This Row],[VALOR UNITARIO ]]</f>
        <v>0</v>
      </c>
      <c r="G415" s="238"/>
      <c r="H415" s="238"/>
      <c r="I415" s="238"/>
      <c r="J415" s="238"/>
      <c r="K415" s="284"/>
      <c r="L415" s="1"/>
    </row>
    <row r="416" spans="1:12" ht="48" x14ac:dyDescent="0.25">
      <c r="A416" s="179" t="s">
        <v>601</v>
      </c>
      <c r="B416" s="24" t="s">
        <v>88</v>
      </c>
      <c r="C416" s="22" t="s">
        <v>14</v>
      </c>
      <c r="D416" s="123">
        <v>3</v>
      </c>
      <c r="E416" s="296">
        <f>ROUND(12295*1.0928,0)</f>
        <v>13436</v>
      </c>
      <c r="F416" s="39">
        <f>Tabla33[[#This Row],[CANTIDAD ]]*Tabla33[[#This Row],[VALOR UNITARIO ]]</f>
        <v>40308</v>
      </c>
      <c r="G416" s="238"/>
      <c r="H416" s="238"/>
      <c r="I416" s="238"/>
      <c r="J416" s="238"/>
      <c r="K416" s="284" t="s">
        <v>791</v>
      </c>
      <c r="L416" s="1"/>
    </row>
    <row r="417" spans="1:12" ht="48" x14ac:dyDescent="0.25">
      <c r="A417" s="20" t="s">
        <v>602</v>
      </c>
      <c r="B417" s="24" t="s">
        <v>98</v>
      </c>
      <c r="C417" s="22" t="s">
        <v>14</v>
      </c>
      <c r="D417" s="123">
        <v>3</v>
      </c>
      <c r="E417" s="313"/>
      <c r="F417" s="39">
        <f>Tabla33[[#This Row],[CANTIDAD ]]*Tabla33[[#This Row],[VALOR UNITARIO ]]</f>
        <v>0</v>
      </c>
      <c r="G417" s="238"/>
      <c r="H417" s="238"/>
      <c r="I417" s="238"/>
      <c r="J417" s="238"/>
      <c r="K417" s="284"/>
      <c r="L417" s="1"/>
    </row>
    <row r="418" spans="1:12" ht="48" x14ac:dyDescent="0.25">
      <c r="A418" s="179" t="s">
        <v>603</v>
      </c>
      <c r="B418" s="48" t="s">
        <v>92</v>
      </c>
      <c r="C418" s="49" t="s">
        <v>14</v>
      </c>
      <c r="D418" s="150">
        <v>3</v>
      </c>
      <c r="E418" s="4"/>
      <c r="F418" s="39">
        <f>Tabla33[[#This Row],[CANTIDAD ]]*Tabla33[[#This Row],[VALOR UNITARIO ]]</f>
        <v>0</v>
      </c>
      <c r="G418" s="238"/>
      <c r="H418" s="238"/>
      <c r="I418" s="238"/>
      <c r="J418" s="238"/>
      <c r="K418" s="284"/>
      <c r="L418" s="1"/>
    </row>
    <row r="419" spans="1:12" ht="24" x14ac:dyDescent="0.25">
      <c r="A419" s="182" t="s">
        <v>604</v>
      </c>
      <c r="B419" s="201" t="s">
        <v>605</v>
      </c>
      <c r="C419" s="202"/>
      <c r="D419" s="9"/>
      <c r="E419" s="9"/>
      <c r="F419" s="268"/>
      <c r="G419" s="238"/>
      <c r="H419" s="238"/>
      <c r="I419" s="238"/>
      <c r="J419" s="238"/>
      <c r="K419" s="284"/>
      <c r="L419" s="1"/>
    </row>
    <row r="420" spans="1:12" ht="48" x14ac:dyDescent="0.25">
      <c r="A420" s="179" t="s">
        <v>606</v>
      </c>
      <c r="B420" s="194" t="s">
        <v>607</v>
      </c>
      <c r="C420" s="200" t="s">
        <v>19</v>
      </c>
      <c r="D420" s="15">
        <v>30</v>
      </c>
      <c r="E420" s="314">
        <f>ROUND(8827*1.0928,0)</f>
        <v>9646</v>
      </c>
      <c r="F420" s="39">
        <f>Tabla33[[#This Row],[CANTIDAD ]]*Tabla33[[#This Row],[VALOR UNITARIO ]]</f>
        <v>289380</v>
      </c>
      <c r="G420" s="238"/>
      <c r="H420" s="238"/>
      <c r="I420" s="238"/>
      <c r="J420" s="238"/>
      <c r="K420" s="284" t="s">
        <v>790</v>
      </c>
      <c r="L420" s="1"/>
    </row>
    <row r="421" spans="1:12" ht="84" x14ac:dyDescent="0.25">
      <c r="A421" s="179" t="s">
        <v>608</v>
      </c>
      <c r="B421" s="203" t="s">
        <v>609</v>
      </c>
      <c r="C421" s="204" t="s">
        <v>19</v>
      </c>
      <c r="D421" s="123">
        <v>30</v>
      </c>
      <c r="E421" s="314">
        <f>ROUND(55100*1.0928,0)</f>
        <v>60213</v>
      </c>
      <c r="F421" s="39">
        <f>Tabla33[[#This Row],[CANTIDAD ]]*Tabla33[[#This Row],[VALOR UNITARIO ]]</f>
        <v>1806390</v>
      </c>
      <c r="G421" s="238"/>
      <c r="H421" s="238"/>
      <c r="I421" s="238"/>
      <c r="J421" s="238"/>
      <c r="K421" s="284" t="s">
        <v>790</v>
      </c>
      <c r="L421" s="1"/>
    </row>
    <row r="422" spans="1:12" x14ac:dyDescent="0.25">
      <c r="A422" s="179" t="s">
        <v>610</v>
      </c>
      <c r="B422" s="154" t="s">
        <v>59</v>
      </c>
      <c r="C422" s="205" t="s">
        <v>14</v>
      </c>
      <c r="D422" s="180">
        <v>23</v>
      </c>
      <c r="E422" s="263">
        <f>ROUND(13500*1.0928,0)</f>
        <v>14753</v>
      </c>
      <c r="F422" s="39">
        <f>Tabla33[[#This Row],[CANTIDAD ]]*Tabla33[[#This Row],[VALOR UNITARIO ]]</f>
        <v>339319</v>
      </c>
      <c r="G422" s="238"/>
      <c r="H422" s="238"/>
      <c r="I422" s="238"/>
      <c r="J422" s="238"/>
      <c r="K422" s="284" t="s">
        <v>791</v>
      </c>
      <c r="L422" s="1"/>
    </row>
    <row r="423" spans="1:12" ht="108" x14ac:dyDescent="0.25">
      <c r="A423" s="179" t="s">
        <v>611</v>
      </c>
      <c r="B423" s="48" t="s">
        <v>61</v>
      </c>
      <c r="C423" s="49" t="s">
        <v>14</v>
      </c>
      <c r="D423" s="181">
        <v>23</v>
      </c>
      <c r="E423" s="310"/>
      <c r="F423" s="39">
        <f>Tabla33[[#This Row],[CANTIDAD ]]*Tabla33[[#This Row],[VALOR UNITARIO ]]</f>
        <v>0</v>
      </c>
      <c r="G423" s="238"/>
      <c r="H423" s="238"/>
      <c r="I423" s="238"/>
      <c r="J423" s="238"/>
      <c r="K423" s="284"/>
      <c r="L423" s="1"/>
    </row>
    <row r="424" spans="1:12" x14ac:dyDescent="0.25">
      <c r="A424" s="143" t="s">
        <v>612</v>
      </c>
      <c r="B424" s="8" t="s">
        <v>294</v>
      </c>
      <c r="C424" s="35"/>
      <c r="D424" s="177"/>
      <c r="E424" s="119"/>
      <c r="F424" s="268"/>
      <c r="G424" s="238"/>
      <c r="H424" s="238"/>
      <c r="I424" s="238"/>
      <c r="J424" s="238"/>
      <c r="K424" s="284"/>
      <c r="L424" s="1"/>
    </row>
    <row r="425" spans="1:12" ht="72" x14ac:dyDescent="0.25">
      <c r="A425" s="179" t="s">
        <v>613</v>
      </c>
      <c r="B425" s="56" t="s">
        <v>614</v>
      </c>
      <c r="C425" s="200" t="s">
        <v>19</v>
      </c>
      <c r="D425" s="178">
        <v>30</v>
      </c>
      <c r="E425" s="315">
        <f>ROUND(51400*1.0928,0)</f>
        <v>56170</v>
      </c>
      <c r="F425" s="39">
        <f>Tabla33[[#This Row],[CANTIDAD ]]*Tabla33[[#This Row],[VALOR UNITARIO ]]</f>
        <v>1685100</v>
      </c>
      <c r="G425" s="238"/>
      <c r="H425" s="238"/>
      <c r="I425" s="238"/>
      <c r="J425" s="238"/>
      <c r="K425" s="284" t="s">
        <v>790</v>
      </c>
      <c r="L425" s="1"/>
    </row>
    <row r="426" spans="1:12" ht="24" x14ac:dyDescent="0.25">
      <c r="A426" s="186" t="s">
        <v>615</v>
      </c>
      <c r="B426" s="48" t="s">
        <v>195</v>
      </c>
      <c r="C426" s="204" t="s">
        <v>19</v>
      </c>
      <c r="D426" s="178">
        <v>30</v>
      </c>
      <c r="E426" s="263">
        <f>ROUND(4850*1.0928,0)</f>
        <v>5300</v>
      </c>
      <c r="F426" s="39">
        <f>Tabla33[[#This Row],[CANTIDAD ]]*Tabla33[[#This Row],[VALOR UNITARIO ]]</f>
        <v>159000</v>
      </c>
      <c r="G426" s="238"/>
      <c r="H426" s="238"/>
      <c r="I426" s="238"/>
      <c r="J426" s="238"/>
      <c r="K426" s="284" t="s">
        <v>791</v>
      </c>
      <c r="L426" s="1"/>
    </row>
    <row r="427" spans="1:12" x14ac:dyDescent="0.25">
      <c r="A427" s="187"/>
      <c r="B427" s="161"/>
      <c r="C427" s="108" t="s">
        <v>196</v>
      </c>
      <c r="D427" s="109"/>
      <c r="E427" s="22"/>
      <c r="F427" s="300">
        <f>SUBTOTAL(109,F398:F426)</f>
        <v>17703950.920000002</v>
      </c>
      <c r="G427" s="238"/>
      <c r="H427" s="238"/>
      <c r="I427" s="238"/>
      <c r="J427" s="238"/>
      <c r="K427" s="284"/>
      <c r="L427" s="1"/>
    </row>
    <row r="428" spans="1:12" x14ac:dyDescent="0.25">
      <c r="A428" s="188"/>
      <c r="B428" s="163"/>
      <c r="C428" s="95" t="s">
        <v>197</v>
      </c>
      <c r="D428" s="96"/>
      <c r="E428" s="97">
        <v>0</v>
      </c>
      <c r="F428" s="301">
        <f>F427*Tabla33[[#This Row],[VALOR UNITARIO ]]</f>
        <v>0</v>
      </c>
      <c r="G428" s="238"/>
      <c r="H428" s="238"/>
      <c r="I428" s="238"/>
      <c r="J428" s="238"/>
      <c r="K428" s="284"/>
      <c r="L428" s="1"/>
    </row>
    <row r="429" spans="1:12" x14ac:dyDescent="0.25">
      <c r="A429" s="188"/>
      <c r="B429" s="163"/>
      <c r="C429" s="95" t="s">
        <v>198</v>
      </c>
      <c r="D429" s="96"/>
      <c r="E429" s="97">
        <v>0</v>
      </c>
      <c r="F429" s="301">
        <f>F427*Tabla33[[#This Row],[VALOR UNITARIO ]]</f>
        <v>0</v>
      </c>
      <c r="G429" s="238"/>
      <c r="H429" s="238"/>
      <c r="I429" s="238"/>
      <c r="J429" s="238"/>
      <c r="K429" s="284"/>
      <c r="L429" s="1"/>
    </row>
    <row r="430" spans="1:12" x14ac:dyDescent="0.25">
      <c r="A430" s="188"/>
      <c r="B430" s="163"/>
      <c r="C430" s="95" t="s">
        <v>199</v>
      </c>
      <c r="D430" s="96"/>
      <c r="E430" s="97">
        <v>0</v>
      </c>
      <c r="F430" s="301">
        <f>F427*Tabla33[[#This Row],[VALOR UNITARIO ]]</f>
        <v>0</v>
      </c>
      <c r="G430" s="238"/>
      <c r="H430" s="238"/>
      <c r="I430" s="238"/>
      <c r="J430" s="238"/>
      <c r="K430" s="284"/>
      <c r="L430" s="1"/>
    </row>
    <row r="431" spans="1:12" x14ac:dyDescent="0.25">
      <c r="A431" s="188"/>
      <c r="B431" s="163"/>
      <c r="C431" s="95" t="s">
        <v>200</v>
      </c>
      <c r="D431" s="96"/>
      <c r="E431" s="97">
        <v>0</v>
      </c>
      <c r="F431" s="301">
        <f>F430*Tabla33[[#This Row],[VALOR UNITARIO ]]</f>
        <v>0</v>
      </c>
      <c r="G431" s="238"/>
      <c r="H431" s="238"/>
      <c r="I431" s="238"/>
      <c r="J431" s="238"/>
      <c r="K431" s="284"/>
      <c r="L431" s="1"/>
    </row>
    <row r="432" spans="1:12" x14ac:dyDescent="0.25">
      <c r="A432" s="189"/>
      <c r="B432" s="165"/>
      <c r="C432" s="91" t="s">
        <v>201</v>
      </c>
      <c r="D432" s="100"/>
      <c r="E432" s="49"/>
      <c r="F432" s="300">
        <f>F427+F428++F429+F430+F431</f>
        <v>17703950.920000002</v>
      </c>
      <c r="G432" s="238"/>
      <c r="H432" s="238"/>
      <c r="I432" s="238"/>
      <c r="J432" s="238"/>
      <c r="K432" s="284"/>
      <c r="L432" s="304">
        <v>15580281</v>
      </c>
    </row>
    <row r="433" spans="1:12" x14ac:dyDescent="0.25">
      <c r="A433" s="206" t="s">
        <v>616</v>
      </c>
      <c r="B433" s="207" t="s">
        <v>617</v>
      </c>
      <c r="C433" s="142"/>
      <c r="D433" s="142"/>
      <c r="E433" s="142"/>
      <c r="F433" s="142"/>
      <c r="G433" s="238"/>
      <c r="H433" s="238"/>
      <c r="I433" s="238"/>
      <c r="J433" s="238"/>
      <c r="K433" s="284"/>
      <c r="L433" s="1"/>
    </row>
    <row r="434" spans="1:12" x14ac:dyDescent="0.25">
      <c r="A434" s="143" t="s">
        <v>618</v>
      </c>
      <c r="B434" s="193" t="s">
        <v>619</v>
      </c>
      <c r="C434" s="208"/>
      <c r="D434" s="9"/>
      <c r="E434" s="9"/>
      <c r="F434" s="268"/>
      <c r="G434" s="238"/>
      <c r="H434" s="238"/>
      <c r="I434" s="238"/>
      <c r="J434" s="238"/>
      <c r="K434" s="284"/>
      <c r="L434" s="1"/>
    </row>
    <row r="435" spans="1:12" ht="156" x14ac:dyDescent="0.25">
      <c r="A435" s="123" t="s">
        <v>620</v>
      </c>
      <c r="B435" s="56" t="s">
        <v>621</v>
      </c>
      <c r="C435" s="57" t="s">
        <v>19</v>
      </c>
      <c r="D435" s="15">
        <v>17</v>
      </c>
      <c r="E435" s="140"/>
      <c r="F435" s="39">
        <f>Tabla33[[#This Row],[CANTIDAD ]]*Tabla33[[#This Row],[VALOR UNITARIO ]]</f>
        <v>0</v>
      </c>
      <c r="G435" s="238"/>
      <c r="H435" s="238"/>
      <c r="I435" s="238"/>
      <c r="J435" s="238"/>
      <c r="K435" s="284"/>
      <c r="L435" s="1"/>
    </row>
    <row r="436" spans="1:12" ht="180" x14ac:dyDescent="0.25">
      <c r="A436" s="123" t="s">
        <v>622</v>
      </c>
      <c r="B436" s="27" t="s">
        <v>86</v>
      </c>
      <c r="C436" s="200" t="s">
        <v>19</v>
      </c>
      <c r="D436" s="123">
        <v>10</v>
      </c>
      <c r="E436" s="263">
        <f>ROUND(39910*1.0928,0)</f>
        <v>43614</v>
      </c>
      <c r="F436" s="39">
        <f>Tabla33[[#This Row],[CANTIDAD ]]*Tabla33[[#This Row],[VALOR UNITARIO ]]</f>
        <v>436140</v>
      </c>
      <c r="G436" s="238"/>
      <c r="H436" s="238"/>
      <c r="I436" s="238"/>
      <c r="J436" s="238"/>
      <c r="K436" s="284" t="s">
        <v>791</v>
      </c>
      <c r="L436" s="1"/>
    </row>
    <row r="437" spans="1:12" ht="60" x14ac:dyDescent="0.25">
      <c r="A437" s="123" t="s">
        <v>623</v>
      </c>
      <c r="B437" s="24" t="s">
        <v>533</v>
      </c>
      <c r="C437" s="22" t="s">
        <v>19</v>
      </c>
      <c r="D437" s="123">
        <v>10</v>
      </c>
      <c r="E437" s="263">
        <f>ROUND(6305*1.0928,0)</f>
        <v>6890</v>
      </c>
      <c r="F437" s="39">
        <f>Tabla33[[#This Row],[CANTIDAD ]]*Tabla33[[#This Row],[VALOR UNITARIO ]]</f>
        <v>68900</v>
      </c>
      <c r="G437" s="238"/>
      <c r="H437" s="238"/>
      <c r="I437" s="238"/>
      <c r="J437" s="238"/>
      <c r="K437" s="284" t="s">
        <v>791</v>
      </c>
      <c r="L437" s="1"/>
    </row>
    <row r="438" spans="1:12" ht="72" x14ac:dyDescent="0.25">
      <c r="A438" s="123" t="s">
        <v>624</v>
      </c>
      <c r="B438" s="24" t="s">
        <v>536</v>
      </c>
      <c r="C438" s="22" t="s">
        <v>19</v>
      </c>
      <c r="D438" s="123">
        <v>17</v>
      </c>
      <c r="E438" s="313"/>
      <c r="F438" s="39">
        <f>Tabla33[[#This Row],[CANTIDAD ]]*Tabla33[[#This Row],[VALOR UNITARIO ]]</f>
        <v>0</v>
      </c>
      <c r="G438" s="238"/>
      <c r="H438" s="238"/>
      <c r="I438" s="238"/>
      <c r="J438" s="238"/>
      <c r="K438" s="284"/>
      <c r="L438" s="1"/>
    </row>
    <row r="439" spans="1:12" ht="156" x14ac:dyDescent="0.25">
      <c r="A439" s="123" t="s">
        <v>625</v>
      </c>
      <c r="B439" s="24" t="s">
        <v>538</v>
      </c>
      <c r="C439" s="22" t="s">
        <v>19</v>
      </c>
      <c r="D439" s="150">
        <v>17</v>
      </c>
      <c r="E439" s="4"/>
      <c r="F439" s="39">
        <f>Tabla33[[#This Row],[CANTIDAD ]]*Tabla33[[#This Row],[VALOR UNITARIO ]]</f>
        <v>0</v>
      </c>
      <c r="G439" s="238"/>
      <c r="H439" s="238"/>
      <c r="I439" s="238"/>
      <c r="J439" s="238"/>
      <c r="K439" s="284"/>
      <c r="L439" s="1"/>
    </row>
    <row r="440" spans="1:12" x14ac:dyDescent="0.25">
      <c r="A440" s="9" t="s">
        <v>626</v>
      </c>
      <c r="B440" s="193" t="s">
        <v>627</v>
      </c>
      <c r="C440" s="9"/>
      <c r="D440" s="9"/>
      <c r="E440" s="9"/>
      <c r="F440" s="268"/>
      <c r="G440" s="238"/>
      <c r="H440" s="238"/>
      <c r="I440" s="238"/>
      <c r="J440" s="238"/>
      <c r="K440" s="284"/>
      <c r="L440" s="1"/>
    </row>
    <row r="441" spans="1:12" ht="60" x14ac:dyDescent="0.25">
      <c r="A441" s="179" t="s">
        <v>628</v>
      </c>
      <c r="B441" s="87" t="s">
        <v>84</v>
      </c>
      <c r="C441" s="75" t="s">
        <v>19</v>
      </c>
      <c r="D441" s="178">
        <v>192</v>
      </c>
      <c r="E441" s="263">
        <f>ROUND(6305*1.0928,0)</f>
        <v>6890</v>
      </c>
      <c r="F441" s="39">
        <f>Tabla33[[#This Row],[CANTIDAD ]]*Tabla33[[#This Row],[VALOR UNITARIO ]]</f>
        <v>1322880</v>
      </c>
      <c r="G441" s="238"/>
      <c r="H441" s="238"/>
      <c r="I441" s="238"/>
      <c r="J441" s="238"/>
      <c r="K441" s="284" t="s">
        <v>791</v>
      </c>
      <c r="L441" s="1"/>
    </row>
    <row r="442" spans="1:12" ht="180" x14ac:dyDescent="0.25">
      <c r="A442" s="179" t="s">
        <v>629</v>
      </c>
      <c r="B442" s="46" t="s">
        <v>86</v>
      </c>
      <c r="C442" s="45" t="s">
        <v>19</v>
      </c>
      <c r="D442" s="178">
        <v>192</v>
      </c>
      <c r="E442" s="263">
        <f>ROUND(39910*1.0928,0)</f>
        <v>43614</v>
      </c>
      <c r="F442" s="39">
        <f>Tabla33[[#This Row],[CANTIDAD ]]*Tabla33[[#This Row],[VALOR UNITARIO ]]</f>
        <v>8373888</v>
      </c>
      <c r="G442" s="238"/>
      <c r="H442" s="238"/>
      <c r="I442" s="238"/>
      <c r="J442" s="238"/>
      <c r="K442" s="284" t="s">
        <v>791</v>
      </c>
      <c r="L442" s="1"/>
    </row>
    <row r="443" spans="1:12" ht="48" x14ac:dyDescent="0.25">
      <c r="A443" s="179" t="s">
        <v>630</v>
      </c>
      <c r="B443" s="46" t="s">
        <v>88</v>
      </c>
      <c r="C443" s="45" t="s">
        <v>19</v>
      </c>
      <c r="D443" s="178">
        <v>274</v>
      </c>
      <c r="E443" s="263">
        <f>ROUND(22520*1.0928,0)</f>
        <v>24610</v>
      </c>
      <c r="F443" s="39">
        <f>Tabla33[[#This Row],[CANTIDAD ]]*Tabla33[[#This Row],[VALOR UNITARIO ]]</f>
        <v>6743140</v>
      </c>
      <c r="G443" s="238"/>
      <c r="H443" s="238"/>
      <c r="I443" s="238"/>
      <c r="J443" s="238"/>
      <c r="K443" s="284" t="s">
        <v>791</v>
      </c>
      <c r="L443" s="1"/>
    </row>
    <row r="444" spans="1:12" ht="48" x14ac:dyDescent="0.25">
      <c r="A444" s="179" t="s">
        <v>631</v>
      </c>
      <c r="B444" s="40" t="s">
        <v>632</v>
      </c>
      <c r="C444" s="45" t="s">
        <v>19</v>
      </c>
      <c r="D444" s="178">
        <v>274</v>
      </c>
      <c r="E444" s="180"/>
      <c r="F444" s="39">
        <f>Tabla33[[#This Row],[CANTIDAD ]]*Tabla33[[#This Row],[VALOR UNITARIO ]]</f>
        <v>0</v>
      </c>
      <c r="G444" s="238"/>
      <c r="H444" s="238"/>
      <c r="I444" s="238"/>
      <c r="J444" s="238"/>
      <c r="K444" s="284"/>
      <c r="L444" s="1"/>
    </row>
    <row r="445" spans="1:12" ht="48" x14ac:dyDescent="0.25">
      <c r="A445" s="179" t="s">
        <v>633</v>
      </c>
      <c r="B445" s="46" t="s">
        <v>92</v>
      </c>
      <c r="C445" s="45" t="s">
        <v>19</v>
      </c>
      <c r="D445" s="178">
        <v>137</v>
      </c>
      <c r="E445" s="180"/>
      <c r="F445" s="39">
        <f>Tabla33[[#This Row],[CANTIDAD ]]*Tabla33[[#This Row],[VALOR UNITARIO ]]</f>
        <v>0</v>
      </c>
      <c r="G445" s="238"/>
      <c r="H445" s="238"/>
      <c r="I445" s="238"/>
      <c r="J445" s="238"/>
      <c r="K445" s="284"/>
      <c r="L445" s="1"/>
    </row>
    <row r="446" spans="1:12" ht="60" x14ac:dyDescent="0.25">
      <c r="A446" s="179" t="s">
        <v>634</v>
      </c>
      <c r="B446" s="40" t="s">
        <v>84</v>
      </c>
      <c r="C446" s="45" t="s">
        <v>14</v>
      </c>
      <c r="D446" s="178">
        <v>46</v>
      </c>
      <c r="E446" s="180"/>
      <c r="F446" s="39">
        <f>Tabla33[[#This Row],[CANTIDAD ]]*Tabla33[[#This Row],[VALOR UNITARIO ]]</f>
        <v>0</v>
      </c>
      <c r="G446" s="238"/>
      <c r="H446" s="238"/>
      <c r="I446" s="238"/>
      <c r="J446" s="238"/>
      <c r="K446" s="284"/>
      <c r="L446" s="1"/>
    </row>
    <row r="447" spans="1:12" ht="168" x14ac:dyDescent="0.25">
      <c r="A447" s="179" t="s">
        <v>635</v>
      </c>
      <c r="B447" s="24" t="s">
        <v>636</v>
      </c>
      <c r="C447" s="22" t="s">
        <v>14</v>
      </c>
      <c r="D447" s="178">
        <v>46</v>
      </c>
      <c r="E447" s="180"/>
      <c r="F447" s="39">
        <f>Tabla33[[#This Row],[CANTIDAD ]]*Tabla33[[#This Row],[VALOR UNITARIO ]]</f>
        <v>0</v>
      </c>
      <c r="G447" s="238"/>
      <c r="H447" s="238"/>
      <c r="I447" s="238"/>
      <c r="J447" s="238"/>
      <c r="K447" s="284"/>
      <c r="L447" s="1"/>
    </row>
    <row r="448" spans="1:12" ht="48" x14ac:dyDescent="0.25">
      <c r="A448" s="179" t="s">
        <v>637</v>
      </c>
      <c r="B448" s="24" t="s">
        <v>88</v>
      </c>
      <c r="C448" s="22" t="s">
        <v>14</v>
      </c>
      <c r="D448" s="178">
        <v>46</v>
      </c>
      <c r="E448" s="180"/>
      <c r="F448" s="39">
        <f>Tabla33[[#This Row],[CANTIDAD ]]*Tabla33[[#This Row],[VALOR UNITARIO ]]</f>
        <v>0</v>
      </c>
      <c r="G448" s="238"/>
      <c r="H448" s="238"/>
      <c r="I448" s="238"/>
      <c r="J448" s="238"/>
      <c r="K448" s="284"/>
      <c r="L448" s="1"/>
    </row>
    <row r="449" spans="1:12" ht="48" x14ac:dyDescent="0.25">
      <c r="A449" s="179" t="s">
        <v>638</v>
      </c>
      <c r="B449" s="24" t="s">
        <v>639</v>
      </c>
      <c r="C449" s="22" t="s">
        <v>14</v>
      </c>
      <c r="D449" s="178">
        <v>65</v>
      </c>
      <c r="E449" s="180"/>
      <c r="F449" s="39">
        <f>Tabla33[[#This Row],[CANTIDAD ]]*Tabla33[[#This Row],[VALOR UNITARIO ]]</f>
        <v>0</v>
      </c>
      <c r="G449" s="238"/>
      <c r="H449" s="238"/>
      <c r="I449" s="238"/>
      <c r="J449" s="238"/>
      <c r="K449" s="284"/>
      <c r="L449" s="1"/>
    </row>
    <row r="450" spans="1:12" ht="48" x14ac:dyDescent="0.25">
      <c r="A450" s="179" t="s">
        <v>640</v>
      </c>
      <c r="B450" s="48" t="s">
        <v>92</v>
      </c>
      <c r="C450" s="49" t="s">
        <v>14</v>
      </c>
      <c r="D450" s="181">
        <v>20</v>
      </c>
      <c r="E450" s="310"/>
      <c r="F450" s="39">
        <f>Tabla33[[#This Row],[CANTIDAD ]]*Tabla33[[#This Row],[VALOR UNITARIO ]]</f>
        <v>0</v>
      </c>
      <c r="G450" s="238"/>
      <c r="H450" s="238"/>
      <c r="I450" s="238"/>
      <c r="J450" s="238"/>
      <c r="K450" s="284"/>
      <c r="L450" s="1"/>
    </row>
    <row r="451" spans="1:12" x14ac:dyDescent="0.25">
      <c r="A451" s="209" t="s">
        <v>641</v>
      </c>
      <c r="B451" s="210" t="s">
        <v>642</v>
      </c>
      <c r="C451" s="211"/>
      <c r="D451" s="177"/>
      <c r="E451" s="119"/>
      <c r="F451" s="268"/>
      <c r="G451" s="238"/>
      <c r="H451" s="238"/>
      <c r="I451" s="238"/>
      <c r="J451" s="238"/>
      <c r="K451" s="284"/>
      <c r="L451" s="1"/>
    </row>
    <row r="452" spans="1:12" ht="120" x14ac:dyDescent="0.25">
      <c r="A452" s="179" t="s">
        <v>643</v>
      </c>
      <c r="B452" s="212" t="s">
        <v>644</v>
      </c>
      <c r="C452" s="213" t="s">
        <v>19</v>
      </c>
      <c r="D452" s="178">
        <v>10</v>
      </c>
      <c r="E452" s="311"/>
      <c r="F452" s="39">
        <f>Tabla33[[#This Row],[CANTIDAD ]]*Tabla33[[#This Row],[VALOR UNITARIO ]]</f>
        <v>0</v>
      </c>
      <c r="G452" s="238"/>
      <c r="H452" s="238"/>
      <c r="I452" s="238"/>
      <c r="J452" s="238"/>
      <c r="K452" s="284"/>
      <c r="L452" s="1"/>
    </row>
    <row r="453" spans="1:12" x14ac:dyDescent="0.25">
      <c r="A453" s="179" t="s">
        <v>645</v>
      </c>
      <c r="B453" s="214" t="s">
        <v>646</v>
      </c>
      <c r="C453" s="41" t="s">
        <v>150</v>
      </c>
      <c r="D453" s="215">
        <v>9</v>
      </c>
      <c r="E453" s="180"/>
      <c r="F453" s="39">
        <f>Tabla33[[#This Row],[CANTIDAD ]]*Tabla33[[#This Row],[VALOR UNITARIO ]]</f>
        <v>0</v>
      </c>
      <c r="G453" s="238"/>
      <c r="H453" s="238"/>
      <c r="I453" s="238"/>
      <c r="J453" s="238"/>
      <c r="K453" s="284"/>
      <c r="L453" s="1"/>
    </row>
    <row r="454" spans="1:12" ht="108" x14ac:dyDescent="0.25">
      <c r="A454" s="179" t="s">
        <v>647</v>
      </c>
      <c r="B454" s="216" t="s">
        <v>648</v>
      </c>
      <c r="C454" s="17" t="s">
        <v>150</v>
      </c>
      <c r="D454" s="178">
        <v>1</v>
      </c>
      <c r="E454" s="180"/>
      <c r="F454" s="39">
        <f>Tabla33[[#This Row],[CANTIDAD ]]*Tabla33[[#This Row],[VALOR UNITARIO ]]</f>
        <v>0</v>
      </c>
      <c r="G454" s="238"/>
      <c r="H454" s="238"/>
      <c r="I454" s="238"/>
      <c r="J454" s="238"/>
      <c r="K454" s="284"/>
      <c r="L454" s="1"/>
    </row>
    <row r="455" spans="1:12" ht="120" x14ac:dyDescent="0.25">
      <c r="A455" s="179" t="s">
        <v>649</v>
      </c>
      <c r="B455" s="24" t="s">
        <v>650</v>
      </c>
      <c r="C455" s="41" t="s">
        <v>19</v>
      </c>
      <c r="D455" s="178">
        <v>52</v>
      </c>
      <c r="E455" s="180"/>
      <c r="F455" s="39">
        <f>Tabla33[[#This Row],[CANTIDAD ]]*Tabla33[[#This Row],[VALOR UNITARIO ]]</f>
        <v>0</v>
      </c>
      <c r="G455" s="238"/>
      <c r="H455" s="238"/>
      <c r="I455" s="238"/>
      <c r="J455" s="238"/>
      <c r="K455" s="284"/>
      <c r="L455" s="1"/>
    </row>
    <row r="456" spans="1:12" ht="144" x14ac:dyDescent="0.25">
      <c r="A456" s="179" t="s">
        <v>651</v>
      </c>
      <c r="B456" s="24" t="s">
        <v>652</v>
      </c>
      <c r="C456" s="22" t="s">
        <v>14</v>
      </c>
      <c r="D456" s="21">
        <v>12</v>
      </c>
      <c r="E456" s="180"/>
      <c r="F456" s="39">
        <f>Tabla33[[#This Row],[CANTIDAD ]]*Tabla33[[#This Row],[VALOR UNITARIO ]]</f>
        <v>0</v>
      </c>
      <c r="G456" s="238"/>
      <c r="H456" s="238"/>
      <c r="I456" s="238"/>
      <c r="J456" s="238"/>
      <c r="K456" s="284"/>
      <c r="L456" s="1"/>
    </row>
    <row r="457" spans="1:12" ht="240" x14ac:dyDescent="0.25">
      <c r="A457" s="179" t="s">
        <v>653</v>
      </c>
      <c r="B457" s="216" t="s">
        <v>654</v>
      </c>
      <c r="C457" s="41" t="s">
        <v>19</v>
      </c>
      <c r="D457" s="178">
        <v>22</v>
      </c>
      <c r="E457" s="180"/>
      <c r="F457" s="39">
        <f>Tabla33[[#This Row],[CANTIDAD ]]*Tabla33[[#This Row],[VALOR UNITARIO ]]</f>
        <v>0</v>
      </c>
      <c r="G457" s="238"/>
      <c r="H457" s="238"/>
      <c r="I457" s="238"/>
      <c r="J457" s="238"/>
      <c r="K457" s="284"/>
      <c r="L457" s="1"/>
    </row>
    <row r="458" spans="1:12" x14ac:dyDescent="0.25">
      <c r="A458" s="179" t="s">
        <v>655</v>
      </c>
      <c r="B458" s="217" t="s">
        <v>656</v>
      </c>
      <c r="C458" s="17" t="s">
        <v>19</v>
      </c>
      <c r="D458" s="178">
        <v>17</v>
      </c>
      <c r="E458" s="180"/>
      <c r="F458" s="39">
        <f>Tabla33[[#This Row],[CANTIDAD ]]*Tabla33[[#This Row],[VALOR UNITARIO ]]</f>
        <v>0</v>
      </c>
      <c r="G458" s="238"/>
      <c r="H458" s="238"/>
      <c r="I458" s="238"/>
      <c r="J458" s="238"/>
      <c r="K458" s="284"/>
      <c r="L458" s="1"/>
    </row>
    <row r="459" spans="1:12" x14ac:dyDescent="0.25">
      <c r="A459" s="179" t="s">
        <v>657</v>
      </c>
      <c r="B459" s="217" t="s">
        <v>658</v>
      </c>
      <c r="C459" s="17" t="s">
        <v>19</v>
      </c>
      <c r="D459" s="178">
        <v>17</v>
      </c>
      <c r="E459" s="180"/>
      <c r="F459" s="39">
        <f>Tabla33[[#This Row],[CANTIDAD ]]*Tabla33[[#This Row],[VALOR UNITARIO ]]</f>
        <v>0</v>
      </c>
      <c r="G459" s="238"/>
      <c r="H459" s="238"/>
      <c r="I459" s="238"/>
      <c r="J459" s="238"/>
      <c r="K459" s="284"/>
      <c r="L459" s="1"/>
    </row>
    <row r="460" spans="1:12" ht="24" x14ac:dyDescent="0.25">
      <c r="A460" s="20" t="s">
        <v>659</v>
      </c>
      <c r="B460" s="218" t="s">
        <v>195</v>
      </c>
      <c r="C460" s="41" t="s">
        <v>19</v>
      </c>
      <c r="D460" s="178">
        <v>165</v>
      </c>
      <c r="E460" s="263">
        <f>ROUND(4850*1.0928,0)</f>
        <v>5300</v>
      </c>
      <c r="F460" s="39">
        <f>Tabla33[[#This Row],[CANTIDAD ]]*Tabla33[[#This Row],[VALOR UNITARIO ]]</f>
        <v>874500</v>
      </c>
      <c r="G460" s="238"/>
      <c r="H460" s="238"/>
      <c r="I460" s="238"/>
      <c r="J460" s="238"/>
      <c r="K460" s="284" t="s">
        <v>791</v>
      </c>
      <c r="L460" s="1"/>
    </row>
    <row r="461" spans="1:12" ht="84" x14ac:dyDescent="0.25">
      <c r="A461" s="20" t="s">
        <v>660</v>
      </c>
      <c r="B461" s="199" t="s">
        <v>661</v>
      </c>
      <c r="C461" s="200" t="s">
        <v>14</v>
      </c>
      <c r="D461" s="174">
        <v>15</v>
      </c>
      <c r="E461" s="180"/>
      <c r="F461" s="39">
        <f>Tabla33[[#This Row],[CANTIDAD ]]*Tabla33[[#This Row],[VALOR UNITARIO ]]</f>
        <v>0</v>
      </c>
      <c r="G461" s="238"/>
      <c r="H461" s="238"/>
      <c r="I461" s="238"/>
      <c r="J461" s="238"/>
      <c r="K461" s="284"/>
      <c r="L461" s="1"/>
    </row>
    <row r="462" spans="1:12" ht="216" x14ac:dyDescent="0.25">
      <c r="A462" s="135" t="s">
        <v>662</v>
      </c>
      <c r="B462" s="124" t="s">
        <v>663</v>
      </c>
      <c r="C462" s="41" t="s">
        <v>19</v>
      </c>
      <c r="D462" s="178">
        <v>45</v>
      </c>
      <c r="E462" s="180"/>
      <c r="F462" s="39">
        <f>Tabla33[[#This Row],[CANTIDAD ]]*Tabla33[[#This Row],[VALOR UNITARIO ]]</f>
        <v>0</v>
      </c>
      <c r="G462" s="238"/>
      <c r="H462" s="238"/>
      <c r="I462" s="238"/>
      <c r="J462" s="238"/>
      <c r="K462" s="284"/>
      <c r="L462" s="1"/>
    </row>
    <row r="463" spans="1:12" ht="120" x14ac:dyDescent="0.25">
      <c r="A463" s="135" t="s">
        <v>664</v>
      </c>
      <c r="B463" s="24" t="s">
        <v>665</v>
      </c>
      <c r="C463" s="22" t="s">
        <v>6</v>
      </c>
      <c r="D463" s="178">
        <v>2</v>
      </c>
      <c r="E463" s="180"/>
      <c r="F463" s="39">
        <f>Tabla33[[#This Row],[CANTIDAD ]]*Tabla33[[#This Row],[VALOR UNITARIO ]]</f>
        <v>0</v>
      </c>
      <c r="G463" s="238"/>
      <c r="H463" s="238"/>
      <c r="I463" s="238"/>
      <c r="J463" s="238"/>
      <c r="K463" s="284"/>
      <c r="L463" s="1"/>
    </row>
    <row r="464" spans="1:12" x14ac:dyDescent="0.25">
      <c r="A464" s="135" t="s">
        <v>666</v>
      </c>
      <c r="B464" s="217" t="s">
        <v>667</v>
      </c>
      <c r="C464" s="17" t="s">
        <v>6</v>
      </c>
      <c r="D464" s="178">
        <v>1</v>
      </c>
      <c r="E464" s="180"/>
      <c r="F464" s="39">
        <f>Tabla33[[#This Row],[CANTIDAD ]]*Tabla33[[#This Row],[VALOR UNITARIO ]]</f>
        <v>0</v>
      </c>
      <c r="G464" s="238"/>
      <c r="H464" s="238"/>
      <c r="I464" s="238"/>
      <c r="J464" s="238"/>
      <c r="K464" s="284"/>
      <c r="L464" s="1"/>
    </row>
    <row r="465" spans="1:12" ht="60" x14ac:dyDescent="0.25">
      <c r="A465" s="135" t="s">
        <v>668</v>
      </c>
      <c r="B465" s="63" t="s">
        <v>669</v>
      </c>
      <c r="C465" s="17" t="s">
        <v>6</v>
      </c>
      <c r="D465" s="178">
        <v>1</v>
      </c>
      <c r="E465" s="180"/>
      <c r="F465" s="39">
        <f>Tabla33[[#This Row],[CANTIDAD ]]*Tabla33[[#This Row],[VALOR UNITARIO ]]</f>
        <v>0</v>
      </c>
      <c r="G465" s="238"/>
      <c r="H465" s="238"/>
      <c r="I465" s="238"/>
      <c r="J465" s="238"/>
      <c r="K465" s="284"/>
      <c r="L465" s="1"/>
    </row>
    <row r="466" spans="1:12" x14ac:dyDescent="0.25">
      <c r="A466" s="136"/>
      <c r="B466" s="219"/>
      <c r="C466" s="108" t="s">
        <v>196</v>
      </c>
      <c r="D466" s="109"/>
      <c r="E466" s="22"/>
      <c r="F466" s="300">
        <f>SUBTOTAL(109,F434:F465)</f>
        <v>17819448</v>
      </c>
      <c r="G466" s="238"/>
      <c r="H466" s="238"/>
      <c r="I466" s="238"/>
      <c r="J466" s="238"/>
      <c r="K466" s="284"/>
      <c r="L466" s="1"/>
    </row>
    <row r="467" spans="1:12" x14ac:dyDescent="0.25">
      <c r="A467" s="138"/>
      <c r="B467" s="220"/>
      <c r="C467" s="95" t="s">
        <v>197</v>
      </c>
      <c r="D467" s="96"/>
      <c r="E467" s="97">
        <v>0</v>
      </c>
      <c r="F467" s="301">
        <f>F466*Tabla33[[#This Row],[VALOR UNITARIO ]]</f>
        <v>0</v>
      </c>
      <c r="G467" s="238"/>
      <c r="H467" s="238"/>
      <c r="I467" s="238"/>
      <c r="J467" s="238"/>
      <c r="K467" s="284"/>
      <c r="L467" s="1"/>
    </row>
    <row r="468" spans="1:12" x14ac:dyDescent="0.25">
      <c r="A468" s="138"/>
      <c r="B468" s="220"/>
      <c r="C468" s="95" t="s">
        <v>198</v>
      </c>
      <c r="D468" s="96"/>
      <c r="E468" s="97">
        <v>0</v>
      </c>
      <c r="F468" s="301">
        <f>F466*Tabla33[[#This Row],[VALOR UNITARIO ]]</f>
        <v>0</v>
      </c>
      <c r="G468" s="238"/>
      <c r="H468" s="238"/>
      <c r="I468" s="238"/>
      <c r="J468" s="238"/>
      <c r="K468" s="284"/>
      <c r="L468" s="1"/>
    </row>
    <row r="469" spans="1:12" x14ac:dyDescent="0.25">
      <c r="A469" s="138"/>
      <c r="B469" s="220"/>
      <c r="C469" s="95" t="s">
        <v>199</v>
      </c>
      <c r="D469" s="96"/>
      <c r="E469" s="97">
        <v>0</v>
      </c>
      <c r="F469" s="301">
        <f>F466*Tabla33[[#This Row],[VALOR UNITARIO ]]</f>
        <v>0</v>
      </c>
      <c r="G469" s="238"/>
      <c r="H469" s="238"/>
      <c r="I469" s="238"/>
      <c r="J469" s="238"/>
      <c r="K469" s="284"/>
      <c r="L469" s="1"/>
    </row>
    <row r="470" spans="1:12" x14ac:dyDescent="0.25">
      <c r="A470" s="138"/>
      <c r="B470" s="220"/>
      <c r="C470" s="95" t="s">
        <v>200</v>
      </c>
      <c r="D470" s="96"/>
      <c r="E470" s="97">
        <v>0</v>
      </c>
      <c r="F470" s="301">
        <f>F469*Tabla33[[#This Row],[VALOR UNITARIO ]]</f>
        <v>0</v>
      </c>
      <c r="G470" s="238"/>
      <c r="H470" s="238"/>
      <c r="I470" s="238"/>
      <c r="J470" s="238"/>
      <c r="K470" s="284"/>
      <c r="L470" s="1"/>
    </row>
    <row r="471" spans="1:12" x14ac:dyDescent="0.25">
      <c r="A471" s="221"/>
      <c r="B471" s="222"/>
      <c r="C471" s="91" t="s">
        <v>201</v>
      </c>
      <c r="D471" s="100"/>
      <c r="E471" s="49"/>
      <c r="F471" s="300">
        <f>F466+F467++F468+F469+F470</f>
        <v>17819448</v>
      </c>
      <c r="G471" s="238"/>
      <c r="H471" s="238"/>
      <c r="I471" s="238"/>
      <c r="J471" s="238"/>
      <c r="K471" s="284"/>
      <c r="L471" s="304">
        <v>40946722</v>
      </c>
    </row>
    <row r="472" spans="1:12" x14ac:dyDescent="0.25">
      <c r="A472" s="101" t="s">
        <v>670</v>
      </c>
      <c r="B472" s="141" t="s">
        <v>671</v>
      </c>
      <c r="C472" s="142"/>
      <c r="D472" s="142"/>
      <c r="E472" s="142"/>
      <c r="F472" s="142"/>
      <c r="G472" s="238"/>
      <c r="H472" s="238"/>
      <c r="I472" s="238"/>
      <c r="J472" s="238"/>
      <c r="K472" s="284"/>
      <c r="L472" s="1"/>
    </row>
    <row r="473" spans="1:12" ht="372" x14ac:dyDescent="0.25">
      <c r="A473" s="9" t="s">
        <v>672</v>
      </c>
      <c r="B473" s="223" t="s">
        <v>673</v>
      </c>
      <c r="C473" s="224"/>
      <c r="D473" s="224"/>
      <c r="E473" s="224"/>
      <c r="F473" s="316"/>
      <c r="G473" s="238"/>
      <c r="H473" s="238"/>
      <c r="I473" s="238"/>
      <c r="J473" s="238"/>
      <c r="K473" s="284"/>
      <c r="L473" s="1"/>
    </row>
    <row r="474" spans="1:12" ht="409.5" x14ac:dyDescent="0.25">
      <c r="A474" s="179" t="s">
        <v>674</v>
      </c>
      <c r="B474" s="12" t="s">
        <v>675</v>
      </c>
      <c r="C474" s="13" t="s">
        <v>6</v>
      </c>
      <c r="D474" s="123">
        <v>2</v>
      </c>
      <c r="E474" s="313"/>
      <c r="F474" s="18">
        <f>Tabla33[[#This Row],[CANTIDAD ]]*Tabla33[[#This Row],[VALOR UNITARIO ]]</f>
        <v>0</v>
      </c>
      <c r="G474" s="238"/>
      <c r="H474" s="238"/>
      <c r="I474" s="238"/>
      <c r="J474" s="238"/>
      <c r="K474" s="284"/>
      <c r="L474" s="1"/>
    </row>
    <row r="475" spans="1:12" ht="409.5" x14ac:dyDescent="0.25">
      <c r="A475" s="20" t="s">
        <v>676</v>
      </c>
      <c r="B475" s="12" t="s">
        <v>677</v>
      </c>
      <c r="C475" s="13" t="s">
        <v>6</v>
      </c>
      <c r="D475" s="178">
        <v>34</v>
      </c>
      <c r="E475" s="311"/>
      <c r="F475" s="18">
        <f>Tabla33[[#This Row],[CANTIDAD ]]*Tabla33[[#This Row],[VALOR UNITARIO ]]</f>
        <v>0</v>
      </c>
      <c r="G475" s="238"/>
      <c r="H475" s="238"/>
      <c r="I475" s="238"/>
      <c r="J475" s="238"/>
      <c r="K475" s="284"/>
      <c r="L475" s="1"/>
    </row>
    <row r="476" spans="1:12" ht="409.5" x14ac:dyDescent="0.25">
      <c r="A476" s="179" t="s">
        <v>678</v>
      </c>
      <c r="B476" s="12" t="s">
        <v>679</v>
      </c>
      <c r="C476" s="13" t="s">
        <v>6</v>
      </c>
      <c r="D476" s="178">
        <v>17</v>
      </c>
      <c r="E476" s="311"/>
      <c r="F476" s="18">
        <f>Tabla33[[#This Row],[CANTIDAD ]]*Tabla33[[#This Row],[VALOR UNITARIO ]]</f>
        <v>0</v>
      </c>
      <c r="G476" s="238"/>
      <c r="H476" s="238"/>
      <c r="I476" s="238"/>
      <c r="J476" s="238"/>
      <c r="K476" s="284"/>
      <c r="L476" s="1"/>
    </row>
    <row r="477" spans="1:12" ht="409.5" x14ac:dyDescent="0.25">
      <c r="A477" s="20" t="s">
        <v>680</v>
      </c>
      <c r="B477" s="63" t="s">
        <v>681</v>
      </c>
      <c r="C477" s="17" t="s">
        <v>6</v>
      </c>
      <c r="D477" s="178">
        <v>13</v>
      </c>
      <c r="E477" s="180"/>
      <c r="F477" s="18">
        <f>Tabla33[[#This Row],[CANTIDAD ]]*Tabla33[[#This Row],[VALOR UNITARIO ]]</f>
        <v>0</v>
      </c>
      <c r="G477" s="238"/>
      <c r="H477" s="238"/>
      <c r="I477" s="238"/>
      <c r="J477" s="238"/>
      <c r="K477" s="284"/>
      <c r="L477" s="1"/>
    </row>
    <row r="478" spans="1:12" ht="336" x14ac:dyDescent="0.25">
      <c r="A478" s="179" t="s">
        <v>682</v>
      </c>
      <c r="B478" s="63" t="s">
        <v>683</v>
      </c>
      <c r="C478" s="22" t="s">
        <v>6</v>
      </c>
      <c r="D478" s="178">
        <v>1</v>
      </c>
      <c r="E478" s="180"/>
      <c r="F478" s="18">
        <f>Tabla33[[#This Row],[CANTIDAD ]]*Tabla33[[#This Row],[VALOR UNITARIO ]]</f>
        <v>0</v>
      </c>
      <c r="G478" s="238"/>
      <c r="H478" s="238"/>
      <c r="I478" s="238"/>
      <c r="J478" s="238"/>
      <c r="K478" s="284"/>
      <c r="L478" s="1"/>
    </row>
    <row r="479" spans="1:12" ht="336" x14ac:dyDescent="0.25">
      <c r="A479" s="20" t="s">
        <v>684</v>
      </c>
      <c r="B479" s="58" t="s">
        <v>685</v>
      </c>
      <c r="C479" s="22" t="s">
        <v>6</v>
      </c>
      <c r="D479" s="178">
        <v>1</v>
      </c>
      <c r="E479" s="180"/>
      <c r="F479" s="18">
        <f>Tabla33[[#This Row],[CANTIDAD ]]*Tabla33[[#This Row],[VALOR UNITARIO ]]</f>
        <v>0</v>
      </c>
      <c r="G479" s="238"/>
      <c r="H479" s="238"/>
      <c r="I479" s="238"/>
      <c r="J479" s="238"/>
      <c r="K479" s="284"/>
      <c r="L479" s="1"/>
    </row>
    <row r="480" spans="1:12" ht="96" x14ac:dyDescent="0.25">
      <c r="A480" s="179" t="s">
        <v>686</v>
      </c>
      <c r="B480" s="63" t="s">
        <v>687</v>
      </c>
      <c r="C480" s="17" t="s">
        <v>6</v>
      </c>
      <c r="D480" s="178">
        <v>1</v>
      </c>
      <c r="E480" s="180"/>
      <c r="F480" s="18">
        <f>Tabla33[[#This Row],[CANTIDAD ]]*Tabla33[[#This Row],[VALOR UNITARIO ]]</f>
        <v>0</v>
      </c>
      <c r="G480" s="238"/>
      <c r="H480" s="238"/>
      <c r="I480" s="238"/>
      <c r="J480" s="238"/>
      <c r="K480" s="284"/>
      <c r="L480" s="1"/>
    </row>
    <row r="481" spans="1:12" ht="96" x14ac:dyDescent="0.25">
      <c r="A481" s="20" t="s">
        <v>688</v>
      </c>
      <c r="B481" s="63" t="s">
        <v>689</v>
      </c>
      <c r="C481" s="17" t="s">
        <v>6</v>
      </c>
      <c r="D481" s="174">
        <v>15</v>
      </c>
      <c r="E481" s="180"/>
      <c r="F481" s="18">
        <f>Tabla33[[#This Row],[CANTIDAD ]]*Tabla33[[#This Row],[VALOR UNITARIO ]]</f>
        <v>0</v>
      </c>
      <c r="G481" s="238"/>
      <c r="H481" s="238"/>
      <c r="I481" s="238"/>
      <c r="J481" s="238"/>
      <c r="K481" s="284"/>
      <c r="L481" s="1"/>
    </row>
    <row r="482" spans="1:12" x14ac:dyDescent="0.25">
      <c r="A482" s="182" t="s">
        <v>690</v>
      </c>
      <c r="B482" s="193" t="s">
        <v>627</v>
      </c>
      <c r="C482" s="9"/>
      <c r="D482" s="177"/>
      <c r="E482" s="119"/>
      <c r="F482" s="268"/>
      <c r="G482" s="238"/>
      <c r="H482" s="238"/>
      <c r="I482" s="238"/>
      <c r="J482" s="238"/>
      <c r="K482" s="284"/>
      <c r="L482" s="1"/>
    </row>
    <row r="483" spans="1:12" ht="60" x14ac:dyDescent="0.25">
      <c r="A483" s="179" t="s">
        <v>691</v>
      </c>
      <c r="B483" s="87" t="s">
        <v>84</v>
      </c>
      <c r="C483" s="75" t="s">
        <v>19</v>
      </c>
      <c r="D483" s="178">
        <v>320</v>
      </c>
      <c r="E483" s="263">
        <f>ROUND(6305*1.0928,0)</f>
        <v>6890</v>
      </c>
      <c r="F483" s="39">
        <f>Tabla33[[#This Row],[CANTIDAD ]]*Tabla33[[#This Row],[VALOR UNITARIO ]]</f>
        <v>2204800</v>
      </c>
      <c r="G483" s="238"/>
      <c r="H483" s="238"/>
      <c r="I483" s="238"/>
      <c r="J483" s="238"/>
      <c r="K483" s="284" t="s">
        <v>791</v>
      </c>
      <c r="L483" s="1"/>
    </row>
    <row r="484" spans="1:12" ht="180" x14ac:dyDescent="0.25">
      <c r="A484" s="179" t="s">
        <v>692</v>
      </c>
      <c r="B484" s="46" t="s">
        <v>86</v>
      </c>
      <c r="C484" s="45" t="s">
        <v>19</v>
      </c>
      <c r="D484" s="178">
        <v>320</v>
      </c>
      <c r="E484" s="263">
        <f>ROUND(39910*1.0928,0)</f>
        <v>43614</v>
      </c>
      <c r="F484" s="39">
        <f>Tabla33[[#This Row],[CANTIDAD ]]*Tabla33[[#This Row],[VALOR UNITARIO ]]</f>
        <v>13956480</v>
      </c>
      <c r="G484" s="238"/>
      <c r="H484" s="238"/>
      <c r="I484" s="238"/>
      <c r="J484" s="238"/>
      <c r="K484" s="284" t="s">
        <v>791</v>
      </c>
      <c r="L484" s="1"/>
    </row>
    <row r="485" spans="1:12" ht="48" x14ac:dyDescent="0.25">
      <c r="A485" s="179" t="s">
        <v>693</v>
      </c>
      <c r="B485" s="46" t="s">
        <v>88</v>
      </c>
      <c r="C485" s="45" t="s">
        <v>19</v>
      </c>
      <c r="D485" s="178">
        <v>448</v>
      </c>
      <c r="E485" s="263">
        <f>ROUND(22520*1.0928,0)</f>
        <v>24610</v>
      </c>
      <c r="F485" s="39">
        <f>Tabla33[[#This Row],[CANTIDAD ]]*Tabla33[[#This Row],[VALOR UNITARIO ]]</f>
        <v>11025280</v>
      </c>
      <c r="G485" s="238"/>
      <c r="H485" s="238"/>
      <c r="I485" s="238"/>
      <c r="J485" s="238"/>
      <c r="K485" s="284" t="s">
        <v>791</v>
      </c>
      <c r="L485" s="1"/>
    </row>
    <row r="486" spans="1:12" ht="48" x14ac:dyDescent="0.25">
      <c r="A486" s="179" t="s">
        <v>694</v>
      </c>
      <c r="B486" s="40" t="s">
        <v>90</v>
      </c>
      <c r="C486" s="45" t="s">
        <v>19</v>
      </c>
      <c r="D486" s="178">
        <v>641</v>
      </c>
      <c r="E486" s="180"/>
      <c r="F486" s="39">
        <f>Tabla33[[#This Row],[CANTIDAD ]]*Tabla33[[#This Row],[VALOR UNITARIO ]]</f>
        <v>0</v>
      </c>
      <c r="G486" s="238"/>
      <c r="H486" s="238"/>
      <c r="I486" s="238"/>
      <c r="J486" s="238"/>
      <c r="K486" s="284"/>
      <c r="L486" s="1"/>
    </row>
    <row r="487" spans="1:12" ht="48" x14ac:dyDescent="0.25">
      <c r="A487" s="179" t="s">
        <v>695</v>
      </c>
      <c r="B487" s="46" t="s">
        <v>92</v>
      </c>
      <c r="C487" s="45" t="s">
        <v>19</v>
      </c>
      <c r="D487" s="178">
        <v>128</v>
      </c>
      <c r="E487" s="263">
        <f>ROUND(15561*1.0928,0)</f>
        <v>17005</v>
      </c>
      <c r="F487" s="39">
        <f>Tabla33[[#This Row],[CANTIDAD ]]*Tabla33[[#This Row],[VALOR UNITARIO ]]</f>
        <v>2176640</v>
      </c>
      <c r="G487" s="238"/>
      <c r="H487" s="238"/>
      <c r="I487" s="238"/>
      <c r="J487" s="238"/>
      <c r="K487" s="284" t="s">
        <v>791</v>
      </c>
      <c r="L487" s="1"/>
    </row>
    <row r="488" spans="1:12" x14ac:dyDescent="0.25">
      <c r="A488" s="179" t="s">
        <v>696</v>
      </c>
      <c r="B488" s="192" t="s">
        <v>94</v>
      </c>
      <c r="C488" s="45" t="s">
        <v>19</v>
      </c>
      <c r="D488" s="178">
        <v>3</v>
      </c>
      <c r="E488" s="180"/>
      <c r="F488" s="39">
        <f>Tabla33[[#This Row],[CANTIDAD ]]*Tabla33[[#This Row],[VALOR UNITARIO ]]</f>
        <v>0</v>
      </c>
      <c r="G488" s="238"/>
      <c r="H488" s="238"/>
      <c r="I488" s="238"/>
      <c r="J488" s="238"/>
      <c r="K488" s="284"/>
      <c r="L488" s="1"/>
    </row>
    <row r="489" spans="1:12" ht="60" x14ac:dyDescent="0.25">
      <c r="A489" s="179" t="s">
        <v>697</v>
      </c>
      <c r="B489" s="40" t="s">
        <v>84</v>
      </c>
      <c r="C489" s="45" t="s">
        <v>14</v>
      </c>
      <c r="D489" s="178">
        <v>5</v>
      </c>
      <c r="E489" s="180"/>
      <c r="F489" s="39">
        <f>Tabla33[[#This Row],[CANTIDAD ]]*Tabla33[[#This Row],[VALOR UNITARIO ]]</f>
        <v>0</v>
      </c>
      <c r="G489" s="238"/>
      <c r="H489" s="238"/>
      <c r="I489" s="238"/>
      <c r="J489" s="238"/>
      <c r="K489" s="284"/>
      <c r="L489" s="1"/>
    </row>
    <row r="490" spans="1:12" ht="180" x14ac:dyDescent="0.25">
      <c r="A490" s="179" t="s">
        <v>698</v>
      </c>
      <c r="B490" s="46" t="s">
        <v>86</v>
      </c>
      <c r="C490" s="45" t="s">
        <v>14</v>
      </c>
      <c r="D490" s="178">
        <v>5</v>
      </c>
      <c r="E490" s="180"/>
      <c r="F490" s="39">
        <f>Tabla33[[#This Row],[CANTIDAD ]]*Tabla33[[#This Row],[VALOR UNITARIO ]]</f>
        <v>0</v>
      </c>
      <c r="G490" s="238"/>
      <c r="H490" s="238"/>
      <c r="I490" s="238"/>
      <c r="J490" s="238"/>
      <c r="K490" s="284"/>
      <c r="L490" s="1"/>
    </row>
    <row r="491" spans="1:12" ht="48" x14ac:dyDescent="0.25">
      <c r="A491" s="179" t="s">
        <v>699</v>
      </c>
      <c r="B491" s="46" t="s">
        <v>88</v>
      </c>
      <c r="C491" s="45" t="s">
        <v>14</v>
      </c>
      <c r="D491" s="178">
        <v>5</v>
      </c>
      <c r="E491" s="180"/>
      <c r="F491" s="39">
        <f>Tabla33[[#This Row],[CANTIDAD ]]*Tabla33[[#This Row],[VALOR UNITARIO ]]</f>
        <v>0</v>
      </c>
      <c r="G491" s="238"/>
      <c r="H491" s="238"/>
      <c r="I491" s="238"/>
      <c r="J491" s="238"/>
      <c r="K491" s="284"/>
      <c r="L491" s="1"/>
    </row>
    <row r="492" spans="1:12" ht="48" x14ac:dyDescent="0.25">
      <c r="A492" s="179" t="s">
        <v>700</v>
      </c>
      <c r="B492" s="46" t="s">
        <v>98</v>
      </c>
      <c r="C492" s="45" t="s">
        <v>14</v>
      </c>
      <c r="D492" s="178">
        <v>5</v>
      </c>
      <c r="E492" s="180"/>
      <c r="F492" s="39">
        <f>Tabla33[[#This Row],[CANTIDAD ]]*Tabla33[[#This Row],[VALOR UNITARIO ]]</f>
        <v>0</v>
      </c>
      <c r="G492" s="238"/>
      <c r="H492" s="238"/>
      <c r="I492" s="238"/>
      <c r="J492" s="238"/>
      <c r="K492" s="284"/>
      <c r="L492" s="1"/>
    </row>
    <row r="493" spans="1:12" ht="48" x14ac:dyDescent="0.25">
      <c r="A493" s="179" t="s">
        <v>701</v>
      </c>
      <c r="B493" s="66" t="s">
        <v>92</v>
      </c>
      <c r="C493" s="67" t="s">
        <v>14</v>
      </c>
      <c r="D493" s="181">
        <v>5</v>
      </c>
      <c r="E493" s="310"/>
      <c r="F493" s="39">
        <f>Tabla33[[#This Row],[CANTIDAD ]]*Tabla33[[#This Row],[VALOR UNITARIO ]]</f>
        <v>0</v>
      </c>
      <c r="G493" s="238"/>
      <c r="H493" s="238"/>
      <c r="I493" s="238"/>
      <c r="J493" s="238"/>
      <c r="K493" s="284"/>
      <c r="L493" s="1"/>
    </row>
    <row r="494" spans="1:12" ht="48" x14ac:dyDescent="0.25">
      <c r="A494" s="182" t="s">
        <v>702</v>
      </c>
      <c r="B494" s="8" t="s">
        <v>703</v>
      </c>
      <c r="C494" s="54"/>
      <c r="D494" s="177"/>
      <c r="E494" s="119"/>
      <c r="F494" s="268"/>
      <c r="G494" s="238"/>
      <c r="H494" s="238"/>
      <c r="I494" s="238"/>
      <c r="J494" s="238"/>
      <c r="K494" s="284"/>
      <c r="L494" s="1"/>
    </row>
    <row r="495" spans="1:12" ht="240" x14ac:dyDescent="0.25">
      <c r="A495" s="179" t="s">
        <v>704</v>
      </c>
      <c r="B495" s="48" t="s">
        <v>705</v>
      </c>
      <c r="C495" s="200" t="s">
        <v>19</v>
      </c>
      <c r="D495" s="178">
        <v>40</v>
      </c>
      <c r="E495" s="311"/>
      <c r="F495" s="39">
        <f>Tabla33[[#This Row],[CANTIDAD ]]*Tabla33[[#This Row],[VALOR UNITARIO ]]</f>
        <v>0</v>
      </c>
      <c r="G495" s="238"/>
      <c r="H495" s="238"/>
      <c r="I495" s="238"/>
      <c r="J495" s="238"/>
      <c r="K495" s="284"/>
      <c r="L495" s="1"/>
    </row>
    <row r="496" spans="1:12" ht="72" x14ac:dyDescent="0.25">
      <c r="A496" s="179" t="s">
        <v>706</v>
      </c>
      <c r="B496" s="203" t="s">
        <v>707</v>
      </c>
      <c r="C496" s="204" t="s">
        <v>14</v>
      </c>
      <c r="D496" s="178">
        <v>60</v>
      </c>
      <c r="E496" s="180"/>
      <c r="F496" s="39">
        <f>Tabla33[[#This Row],[CANTIDAD ]]*Tabla33[[#This Row],[VALOR UNITARIO ]]</f>
        <v>0</v>
      </c>
      <c r="G496" s="238"/>
      <c r="H496" s="238"/>
      <c r="I496" s="238"/>
      <c r="J496" s="238"/>
      <c r="K496" s="284"/>
      <c r="L496" s="1"/>
    </row>
    <row r="497" spans="1:12" ht="156" x14ac:dyDescent="0.25">
      <c r="A497" s="179" t="s">
        <v>708</v>
      </c>
      <c r="B497" s="46" t="s">
        <v>709</v>
      </c>
      <c r="C497" s="45" t="s">
        <v>19</v>
      </c>
      <c r="D497" s="178">
        <v>3</v>
      </c>
      <c r="E497" s="263">
        <f>ROUND(15724.1*1.0928,0)</f>
        <v>17183</v>
      </c>
      <c r="F497" s="39">
        <f>Tabla33[[#This Row],[CANTIDAD ]]*Tabla33[[#This Row],[VALOR UNITARIO ]]</f>
        <v>51549</v>
      </c>
      <c r="G497" s="238"/>
      <c r="H497" s="238"/>
      <c r="I497" s="238"/>
      <c r="J497" s="238"/>
      <c r="K497" s="284"/>
      <c r="L497" s="1"/>
    </row>
    <row r="498" spans="1:12" ht="60" x14ac:dyDescent="0.25">
      <c r="A498" s="179" t="s">
        <v>710</v>
      </c>
      <c r="B498" s="46" t="s">
        <v>711</v>
      </c>
      <c r="C498" s="45" t="s">
        <v>14</v>
      </c>
      <c r="D498" s="178">
        <v>5</v>
      </c>
      <c r="E498" s="263">
        <f>ROUND(26521.74*1.0928,0)</f>
        <v>28983</v>
      </c>
      <c r="F498" s="39">
        <f>Tabla33[[#This Row],[CANTIDAD ]]*Tabla33[[#This Row],[VALOR UNITARIO ]]</f>
        <v>144915</v>
      </c>
      <c r="G498" s="238"/>
      <c r="H498" s="238"/>
      <c r="I498" s="238"/>
      <c r="J498" s="238"/>
      <c r="K498" s="284"/>
      <c r="L498" s="1"/>
    </row>
    <row r="499" spans="1:12" ht="132" x14ac:dyDescent="0.25">
      <c r="A499" s="20" t="s">
        <v>712</v>
      </c>
      <c r="B499" s="46" t="s">
        <v>713</v>
      </c>
      <c r="C499" s="45" t="s">
        <v>19</v>
      </c>
      <c r="D499" s="178">
        <v>3</v>
      </c>
      <c r="E499" s="263">
        <f>ROUND(33398.4*1.0928,0)</f>
        <v>36498</v>
      </c>
      <c r="F499" s="39">
        <f>Tabla33[[#This Row],[CANTIDAD ]]*Tabla33[[#This Row],[VALOR UNITARIO ]]</f>
        <v>109494</v>
      </c>
      <c r="G499" s="238"/>
      <c r="H499" s="238"/>
      <c r="I499" s="238"/>
      <c r="J499" s="238"/>
      <c r="K499" s="284"/>
      <c r="L499" s="1"/>
    </row>
    <row r="500" spans="1:12" ht="36" x14ac:dyDescent="0.25">
      <c r="A500" s="179" t="s">
        <v>714</v>
      </c>
      <c r="B500" s="46" t="s">
        <v>715</v>
      </c>
      <c r="C500" s="45" t="s">
        <v>19</v>
      </c>
      <c r="D500" s="178">
        <v>3</v>
      </c>
      <c r="E500" s="263">
        <f>ROUND(38357.2*1.0928,0)</f>
        <v>41917</v>
      </c>
      <c r="F500" s="39">
        <f>Tabla33[[#This Row],[CANTIDAD ]]*Tabla33[[#This Row],[VALOR UNITARIO ]]</f>
        <v>125751</v>
      </c>
      <c r="G500" s="238"/>
      <c r="H500" s="238"/>
      <c r="I500" s="238"/>
      <c r="J500" s="238"/>
      <c r="K500" s="284"/>
      <c r="L500" s="1"/>
    </row>
    <row r="501" spans="1:12" ht="36" x14ac:dyDescent="0.25">
      <c r="A501" s="20" t="s">
        <v>716</v>
      </c>
      <c r="B501" s="66" t="s">
        <v>717</v>
      </c>
      <c r="C501" s="67" t="s">
        <v>19</v>
      </c>
      <c r="D501" s="181">
        <v>3</v>
      </c>
      <c r="E501" s="310"/>
      <c r="F501" s="39">
        <f>Tabla33[[#This Row],[CANTIDAD ]]*Tabla33[[#This Row],[VALOR UNITARIO ]]</f>
        <v>0</v>
      </c>
      <c r="G501" s="238"/>
      <c r="H501" s="238"/>
      <c r="I501" s="238"/>
      <c r="J501" s="238"/>
      <c r="K501" s="284"/>
      <c r="L501" s="1"/>
    </row>
    <row r="502" spans="1:12" x14ac:dyDescent="0.25">
      <c r="A502" s="182" t="s">
        <v>718</v>
      </c>
      <c r="B502" s="8" t="s">
        <v>642</v>
      </c>
      <c r="C502" s="79"/>
      <c r="D502" s="177"/>
      <c r="E502" s="119"/>
      <c r="F502" s="268"/>
      <c r="G502" s="238"/>
      <c r="H502" s="238"/>
      <c r="I502" s="238"/>
      <c r="J502" s="238"/>
      <c r="K502" s="284"/>
      <c r="L502" s="1"/>
    </row>
    <row r="503" spans="1:12" ht="48" x14ac:dyDescent="0.25">
      <c r="A503" s="20" t="s">
        <v>719</v>
      </c>
      <c r="B503" s="194" t="s">
        <v>720</v>
      </c>
      <c r="C503" s="200" t="s">
        <v>6</v>
      </c>
      <c r="D503" s="178">
        <v>6</v>
      </c>
      <c r="E503" s="311"/>
      <c r="F503" s="39">
        <f>Tabla33[[#This Row],[CANTIDAD ]]*Tabla33[[#This Row],[VALOR UNITARIO ]]</f>
        <v>0</v>
      </c>
      <c r="G503" s="238"/>
      <c r="H503" s="238"/>
      <c r="I503" s="238"/>
      <c r="J503" s="238"/>
      <c r="K503" s="284"/>
      <c r="L503" s="1"/>
    </row>
    <row r="504" spans="1:12" ht="96" x14ac:dyDescent="0.25">
      <c r="A504" s="179" t="s">
        <v>721</v>
      </c>
      <c r="B504" s="203" t="s">
        <v>722</v>
      </c>
      <c r="C504" s="204" t="s">
        <v>6</v>
      </c>
      <c r="D504" s="178">
        <v>6</v>
      </c>
      <c r="E504" s="263">
        <f>ROUND(85600*1.0928,0)</f>
        <v>93544</v>
      </c>
      <c r="F504" s="39">
        <f>Tabla33[[#This Row],[CANTIDAD ]]*Tabla33[[#This Row],[VALOR UNITARIO ]]</f>
        <v>561264</v>
      </c>
      <c r="G504" s="238"/>
      <c r="H504" s="238"/>
      <c r="I504" s="238"/>
      <c r="J504" s="238"/>
      <c r="K504" s="284"/>
      <c r="L504" s="1"/>
    </row>
    <row r="505" spans="1:12" ht="48" x14ac:dyDescent="0.25">
      <c r="A505" s="20" t="s">
        <v>723</v>
      </c>
      <c r="B505" s="194" t="s">
        <v>724</v>
      </c>
      <c r="C505" s="204"/>
      <c r="D505" s="178">
        <v>2</v>
      </c>
      <c r="E505" s="180"/>
      <c r="F505" s="39">
        <f>Tabla33[[#This Row],[CANTIDAD ]]*Tabla33[[#This Row],[VALOR UNITARIO ]]</f>
        <v>0</v>
      </c>
      <c r="G505" s="238"/>
      <c r="H505" s="238"/>
      <c r="I505" s="238"/>
      <c r="J505" s="238"/>
      <c r="K505" s="284"/>
      <c r="L505" s="1"/>
    </row>
    <row r="506" spans="1:12" ht="48" x14ac:dyDescent="0.25">
      <c r="A506" s="179" t="s">
        <v>725</v>
      </c>
      <c r="B506" s="203" t="s">
        <v>726</v>
      </c>
      <c r="C506" s="204" t="s">
        <v>6</v>
      </c>
      <c r="D506" s="178">
        <v>2</v>
      </c>
      <c r="E506" s="180"/>
      <c r="F506" s="39">
        <f>Tabla33[[#This Row],[CANTIDAD ]]*Tabla33[[#This Row],[VALOR UNITARIO ]]</f>
        <v>0</v>
      </c>
      <c r="G506" s="238"/>
      <c r="H506" s="238"/>
      <c r="I506" s="238"/>
      <c r="J506" s="238"/>
      <c r="K506" s="284"/>
      <c r="L506" s="1"/>
    </row>
    <row r="507" spans="1:12" ht="144" x14ac:dyDescent="0.25">
      <c r="A507" s="20" t="s">
        <v>727</v>
      </c>
      <c r="B507" s="203" t="s">
        <v>728</v>
      </c>
      <c r="C507" s="204" t="s">
        <v>6</v>
      </c>
      <c r="D507" s="178">
        <v>1</v>
      </c>
      <c r="E507" s="180"/>
      <c r="F507" s="39">
        <f>Tabla33[[#This Row],[CANTIDAD ]]*Tabla33[[#This Row],[VALOR UNITARIO ]]</f>
        <v>0</v>
      </c>
      <c r="G507" s="238"/>
      <c r="H507" s="238"/>
      <c r="I507" s="238"/>
      <c r="J507" s="238"/>
      <c r="K507" s="284"/>
      <c r="L507" s="1"/>
    </row>
    <row r="508" spans="1:12" ht="108" x14ac:dyDescent="0.25">
      <c r="A508" s="179" t="s">
        <v>729</v>
      </c>
      <c r="B508" s="24" t="s">
        <v>61</v>
      </c>
      <c r="C508" s="22" t="s">
        <v>14</v>
      </c>
      <c r="D508" s="178">
        <v>5</v>
      </c>
      <c r="E508" s="180"/>
      <c r="F508" s="39">
        <f>Tabla33[[#This Row],[CANTIDAD ]]*Tabla33[[#This Row],[VALOR UNITARIO ]]</f>
        <v>0</v>
      </c>
      <c r="G508" s="238"/>
      <c r="H508" s="238"/>
      <c r="I508" s="238"/>
      <c r="J508" s="238"/>
      <c r="K508" s="284"/>
      <c r="L508" s="1"/>
    </row>
    <row r="509" spans="1:12" ht="84" x14ac:dyDescent="0.25">
      <c r="A509" s="20" t="s">
        <v>730</v>
      </c>
      <c r="B509" s="24" t="s">
        <v>731</v>
      </c>
      <c r="C509" s="22" t="s">
        <v>19</v>
      </c>
      <c r="D509" s="178">
        <v>12</v>
      </c>
      <c r="E509" s="180"/>
      <c r="F509" s="39">
        <f>Tabla33[[#This Row],[CANTIDAD ]]*Tabla33[[#This Row],[VALOR UNITARIO ]]</f>
        <v>0</v>
      </c>
      <c r="G509" s="238"/>
      <c r="H509" s="238"/>
      <c r="I509" s="238"/>
      <c r="J509" s="238"/>
      <c r="K509" s="284"/>
      <c r="L509" s="1"/>
    </row>
    <row r="510" spans="1:12" ht="24" x14ac:dyDescent="0.25">
      <c r="A510" s="179" t="s">
        <v>732</v>
      </c>
      <c r="B510" s="24" t="s">
        <v>195</v>
      </c>
      <c r="C510" s="22" t="s">
        <v>19</v>
      </c>
      <c r="D510" s="178">
        <v>390</v>
      </c>
      <c r="E510" s="263">
        <f>ROUND(4850*1.0928,0)</f>
        <v>5300</v>
      </c>
      <c r="F510" s="39">
        <f>Tabla33[[#This Row],[CANTIDAD ]]*Tabla33[[#This Row],[VALOR UNITARIO ]]</f>
        <v>2067000</v>
      </c>
      <c r="G510" s="238"/>
      <c r="H510" s="238"/>
      <c r="I510" s="238"/>
      <c r="J510" s="238"/>
      <c r="K510" s="284" t="s">
        <v>791</v>
      </c>
      <c r="L510" s="1"/>
    </row>
    <row r="511" spans="1:12" ht="36" x14ac:dyDescent="0.25">
      <c r="A511" s="182" t="s">
        <v>733</v>
      </c>
      <c r="B511" s="8" t="s">
        <v>734</v>
      </c>
      <c r="C511" s="35"/>
      <c r="D511" s="225"/>
      <c r="E511" s="119"/>
      <c r="F511" s="268"/>
      <c r="G511" s="238"/>
      <c r="H511" s="238"/>
      <c r="I511" s="238"/>
      <c r="J511" s="238"/>
      <c r="K511" s="284"/>
      <c r="L511" s="1"/>
    </row>
    <row r="512" spans="1:12" ht="36" x14ac:dyDescent="0.25">
      <c r="A512" s="226" t="s">
        <v>735</v>
      </c>
      <c r="B512" s="24" t="s">
        <v>736</v>
      </c>
      <c r="C512" s="22" t="s">
        <v>19</v>
      </c>
      <c r="D512" s="174">
        <v>80</v>
      </c>
      <c r="E512" s="180"/>
      <c r="F512" s="18">
        <f>Tabla33[[#This Row],[CANTIDAD ]]*Tabla33[[#This Row],[VALOR UNITARIO ]]</f>
        <v>0</v>
      </c>
      <c r="G512" s="238"/>
      <c r="H512" s="238"/>
      <c r="I512" s="238"/>
      <c r="J512" s="238"/>
      <c r="K512" s="284"/>
      <c r="L512" s="1"/>
    </row>
    <row r="513" spans="1:12" ht="48" x14ac:dyDescent="0.25">
      <c r="A513" s="179" t="s">
        <v>737</v>
      </c>
      <c r="B513" s="24" t="s">
        <v>738</v>
      </c>
      <c r="C513" s="22" t="s">
        <v>19</v>
      </c>
      <c r="D513" s="174">
        <v>80</v>
      </c>
      <c r="E513" s="180"/>
      <c r="F513" s="18">
        <f>Tabla33[[#This Row],[CANTIDAD ]]*Tabla33[[#This Row],[VALOR UNITARIO ]]</f>
        <v>0</v>
      </c>
      <c r="G513" s="238"/>
      <c r="H513" s="238"/>
      <c r="I513" s="238"/>
      <c r="J513" s="238"/>
      <c r="K513" s="284"/>
      <c r="L513" s="1"/>
    </row>
    <row r="514" spans="1:12" ht="108" x14ac:dyDescent="0.25">
      <c r="A514" s="227" t="s">
        <v>739</v>
      </c>
      <c r="B514" s="48" t="s">
        <v>740</v>
      </c>
      <c r="C514" s="22" t="s">
        <v>19</v>
      </c>
      <c r="D514" s="174">
        <v>80</v>
      </c>
      <c r="E514" s="263">
        <f>ROUND(16153*1.0928,0)</f>
        <v>17652</v>
      </c>
      <c r="F514" s="18">
        <f>Tabla33[[#This Row],[CANTIDAD ]]*Tabla33[[#This Row],[VALOR UNITARIO ]]</f>
        <v>1412160</v>
      </c>
      <c r="G514" s="238"/>
      <c r="H514" s="238"/>
      <c r="I514" s="238"/>
      <c r="J514" s="238"/>
      <c r="K514" s="284" t="s">
        <v>790</v>
      </c>
      <c r="L514" s="1"/>
    </row>
    <row r="515" spans="1:12" x14ac:dyDescent="0.25">
      <c r="A515" s="136"/>
      <c r="B515" s="161"/>
      <c r="C515" s="108" t="s">
        <v>196</v>
      </c>
      <c r="D515" s="109"/>
      <c r="E515" s="22"/>
      <c r="F515" s="300">
        <f>SUBTOTAL(109,F473:F514)</f>
        <v>33835333</v>
      </c>
      <c r="G515" s="238"/>
      <c r="H515" s="238"/>
      <c r="I515" s="238"/>
      <c r="J515" s="238"/>
      <c r="K515" s="284"/>
      <c r="L515" s="1"/>
    </row>
    <row r="516" spans="1:12" x14ac:dyDescent="0.25">
      <c r="A516" s="138"/>
      <c r="B516" s="163"/>
      <c r="C516" s="95" t="s">
        <v>197</v>
      </c>
      <c r="D516" s="96"/>
      <c r="E516" s="97">
        <v>0</v>
      </c>
      <c r="F516" s="301">
        <f>F515*Tabla33[[#This Row],[VALOR UNITARIO ]]</f>
        <v>0</v>
      </c>
      <c r="G516" s="238"/>
      <c r="H516" s="238"/>
      <c r="I516" s="238"/>
      <c r="J516" s="238"/>
      <c r="K516" s="284"/>
      <c r="L516" s="1"/>
    </row>
    <row r="517" spans="1:12" x14ac:dyDescent="0.25">
      <c r="A517" s="138"/>
      <c r="B517" s="163"/>
      <c r="C517" s="95" t="s">
        <v>198</v>
      </c>
      <c r="D517" s="96"/>
      <c r="E517" s="97">
        <v>0</v>
      </c>
      <c r="F517" s="301">
        <f>F515*Tabla33[[#This Row],[VALOR UNITARIO ]]</f>
        <v>0</v>
      </c>
      <c r="G517" s="238"/>
      <c r="H517" s="238"/>
      <c r="I517" s="238"/>
      <c r="J517" s="238"/>
      <c r="K517" s="284"/>
      <c r="L517" s="1"/>
    </row>
    <row r="518" spans="1:12" x14ac:dyDescent="0.25">
      <c r="A518" s="138"/>
      <c r="B518" s="163"/>
      <c r="C518" s="95" t="s">
        <v>199</v>
      </c>
      <c r="D518" s="96"/>
      <c r="E518" s="97">
        <v>0</v>
      </c>
      <c r="F518" s="301">
        <f>F515*Tabla33[[#This Row],[VALOR UNITARIO ]]</f>
        <v>0</v>
      </c>
      <c r="G518" s="238"/>
      <c r="H518" s="238"/>
      <c r="I518" s="238"/>
      <c r="J518" s="238"/>
      <c r="K518" s="284"/>
      <c r="L518" s="1"/>
    </row>
    <row r="519" spans="1:12" x14ac:dyDescent="0.25">
      <c r="A519" s="138"/>
      <c r="B519" s="163"/>
      <c r="C519" s="95" t="s">
        <v>200</v>
      </c>
      <c r="D519" s="96"/>
      <c r="E519" s="97">
        <v>0</v>
      </c>
      <c r="F519" s="301">
        <f>F518*Tabla33[[#This Row],[VALOR UNITARIO ]]</f>
        <v>0</v>
      </c>
      <c r="G519" s="238"/>
      <c r="H519" s="238"/>
      <c r="I519" s="238"/>
      <c r="J519" s="238"/>
      <c r="K519" s="284"/>
      <c r="L519" s="1"/>
    </row>
    <row r="520" spans="1:12" x14ac:dyDescent="0.25">
      <c r="A520" s="221"/>
      <c r="B520" s="165"/>
      <c r="C520" s="91" t="s">
        <v>201</v>
      </c>
      <c r="D520" s="100"/>
      <c r="E520" s="49"/>
      <c r="F520" s="300">
        <f>F515+F516++F517+F518+F519</f>
        <v>33835333</v>
      </c>
      <c r="G520" s="238"/>
      <c r="H520" s="238"/>
      <c r="I520" s="238"/>
      <c r="J520" s="238"/>
      <c r="K520" s="284"/>
      <c r="L520" s="304">
        <v>164213503</v>
      </c>
    </row>
    <row r="521" spans="1:12" x14ac:dyDescent="0.25">
      <c r="A521" s="101" t="s">
        <v>741</v>
      </c>
      <c r="B521" s="102" t="s">
        <v>742</v>
      </c>
      <c r="C521" s="228"/>
      <c r="D521" s="228"/>
      <c r="E521" s="228"/>
      <c r="F521" s="317"/>
      <c r="G521" s="238"/>
      <c r="H521" s="238"/>
      <c r="I521" s="238"/>
      <c r="J521" s="238"/>
      <c r="K521" s="284"/>
      <c r="L521" s="1"/>
    </row>
    <row r="522" spans="1:12" ht="48" x14ac:dyDescent="0.25">
      <c r="A522" s="209" t="s">
        <v>743</v>
      </c>
      <c r="B522" s="229" t="s">
        <v>744</v>
      </c>
      <c r="C522" s="230"/>
      <c r="D522" s="225"/>
      <c r="E522" s="312"/>
      <c r="F522" s="301"/>
      <c r="G522" s="238"/>
      <c r="H522" s="238"/>
      <c r="I522" s="238"/>
      <c r="J522" s="238"/>
      <c r="K522" s="284"/>
      <c r="L522" s="1"/>
    </row>
    <row r="523" spans="1:12" ht="216" x14ac:dyDescent="0.25">
      <c r="A523" s="119" t="s">
        <v>745</v>
      </c>
      <c r="B523" s="48" t="s">
        <v>746</v>
      </c>
      <c r="C523" s="200" t="s">
        <v>19</v>
      </c>
      <c r="D523" s="178">
        <v>156</v>
      </c>
      <c r="E523" s="311"/>
      <c r="F523" s="39">
        <f>Tabla33[[#This Row],[CANTIDAD ]]*Tabla33[[#This Row],[VALOR UNITARIO ]]</f>
        <v>0</v>
      </c>
      <c r="G523" s="238"/>
      <c r="H523" s="238"/>
      <c r="I523" s="238"/>
      <c r="J523" s="238"/>
      <c r="K523" s="284"/>
      <c r="L523" s="1"/>
    </row>
    <row r="524" spans="1:12" ht="48" x14ac:dyDescent="0.25">
      <c r="A524" s="119" t="s">
        <v>747</v>
      </c>
      <c r="B524" s="24" t="s">
        <v>748</v>
      </c>
      <c r="C524" s="22" t="s">
        <v>19</v>
      </c>
      <c r="D524" s="178">
        <v>24</v>
      </c>
      <c r="E524" s="180"/>
      <c r="F524" s="39">
        <f>Tabla33[[#This Row],[CANTIDAD ]]*Tabla33[[#This Row],[VALOR UNITARIO ]]</f>
        <v>0</v>
      </c>
      <c r="G524" s="238"/>
      <c r="H524" s="238"/>
      <c r="I524" s="238"/>
      <c r="J524" s="238"/>
      <c r="K524" s="284"/>
      <c r="L524" s="1"/>
    </row>
    <row r="525" spans="1:12" ht="108" x14ac:dyDescent="0.25">
      <c r="A525" s="183" t="s">
        <v>749</v>
      </c>
      <c r="B525" s="48" t="s">
        <v>61</v>
      </c>
      <c r="C525" s="22" t="s">
        <v>14</v>
      </c>
      <c r="D525" s="231">
        <v>24</v>
      </c>
      <c r="E525" s="180"/>
      <c r="F525" s="39">
        <f>Tabla33[[#This Row],[CANTIDAD ]]*Tabla33[[#This Row],[VALOR UNITARIO ]]</f>
        <v>0</v>
      </c>
      <c r="G525" s="238"/>
      <c r="H525" s="238"/>
      <c r="I525" s="238"/>
      <c r="J525" s="238"/>
      <c r="K525" s="284"/>
      <c r="L525" s="1"/>
    </row>
    <row r="526" spans="1:12" ht="24" x14ac:dyDescent="0.25">
      <c r="A526" s="119" t="s">
        <v>752</v>
      </c>
      <c r="B526" s="232" t="s">
        <v>195</v>
      </c>
      <c r="C526" s="233" t="s">
        <v>19</v>
      </c>
      <c r="D526" s="178">
        <v>156</v>
      </c>
      <c r="E526" s="263">
        <f>ROUND(4850*1.0928,0)</f>
        <v>5300</v>
      </c>
      <c r="F526" s="39">
        <f>Tabla33[[#This Row],[CANTIDAD ]]*Tabla33[[#This Row],[VALOR UNITARIO ]]</f>
        <v>826800</v>
      </c>
      <c r="G526" s="238"/>
      <c r="H526" s="238"/>
      <c r="I526" s="238"/>
      <c r="J526" s="238"/>
      <c r="K526" s="284" t="s">
        <v>791</v>
      </c>
      <c r="L526" s="1"/>
    </row>
    <row r="527" spans="1:12" x14ac:dyDescent="0.25">
      <c r="A527" s="136"/>
      <c r="B527" s="234"/>
      <c r="C527" s="235" t="s">
        <v>196</v>
      </c>
      <c r="D527" s="236"/>
      <c r="E527" s="86"/>
      <c r="F527" s="318">
        <f>SUBTOTAL(109,F523:F526)</f>
        <v>826800</v>
      </c>
      <c r="G527" s="238"/>
      <c r="H527" s="238"/>
      <c r="I527" s="238"/>
      <c r="J527" s="238"/>
      <c r="K527" s="284"/>
      <c r="L527" s="1"/>
    </row>
    <row r="528" spans="1:12" x14ac:dyDescent="0.25">
      <c r="A528" s="188"/>
      <c r="B528" s="163"/>
      <c r="C528" s="95" t="s">
        <v>197</v>
      </c>
      <c r="D528" s="96"/>
      <c r="E528" s="97">
        <v>0</v>
      </c>
      <c r="F528" s="319">
        <f>F527*Tabla33[[#This Row],[VALOR UNITARIO ]]</f>
        <v>0</v>
      </c>
      <c r="G528" s="238"/>
      <c r="H528" s="238"/>
      <c r="I528" s="238"/>
      <c r="J528" s="238"/>
      <c r="K528" s="284"/>
      <c r="L528" s="1"/>
    </row>
    <row r="529" spans="1:12" x14ac:dyDescent="0.25">
      <c r="A529" s="138"/>
      <c r="B529" s="163"/>
      <c r="C529" s="95" t="s">
        <v>198</v>
      </c>
      <c r="D529" s="96"/>
      <c r="E529" s="97">
        <v>0</v>
      </c>
      <c r="F529" s="319">
        <f>F527*Tabla33[[#This Row],[VALOR UNITARIO ]]</f>
        <v>0</v>
      </c>
      <c r="G529" s="238"/>
      <c r="H529" s="238"/>
      <c r="I529" s="238"/>
      <c r="J529" s="238"/>
      <c r="K529" s="284"/>
      <c r="L529" s="1"/>
    </row>
    <row r="530" spans="1:12" x14ac:dyDescent="0.25">
      <c r="A530" s="188"/>
      <c r="B530" s="163"/>
      <c r="C530" s="95" t="s">
        <v>199</v>
      </c>
      <c r="D530" s="96"/>
      <c r="E530" s="97">
        <v>0</v>
      </c>
      <c r="F530" s="319">
        <f>F527*Tabla33[[#This Row],[VALOR UNITARIO ]]</f>
        <v>0</v>
      </c>
      <c r="G530" s="238"/>
      <c r="H530" s="238"/>
      <c r="I530" s="238"/>
      <c r="J530" s="238"/>
      <c r="K530" s="284"/>
      <c r="L530" s="1"/>
    </row>
    <row r="531" spans="1:12" x14ac:dyDescent="0.25">
      <c r="A531" s="138"/>
      <c r="B531" s="163"/>
      <c r="C531" s="95" t="s">
        <v>200</v>
      </c>
      <c r="D531" s="96"/>
      <c r="E531" s="97">
        <v>0</v>
      </c>
      <c r="F531" s="319">
        <f>F530*Tabla33[[#This Row],[VALOR UNITARIO ]]</f>
        <v>0</v>
      </c>
      <c r="G531" s="238"/>
      <c r="H531" s="238"/>
      <c r="I531" s="238"/>
      <c r="J531" s="238"/>
      <c r="K531" s="284"/>
      <c r="L531" s="1"/>
    </row>
    <row r="532" spans="1:12" x14ac:dyDescent="0.25">
      <c r="A532" s="189"/>
      <c r="B532" s="165"/>
      <c r="C532" s="91" t="s">
        <v>201</v>
      </c>
      <c r="D532" s="100"/>
      <c r="E532" s="49"/>
      <c r="F532" s="320">
        <f>F527+F528+F529+F530+F531</f>
        <v>826800</v>
      </c>
      <c r="G532" s="238"/>
      <c r="H532" s="238"/>
      <c r="I532" s="238"/>
      <c r="J532" s="238"/>
      <c r="K532" s="284"/>
      <c r="L532" s="1"/>
    </row>
    <row r="533" spans="1:12" x14ac:dyDescent="0.25">
      <c r="A533" s="237"/>
      <c r="B533" s="237"/>
      <c r="C533" s="237"/>
      <c r="D533" s="237"/>
      <c r="E533" s="237"/>
      <c r="F533" s="237"/>
      <c r="G533" s="238"/>
      <c r="H533" s="238"/>
      <c r="I533" s="238"/>
      <c r="J533" s="238"/>
      <c r="K533" s="284"/>
      <c r="L533" s="1"/>
    </row>
    <row r="534" spans="1:12" x14ac:dyDescent="0.25">
      <c r="A534" s="237"/>
      <c r="B534" s="237"/>
      <c r="C534" s="1822" t="s">
        <v>750</v>
      </c>
      <c r="D534" s="1822"/>
      <c r="E534" s="321"/>
      <c r="F534" s="322">
        <f>F108+F125+F199+F278+F356+F396+F432+F471+F520+F532</f>
        <v>570795235.20000005</v>
      </c>
      <c r="G534" s="238"/>
      <c r="H534" s="238"/>
      <c r="I534" s="238"/>
      <c r="J534" s="238"/>
      <c r="K534" s="284"/>
      <c r="L534" s="323">
        <f>L108+L125+L199+L278+L356+L396+L432+L471+L520</f>
        <v>787709115</v>
      </c>
    </row>
  </sheetData>
  <mergeCells count="9">
    <mergeCell ref="A7:F7"/>
    <mergeCell ref="C534:D534"/>
    <mergeCell ref="H8:J8"/>
    <mergeCell ref="A1:B1"/>
    <mergeCell ref="C1:F1"/>
    <mergeCell ref="A2:F2"/>
    <mergeCell ref="A3:F4"/>
    <mergeCell ref="A5:F5"/>
    <mergeCell ref="A6:F6"/>
  </mergeCells>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EB947113BF81A4DBED144AF26B037C3" ma:contentTypeVersion="18" ma:contentTypeDescription="Crear nuevo documento." ma:contentTypeScope="" ma:versionID="d47d6d6b9a13a66e487b3fee8f08315a">
  <xsd:schema xmlns:xsd="http://www.w3.org/2001/XMLSchema" xmlns:xs="http://www.w3.org/2001/XMLSchema" xmlns:p="http://schemas.microsoft.com/office/2006/metadata/properties" xmlns:ns3="e74a8a9c-290b-4b32-844c-a04f24fa40db" xmlns:ns4="ff9e9658-3ff9-4ea3-a783-e89e40813621" targetNamespace="http://schemas.microsoft.com/office/2006/metadata/properties" ma:root="true" ma:fieldsID="7cb07dd6a6d9e600b7cb36479abbd583" ns3:_="" ns4:_="">
    <xsd:import namespace="e74a8a9c-290b-4b32-844c-a04f24fa40db"/>
    <xsd:import namespace="ff9e9658-3ff9-4ea3-a783-e89e4081362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4a8a9c-290b-4b32-844c-a04f24fa40d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f9e9658-3ff9-4ea3-a783-e89e4081362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e74a8a9c-290b-4b32-844c-a04f24fa40db" xsi:nil="true"/>
  </documentManagement>
</p:properties>
</file>

<file path=customXml/itemProps1.xml><?xml version="1.0" encoding="utf-8"?>
<ds:datastoreItem xmlns:ds="http://schemas.openxmlformats.org/officeDocument/2006/customXml" ds:itemID="{BEC0E6BA-37DF-4A32-8E7B-790727F90B6B}">
  <ds:schemaRefs>
    <ds:schemaRef ds:uri="http://schemas.microsoft.com/sharepoint/v3/contenttype/forms"/>
  </ds:schemaRefs>
</ds:datastoreItem>
</file>

<file path=customXml/itemProps2.xml><?xml version="1.0" encoding="utf-8"?>
<ds:datastoreItem xmlns:ds="http://schemas.openxmlformats.org/officeDocument/2006/customXml" ds:itemID="{661DB0D4-D162-419E-AA02-C7E332823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4a8a9c-290b-4b32-844c-a04f24fa40db"/>
    <ds:schemaRef ds:uri="ff9e9658-3ff9-4ea3-a783-e89e408136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EC99DC1-6782-467D-A73C-F810090F381B}">
  <ds:schemaRefs>
    <ds:schemaRef ds:uri="http://purl.org/dc/elements/1.1/"/>
    <ds:schemaRef ds:uri="http://purl.org/dc/dcmitype/"/>
    <ds:schemaRef ds:uri="http://www.w3.org/XML/1998/namespac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ff9e9658-3ff9-4ea3-a783-e89e40813621"/>
    <ds:schemaRef ds:uri="e74a8a9c-290b-4b32-844c-a04f24fa40db"/>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especificación</vt:lpstr>
      <vt:lpstr>entrega abogada</vt:lpstr>
      <vt:lpstr>estudio inicial precios</vt:lpstr>
      <vt:lpstr>POE</vt:lpstr>
      <vt:lpstr>ACTIVIDADES DE OBRA A EJECUTAR</vt:lpstr>
      <vt:lpstr>selección precios unitario</vt:lpstr>
      <vt:lpstr>selección quemada</vt:lpstr>
      <vt:lpstr>valores unit indexados</vt:lpstr>
      <vt:lpstr>ejecución</vt:lpstr>
      <vt:lpstr>Análisis del AIU</vt:lpstr>
      <vt:lpstr>Contrato 013</vt:lpstr>
      <vt:lpstr>Contrato 028</vt:lpstr>
      <vt:lpstr>Contrato 041</vt:lpstr>
      <vt:lpstr>contrato 041 con adic</vt:lpstr>
      <vt:lpstr>Contrato 058</vt:lpstr>
      <vt:lpstr>Piedad Lorena</vt:lpstr>
      <vt:lpstr>'ACTIVIDADES DE OBRA A EJECUTAR'!Área_de_impresión</vt:lpstr>
      <vt:lpstr>POE!Área_de_impresión</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Lorena Hernandez Fernandez</dc:creator>
  <cp:lastModifiedBy>Natalia Muñoz Tobar</cp:lastModifiedBy>
  <cp:lastPrinted>2024-04-25T17:01:03Z</cp:lastPrinted>
  <dcterms:created xsi:type="dcterms:W3CDTF">2024-04-03T13:44:51Z</dcterms:created>
  <dcterms:modified xsi:type="dcterms:W3CDTF">2024-05-27T13:56:19Z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0x010100EEB947113BF81A4DBED144AF26B037C3</vt:lpwstr>
  </property>
</Properties>
</file>