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embeddings/oleObject3.bin" ContentType="application/vnd.openxmlformats-officedocument.oleObject"/>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9"/>
  <workbookPr showInkAnnotation="0"/>
  <mc:AlternateContent xmlns:mc="http://schemas.openxmlformats.org/markup-compatibility/2006">
    <mc:Choice Requires="x15">
      <x15ac:absPath xmlns:x15ac="http://schemas.microsoft.com/office/spreadsheetml/2010/11/ac" url="https://invias-my.sharepoint.com/personal/yisaac_invias_gov_co/Documents/CONVENIOS 2024/IP-DT-ANT-007-2024[16]/"/>
    </mc:Choice>
  </mc:AlternateContent>
  <xr:revisionPtr revIDLastSave="1" documentId="13_ncr:1_{E3AB44BC-CBC4-4FAD-84D7-C7949E94381D}" xr6:coauthVersionLast="47" xr6:coauthVersionMax="47" xr10:uidLastSave="{3C6BA4DF-AC18-B041-B356-AA53607E94D9}"/>
  <bookViews>
    <workbookView xWindow="0" yWindow="680" windowWidth="28800" windowHeight="16160" tabRatio="759" activeTab="2" xr2:uid="{00000000-000D-0000-FFFF-FFFF00000000}"/>
  </bookViews>
  <sheets>
    <sheet name="HITO I (Fase I)" sheetId="87" state="hidden" r:id="rId1"/>
    <sheet name="Hito II (Actualización)" sheetId="89" state="hidden" r:id="rId2"/>
    <sheet name="PRESUPUESTO " sheetId="127" r:id="rId3"/>
  </sheets>
  <definedNames>
    <definedName name="_xlnm.Print_Area" localSheetId="0">'HITO I (Fase I)'!$A$1:$S$70</definedName>
    <definedName name="_xlnm.Print_Area" localSheetId="1">'Hito II (Actualización)'!$A$1:$T$80</definedName>
    <definedName name="_xlnm.Print_Area" localSheetId="2">'PRESUPUESTO '!$A$1:$I$34</definedName>
    <definedName name="ee">#REF!</definedName>
    <definedName name="inf" localSheetId="0">#REF!</definedName>
    <definedName name="inf" localSheetId="1">#REF!</definedName>
    <definedName name="inf" localSheetId="2">#REF!</definedName>
    <definedName name="inf">#REF!</definedName>
    <definedName name="_xlnm.Print_Titles" localSheetId="0">'HITO I (Fase I)'!$7:$12</definedName>
    <definedName name="_xlnm.Print_Titles" localSheetId="1">'Hito II (Actualización)'!$7:$10</definedName>
    <definedName name="_xlnm.Print_Titles" localSheetId="2">'PRESUPUESTO '!$1:$9</definedName>
  </definedNames>
  <calcPr calcId="191029"/>
  <customWorkbookViews>
    <customWorkbookView name="C.C.C - Vista personalizada" guid="{40B3B860-96FC-11D1-AC3B-00A0243941FC}" personalView="1" maximized="1" windowWidth="636" windowHeight="318" tabRatio="823"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127" l="1"/>
  <c r="G14" i="87"/>
  <c r="H14" i="87" s="1"/>
  <c r="G15" i="87"/>
  <c r="H15" i="87" s="1"/>
  <c r="N15" i="87" s="1"/>
  <c r="N16" i="87"/>
  <c r="G17" i="87"/>
  <c r="H17" i="87" s="1"/>
  <c r="N17" i="87" s="1"/>
  <c r="G18" i="87"/>
  <c r="H18" i="87" s="1"/>
  <c r="N18" i="87" s="1"/>
  <c r="P18" i="87" s="1"/>
  <c r="G19" i="87"/>
  <c r="H19" i="87" s="1"/>
  <c r="N19" i="87" s="1"/>
  <c r="X19" i="87"/>
  <c r="Z19" i="87"/>
  <c r="G20" i="87"/>
  <c r="H20" i="87" s="1"/>
  <c r="N20" i="87" s="1"/>
  <c r="X20" i="87"/>
  <c r="Z20" i="87"/>
  <c r="G21" i="87"/>
  <c r="H21" i="87" s="1"/>
  <c r="N21" i="87" s="1"/>
  <c r="N22" i="87"/>
  <c r="G23" i="87"/>
  <c r="H23" i="87" s="1"/>
  <c r="N23" i="87" s="1"/>
  <c r="N24" i="87"/>
  <c r="N25" i="87"/>
  <c r="X25" i="87"/>
  <c r="Z25" i="87"/>
  <c r="G26" i="87"/>
  <c r="H26" i="87" s="1"/>
  <c r="N26" i="87" s="1"/>
  <c r="P25" i="87" s="1"/>
  <c r="X26" i="87"/>
  <c r="Z26" i="87"/>
  <c r="G27" i="87"/>
  <c r="H27" i="87" s="1"/>
  <c r="N27" i="87" s="1"/>
  <c r="U27" i="87"/>
  <c r="W27" i="87" s="1"/>
  <c r="X27" i="87" s="1"/>
  <c r="G28" i="87"/>
  <c r="H28" i="87" s="1"/>
  <c r="N28" i="87" s="1"/>
  <c r="G29" i="87"/>
  <c r="H29" i="87" s="1"/>
  <c r="N29" i="87" s="1"/>
  <c r="G30" i="87"/>
  <c r="H30" i="87" s="1"/>
  <c r="N30" i="87" s="1"/>
  <c r="G31" i="87"/>
  <c r="H31" i="87" s="1"/>
  <c r="N31" i="87" s="1"/>
  <c r="G32" i="87"/>
  <c r="H32" i="87" s="1"/>
  <c r="N32" i="87" s="1"/>
  <c r="G33" i="87"/>
  <c r="H33" i="87" s="1"/>
  <c r="N33" i="87" s="1"/>
  <c r="G34" i="87"/>
  <c r="H34" i="87" s="1"/>
  <c r="N34" i="87" s="1"/>
  <c r="G35" i="87"/>
  <c r="H35" i="87" s="1"/>
  <c r="N35" i="87" s="1"/>
  <c r="G36" i="87"/>
  <c r="H36" i="87" s="1"/>
  <c r="N36" i="87" s="1"/>
  <c r="G37" i="87"/>
  <c r="H37" i="87" s="1"/>
  <c r="N37" i="87" s="1"/>
  <c r="G38" i="87"/>
  <c r="H38" i="87" s="1"/>
  <c r="N38" i="87" s="1"/>
  <c r="G39" i="87"/>
  <c r="H39" i="87" s="1"/>
  <c r="N39" i="87" s="1"/>
  <c r="G40" i="87"/>
  <c r="H40" i="87" s="1"/>
  <c r="N40" i="87" s="1"/>
  <c r="G41" i="87"/>
  <c r="H41" i="87" s="1"/>
  <c r="N41" i="87" s="1"/>
  <c r="G42" i="87"/>
  <c r="H42" i="87" s="1"/>
  <c r="N42" i="87" s="1"/>
  <c r="G43" i="87"/>
  <c r="H43" i="87" s="1"/>
  <c r="N43" i="87" s="1"/>
  <c r="G44" i="87"/>
  <c r="H44" i="87" s="1"/>
  <c r="N44" i="87" s="1"/>
  <c r="G49" i="87"/>
  <c r="N49" i="87" s="1"/>
  <c r="G50" i="87"/>
  <c r="H50" i="87" s="1"/>
  <c r="G51" i="87"/>
  <c r="H51" i="87" s="1"/>
  <c r="G52" i="87"/>
  <c r="H52" i="87" s="1"/>
  <c r="H53" i="87"/>
  <c r="N53" i="87"/>
  <c r="H54" i="87"/>
  <c r="N54" i="87"/>
  <c r="H55" i="87"/>
  <c r="H57" i="87"/>
  <c r="H59" i="87"/>
  <c r="H60" i="87"/>
  <c r="M60" i="87" s="1"/>
  <c r="H61" i="87"/>
  <c r="G16" i="89"/>
  <c r="H16" i="89" s="1"/>
  <c r="G17" i="89"/>
  <c r="H17" i="89" s="1"/>
  <c r="N17" i="89" s="1"/>
  <c r="G18" i="89"/>
  <c r="H18" i="89" s="1"/>
  <c r="N18" i="89" s="1"/>
  <c r="G19" i="89"/>
  <c r="H19" i="89" s="1"/>
  <c r="N19" i="89" s="1"/>
  <c r="G20" i="89"/>
  <c r="H20" i="89" s="1"/>
  <c r="N20" i="89" s="1"/>
  <c r="Q20" i="89" s="1"/>
  <c r="G21" i="89"/>
  <c r="H21" i="89" s="1"/>
  <c r="N21" i="89" s="1"/>
  <c r="Q21" i="89" s="1"/>
  <c r="G22" i="89"/>
  <c r="H22" i="89" s="1"/>
  <c r="N22" i="89" s="1"/>
  <c r="Y22" i="89"/>
  <c r="AA22" i="89"/>
  <c r="G23" i="89"/>
  <c r="H23" i="89" s="1"/>
  <c r="N23" i="89" s="1"/>
  <c r="Y23" i="89"/>
  <c r="AA23" i="89"/>
  <c r="G24" i="89"/>
  <c r="H24" i="89" s="1"/>
  <c r="N24" i="89" s="1"/>
  <c r="Y24" i="89"/>
  <c r="AA24" i="89"/>
  <c r="G25" i="89"/>
  <c r="H25" i="89" s="1"/>
  <c r="N25" i="89" s="1"/>
  <c r="Q26" i="89" s="1"/>
  <c r="Y25" i="89"/>
  <c r="AA25" i="89"/>
  <c r="G26" i="89"/>
  <c r="H26" i="89" s="1"/>
  <c r="N26" i="89" s="1"/>
  <c r="Q27" i="89" s="1"/>
  <c r="V27" i="89" s="1"/>
  <c r="G27" i="89"/>
  <c r="H27" i="89" s="1"/>
  <c r="N27" i="89" s="1"/>
  <c r="Q29" i="89" s="1"/>
  <c r="G28" i="89"/>
  <c r="H28" i="89" s="1"/>
  <c r="N28" i="89" s="1"/>
  <c r="Q32" i="89" s="1"/>
  <c r="V28" i="89"/>
  <c r="X28" i="89" s="1"/>
  <c r="AA28" i="89" s="1"/>
  <c r="G29" i="89"/>
  <c r="H29" i="89" s="1"/>
  <c r="N29" i="89" s="1"/>
  <c r="Q33" i="89" s="1"/>
  <c r="V33" i="89" s="1"/>
  <c r="X33" i="89" s="1"/>
  <c r="G30" i="89"/>
  <c r="H30" i="89" s="1"/>
  <c r="N30" i="89" s="1"/>
  <c r="G31" i="89"/>
  <c r="H31" i="89" s="1"/>
  <c r="N31" i="89" s="1"/>
  <c r="Y31" i="89"/>
  <c r="AA31" i="89"/>
  <c r="N32" i="89"/>
  <c r="Y32" i="89"/>
  <c r="AA32" i="89"/>
  <c r="G33" i="89"/>
  <c r="H33" i="89" s="1"/>
  <c r="N33" i="89" s="1"/>
  <c r="G34" i="89"/>
  <c r="H34" i="89" s="1"/>
  <c r="N34" i="89" s="1"/>
  <c r="G35" i="89"/>
  <c r="H35" i="89" s="1"/>
  <c r="N35" i="89" s="1"/>
  <c r="G36" i="89"/>
  <c r="H36" i="89" s="1"/>
  <c r="N36" i="89" s="1"/>
  <c r="G37" i="89"/>
  <c r="H37" i="89" s="1"/>
  <c r="N37" i="89" s="1"/>
  <c r="G38" i="89"/>
  <c r="H38" i="89" s="1"/>
  <c r="N38" i="89" s="1"/>
  <c r="G39" i="89"/>
  <c r="H39" i="89" s="1"/>
  <c r="N39" i="89" s="1"/>
  <c r="G40" i="89"/>
  <c r="H40" i="89" s="1"/>
  <c r="N40" i="89" s="1"/>
  <c r="G41" i="89"/>
  <c r="H41" i="89" s="1"/>
  <c r="N41" i="89" s="1"/>
  <c r="G42" i="89"/>
  <c r="H42" i="89" s="1"/>
  <c r="N42" i="89" s="1"/>
  <c r="G43" i="89"/>
  <c r="H43" i="89" s="1"/>
  <c r="N43" i="89" s="1"/>
  <c r="N44" i="89"/>
  <c r="G45" i="89"/>
  <c r="H45" i="89" s="1"/>
  <c r="N45" i="89" s="1"/>
  <c r="G50" i="89"/>
  <c r="H50" i="89" s="1"/>
  <c r="G51" i="89"/>
  <c r="H51" i="89" s="1"/>
  <c r="G52" i="89"/>
  <c r="O52" i="89" s="1"/>
  <c r="H53" i="89"/>
  <c r="O53" i="89"/>
  <c r="H54" i="89"/>
  <c r="O54" i="89"/>
  <c r="H55" i="89"/>
  <c r="O55" i="89"/>
  <c r="H56" i="89"/>
  <c r="H57" i="89"/>
  <c r="H58" i="89"/>
  <c r="H59" i="89"/>
  <c r="H60" i="89"/>
  <c r="H61" i="89"/>
  <c r="G62" i="89"/>
  <c r="H62" i="89" s="1"/>
  <c r="H63" i="89"/>
  <c r="H64" i="89"/>
  <c r="H65" i="89"/>
  <c r="O65" i="89"/>
  <c r="H66" i="89"/>
  <c r="O66" i="89"/>
  <c r="G67" i="89"/>
  <c r="H67" i="89" s="1"/>
  <c r="H68" i="89"/>
  <c r="N68" i="89" s="1"/>
  <c r="H69" i="89"/>
  <c r="H70" i="89"/>
  <c r="H71" i="89"/>
  <c r="H72" i="89"/>
  <c r="N50" i="87"/>
  <c r="O50" i="89" l="1"/>
  <c r="G15" i="127"/>
  <c r="G16" i="127" s="1"/>
  <c r="G17" i="127" s="1"/>
  <c r="G18" i="127" s="1"/>
  <c r="P21" i="87"/>
  <c r="U21" i="87" s="1"/>
  <c r="V21" i="87" s="1"/>
  <c r="N51" i="87"/>
  <c r="W28" i="89"/>
  <c r="H49" i="87"/>
  <c r="H63" i="87" s="1"/>
  <c r="P33" i="87" s="1"/>
  <c r="H52" i="89"/>
  <c r="H74" i="89" s="1"/>
  <c r="Q52" i="89" s="1"/>
  <c r="N52" i="87"/>
  <c r="W21" i="87"/>
  <c r="X21" i="87" s="1"/>
  <c r="Q30" i="89"/>
  <c r="V30" i="89" s="1"/>
  <c r="W30" i="89" s="1"/>
  <c r="P24" i="87"/>
  <c r="O51" i="89"/>
  <c r="V27" i="87"/>
  <c r="X27" i="89"/>
  <c r="W27" i="89"/>
  <c r="P26" i="87"/>
  <c r="H45" i="87"/>
  <c r="H47" i="87" s="1"/>
  <c r="N14" i="87"/>
  <c r="V21" i="89"/>
  <c r="H46" i="89"/>
  <c r="H48" i="89" s="1"/>
  <c r="U24" i="87"/>
  <c r="O46" i="87"/>
  <c r="P17" i="87"/>
  <c r="W33" i="89"/>
  <c r="Y28" i="89"/>
  <c r="V20" i="89"/>
  <c r="Q23" i="89"/>
  <c r="Q25" i="89"/>
  <c r="U25" i="87"/>
  <c r="AA33" i="89"/>
  <c r="Y33" i="89"/>
  <c r="Q24" i="89"/>
  <c r="Q22" i="89"/>
  <c r="Q50" i="89"/>
  <c r="V26" i="89"/>
  <c r="Z27" i="87"/>
  <c r="Q31" i="89"/>
  <c r="P22" i="87"/>
  <c r="P23" i="87"/>
  <c r="V32" i="89"/>
  <c r="U18" i="87"/>
  <c r="N16" i="89"/>
  <c r="Q49" i="89" s="1"/>
  <c r="V29" i="89"/>
  <c r="P19" i="87"/>
  <c r="P20" i="87"/>
  <c r="Z21" i="87" l="1"/>
  <c r="X30" i="89"/>
  <c r="Q51" i="89"/>
  <c r="Q36" i="89"/>
  <c r="H64" i="87"/>
  <c r="P9" i="87" s="1"/>
  <c r="Q53" i="89"/>
  <c r="V25" i="87"/>
  <c r="Y25" i="87"/>
  <c r="W21" i="89"/>
  <c r="X21" i="89"/>
  <c r="U22" i="87"/>
  <c r="V31" i="89"/>
  <c r="P30" i="87"/>
  <c r="O45" i="87"/>
  <c r="O47" i="87" s="1"/>
  <c r="N47" i="87"/>
  <c r="U20" i="87"/>
  <c r="V22" i="89"/>
  <c r="V24" i="87"/>
  <c r="W24" i="87"/>
  <c r="V18" i="87"/>
  <c r="W18" i="87"/>
  <c r="V25" i="89"/>
  <c r="Z32" i="89"/>
  <c r="W32" i="89"/>
  <c r="W26" i="89"/>
  <c r="X26" i="89"/>
  <c r="V24" i="89"/>
  <c r="AA27" i="89"/>
  <c r="Y27" i="89"/>
  <c r="W29" i="89"/>
  <c r="X29" i="89"/>
  <c r="H75" i="89"/>
  <c r="Y30" i="89"/>
  <c r="AA30" i="89"/>
  <c r="P28" i="87"/>
  <c r="P31" i="87" s="1"/>
  <c r="Q31" i="87" s="1"/>
  <c r="U17" i="87"/>
  <c r="U19" i="87"/>
  <c r="V23" i="89"/>
  <c r="U26" i="87"/>
  <c r="U23" i="87"/>
  <c r="W20" i="89"/>
  <c r="X20" i="89"/>
  <c r="H65" i="87" l="1"/>
  <c r="H66" i="87" s="1"/>
  <c r="H69" i="87" s="1"/>
  <c r="Q19" i="87"/>
  <c r="R19" i="87" s="1"/>
  <c r="S19" i="87" s="1"/>
  <c r="Q17" i="87"/>
  <c r="R17" i="87" s="1"/>
  <c r="S17" i="87" s="1"/>
  <c r="Q23" i="87"/>
  <c r="R23" i="87" s="1"/>
  <c r="S23" i="87" s="1"/>
  <c r="V22" i="87"/>
  <c r="W22" i="87"/>
  <c r="Z25" i="89"/>
  <c r="W25" i="89"/>
  <c r="Z18" i="87"/>
  <c r="X18" i="87"/>
  <c r="AA26" i="89"/>
  <c r="Y26" i="89"/>
  <c r="Z23" i="89"/>
  <c r="W23" i="89"/>
  <c r="Q17" i="89"/>
  <c r="H76" i="89"/>
  <c r="H77" i="89" s="1"/>
  <c r="H79" i="89" s="1"/>
  <c r="Z24" i="87"/>
  <c r="X24" i="87"/>
  <c r="V20" i="87"/>
  <c r="Y20" i="87"/>
  <c r="Y21" i="89"/>
  <c r="AA21" i="89"/>
  <c r="Y26" i="87"/>
  <c r="V26" i="87"/>
  <c r="Z24" i="89"/>
  <c r="W24" i="89"/>
  <c r="Q26" i="87"/>
  <c r="R26" i="87" s="1"/>
  <c r="S26" i="87" s="1"/>
  <c r="Q22" i="87"/>
  <c r="R22" i="87" s="1"/>
  <c r="S22" i="87" s="1"/>
  <c r="Y20" i="89"/>
  <c r="AA20" i="89"/>
  <c r="AA29" i="89"/>
  <c r="Y29" i="89"/>
  <c r="Z31" i="89"/>
  <c r="W31" i="89"/>
  <c r="Q24" i="87"/>
  <c r="R24" i="87" s="1"/>
  <c r="S24" i="87" s="1"/>
  <c r="Q25" i="87"/>
  <c r="R25" i="87" s="1"/>
  <c r="S25" i="87" s="1"/>
  <c r="Q21" i="87"/>
  <c r="R21" i="87" s="1"/>
  <c r="S21" i="87" s="1"/>
  <c r="Q18" i="87"/>
  <c r="R18" i="87" s="1"/>
  <c r="S18" i="87" s="1"/>
  <c r="Q20" i="87"/>
  <c r="R20" i="87" s="1"/>
  <c r="S20" i="87" s="1"/>
  <c r="Y19" i="87"/>
  <c r="V19" i="87"/>
  <c r="W23" i="87"/>
  <c r="V23" i="87"/>
  <c r="W17" i="87"/>
  <c r="V17" i="87"/>
  <c r="Z22" i="89"/>
  <c r="W22" i="89"/>
  <c r="P32" i="87"/>
  <c r="P34" i="87" s="1"/>
  <c r="W36" i="89" l="1"/>
  <c r="S28" i="87"/>
  <c r="R28" i="89"/>
  <c r="S28" i="89" s="1"/>
  <c r="T28" i="89" s="1"/>
  <c r="R21" i="89"/>
  <c r="S21" i="89" s="1"/>
  <c r="T21" i="89" s="1"/>
  <c r="R30" i="89"/>
  <c r="S30" i="89" s="1"/>
  <c r="T30" i="89" s="1"/>
  <c r="R27" i="89"/>
  <c r="S27" i="89" s="1"/>
  <c r="T27" i="89" s="1"/>
  <c r="R26" i="89"/>
  <c r="S26" i="89" s="1"/>
  <c r="T26" i="89" s="1"/>
  <c r="R20" i="89"/>
  <c r="S20" i="89" s="1"/>
  <c r="T20" i="89" s="1"/>
  <c r="R32" i="89"/>
  <c r="S32" i="89" s="1"/>
  <c r="T32" i="89" s="1"/>
  <c r="R29" i="89"/>
  <c r="S29" i="89" s="1"/>
  <c r="T29" i="89" s="1"/>
  <c r="R33" i="89"/>
  <c r="S33" i="89" s="1"/>
  <c r="T33" i="89" s="1"/>
  <c r="R23" i="89"/>
  <c r="S23" i="89" s="1"/>
  <c r="T23" i="89" s="1"/>
  <c r="R22" i="89"/>
  <c r="S22" i="89" s="1"/>
  <c r="T22" i="89" s="1"/>
  <c r="R24" i="89"/>
  <c r="S24" i="89" s="1"/>
  <c r="T24" i="89" s="1"/>
  <c r="R31" i="89"/>
  <c r="S31" i="89" s="1"/>
  <c r="T31" i="89" s="1"/>
  <c r="R25" i="89"/>
  <c r="S25" i="89" s="1"/>
  <c r="T25" i="89" s="1"/>
  <c r="V28" i="87"/>
  <c r="Y36" i="89"/>
  <c r="Z36" i="89" s="1"/>
  <c r="Z17" i="87"/>
  <c r="X17" i="87"/>
  <c r="Z22" i="87"/>
  <c r="X22" i="87"/>
  <c r="X23" i="87"/>
  <c r="Z23" i="87"/>
  <c r="T36" i="89" l="1"/>
  <c r="X28" i="87"/>
  <c r="Y28" i="8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tc={9C6075BB-1FEE-47B8-9FE1-D46A056047EF}</author>
    <author>tc={64948160-675F-42B5-A0F6-FEAF2F01E9EE}</author>
    <author>tc={50915D39-3279-47D6-B2CB-014E355FE01D}</author>
    <author>tc={61178C52-D255-40FC-9365-C24B09C9189D}</author>
  </authors>
  <commentList>
    <comment ref="F10" authorId="0" shapeId="0" xr:uid="{9C6075BB-1FEE-47B8-9FE1-D46A056047EF}">
      <text>
        <t>[Comentario encadenado]
Tu versión de Excel te permite leer este comentario encadenado; sin embargo, las ediciones que se apliquen se quitarán si el archivo se abre en una versión más reciente de Excel. Más información: https://go.microsoft.com/fwlink/?linkid=870924
Comentario:
    Establecer según el estudio económico de la zona.</t>
      </text>
    </comment>
    <comment ref="C14" authorId="1" shapeId="0" xr:uid="{64948160-675F-42B5-A0F6-FEAF2F01E9EE}">
      <text>
        <t>[Comentario encadenado]
Tu versión de Excel te permite leer este comentario encadenado; sin embargo, las ediciones que se apliquen se quitarán si el archivo se abre en una versión más reciente de Excel. Más información: https://go.microsoft.com/fwlink/?linkid=870924
Comentario:
    Se podrá establecer la Unidad, según la medida de área comercial, determinada en el estudio económico.</t>
      </text>
    </comment>
    <comment ref="D14" authorId="2" shapeId="0" xr:uid="{50915D39-3279-47D6-B2CB-014E355FE01D}">
      <text>
        <t>[Comentario encadenado]
Tu versión de Excel te permite leer este comentario encadenado; sin embargo, las ediciones que se apliquen se quitarán si el archivo se abre en una versión más reciente de Excel. Más información: https://go.microsoft.com/fwlink/?linkid=870924
Comentario:
    El costo unitario corresponderá al análisis económico hecho en territorio o lo referenciado por la Gerencia de Caminos Comunitarios de la Paz Total</t>
      </text>
    </comment>
    <comment ref="E14" authorId="3" shapeId="0" xr:uid="{61178C52-D255-40FC-9365-C24B09C9189D}">
      <text>
        <t>[Comentario encadenado]
Tu versión de Excel te permite leer este comentario encadenado; sin embargo, las ediciones que se apliquen se quitarán si el archivo se abre en una versión más reciente de Excel. Más información: https://go.microsoft.com/fwlink/?linkid=870924
Comentario:
    Verificar cantidades con las estimaciones de la Gerencia de Caminos Comunitarios de la Paz Total</t>
      </text>
    </comment>
  </commentList>
</comments>
</file>

<file path=xl/sharedStrings.xml><?xml version="1.0" encoding="utf-8"?>
<sst xmlns="http://schemas.openxmlformats.org/spreadsheetml/2006/main" count="277" uniqueCount="172">
  <si>
    <t>MINISTERIO DE TRANSPORTE</t>
  </si>
  <si>
    <t>INSTITUTO NACIONAL DE VÍAS</t>
  </si>
  <si>
    <t>DIRECCIÓN TÉCNICA</t>
  </si>
  <si>
    <t>SUBDIRECCIÓN DE ESTUDIOS E INNOVACIÓN</t>
  </si>
  <si>
    <r>
      <t>CONCURSO DE MÉRITOS ABIERTO N° CMA-DT-SEI-</t>
    </r>
    <r>
      <rPr>
        <b/>
        <sz val="12"/>
        <color indexed="10"/>
        <rFont val="Arial Narrow"/>
        <family val="2"/>
      </rPr>
      <t>XXX</t>
    </r>
    <r>
      <rPr>
        <b/>
        <sz val="12"/>
        <rFont val="Arial Narrow"/>
        <family val="2"/>
      </rPr>
      <t>-2016</t>
    </r>
  </si>
  <si>
    <t>PRESUPUESTO ESTIMADO</t>
  </si>
  <si>
    <t>VALOR BÁSICO</t>
  </si>
  <si>
    <t>BÁSICO TOTAL DEL CONTRATO</t>
  </si>
  <si>
    <t>OBJETO: XXXXXXXXXXX</t>
  </si>
  <si>
    <t>PLAZO: 8 MESES</t>
  </si>
  <si>
    <t>% Volumen</t>
  </si>
  <si>
    <t>Cant.</t>
  </si>
  <si>
    <t>CONCEPTO</t>
  </si>
  <si>
    <t xml:space="preserve">Costo Mensual </t>
  </si>
  <si>
    <t>Prima Regional</t>
  </si>
  <si>
    <t>Dedic.</t>
  </si>
  <si>
    <t>Meses</t>
  </si>
  <si>
    <t>Tiempo Total</t>
  </si>
  <si>
    <t>Valor Total</t>
  </si>
  <si>
    <t>VOLUMENES</t>
  </si>
  <si>
    <t>Valor Volumen</t>
  </si>
  <si>
    <t>redondeado</t>
  </si>
  <si>
    <t>Director General</t>
  </si>
  <si>
    <t>Ingeniero Residente de Estudios Hito I</t>
  </si>
  <si>
    <r>
      <t xml:space="preserve">Valores para </t>
    </r>
    <r>
      <rPr>
        <b/>
        <u/>
        <sz val="8"/>
        <rFont val="Arial Narrow"/>
        <family val="2"/>
      </rPr>
      <t>Formulario 1</t>
    </r>
  </si>
  <si>
    <t>Especialista en Tránsito y/o Transporte</t>
  </si>
  <si>
    <t>VOL I. ESTUDIO DE TRANSPORTE</t>
  </si>
  <si>
    <t>Especialista en Vías (Diseño geométrico)</t>
  </si>
  <si>
    <t>VOL II. IDENTIFICACIÓN DE ALTERNATIVAS DESDE EL PUNTO DE VISTA GEOMÉTRICO.</t>
  </si>
  <si>
    <t>Geólogo</t>
  </si>
  <si>
    <t>VOL III. PRE FACTIBILIDAD DE TÚNELES</t>
  </si>
  <si>
    <t>Especialista en Geotecnia</t>
  </si>
  <si>
    <t>VOL IV. GEOLOGÍA Y GEOMORFOLOGÍA REGIONAL</t>
  </si>
  <si>
    <t>Especialista en Túneles</t>
  </si>
  <si>
    <t>VOLUMEN V. GEOTECNIA REGIONAL</t>
  </si>
  <si>
    <t>VOL VI. HIDRÁULICA E HIDROLOGÍA</t>
  </si>
  <si>
    <t>Especialista en Hidraulica e Hidrología</t>
  </si>
  <si>
    <t>VOL VII. DIAGNOSTICO AMBIENTAL DE ALTERNATIVAS</t>
  </si>
  <si>
    <t>VOL VIII. ÁREAS DE AFECTACIÓN PREDIAL</t>
  </si>
  <si>
    <t xml:space="preserve">VOL IX. ESTIMACIÓN DE COSTOS </t>
  </si>
  <si>
    <t>Profesional en Costos y Presupuesto</t>
  </si>
  <si>
    <t>VOL X. EVALUACIÓN TÉCNICA, AMBIENTAL, SOCIO ECONÓMICA Y SELECCIÓN DE ALTERNATIVA</t>
  </si>
  <si>
    <t>Especialista en Evaluación Económica de Proyectos</t>
  </si>
  <si>
    <t>VOL XI. INFORME FINAL EJECUTIVO</t>
  </si>
  <si>
    <t>Especialista en Hidrogeología</t>
  </si>
  <si>
    <t>Especialista Ambiental</t>
  </si>
  <si>
    <t>Ingeniero Ambiental</t>
  </si>
  <si>
    <t>GRUPO 1</t>
  </si>
  <si>
    <t>Especialista en economía ambiental</t>
  </si>
  <si>
    <t>GRUPO 2</t>
  </si>
  <si>
    <t>Ingeniero Forestal</t>
  </si>
  <si>
    <t>TOTAL GRUPO 1 + GRUPO 2</t>
  </si>
  <si>
    <t>Biólogo - Fauna</t>
  </si>
  <si>
    <t>GRUPO 3</t>
  </si>
  <si>
    <t>Biólogo - Flora</t>
  </si>
  <si>
    <t>TOTAL PO</t>
  </si>
  <si>
    <t>Profesional en Arqueología</t>
  </si>
  <si>
    <t>Profesional en Antropólogo</t>
  </si>
  <si>
    <t>Profesionales Social</t>
  </si>
  <si>
    <t>Profesional SIG</t>
  </si>
  <si>
    <t>Profesional Avaluador</t>
  </si>
  <si>
    <t>Ingeniero Castastral Predial</t>
  </si>
  <si>
    <t>Dibujante Autocad y SIG</t>
  </si>
  <si>
    <t>Profesionales Auxiliares</t>
  </si>
  <si>
    <t>Profesional Auxiliar Social</t>
  </si>
  <si>
    <t>Secretaria</t>
  </si>
  <si>
    <t>Chequeo</t>
  </si>
  <si>
    <t>SUBTOTAL COSTO DE PERSONAL</t>
  </si>
  <si>
    <t>Grupo 1</t>
  </si>
  <si>
    <t>FACTOR MULTIPLICADOR</t>
  </si>
  <si>
    <t>Grupo 2</t>
  </si>
  <si>
    <t>TOTAL COSTOS DE PERSONAL</t>
  </si>
  <si>
    <t>Total G 1, 2</t>
  </si>
  <si>
    <t>Concepto</t>
  </si>
  <si>
    <t xml:space="preserve">Costos </t>
  </si>
  <si>
    <t>Unidad</t>
  </si>
  <si>
    <t>Viáticos Director (Incluye hospedaje, alimentación y desplazamientos)</t>
  </si>
  <si>
    <t>Día</t>
  </si>
  <si>
    <t>2 días, 3 veces en el mes, durante 6 meses</t>
  </si>
  <si>
    <t>Viáticos Especialistas  (Incluye hospedaje, alimentación y desplazamientos)</t>
  </si>
  <si>
    <t>3 días, 3 veces en el proyecto</t>
  </si>
  <si>
    <t>Viáticos Otros Profesionales Aprobados (Incluye hospedaje, alimentación y desplazamientos)</t>
  </si>
  <si>
    <t>3 días, 2 veces en el proyecto</t>
  </si>
  <si>
    <t>Transportes Aéreos Director (S/Comprobante Pago y Pasabordo)</t>
  </si>
  <si>
    <t>Tiquete Ida-Vuelta (S/Comp.)</t>
  </si>
  <si>
    <t>Transportes Aéreos Especialistas (S/Comprobante Pago y Pasabordo)</t>
  </si>
  <si>
    <t>Transportes Otros Profesiones (S/Comprobante Pago y Pasabordo)</t>
  </si>
  <si>
    <t>Adquisición de Cartografia (Imágenes de satelite y fotos aéreas existentes) S/Comprobante Pago</t>
  </si>
  <si>
    <t>Gl</t>
  </si>
  <si>
    <t xml:space="preserve">Otros Transportes (S/comprobantes) (Vehículo/día, Lanchas, caballos, avioneta y/o helicoptero) </t>
  </si>
  <si>
    <t>Gl (Según comprobante)</t>
  </si>
  <si>
    <t>Edición de Informes (Semanales, mensuales, presentaciones y/o ejecutivo, incluye archivos magnéticos)</t>
  </si>
  <si>
    <t>Mes</t>
  </si>
  <si>
    <t>Edición de Informes Finales de todos los volúmenes (S/comprobante) (Incluye impresión, ploteo de planchas original en papel de seguridad, una copia en papel bond y dos copias en archivos magnéticos)</t>
  </si>
  <si>
    <t>Gestiones Sociales (S/comprobantes)</t>
  </si>
  <si>
    <t>VALOR TOTAL BÁSICO</t>
  </si>
  <si>
    <t xml:space="preserve">IVA </t>
  </si>
  <si>
    <t>VALOR TOTAL CONTRATO</t>
  </si>
  <si>
    <t>Costo/Km</t>
  </si>
  <si>
    <r>
      <t>CONCURSO DE MÉRITOS ABIERTO N° CMA-DT-SEI-</t>
    </r>
    <r>
      <rPr>
        <b/>
        <sz val="8"/>
        <color indexed="10"/>
        <rFont val="Arial Narrow"/>
        <family val="2"/>
      </rPr>
      <t>XXX</t>
    </r>
    <r>
      <rPr>
        <b/>
        <sz val="8"/>
        <rFont val="Arial Narrow"/>
        <family val="2"/>
      </rPr>
      <t>-2016</t>
    </r>
  </si>
  <si>
    <t>PLAZO: 9 MESES</t>
  </si>
  <si>
    <t>Ingeniero Residente de Estudios Hito II</t>
  </si>
  <si>
    <t>Ingeniero Residente de Campo 1</t>
  </si>
  <si>
    <t>Ingeniero Residente de Campo 2</t>
  </si>
  <si>
    <t>VOL I. ESTUDIO DE TRANSITO, CAPACIDAD Y NIVELES DE SERVICIO</t>
  </si>
  <si>
    <t>VOL II. ESTUDIO DE TRAZADO Y DISEÑO GEOMÉTRICO, SEÑALIZACIÓN Y SEGURIDAD VIAL</t>
  </si>
  <si>
    <t>Especialist en Geología</t>
  </si>
  <si>
    <t>VOL III. ESTUDIO DE GEOLOGIA PARA INGENIERIA Y GEOTECNIA</t>
  </si>
  <si>
    <t>VOL IV. ESTUDIO DE SUELOS PARA DISEÑO DE FUNDACIONES DE PUENTES Y OTRAS OBRAS</t>
  </si>
  <si>
    <t>Especialista en Pavimentos</t>
  </si>
  <si>
    <t>VOL V. ESTUDIO DE ESTABILIDAD Y ESTABILIZACIÓN DE TALUDES</t>
  </si>
  <si>
    <t>VOL VI. ESTUDIO GEOTECNICO PARA EL DISEÑO DE PAVIMENTOS</t>
  </si>
  <si>
    <t>Especialista Estructural</t>
  </si>
  <si>
    <t>VOL VII. ESTUDIO DE HIDROLOGÍA, HIDRAULICA Y SOCAVACIÓN</t>
  </si>
  <si>
    <t>Especialista en Urbanismo y Paisajismo</t>
  </si>
  <si>
    <t>VOL VIII. ESTUDIO Y DISEÑO DE ESTRUCTURAS</t>
  </si>
  <si>
    <t>VOLUMEN IX. ESTUDIOS PARA TUNELES</t>
  </si>
  <si>
    <t>VOL X. URBANISMO Y PAISAJISMO</t>
  </si>
  <si>
    <t>VOL XI. GESTIÓN PREDIAL</t>
  </si>
  <si>
    <t>VOL XII. GESTIÓN AMBIENTAL Y SOCIAL DEL PROYECTO</t>
  </si>
  <si>
    <t>VOL XIII. ESTUDIO DE CANTIDADES DE OBRA, APUS,PRESUPUESTO, PLIEGOS DE CONDICIONES</t>
  </si>
  <si>
    <t>VOL XIV. EVALUACIÓN SOCIOECONÓMICA DEL PROYECTO</t>
  </si>
  <si>
    <t>VOL XV. INFORME FINAL EJECUTIVO</t>
  </si>
  <si>
    <t>Avaluador</t>
  </si>
  <si>
    <t>2 días, 2 veces en el mes, durante 8 meses</t>
  </si>
  <si>
    <t>2 días, 2 veces en el proyecto</t>
  </si>
  <si>
    <t>TOTAL GRUPO 1, 2</t>
  </si>
  <si>
    <t>2 días, 1 veces en el proyecto</t>
  </si>
  <si>
    <t>Levantamiento Topografico y Materialización del Eje (Incluye personal, equipos, transporte)</t>
  </si>
  <si>
    <t>Km</t>
  </si>
  <si>
    <t>Topografía Detallada Para Zonas Especiales (Sitios Críticos)</t>
  </si>
  <si>
    <t>Ha</t>
  </si>
  <si>
    <t>Georeferenciación (Incluye dos puntos por km con GPS de precision milimetrica materializados en campo con mojones en concreto y platina de bronce)</t>
  </si>
  <si>
    <t>Par de Puntos</t>
  </si>
  <si>
    <t>Alquiler de Vehìculo (4X4 de 2000 CC o superior, Modelo 2011 o superior, incluye conductor, combustible y/o peajes, para uso exclusivo de la zona del proyecto)</t>
  </si>
  <si>
    <t xml:space="preserve">Otros Transportes (S/comprobantes) (Vehículos/día, Lanchas, caballos, avioneta y/o helicoptero) </t>
  </si>
  <si>
    <t>Campamento (incluye alquiler y servicios, en el sitio del proyecto)</t>
  </si>
  <si>
    <t>Perforaciones en Roca y/o Conglomerado y/o Aluviones y/o Coluviones</t>
  </si>
  <si>
    <t>Ml</t>
  </si>
  <si>
    <t>Perforación en Suelos</t>
  </si>
  <si>
    <t>Apiques (Incluye reparación a condición inicial de estructura)</t>
  </si>
  <si>
    <t>Un</t>
  </si>
  <si>
    <t>Ensayos de Laboratorio y/o Diagnóstico Hito II (S/comprobante) (Incluye toma de muestras, comisión de laboratorio con viáticos y transporte de personal, transporte de muestras, regatas, núcleos, ensayos para diagnóstico y diseño estructural de puentes, subrasante, fuentes de materiales, perforaciones, mezclas asfaltica, asfaltos, pavimentos, mezlas de suelo cemento,  muros,  obras hidraulicas, concretos, lineas sismicas, entre otros)</t>
  </si>
  <si>
    <t>Ensayos y Estudios Ambientales Hito II (Incluye toma de muestras, comisión de laboratorio con viáticos y transporte de personal, transporte de muestras, ensayos para monitoreo a requerimientos ambientales, entre otros)</t>
  </si>
  <si>
    <t>Diseño Estructural Para Puentes (luces mayores a 15 metros)</t>
  </si>
  <si>
    <t>M2</t>
  </si>
  <si>
    <t>Aforos de Tránsito (S/comprobantes)</t>
  </si>
  <si>
    <t>PRESUPUESTO OFICIAL</t>
  </si>
  <si>
    <t/>
  </si>
  <si>
    <t>VALOR DE LA PROPUESTA</t>
  </si>
  <si>
    <t>UNIDAD</t>
  </si>
  <si>
    <t xml:space="preserve">VALOR UNITARIO ($) </t>
  </si>
  <si>
    <t>UTILIZACIÓN</t>
  </si>
  <si>
    <t>VALOR PARCIAL ($)</t>
  </si>
  <si>
    <t>NOTAS:</t>
  </si>
  <si>
    <t>2 MESES</t>
  </si>
  <si>
    <t>COSTOS DE LA CONSULTORÍA</t>
  </si>
  <si>
    <t>ITEM (A)</t>
  </si>
  <si>
    <t>(B)</t>
  </si>
  <si>
    <t xml:space="preserve">(C) </t>
  </si>
  <si>
    <t xml:space="preserve">(D) </t>
  </si>
  <si>
    <t>TOTAL COSTOS DE CONSULTORÍA (SUMATORIA DE D = E)</t>
  </si>
  <si>
    <t xml:space="preserve">VALOR TOTAL BÁSICO  = (E) </t>
  </si>
  <si>
    <t>IVA  = 19% * ( E ) = (F)</t>
  </si>
  <si>
    <t>VALOR CONTRATO CONSULTORÍA = (E) + (F) + (J)</t>
  </si>
  <si>
    <t>1.- Para el reconocimiento de los gastos deberá tenerse en cuenta la forma de pago establecida en los documentos Anexo Técnico, Invitación pública y contrato y las indicaciones pertinentes del Manual de Interventoría. En el caso que éstas no existan, se tendrá en cuenta lo siguiente, según corresponda:</t>
  </si>
  <si>
    <t xml:space="preserve"> Los costos serán objeto de pago, al estar soportados de acuerdo a lo establecido en el ANEXO TÉCNICO Y  FORMA DE PAGO y se anexarán al acta de costos para el trámite correspondiente ante el Instituto.</t>
  </si>
  <si>
    <t>1.1	Utilización  real: se reconocerán conforme a la unidad de medida y según el ítem de pago y con la debida presentación de los productos y/o informes correspondientes que cumplan con los requerimientos técnicos propios de la actividad, previamente aprobados por la supervisión. 
1.2	Los valores que aparecen fijos e inmodificables no podrán alterarse, de lo contrario, será causal de rechazo de la propuesta que hace parte integral de la presente invitación. El proponente no podrá adicionar o modificar los ítems establecido en el presupuesto oficial. Lo anterior será causal de rechazo.
1.3	No será necesario desglosar el factor de honorarios toda vez que se entiende incluido dentro del ítem del presupuesto oficial.
1.4	Se recomienda que estructuren su propuesta económica con el Formulario 1 publicado por la Entidad e para la presente invitación.
1.5	Las facturas y/o documentos comerciales deben estar a nombre del consultor con quien ha sido firmado el contrato producto de la presente invitación, incluyendo en la descripción el objeto del proyecto. Los documentos necesarios para el reconocimiento (s / comprobante de pago) deben cumplir tanto con el código de comercio y el estatuto tributario.
1.6	La cantidades y dedicación del ítem propuesto, podrá variar durante la ejecución del contrato, acorde con las metas de entregables que sean solicitadas por el INVIAS para su ejecución a través del contrato, por lo tanto, el valor de MES  del ÍTEM, no deberá ser ofertado teniendo en cuenta  la cantidad total de meses o días estimados. El proponente debe tener en cuenta que la participación de los profesionales, no es continua durante la totalidad del plazo del contrato y está sujeta a la ejecución de las actividades propias autorizadas .
1.7	Se hará una reunión inicial (Kick off meeting) con la participación de la Entidad, la Junta u organismos de acción comunal- OAC y la supervisión o Gerencia de Caminos Comunitarios de la Paz Total, con el fin de tratar los aspectos pertinentes a la iniciación de la ejecución de las actividades.
1.8	Las actividades a que se obliga EL CONSULTOR deberán ejecutarse de conformidad con el Manual de Interventoría aplicada al programa de “CAMINOS COMUNITARIOS DE LA PAZ TOTAL” vigente, o el que lo modifique o lo sustituya, incluidas sus adiciones y/o modificaciones. Los aspectos que éste no regule se ejecutaran de acuerdo con lo contemplado en el pliego de condiciones, en los requerimientos técnicos y en la normatividad vigente aplicable.
1.9	El Consultor deberá cumplir con todas las disposiciones legales sobre la contratación de personal colombiano y extranjero.
1.10	En caso de fuerza mayor o caso fortuito debidamente comprobado, se podrá sustituir a algún miembro del equipo de trabajo si así lo autoriza la Entidad, siempre que el nuevo miembro propuesto cuente con calidades iguales o superiores a las de los profesionales respecto del miembro del equipo a quien reemplaza.</t>
  </si>
  <si>
    <t>DIRECCIÓN TERRITORIAL ANTIOQUIA</t>
  </si>
  <si>
    <t>INVITACIÓN PÚBLICA No. IP-DT-ANT-007-2024</t>
  </si>
  <si>
    <t>CONTRATAR LOS SERVICIOS PARA EL LEVANTAMIENTO TOPOGRÁFICO DE LOS PROYECTOS DE LAS VÍAS REGIONALES EN EL MARCO DEL PROGRAMA CAMINOS COMUNITARIOS DE LA PAZ TOTAL A CARGO DE LA DIRECCIÓN TERRITORIAL ANTIOQUIA</t>
  </si>
  <si>
    <t>Estudio de topografía (Incluye personal, equipo, transporte, estadía y producto)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</si>
</sst>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 #,##0_-;\-&quot;$&quot;\ * #,##0_-;_-&quot;$&quot;\ * &quot;-&quot;_-;_-@_-"/>
    <numFmt numFmtId="41" formatCode="_-* #,##0_-;\-* #,##0_-;_-* &quot;-&quot;_-;_-@_-"/>
    <numFmt numFmtId="164" formatCode="&quot;$&quot;\ #,##0_);\(&quot;$&quot;\ #,##0\)"/>
    <numFmt numFmtId="165" formatCode="_(* #,##0_);_(* \(#,##0\);_(* &quot;-&quot;_);_(@_)"/>
    <numFmt numFmtId="166" formatCode="_(&quot;$&quot;\ * #,##0.00_);_(&quot;$&quot;\ * \(#,##0.00\);_(&quot;$&quot;\ * &quot;-&quot;??_);_(@_)"/>
    <numFmt numFmtId="167" formatCode="_(* #,##0.00_);_(* \(#,##0.00\);_(* &quot;-&quot;??_);_(@_)"/>
    <numFmt numFmtId="168" formatCode="_([$€]* #,##0.00_);_([$€]* \(#,##0.00\);_([$€]* &quot;-&quot;??_);_(@_)"/>
    <numFmt numFmtId="169" formatCode="&quot;$&quot;\ #,##0;&quot;$&quot;\ \-#,##0"/>
    <numFmt numFmtId="170" formatCode="#,##0.00_ ;[Red]\-#,##0.00\ "/>
    <numFmt numFmtId="171" formatCode="[$$-240A]#,##0.00;[Red]\-[$$-240A]#,##0.00"/>
    <numFmt numFmtId="172" formatCode="[$$-240A]\ #,##0.00;[Red]\-[$$-240A]\ #,##0.00"/>
    <numFmt numFmtId="173" formatCode="&quot;$&quot;\ #,##0"/>
    <numFmt numFmtId="174" formatCode="[$$-240A]\ #,##0.00;[Red][$$-240A]\ #,##0.00"/>
    <numFmt numFmtId="175" formatCode="&quot;$&quot;\ #,##0.00;[Red]&quot;$&quot;\ #,##0.00"/>
    <numFmt numFmtId="176" formatCode="0.000%"/>
    <numFmt numFmtId="177" formatCode="_(* #,##0.0000_);_(* \(#,##0.0000\);_(* &quot;-&quot;??_);_(@_)"/>
    <numFmt numFmtId="178" formatCode="_-&quot;$&quot;\ * #,##0.00_-;\-&quot;$&quot;\ * #,##0.00_-;_-&quot;$&quot;\ * &quot;-&quot;_-;_-@_-"/>
    <numFmt numFmtId="179" formatCode="0.0%"/>
  </numFmts>
  <fonts count="46" x14ac:knownFonts="1">
    <font>
      <sz val="10"/>
      <name val="Arial"/>
      <family val="2"/>
    </font>
    <font>
      <sz val="11"/>
      <name val="Arial Narrow"/>
      <family val="2"/>
    </font>
    <font>
      <sz val="10"/>
      <name val="Arial Narrow"/>
      <family val="2"/>
    </font>
    <font>
      <b/>
      <sz val="10"/>
      <name val="Arial Narrow"/>
      <family val="2"/>
    </font>
    <font>
      <b/>
      <sz val="16"/>
      <name val="Arial Narrow"/>
      <family val="2"/>
    </font>
    <font>
      <sz val="8"/>
      <name val="Arial Narrow"/>
      <family val="2"/>
    </font>
    <font>
      <b/>
      <sz val="8"/>
      <name val="Arial Narrow"/>
      <family val="2"/>
    </font>
    <font>
      <b/>
      <i/>
      <sz val="8"/>
      <name val="Arial Narrow"/>
      <family val="2"/>
    </font>
    <font>
      <i/>
      <sz val="8"/>
      <name val="Arial Narrow"/>
      <family val="2"/>
    </font>
    <font>
      <b/>
      <sz val="11"/>
      <name val="Arial Narrow"/>
      <family val="2"/>
    </font>
    <font>
      <b/>
      <sz val="12"/>
      <name val="Arial Narrow"/>
      <family val="2"/>
    </font>
    <font>
      <b/>
      <sz val="14"/>
      <name val="Arial Narrow"/>
      <family val="2"/>
    </font>
    <font>
      <b/>
      <u/>
      <sz val="8"/>
      <name val="Arial Narrow"/>
      <family val="2"/>
    </font>
    <font>
      <b/>
      <sz val="9"/>
      <name val="Arial Narrow"/>
      <family val="2"/>
    </font>
    <font>
      <b/>
      <sz val="15"/>
      <name val="Arial Narrow"/>
      <family val="2"/>
    </font>
    <font>
      <b/>
      <sz val="13"/>
      <name val="Arial Narrow"/>
      <family val="2"/>
    </font>
    <font>
      <b/>
      <u/>
      <sz val="11"/>
      <name val="Arial Narrow"/>
      <family val="2"/>
    </font>
    <font>
      <sz val="9"/>
      <name val="Arial Narrow"/>
      <family val="2"/>
    </font>
    <font>
      <sz val="10"/>
      <name val="Geneva"/>
      <family val="2"/>
    </font>
    <font>
      <b/>
      <sz val="8"/>
      <color indexed="10"/>
      <name val="Arial Narrow"/>
      <family val="2"/>
    </font>
    <font>
      <b/>
      <sz val="12"/>
      <color indexed="10"/>
      <name val="Arial Narrow"/>
      <family val="2"/>
    </font>
    <font>
      <sz val="10"/>
      <name val="Arial"/>
      <family val="2"/>
    </font>
    <font>
      <sz val="11"/>
      <color theme="1"/>
      <name val="Calibri"/>
      <family val="2"/>
      <scheme val="minor"/>
    </font>
    <font>
      <sz val="11"/>
      <color indexed="8"/>
      <name val="Calibri"/>
      <family val="2"/>
      <scheme val="minor"/>
    </font>
    <font>
      <b/>
      <i/>
      <sz val="8"/>
      <color rgb="FFFF0000"/>
      <name val="Arial Narrow"/>
      <family val="2"/>
    </font>
    <font>
      <sz val="8"/>
      <color rgb="FFFF0000"/>
      <name val="Arial Narrow"/>
      <family val="2"/>
    </font>
    <font>
      <sz val="8"/>
      <color theme="1"/>
      <name val="Calibri"/>
      <family val="2"/>
      <scheme val="minor"/>
    </font>
    <font>
      <sz val="8"/>
      <name val="Calibri"/>
      <family val="2"/>
      <scheme val="minor"/>
    </font>
    <font>
      <b/>
      <sz val="8"/>
      <color theme="9" tint="-0.249977111117893"/>
      <name val="Arial Narrow"/>
      <family val="2"/>
    </font>
    <font>
      <b/>
      <i/>
      <sz val="8"/>
      <color theme="9" tint="-0.249977111117893"/>
      <name val="Arial Narrow"/>
      <family val="2"/>
    </font>
    <font>
      <i/>
      <sz val="8"/>
      <color theme="4" tint="-0.249977111117893"/>
      <name val="Arial Narrow"/>
      <family val="2"/>
    </font>
    <font>
      <sz val="10"/>
      <color rgb="FFFF0000"/>
      <name val="Arial Narrow"/>
      <family val="2"/>
    </font>
    <font>
      <b/>
      <sz val="10"/>
      <name val="Arial"/>
      <family val="2"/>
    </font>
    <font>
      <sz val="11"/>
      <name val="Arial"/>
      <family val="2"/>
    </font>
    <font>
      <b/>
      <sz val="14"/>
      <name val="Arial"/>
      <family val="2"/>
    </font>
    <font>
      <b/>
      <sz val="20"/>
      <name val="Arial"/>
      <family val="2"/>
    </font>
    <font>
      <b/>
      <sz val="16"/>
      <name val="Arial"/>
      <family val="2"/>
    </font>
    <font>
      <b/>
      <sz val="18"/>
      <name val="Arial"/>
      <family val="2"/>
    </font>
    <font>
      <sz val="20"/>
      <name val="Arial"/>
      <family val="2"/>
    </font>
    <font>
      <b/>
      <sz val="8"/>
      <name val="Arial"/>
      <family val="2"/>
    </font>
    <font>
      <sz val="8"/>
      <name val="Arial"/>
      <family val="2"/>
    </font>
    <font>
      <b/>
      <sz val="12"/>
      <name val="Arial"/>
      <family val="2"/>
    </font>
    <font>
      <sz val="9"/>
      <name val="Arial"/>
      <family val="2"/>
    </font>
    <font>
      <sz val="12"/>
      <name val="Arial"/>
      <family val="2"/>
    </font>
    <font>
      <sz val="8"/>
      <color theme="1"/>
      <name val="Arial"/>
      <family val="2"/>
    </font>
    <font>
      <b/>
      <sz val="11"/>
      <name val="Arial"/>
      <family val="2"/>
    </font>
  </fonts>
  <fills count="10">
    <fill>
      <patternFill patternType="none"/>
    </fill>
    <fill>
      <patternFill patternType="gray125"/>
    </fill>
    <fill>
      <patternFill patternType="solid">
        <fgColor indexed="9"/>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249977111117893"/>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s>
  <cellStyleXfs count="21">
    <xf numFmtId="0" fontId="0" fillId="0" borderId="0"/>
    <xf numFmtId="168" fontId="21" fillId="0" borderId="0" applyFont="0" applyFill="0" applyBorder="0" applyAlignment="0" applyProtection="0"/>
    <xf numFmtId="167" fontId="21" fillId="0" borderId="0" applyFont="0" applyFill="0" applyBorder="0" applyAlignment="0" applyProtection="0"/>
    <xf numFmtId="165" fontId="21" fillId="0" borderId="0" applyFont="0" applyFill="0" applyBorder="0" applyAlignment="0" applyProtection="0"/>
    <xf numFmtId="41" fontId="23" fillId="0" borderId="0" applyFont="0" applyFill="0" applyBorder="0" applyAlignment="0" applyProtection="0"/>
    <xf numFmtId="167"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42" fontId="23" fillId="0" borderId="0" applyFont="0" applyFill="0" applyBorder="0" applyAlignment="0" applyProtection="0"/>
    <xf numFmtId="166" fontId="21" fillId="0" borderId="0" applyFont="0" applyFill="0" applyBorder="0" applyAlignment="0" applyProtection="0"/>
    <xf numFmtId="169" fontId="21" fillId="0" borderId="0" applyFont="0" applyFill="0" applyBorder="0" applyAlignment="0" applyProtection="0"/>
    <xf numFmtId="0" fontId="21" fillId="0" borderId="0"/>
    <xf numFmtId="0" fontId="21" fillId="0" borderId="0"/>
    <xf numFmtId="0" fontId="21" fillId="0" borderId="0"/>
    <xf numFmtId="0" fontId="22" fillId="0" borderId="0"/>
    <xf numFmtId="0" fontId="18" fillId="0" borderId="0"/>
    <xf numFmtId="9" fontId="21" fillId="0" borderId="0" applyFont="0" applyFill="0" applyBorder="0" applyAlignment="0" applyProtection="0"/>
    <xf numFmtId="9" fontId="23"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42" fontId="21" fillId="0" borderId="0" applyFont="0" applyFill="0" applyBorder="0" applyAlignment="0" applyProtection="0"/>
  </cellStyleXfs>
  <cellXfs count="366">
    <xf numFmtId="0" fontId="0" fillId="0" borderId="0" xfId="0"/>
    <xf numFmtId="0" fontId="2" fillId="5" borderId="1" xfId="0" applyFont="1" applyFill="1" applyBorder="1" applyAlignment="1">
      <alignment vertical="center" wrapText="1"/>
    </xf>
    <xf numFmtId="0" fontId="3" fillId="5" borderId="0" xfId="0" applyFont="1" applyFill="1" applyAlignment="1">
      <alignment vertical="center" wrapText="1"/>
    </xf>
    <xf numFmtId="0" fontId="2" fillId="5" borderId="0" xfId="0" applyFont="1" applyFill="1" applyAlignment="1">
      <alignment vertical="center" wrapText="1"/>
    </xf>
    <xf numFmtId="0" fontId="2" fillId="0" borderId="0" xfId="0" applyFont="1" applyAlignment="1">
      <alignment vertical="center" wrapText="1"/>
    </xf>
    <xf numFmtId="0" fontId="5" fillId="5" borderId="3" xfId="0" applyFont="1" applyFill="1" applyBorder="1" applyAlignment="1">
      <alignment horizontal="justify" vertical="center" wrapText="1"/>
    </xf>
    <xf numFmtId="0" fontId="5" fillId="5" borderId="4" xfId="0" applyFont="1" applyFill="1" applyBorder="1" applyAlignment="1">
      <alignment horizontal="justify" vertical="center" wrapText="1"/>
    </xf>
    <xf numFmtId="0" fontId="5" fillId="5" borderId="0" xfId="0" applyFont="1" applyFill="1" applyAlignment="1">
      <alignment vertical="center" wrapText="1"/>
    </xf>
    <xf numFmtId="0" fontId="5" fillId="6" borderId="0" xfId="0" applyFont="1" applyFill="1" applyAlignment="1">
      <alignment vertical="center" wrapText="1"/>
    </xf>
    <xf numFmtId="0" fontId="6"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right"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3" fontId="5" fillId="0" borderId="8" xfId="0" applyNumberFormat="1" applyFont="1" applyBorder="1" applyAlignment="1">
      <alignment horizontal="center" vertical="center" wrapText="1"/>
    </xf>
    <xf numFmtId="0" fontId="5" fillId="5" borderId="9" xfId="0" applyFont="1" applyFill="1" applyBorder="1" applyAlignment="1">
      <alignment horizontal="justify" vertical="center" wrapText="1"/>
    </xf>
    <xf numFmtId="174" fontId="5" fillId="0" borderId="9" xfId="0" applyNumberFormat="1" applyFont="1" applyBorder="1" applyAlignment="1">
      <alignment vertical="center" wrapText="1"/>
    </xf>
    <xf numFmtId="10" fontId="5" fillId="0" borderId="9" xfId="16" applyNumberFormat="1" applyFont="1" applyFill="1" applyBorder="1" applyAlignment="1">
      <alignment horizontal="center" vertical="center" wrapText="1"/>
    </xf>
    <xf numFmtId="4" fontId="5" fillId="0" borderId="9" xfId="0" applyNumberFormat="1" applyFont="1" applyBorder="1" applyAlignment="1">
      <alignment horizontal="center" vertical="center" wrapText="1"/>
    </xf>
    <xf numFmtId="174" fontId="5" fillId="0" borderId="10" xfId="0" applyNumberFormat="1" applyFont="1" applyBorder="1" applyAlignment="1">
      <alignment vertical="center" wrapText="1"/>
    </xf>
    <xf numFmtId="3" fontId="5" fillId="0" borderId="11" xfId="0" applyNumberFormat="1" applyFont="1" applyBorder="1" applyAlignment="1">
      <alignment horizontal="center" vertical="center" wrapText="1"/>
    </xf>
    <xf numFmtId="174" fontId="5" fillId="0" borderId="1" xfId="2" applyNumberFormat="1" applyFont="1" applyFill="1" applyBorder="1" applyAlignment="1">
      <alignment vertical="center" wrapText="1"/>
    </xf>
    <xf numFmtId="10" fontId="5" fillId="0" borderId="1" xfId="16" applyNumberFormat="1" applyFont="1" applyFill="1" applyBorder="1" applyAlignment="1">
      <alignment horizontal="center" vertical="center" wrapText="1"/>
    </xf>
    <xf numFmtId="4" fontId="5" fillId="0" borderId="1" xfId="2" applyNumberFormat="1" applyFont="1" applyFill="1" applyBorder="1" applyAlignment="1">
      <alignment horizontal="center" vertical="center" wrapText="1"/>
    </xf>
    <xf numFmtId="174" fontId="5" fillId="0" borderId="12" xfId="0" applyNumberFormat="1" applyFont="1" applyBorder="1" applyAlignment="1">
      <alignment horizontal="right" vertical="center" wrapText="1"/>
    </xf>
    <xf numFmtId="0" fontId="5" fillId="0" borderId="3" xfId="0" applyFont="1" applyBorder="1" applyAlignment="1">
      <alignment horizontal="justify" vertical="center" wrapText="1"/>
    </xf>
    <xf numFmtId="10" fontId="5" fillId="5" borderId="1" xfId="16" applyNumberFormat="1" applyFont="1" applyFill="1" applyBorder="1" applyAlignment="1">
      <alignment horizontal="center" vertical="center" wrapText="1"/>
    </xf>
    <xf numFmtId="4" fontId="5" fillId="5" borderId="1" xfId="2" applyNumberFormat="1" applyFont="1" applyFill="1" applyBorder="1" applyAlignment="1">
      <alignment horizontal="center" vertical="center" wrapText="1"/>
    </xf>
    <xf numFmtId="4" fontId="5" fillId="5" borderId="1" xfId="0" applyNumberFormat="1" applyFont="1" applyFill="1" applyBorder="1" applyAlignment="1">
      <alignment horizontal="center" vertical="center" wrapText="1"/>
    </xf>
    <xf numFmtId="4" fontId="5" fillId="0" borderId="1" xfId="0" applyNumberFormat="1" applyFont="1" applyBorder="1" applyAlignment="1">
      <alignment horizontal="center" vertical="center" wrapText="1"/>
    </xf>
    <xf numFmtId="3" fontId="24" fillId="0" borderId="11" xfId="0" applyNumberFormat="1" applyFont="1" applyBorder="1" applyAlignment="1">
      <alignment horizontal="center" vertical="center" wrapText="1"/>
    </xf>
    <xf numFmtId="0" fontId="24" fillId="0" borderId="3" xfId="0" applyFont="1" applyBorder="1" applyAlignment="1">
      <alignment horizontal="justify" vertical="center" wrapText="1"/>
    </xf>
    <xf numFmtId="174" fontId="24" fillId="0" borderId="1" xfId="2" applyNumberFormat="1" applyFont="1" applyFill="1" applyBorder="1" applyAlignment="1">
      <alignment vertical="center" wrapText="1"/>
    </xf>
    <xf numFmtId="10" fontId="24" fillId="0" borderId="1" xfId="16" applyNumberFormat="1" applyFont="1" applyFill="1" applyBorder="1" applyAlignment="1">
      <alignment horizontal="center" vertical="center" wrapText="1"/>
    </xf>
    <xf numFmtId="4" fontId="24" fillId="0" borderId="1" xfId="2" applyNumberFormat="1" applyFont="1" applyFill="1" applyBorder="1" applyAlignment="1">
      <alignment horizontal="center" vertical="center" wrapText="1"/>
    </xf>
    <xf numFmtId="4" fontId="24" fillId="0" borderId="1" xfId="0" applyNumberFormat="1" applyFont="1" applyBorder="1" applyAlignment="1">
      <alignment horizontal="center" vertical="center" wrapText="1"/>
    </xf>
    <xf numFmtId="174" fontId="24" fillId="0" borderId="12" xfId="0" applyNumberFormat="1" applyFont="1" applyBorder="1" applyAlignment="1">
      <alignment horizontal="right" vertical="center" wrapText="1"/>
    </xf>
    <xf numFmtId="0" fontId="5" fillId="0" borderId="3" xfId="0" applyFont="1" applyBorder="1" applyAlignment="1">
      <alignment horizontal="left" vertical="center" wrapText="1"/>
    </xf>
    <xf numFmtId="3" fontId="25" fillId="0" borderId="11" xfId="0" applyNumberFormat="1" applyFont="1" applyBorder="1" applyAlignment="1">
      <alignment horizontal="center" vertical="center" wrapText="1"/>
    </xf>
    <xf numFmtId="0" fontId="25" fillId="0" borderId="3" xfId="0" applyFont="1" applyBorder="1" applyAlignment="1">
      <alignment horizontal="justify" vertical="center" wrapText="1"/>
    </xf>
    <xf numFmtId="174" fontId="25" fillId="0" borderId="1" xfId="2" applyNumberFormat="1" applyFont="1" applyFill="1" applyBorder="1" applyAlignment="1">
      <alignment vertical="center" wrapText="1"/>
    </xf>
    <xf numFmtId="10" fontId="25" fillId="0" borderId="1" xfId="16" applyNumberFormat="1" applyFont="1" applyFill="1" applyBorder="1" applyAlignment="1">
      <alignment horizontal="center" vertical="center" wrapText="1"/>
    </xf>
    <xf numFmtId="4" fontId="25" fillId="0" borderId="1" xfId="2" applyNumberFormat="1" applyFont="1" applyFill="1" applyBorder="1" applyAlignment="1">
      <alignment horizontal="center" vertical="center" wrapText="1"/>
    </xf>
    <xf numFmtId="4" fontId="25" fillId="0" borderId="1" xfId="0" applyNumberFormat="1" applyFont="1" applyBorder="1" applyAlignment="1">
      <alignment horizontal="center" vertical="center" wrapText="1"/>
    </xf>
    <xf numFmtId="174" fontId="25" fillId="0" borderId="12" xfId="0" applyNumberFormat="1" applyFont="1" applyBorder="1" applyAlignment="1">
      <alignment horizontal="right" vertical="center" wrapText="1"/>
    </xf>
    <xf numFmtId="3" fontId="5" fillId="0" borderId="13" xfId="0" applyNumberFormat="1" applyFont="1" applyBorder="1" applyAlignment="1">
      <alignment horizontal="center" vertical="center" wrapText="1"/>
    </xf>
    <xf numFmtId="0" fontId="5" fillId="0" borderId="14" xfId="0" applyFont="1" applyBorder="1" applyAlignment="1">
      <alignment horizontal="justify" vertical="center" wrapText="1"/>
    </xf>
    <xf numFmtId="174" fontId="5" fillId="0" borderId="15" xfId="2" applyNumberFormat="1" applyFont="1" applyFill="1" applyBorder="1" applyAlignment="1">
      <alignment vertical="center" wrapText="1"/>
    </xf>
    <xf numFmtId="10" fontId="5" fillId="0" borderId="15" xfId="16" applyNumberFormat="1" applyFont="1" applyFill="1" applyBorder="1" applyAlignment="1">
      <alignment horizontal="center" vertical="center" wrapText="1"/>
    </xf>
    <xf numFmtId="4" fontId="5" fillId="0" borderId="15" xfId="2" applyNumberFormat="1" applyFont="1" applyFill="1" applyBorder="1" applyAlignment="1">
      <alignment horizontal="center" vertical="center" wrapText="1"/>
    </xf>
    <xf numFmtId="4" fontId="5" fillId="0" borderId="15" xfId="0" applyNumberFormat="1" applyFont="1" applyBorder="1" applyAlignment="1">
      <alignment horizontal="center" vertical="center" wrapText="1"/>
    </xf>
    <xf numFmtId="174" fontId="5" fillId="0" borderId="16" xfId="0" applyNumberFormat="1" applyFont="1" applyBorder="1" applyAlignment="1">
      <alignment horizontal="right" vertical="center" wrapText="1"/>
    </xf>
    <xf numFmtId="174" fontId="5" fillId="0" borderId="17" xfId="0" applyNumberFormat="1" applyFont="1" applyBorder="1" applyAlignment="1">
      <alignment horizontal="right" vertical="center" wrapText="1"/>
    </xf>
    <xf numFmtId="2" fontId="5" fillId="0" borderId="1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18" xfId="0" applyFont="1" applyBorder="1" applyAlignment="1">
      <alignment horizontal="center" vertical="center" wrapText="1"/>
    </xf>
    <xf numFmtId="3"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3" fontId="6" fillId="0" borderId="12" xfId="0" applyNumberFormat="1" applyFont="1" applyBorder="1" applyAlignment="1">
      <alignment horizontal="center" vertical="center" wrapText="1"/>
    </xf>
    <xf numFmtId="0" fontId="5" fillId="0" borderId="11" xfId="0" applyFont="1" applyBorder="1" applyAlignment="1">
      <alignment horizontal="center" vertical="center" wrapText="1"/>
    </xf>
    <xf numFmtId="3" fontId="5" fillId="0" borderId="1" xfId="2" applyNumberFormat="1" applyFont="1" applyFill="1" applyBorder="1" applyAlignment="1">
      <alignment horizontal="center" vertical="center" wrapText="1"/>
    </xf>
    <xf numFmtId="3" fontId="5" fillId="0" borderId="3" xfId="2" applyNumberFormat="1" applyFont="1" applyFill="1" applyBorder="1" applyAlignment="1">
      <alignment horizontal="center" vertical="center" wrapText="1"/>
    </xf>
    <xf numFmtId="4" fontId="5" fillId="0" borderId="3" xfId="0" applyNumberFormat="1" applyFont="1" applyBorder="1" applyAlignment="1">
      <alignment horizontal="center" vertical="center" wrapText="1"/>
    </xf>
    <xf numFmtId="174" fontId="5" fillId="6" borderId="1" xfId="2" applyNumberFormat="1" applyFont="1" applyFill="1" applyBorder="1" applyAlignment="1">
      <alignment vertical="center" wrapText="1"/>
    </xf>
    <xf numFmtId="4" fontId="5" fillId="6" borderId="3" xfId="0" applyNumberFormat="1" applyFont="1" applyFill="1" applyBorder="1" applyAlignment="1">
      <alignment horizontal="center" vertical="center" wrapText="1"/>
    </xf>
    <xf numFmtId="167" fontId="5" fillId="2" borderId="0" xfId="2" applyFont="1" applyFill="1" applyAlignment="1">
      <alignment vertical="center" wrapText="1"/>
    </xf>
    <xf numFmtId="0" fontId="26" fillId="7" borderId="19" xfId="0" applyFont="1" applyFill="1" applyBorder="1" applyAlignment="1">
      <alignment horizontal="justify" vertical="center" wrapText="1"/>
    </xf>
    <xf numFmtId="0" fontId="27" fillId="7" borderId="19" xfId="0" applyFont="1" applyFill="1" applyBorder="1" applyAlignment="1">
      <alignment horizontal="justify" vertical="center" wrapText="1"/>
    </xf>
    <xf numFmtId="0" fontId="26" fillId="7" borderId="1" xfId="0" applyFont="1" applyFill="1" applyBorder="1" applyAlignment="1">
      <alignment horizontal="justify" vertical="center" wrapText="1"/>
    </xf>
    <xf numFmtId="0" fontId="5" fillId="2" borderId="0" xfId="0" applyFont="1" applyFill="1" applyAlignment="1">
      <alignment horizontal="center" vertical="center" wrapText="1"/>
    </xf>
    <xf numFmtId="0" fontId="5" fillId="5" borderId="0" xfId="0" applyFont="1" applyFill="1" applyAlignment="1">
      <alignment horizontal="center" vertical="center" wrapText="1"/>
    </xf>
    <xf numFmtId="167" fontId="2" fillId="2" borderId="3" xfId="2" applyFont="1" applyFill="1" applyBorder="1" applyAlignment="1">
      <alignment vertical="center" wrapText="1"/>
    </xf>
    <xf numFmtId="167" fontId="2" fillId="2" borderId="18" xfId="2" applyFont="1" applyFill="1" applyBorder="1" applyAlignment="1">
      <alignment vertical="center" wrapText="1"/>
    </xf>
    <xf numFmtId="0" fontId="2" fillId="2" borderId="20" xfId="0" applyFont="1" applyFill="1" applyBorder="1" applyAlignment="1">
      <alignment vertical="center" wrapText="1"/>
    </xf>
    <xf numFmtId="175" fontId="3" fillId="8" borderId="0" xfId="0" applyNumberFormat="1" applyFont="1" applyFill="1" applyAlignment="1">
      <alignment vertical="center" wrapText="1"/>
    </xf>
    <xf numFmtId="0" fontId="5" fillId="2" borderId="4" xfId="0" applyFont="1" applyFill="1" applyBorder="1" applyAlignment="1">
      <alignment vertical="center" wrapText="1"/>
    </xf>
    <xf numFmtId="0" fontId="5" fillId="2" borderId="21" xfId="0" applyFont="1" applyFill="1" applyBorder="1" applyAlignment="1">
      <alignment vertical="center" wrapText="1"/>
    </xf>
    <xf numFmtId="0" fontId="6" fillId="2" borderId="21" xfId="12" applyFont="1" applyFill="1" applyBorder="1" applyAlignment="1">
      <alignment horizontal="center" vertical="center" wrapText="1"/>
    </xf>
    <xf numFmtId="0" fontId="5" fillId="2" borderId="22" xfId="0" applyFont="1" applyFill="1" applyBorder="1" applyAlignment="1">
      <alignment vertical="center" wrapText="1"/>
    </xf>
    <xf numFmtId="0" fontId="3" fillId="2" borderId="4" xfId="12" applyFont="1" applyFill="1" applyBorder="1" applyAlignment="1">
      <alignment horizontal="center" vertical="center" wrapText="1"/>
    </xf>
    <xf numFmtId="0" fontId="6" fillId="2" borderId="23" xfId="12" applyFont="1" applyFill="1" applyBorder="1" applyAlignment="1">
      <alignment horizontal="center" vertical="center" wrapText="1"/>
    </xf>
    <xf numFmtId="0" fontId="6" fillId="2" borderId="24" xfId="12" applyFont="1" applyFill="1" applyBorder="1" applyAlignment="1">
      <alignment horizontal="center" vertical="center" wrapText="1"/>
    </xf>
    <xf numFmtId="0" fontId="6" fillId="2" borderId="25" xfId="12" applyFont="1" applyFill="1" applyBorder="1" applyAlignment="1">
      <alignment horizontal="center" vertical="center" wrapText="1"/>
    </xf>
    <xf numFmtId="0" fontId="3" fillId="2" borderId="26" xfId="12" applyFont="1" applyFill="1" applyBorder="1" applyAlignment="1">
      <alignment horizontal="center" vertical="center" wrapText="1"/>
    </xf>
    <xf numFmtId="167" fontId="5" fillId="2" borderId="21" xfId="2" applyFont="1" applyFill="1" applyBorder="1" applyAlignment="1">
      <alignment vertical="center" wrapText="1"/>
    </xf>
    <xf numFmtId="176" fontId="5" fillId="2" borderId="21" xfId="16" applyNumberFormat="1" applyFont="1" applyFill="1" applyBorder="1" applyAlignment="1">
      <alignment vertical="center" wrapText="1"/>
    </xf>
    <xf numFmtId="10" fontId="5" fillId="2" borderId="21" xfId="0" applyNumberFormat="1" applyFont="1" applyFill="1" applyBorder="1" applyAlignment="1">
      <alignment vertical="center" wrapText="1"/>
    </xf>
    <xf numFmtId="175" fontId="5" fillId="2" borderId="22" xfId="0" applyNumberFormat="1" applyFont="1" applyFill="1" applyBorder="1" applyAlignment="1">
      <alignment vertical="center" wrapText="1"/>
    </xf>
    <xf numFmtId="10" fontId="5" fillId="2" borderId="0" xfId="16" applyNumberFormat="1" applyFont="1" applyFill="1" applyAlignment="1">
      <alignment vertical="center" wrapText="1"/>
    </xf>
    <xf numFmtId="167" fontId="5" fillId="2" borderId="0" xfId="0" applyNumberFormat="1" applyFont="1" applyFill="1" applyAlignment="1">
      <alignment vertical="center" wrapText="1"/>
    </xf>
    <xf numFmtId="176" fontId="5" fillId="2" borderId="4" xfId="0" applyNumberFormat="1" applyFont="1" applyFill="1" applyBorder="1" applyAlignment="1">
      <alignment vertical="center" wrapText="1"/>
    </xf>
    <xf numFmtId="167" fontId="5" fillId="2" borderId="0" xfId="2" applyFont="1" applyFill="1" applyBorder="1" applyAlignment="1">
      <alignment vertical="center" wrapText="1"/>
    </xf>
    <xf numFmtId="176" fontId="5" fillId="2" borderId="0" xfId="16" applyNumberFormat="1" applyFont="1" applyFill="1" applyBorder="1" applyAlignment="1">
      <alignment vertical="center" wrapText="1"/>
    </xf>
    <xf numFmtId="10" fontId="5" fillId="2" borderId="0" xfId="0" applyNumberFormat="1" applyFont="1" applyFill="1" applyAlignment="1">
      <alignment vertical="center" wrapText="1"/>
    </xf>
    <xf numFmtId="175" fontId="5" fillId="2" borderId="27" xfId="0" applyNumberFormat="1" applyFont="1" applyFill="1" applyBorder="1" applyAlignment="1">
      <alignment vertical="center" wrapText="1"/>
    </xf>
    <xf numFmtId="176" fontId="5" fillId="2" borderId="28" xfId="0" applyNumberFormat="1" applyFont="1" applyFill="1" applyBorder="1" applyAlignment="1">
      <alignment vertical="center" wrapText="1"/>
    </xf>
    <xf numFmtId="176" fontId="5" fillId="2" borderId="0" xfId="16" applyNumberFormat="1" applyFont="1" applyFill="1" applyAlignment="1">
      <alignment vertical="center" wrapText="1"/>
    </xf>
    <xf numFmtId="167" fontId="5" fillId="2" borderId="24" xfId="2" applyFont="1" applyFill="1" applyBorder="1" applyAlignment="1">
      <alignment vertical="center" wrapText="1"/>
    </xf>
    <xf numFmtId="10" fontId="5" fillId="2" borderId="24" xfId="16" applyNumberFormat="1" applyFont="1" applyFill="1" applyBorder="1" applyAlignment="1">
      <alignment vertical="center" wrapText="1"/>
    </xf>
    <xf numFmtId="0" fontId="5" fillId="2" borderId="24" xfId="0" applyFont="1" applyFill="1" applyBorder="1" applyAlignment="1">
      <alignment vertical="center" wrapText="1"/>
    </xf>
    <xf numFmtId="0" fontId="5" fillId="2" borderId="25" xfId="0" applyFont="1" applyFill="1" applyBorder="1" applyAlignment="1">
      <alignment vertical="center" wrapText="1"/>
    </xf>
    <xf numFmtId="0" fontId="5" fillId="2" borderId="28" xfId="0" applyFont="1" applyFill="1" applyBorder="1" applyAlignment="1">
      <alignment vertical="center" wrapText="1"/>
    </xf>
    <xf numFmtId="167" fontId="5" fillId="2" borderId="26" xfId="0" applyNumberFormat="1" applyFont="1" applyFill="1" applyBorder="1" applyAlignment="1">
      <alignment vertical="center" wrapText="1"/>
    </xf>
    <xf numFmtId="167" fontId="5" fillId="2" borderId="25" xfId="0" applyNumberFormat="1" applyFont="1" applyFill="1" applyBorder="1" applyAlignment="1">
      <alignment vertical="center" wrapText="1"/>
    </xf>
    <xf numFmtId="167" fontId="13" fillId="2" borderId="0" xfId="0" applyNumberFormat="1" applyFont="1" applyFill="1" applyAlignment="1">
      <alignment vertical="center" wrapText="1"/>
    </xf>
    <xf numFmtId="0" fontId="5" fillId="2" borderId="26" xfId="0" applyFont="1" applyFill="1" applyBorder="1" applyAlignment="1">
      <alignment vertical="center" wrapText="1"/>
    </xf>
    <xf numFmtId="167" fontId="2" fillId="2" borderId="0" xfId="0" applyNumberFormat="1" applyFont="1" applyFill="1" applyAlignment="1">
      <alignment vertical="center" wrapText="1"/>
    </xf>
    <xf numFmtId="175" fontId="2" fillId="2" borderId="0" xfId="0" applyNumberFormat="1" applyFont="1" applyFill="1" applyAlignment="1">
      <alignment vertical="center" wrapText="1"/>
    </xf>
    <xf numFmtId="0" fontId="5" fillId="6" borderId="22" xfId="0" applyFont="1" applyFill="1" applyBorder="1" applyAlignment="1">
      <alignment vertical="center" wrapText="1"/>
    </xf>
    <xf numFmtId="0" fontId="13" fillId="5" borderId="25" xfId="12" applyFont="1" applyFill="1" applyBorder="1" applyAlignment="1">
      <alignment horizontal="center" vertical="center" wrapText="1"/>
    </xf>
    <xf numFmtId="0" fontId="6" fillId="2" borderId="29" xfId="0" applyFont="1" applyFill="1" applyBorder="1" applyAlignment="1">
      <alignment horizontal="center" vertical="center" wrapText="1"/>
    </xf>
    <xf numFmtId="167" fontId="5" fillId="6" borderId="22" xfId="0" applyNumberFormat="1" applyFont="1" applyFill="1" applyBorder="1" applyAlignment="1">
      <alignment vertical="center" wrapText="1"/>
    </xf>
    <xf numFmtId="0" fontId="6" fillId="2" borderId="30" xfId="0" applyFont="1" applyFill="1" applyBorder="1" applyAlignment="1">
      <alignment horizontal="center" vertical="center" wrapText="1"/>
    </xf>
    <xf numFmtId="167" fontId="5" fillId="6" borderId="27" xfId="0" applyNumberFormat="1" applyFont="1" applyFill="1" applyBorder="1" applyAlignment="1">
      <alignment vertical="center" wrapText="1"/>
    </xf>
    <xf numFmtId="176" fontId="5" fillId="2" borderId="0" xfId="0" applyNumberFormat="1" applyFont="1" applyFill="1" applyAlignment="1">
      <alignment vertical="center" wrapText="1"/>
    </xf>
    <xf numFmtId="0" fontId="6" fillId="2" borderId="31" xfId="0" applyFont="1" applyFill="1" applyBorder="1" applyAlignment="1">
      <alignment horizontal="center" vertical="center" wrapText="1"/>
    </xf>
    <xf numFmtId="0" fontId="5" fillId="5" borderId="27" xfId="0" applyFont="1" applyFill="1" applyBorder="1" applyAlignment="1">
      <alignment vertical="center" wrapText="1"/>
    </xf>
    <xf numFmtId="167" fontId="13" fillId="2" borderId="25" xfId="0" applyNumberFormat="1" applyFont="1" applyFill="1" applyBorder="1" applyAlignment="1">
      <alignment vertical="center" wrapText="1"/>
    </xf>
    <xf numFmtId="4" fontId="5" fillId="4" borderId="3" xfId="0" applyNumberFormat="1" applyFont="1" applyFill="1" applyBorder="1" applyAlignment="1">
      <alignment horizontal="center" vertical="center" wrapText="1"/>
    </xf>
    <xf numFmtId="174" fontId="5" fillId="4" borderId="12" xfId="0" applyNumberFormat="1" applyFont="1" applyFill="1" applyBorder="1" applyAlignment="1">
      <alignment horizontal="right" vertical="center" wrapText="1"/>
    </xf>
    <xf numFmtId="174" fontId="5" fillId="4" borderId="1" xfId="2" applyNumberFormat="1" applyFont="1" applyFill="1" applyBorder="1" applyAlignment="1">
      <alignment vertical="center" wrapText="1"/>
    </xf>
    <xf numFmtId="0" fontId="5" fillId="2" borderId="32" xfId="0" applyFont="1" applyFill="1" applyBorder="1" applyAlignment="1">
      <alignment horizontal="center" vertical="center" wrapText="1"/>
    </xf>
    <xf numFmtId="4" fontId="5" fillId="2" borderId="33" xfId="0" applyNumberFormat="1" applyFont="1" applyFill="1" applyBorder="1" applyAlignment="1">
      <alignment horizontal="center" vertical="center" wrapText="1"/>
    </xf>
    <xf numFmtId="4" fontId="5" fillId="0" borderId="33" xfId="0" applyNumberFormat="1" applyFont="1" applyBorder="1" applyAlignment="1">
      <alignment horizontal="left" vertical="center" wrapText="1"/>
    </xf>
    <xf numFmtId="175" fontId="5" fillId="2" borderId="34" xfId="0" applyNumberFormat="1" applyFont="1" applyFill="1" applyBorder="1" applyAlignment="1">
      <alignment horizontal="right" vertical="center" wrapText="1"/>
    </xf>
    <xf numFmtId="175" fontId="5" fillId="2" borderId="0" xfId="0" applyNumberFormat="1" applyFont="1" applyFill="1" applyAlignment="1">
      <alignment vertical="center" wrapText="1"/>
    </xf>
    <xf numFmtId="175" fontId="6" fillId="5" borderId="0" xfId="0" applyNumberFormat="1" applyFont="1" applyFill="1" applyAlignment="1">
      <alignment vertical="center" wrapText="1"/>
    </xf>
    <xf numFmtId="0" fontId="5" fillId="0" borderId="0" xfId="0" applyFont="1" applyAlignment="1">
      <alignment vertical="center" wrapText="1"/>
    </xf>
    <xf numFmtId="0" fontId="2" fillId="2" borderId="0" xfId="0" applyFont="1" applyFill="1" applyAlignment="1">
      <alignment horizontal="center" vertical="center" wrapText="1"/>
    </xf>
    <xf numFmtId="0" fontId="28" fillId="2" borderId="0" xfId="0" applyFont="1" applyFill="1" applyAlignment="1">
      <alignment vertical="center" wrapText="1"/>
    </xf>
    <xf numFmtId="0" fontId="25" fillId="2" borderId="0" xfId="0" applyFont="1" applyFill="1" applyAlignment="1">
      <alignment vertical="center" wrapText="1"/>
    </xf>
    <xf numFmtId="0" fontId="2" fillId="6" borderId="0" xfId="0" applyFont="1" applyFill="1" applyAlignment="1">
      <alignment vertical="center" wrapText="1"/>
    </xf>
    <xf numFmtId="0" fontId="2" fillId="5" borderId="27" xfId="0" applyFont="1" applyFill="1" applyBorder="1" applyAlignment="1">
      <alignment vertical="center" wrapText="1"/>
    </xf>
    <xf numFmtId="0" fontId="13" fillId="0" borderId="5" xfId="0" applyFont="1" applyBorder="1" applyAlignment="1">
      <alignment horizontal="center" vertical="center" wrapText="1"/>
    </xf>
    <xf numFmtId="0" fontId="17" fillId="0" borderId="5" xfId="0" applyFont="1" applyBorder="1" applyAlignment="1">
      <alignment horizontal="center" vertical="center" wrapText="1"/>
    </xf>
    <xf numFmtId="10" fontId="5" fillId="5" borderId="9" xfId="16" applyNumberFormat="1" applyFont="1" applyFill="1" applyBorder="1" applyAlignment="1">
      <alignment horizontal="center" vertical="center" wrapText="1"/>
    </xf>
    <xf numFmtId="3" fontId="29" fillId="0" borderId="11" xfId="0" applyNumberFormat="1" applyFont="1" applyBorder="1" applyAlignment="1">
      <alignment horizontal="center" vertical="center" wrapText="1"/>
    </xf>
    <xf numFmtId="0" fontId="29" fillId="0" borderId="3" xfId="0" applyFont="1" applyBorder="1" applyAlignment="1">
      <alignment horizontal="justify" vertical="center" wrapText="1"/>
    </xf>
    <xf numFmtId="174" fontId="29" fillId="0" borderId="1" xfId="2" applyNumberFormat="1" applyFont="1" applyFill="1" applyBorder="1" applyAlignment="1">
      <alignment vertical="center" wrapText="1"/>
    </xf>
    <xf numFmtId="10" fontId="29" fillId="0" borderId="1" xfId="16" applyNumberFormat="1" applyFont="1" applyFill="1" applyBorder="1" applyAlignment="1">
      <alignment horizontal="center" vertical="center" wrapText="1"/>
    </xf>
    <xf numFmtId="4" fontId="29" fillId="0" borderId="1" xfId="2" applyNumberFormat="1" applyFont="1" applyFill="1" applyBorder="1" applyAlignment="1">
      <alignment horizontal="center" vertical="center" wrapText="1"/>
    </xf>
    <xf numFmtId="4" fontId="29" fillId="0" borderId="1" xfId="0" applyNumberFormat="1" applyFont="1" applyBorder="1" applyAlignment="1">
      <alignment horizontal="center" vertical="center" wrapText="1"/>
    </xf>
    <xf numFmtId="174" fontId="29" fillId="0" borderId="12" xfId="0" applyNumberFormat="1" applyFont="1" applyBorder="1" applyAlignment="1">
      <alignment horizontal="right" vertical="center" wrapText="1"/>
    </xf>
    <xf numFmtId="3" fontId="30" fillId="0" borderId="11" xfId="0" applyNumberFormat="1" applyFont="1" applyBorder="1" applyAlignment="1">
      <alignment horizontal="center" vertical="center" wrapText="1"/>
    </xf>
    <xf numFmtId="0" fontId="30" fillId="0" borderId="3" xfId="0" applyFont="1" applyBorder="1" applyAlignment="1">
      <alignment horizontal="justify" vertical="center" wrapText="1"/>
    </xf>
    <xf numFmtId="174" fontId="30" fillId="0" borderId="1" xfId="2" applyNumberFormat="1" applyFont="1" applyFill="1" applyBorder="1" applyAlignment="1">
      <alignment vertical="center" wrapText="1"/>
    </xf>
    <xf numFmtId="10" fontId="30" fillId="0" borderId="1" xfId="16" applyNumberFormat="1" applyFont="1" applyFill="1" applyBorder="1" applyAlignment="1">
      <alignment horizontal="center" vertical="center" wrapText="1"/>
    </xf>
    <xf numFmtId="4" fontId="30" fillId="0" borderId="1" xfId="2" applyNumberFormat="1" applyFont="1" applyFill="1" applyBorder="1" applyAlignment="1">
      <alignment horizontal="center" vertical="center" wrapText="1"/>
    </xf>
    <xf numFmtId="4" fontId="30" fillId="0" borderId="1" xfId="0" applyNumberFormat="1" applyFont="1" applyBorder="1" applyAlignment="1">
      <alignment horizontal="center" vertical="center" wrapText="1"/>
    </xf>
    <xf numFmtId="174" fontId="30" fillId="0" borderId="12" xfId="0" applyNumberFormat="1" applyFont="1" applyBorder="1" applyAlignment="1">
      <alignment horizontal="right" vertical="center" wrapText="1"/>
    </xf>
    <xf numFmtId="3" fontId="30" fillId="6" borderId="11" xfId="0" applyNumberFormat="1" applyFont="1" applyFill="1" applyBorder="1" applyAlignment="1">
      <alignment horizontal="center" vertical="center" wrapText="1"/>
    </xf>
    <xf numFmtId="0" fontId="30" fillId="5" borderId="3" xfId="0" applyFont="1" applyFill="1" applyBorder="1" applyAlignment="1">
      <alignment horizontal="justify" vertical="center" wrapText="1"/>
    </xf>
    <xf numFmtId="0" fontId="30" fillId="5" borderId="3" xfId="0" applyFont="1" applyFill="1" applyBorder="1" applyAlignment="1">
      <alignment horizontal="left" vertical="center" wrapText="1"/>
    </xf>
    <xf numFmtId="0" fontId="5" fillId="5" borderId="14" xfId="0" applyFont="1" applyFill="1" applyBorder="1" applyAlignment="1">
      <alignment horizontal="justify" vertical="center" wrapText="1"/>
    </xf>
    <xf numFmtId="0" fontId="13" fillId="0" borderId="11" xfId="0" applyFont="1" applyBorder="1" applyAlignment="1">
      <alignment horizontal="center" vertical="center" wrapText="1"/>
    </xf>
    <xf numFmtId="0" fontId="13" fillId="0" borderId="18" xfId="0" applyFont="1" applyBorder="1" applyAlignment="1">
      <alignment horizontal="center" vertical="center" wrapText="1"/>
    </xf>
    <xf numFmtId="0" fontId="25" fillId="0" borderId="11" xfId="0" applyFont="1" applyBorder="1" applyAlignment="1">
      <alignment horizontal="center" vertical="center" wrapText="1"/>
    </xf>
    <xf numFmtId="0" fontId="25" fillId="5" borderId="3" xfId="0" applyFont="1" applyFill="1" applyBorder="1" applyAlignment="1">
      <alignment horizontal="justify" vertical="center" wrapText="1"/>
    </xf>
    <xf numFmtId="3" fontId="25" fillId="0" borderId="1" xfId="2" applyNumberFormat="1" applyFont="1" applyFill="1" applyBorder="1" applyAlignment="1">
      <alignment horizontal="center" vertical="center" wrapText="1"/>
    </xf>
    <xf numFmtId="3" fontId="25" fillId="0" borderId="3" xfId="2" applyNumberFormat="1" applyFont="1" applyFill="1" applyBorder="1" applyAlignment="1">
      <alignment horizontal="center" vertical="center" wrapText="1"/>
    </xf>
    <xf numFmtId="4" fontId="25" fillId="0" borderId="3" xfId="0" applyNumberFormat="1" applyFont="1" applyBorder="1" applyAlignment="1">
      <alignment horizontal="center" vertical="center" wrapText="1"/>
    </xf>
    <xf numFmtId="174" fontId="5" fillId="5" borderId="1" xfId="2" applyNumberFormat="1" applyFont="1" applyFill="1" applyBorder="1" applyAlignment="1">
      <alignment vertical="center" wrapText="1"/>
    </xf>
    <xf numFmtId="0" fontId="2" fillId="2" borderId="4"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 fillId="5" borderId="0" xfId="12" applyFont="1" applyFill="1" applyAlignment="1">
      <alignment vertical="center"/>
    </xf>
    <xf numFmtId="0" fontId="13" fillId="2" borderId="23" xfId="12" applyFont="1" applyFill="1" applyBorder="1" applyAlignment="1">
      <alignment horizontal="center" vertical="center" wrapText="1"/>
    </xf>
    <xf numFmtId="0" fontId="5" fillId="2" borderId="20" xfId="0" applyFont="1" applyFill="1" applyBorder="1" applyAlignment="1">
      <alignment vertical="center" wrapText="1"/>
    </xf>
    <xf numFmtId="0" fontId="5" fillId="2" borderId="1" xfId="0" applyFont="1" applyFill="1" applyBorder="1" applyAlignment="1">
      <alignment vertical="center" wrapText="1"/>
    </xf>
    <xf numFmtId="167" fontId="5" fillId="3" borderId="0" xfId="2" applyFont="1" applyFill="1" applyAlignment="1">
      <alignment vertical="center" wrapText="1"/>
    </xf>
    <xf numFmtId="167" fontId="5" fillId="0" borderId="0" xfId="2" applyFont="1" applyFill="1" applyAlignment="1">
      <alignment vertical="center" wrapText="1"/>
    </xf>
    <xf numFmtId="167" fontId="5" fillId="5" borderId="0" xfId="2" applyFont="1" applyFill="1" applyAlignment="1">
      <alignment vertical="center" wrapText="1"/>
    </xf>
    <xf numFmtId="0" fontId="5" fillId="0" borderId="1" xfId="0" applyFont="1" applyBorder="1" applyAlignment="1">
      <alignment horizontal="justify" vertical="center" wrapText="1"/>
    </xf>
    <xf numFmtId="167" fontId="5" fillId="5" borderId="4" xfId="0" applyNumberFormat="1" applyFont="1" applyFill="1" applyBorder="1" applyAlignment="1">
      <alignment vertical="center" wrapText="1"/>
    </xf>
    <xf numFmtId="174" fontId="5" fillId="0" borderId="0" xfId="0" applyNumberFormat="1" applyFont="1" applyAlignment="1">
      <alignment vertical="center" wrapText="1"/>
    </xf>
    <xf numFmtId="167" fontId="5" fillId="5" borderId="28" xfId="0" applyNumberFormat="1" applyFont="1" applyFill="1" applyBorder="1" applyAlignment="1">
      <alignment vertical="center" wrapText="1"/>
    </xf>
    <xf numFmtId="0" fontId="28" fillId="2" borderId="20" xfId="0" applyFont="1" applyFill="1" applyBorder="1" applyAlignment="1">
      <alignment vertical="center" wrapText="1"/>
    </xf>
    <xf numFmtId="0" fontId="28" fillId="2" borderId="1" xfId="0" applyFont="1" applyFill="1" applyBorder="1" applyAlignment="1">
      <alignment vertical="center" wrapText="1"/>
    </xf>
    <xf numFmtId="167" fontId="28" fillId="5" borderId="0" xfId="2" applyFont="1" applyFill="1" applyAlignment="1">
      <alignment vertical="center" wrapText="1"/>
    </xf>
    <xf numFmtId="0" fontId="25" fillId="2" borderId="20" xfId="0" applyFont="1" applyFill="1" applyBorder="1" applyAlignment="1">
      <alignment vertical="center" wrapText="1"/>
    </xf>
    <xf numFmtId="0" fontId="25" fillId="2" borderId="1" xfId="0" applyFont="1" applyFill="1" applyBorder="1" applyAlignment="1">
      <alignment vertical="center" wrapText="1"/>
    </xf>
    <xf numFmtId="177" fontId="25" fillId="0" borderId="1" xfId="2" applyNumberFormat="1" applyFont="1" applyFill="1" applyBorder="1" applyAlignment="1">
      <alignment horizontal="right" vertical="center" wrapText="1"/>
    </xf>
    <xf numFmtId="167" fontId="5" fillId="0" borderId="26" xfId="0" applyNumberFormat="1" applyFont="1" applyBorder="1" applyAlignment="1">
      <alignment vertical="center" wrapText="1"/>
    </xf>
    <xf numFmtId="167" fontId="28" fillId="0" borderId="3" xfId="0" applyNumberFormat="1" applyFont="1" applyBorder="1" applyAlignment="1">
      <alignment vertical="center" wrapText="1"/>
    </xf>
    <xf numFmtId="167" fontId="5" fillId="0" borderId="0" xfId="0" applyNumberFormat="1" applyFont="1" applyAlignment="1">
      <alignment vertical="center" wrapText="1"/>
    </xf>
    <xf numFmtId="167" fontId="7" fillId="0" borderId="0" xfId="0" applyNumberFormat="1" applyFont="1" applyAlignment="1">
      <alignment vertical="center" wrapText="1"/>
    </xf>
    <xf numFmtId="0" fontId="5" fillId="0" borderId="1" xfId="0" applyFont="1" applyBorder="1" applyAlignment="1">
      <alignment vertical="center" wrapText="1"/>
    </xf>
    <xf numFmtId="175" fontId="5" fillId="0" borderId="0" xfId="0" applyNumberFormat="1" applyFont="1" applyAlignment="1">
      <alignment vertical="center" wrapText="1"/>
    </xf>
    <xf numFmtId="177" fontId="5" fillId="0" borderId="35" xfId="2" applyNumberFormat="1" applyFont="1" applyFill="1" applyBorder="1" applyAlignment="1">
      <alignment horizontal="right" vertical="center" wrapText="1"/>
    </xf>
    <xf numFmtId="0" fontId="2" fillId="0" borderId="20" xfId="0" applyFont="1" applyBorder="1" applyAlignment="1">
      <alignment vertical="center" wrapText="1"/>
    </xf>
    <xf numFmtId="0" fontId="2" fillId="0" borderId="1" xfId="0" applyFont="1" applyBorder="1" applyAlignment="1">
      <alignment vertical="center" wrapText="1"/>
    </xf>
    <xf numFmtId="0" fontId="8" fillId="0" borderId="0" xfId="0" applyFont="1" applyAlignment="1">
      <alignment horizontal="right" vertical="center" wrapText="1"/>
    </xf>
    <xf numFmtId="167" fontId="2" fillId="0" borderId="0" xfId="0" applyNumberFormat="1" applyFont="1" applyAlignment="1">
      <alignment vertical="center" wrapText="1"/>
    </xf>
    <xf numFmtId="167" fontId="6" fillId="2" borderId="0" xfId="0" applyNumberFormat="1" applyFont="1" applyFill="1" applyAlignment="1">
      <alignment vertical="center" wrapText="1"/>
    </xf>
    <xf numFmtId="0" fontId="3" fillId="0" borderId="0" xfId="0" applyFont="1" applyAlignment="1">
      <alignment vertical="center" wrapText="1"/>
    </xf>
    <xf numFmtId="0" fontId="5" fillId="5" borderId="20" xfId="0" applyFont="1" applyFill="1" applyBorder="1" applyAlignment="1">
      <alignment vertical="center" wrapText="1"/>
    </xf>
    <xf numFmtId="0" fontId="5" fillId="5" borderId="1" xfId="0" applyFont="1" applyFill="1" applyBorder="1" applyAlignment="1">
      <alignment vertical="center" wrapText="1"/>
    </xf>
    <xf numFmtId="174" fontId="5" fillId="5" borderId="0" xfId="0" applyNumberFormat="1" applyFont="1" applyFill="1" applyAlignment="1">
      <alignment vertical="center" wrapText="1"/>
    </xf>
    <xf numFmtId="2" fontId="2" fillId="5" borderId="0" xfId="0" applyNumberFormat="1" applyFont="1" applyFill="1" applyAlignment="1">
      <alignment vertical="center" wrapText="1"/>
    </xf>
    <xf numFmtId="0" fontId="2" fillId="5" borderId="0" xfId="0" applyFont="1" applyFill="1" applyAlignment="1">
      <alignment horizontal="center" vertical="center" wrapText="1"/>
    </xf>
    <xf numFmtId="0" fontId="2" fillId="2" borderId="4" xfId="0" applyFont="1" applyFill="1" applyBorder="1" applyAlignment="1">
      <alignment vertical="center" wrapText="1"/>
    </xf>
    <xf numFmtId="0" fontId="2" fillId="2" borderId="21" xfId="0" applyFont="1" applyFill="1" applyBorder="1" applyAlignment="1">
      <alignment vertical="center" wrapText="1"/>
    </xf>
    <xf numFmtId="0" fontId="2" fillId="5" borderId="22" xfId="0" applyFont="1" applyFill="1" applyBorder="1" applyAlignment="1">
      <alignment vertical="center" wrapText="1"/>
    </xf>
    <xf numFmtId="167" fontId="3" fillId="2" borderId="28" xfId="2" applyFont="1" applyFill="1" applyBorder="1" applyAlignment="1">
      <alignment vertical="center" wrapText="1"/>
    </xf>
    <xf numFmtId="167" fontId="3" fillId="2" borderId="0" xfId="2" applyFont="1" applyFill="1" applyBorder="1" applyAlignment="1">
      <alignment vertical="center" wrapText="1"/>
    </xf>
    <xf numFmtId="0" fontId="3" fillId="5" borderId="27" xfId="0" applyFont="1" applyFill="1" applyBorder="1" applyAlignment="1">
      <alignment vertical="center" wrapText="1"/>
    </xf>
    <xf numFmtId="0" fontId="2" fillId="2" borderId="26" xfId="0" applyFont="1" applyFill="1" applyBorder="1" applyAlignment="1">
      <alignment vertical="center" wrapText="1"/>
    </xf>
    <xf numFmtId="0" fontId="2" fillId="2" borderId="24" xfId="0" applyFont="1" applyFill="1" applyBorder="1" applyAlignment="1">
      <alignment vertical="center" wrapText="1"/>
    </xf>
    <xf numFmtId="0" fontId="2" fillId="2" borderId="25" xfId="0" applyFont="1" applyFill="1" applyBorder="1" applyAlignment="1">
      <alignment vertical="center" wrapText="1"/>
    </xf>
    <xf numFmtId="0" fontId="2" fillId="2" borderId="21" xfId="0" applyFont="1" applyFill="1" applyBorder="1" applyAlignment="1">
      <alignment horizontal="center" vertical="center" wrapText="1"/>
    </xf>
    <xf numFmtId="0" fontId="3" fillId="2" borderId="21" xfId="12" applyFont="1" applyFill="1" applyBorder="1" applyAlignment="1">
      <alignment horizontal="center" vertical="center" wrapText="1"/>
    </xf>
    <xf numFmtId="0" fontId="3" fillId="2" borderId="24" xfId="12" applyFont="1" applyFill="1" applyBorder="1" applyAlignment="1">
      <alignment horizontal="center" vertical="center" wrapText="1"/>
    </xf>
    <xf numFmtId="176" fontId="5" fillId="0" borderId="21" xfId="16" applyNumberFormat="1" applyFont="1" applyFill="1" applyBorder="1" applyAlignment="1">
      <alignment vertical="center" wrapText="1"/>
    </xf>
    <xf numFmtId="167" fontId="5" fillId="2" borderId="22" xfId="2" applyFont="1" applyFill="1" applyBorder="1" applyAlignment="1">
      <alignment vertical="center" wrapText="1"/>
    </xf>
    <xf numFmtId="10" fontId="5" fillId="6" borderId="0" xfId="16" applyNumberFormat="1" applyFont="1" applyFill="1" applyAlignment="1">
      <alignment vertical="center" wrapText="1"/>
    </xf>
    <xf numFmtId="167" fontId="5" fillId="6" borderId="0" xfId="2" applyFont="1" applyFill="1" applyAlignment="1">
      <alignment vertical="center" wrapText="1"/>
    </xf>
    <xf numFmtId="176" fontId="5" fillId="0" borderId="0" xfId="16" applyNumberFormat="1" applyFont="1" applyFill="1" applyBorder="1" applyAlignment="1">
      <alignment vertical="center" wrapText="1"/>
    </xf>
    <xf numFmtId="167" fontId="5" fillId="2" borderId="27" xfId="2" applyFont="1" applyFill="1" applyBorder="1" applyAlignment="1">
      <alignment vertical="center" wrapText="1"/>
    </xf>
    <xf numFmtId="176" fontId="5" fillId="0" borderId="24" xfId="16" applyNumberFormat="1" applyFont="1" applyFill="1" applyBorder="1" applyAlignment="1">
      <alignment vertical="center" wrapText="1"/>
    </xf>
    <xf numFmtId="10" fontId="5" fillId="2" borderId="24" xfId="0" applyNumberFormat="1" applyFont="1" applyFill="1" applyBorder="1" applyAlignment="1">
      <alignment vertical="center" wrapText="1"/>
    </xf>
    <xf numFmtId="167" fontId="5" fillId="5" borderId="25" xfId="2" applyFont="1" applyFill="1" applyBorder="1" applyAlignment="1">
      <alignment vertical="center" wrapText="1"/>
    </xf>
    <xf numFmtId="0" fontId="28" fillId="0" borderId="18" xfId="0" applyFont="1" applyBorder="1" applyAlignment="1">
      <alignment vertical="center" wrapText="1"/>
    </xf>
    <xf numFmtId="167" fontId="28" fillId="0" borderId="20" xfId="0" applyNumberFormat="1" applyFont="1" applyBorder="1" applyAlignment="1">
      <alignment vertical="center" wrapText="1"/>
    </xf>
    <xf numFmtId="0" fontId="28" fillId="2" borderId="26" xfId="0" applyFont="1" applyFill="1" applyBorder="1" applyAlignment="1">
      <alignment vertical="center" wrapText="1"/>
    </xf>
    <xf numFmtId="167" fontId="6" fillId="0" borderId="25" xfId="0" applyNumberFormat="1" applyFont="1" applyBorder="1" applyAlignment="1">
      <alignment vertical="center" wrapText="1"/>
    </xf>
    <xf numFmtId="167" fontId="5" fillId="5" borderId="27" xfId="2" applyFont="1" applyFill="1" applyBorder="1" applyAlignment="1">
      <alignment vertical="center" wrapText="1"/>
    </xf>
    <xf numFmtId="167" fontId="28" fillId="0" borderId="0" xfId="0" applyNumberFormat="1" applyFont="1" applyAlignment="1">
      <alignment vertical="center" wrapText="1"/>
    </xf>
    <xf numFmtId="0" fontId="28" fillId="0" borderId="0" xfId="0" applyFont="1" applyAlignment="1">
      <alignment vertical="center" wrapText="1"/>
    </xf>
    <xf numFmtId="167" fontId="6" fillId="6" borderId="30" xfId="2" applyFont="1" applyFill="1" applyBorder="1" applyAlignment="1">
      <alignment horizontal="center" vertical="center" wrapText="1"/>
    </xf>
    <xf numFmtId="167" fontId="6" fillId="6" borderId="31" xfId="2" applyFont="1" applyFill="1" applyBorder="1" applyAlignment="1">
      <alignment horizontal="center" vertical="center" wrapText="1"/>
    </xf>
    <xf numFmtId="167" fontId="2" fillId="5" borderId="0" xfId="2" applyFont="1" applyFill="1" applyAlignment="1">
      <alignment vertical="center" wrapText="1"/>
    </xf>
    <xf numFmtId="0" fontId="12" fillId="2" borderId="0" xfId="0" applyFont="1" applyFill="1" applyAlignment="1">
      <alignment horizontal="left" vertical="center" wrapText="1"/>
    </xf>
    <xf numFmtId="0" fontId="6" fillId="0" borderId="2" xfId="0" quotePrefix="1" applyFont="1" applyBorder="1" applyAlignment="1">
      <alignment horizontal="center" vertical="center" wrapText="1"/>
    </xf>
    <xf numFmtId="0" fontId="6" fillId="0" borderId="36" xfId="0" quotePrefix="1" applyFont="1" applyBorder="1" applyAlignment="1">
      <alignment horizontal="center" vertical="center" wrapText="1"/>
    </xf>
    <xf numFmtId="0" fontId="33" fillId="5" borderId="0" xfId="0" applyFont="1" applyFill="1"/>
    <xf numFmtId="0" fontId="32" fillId="5" borderId="38" xfId="12" applyFont="1" applyFill="1" applyBorder="1" applyAlignment="1">
      <alignment vertical="center" wrapText="1"/>
    </xf>
    <xf numFmtId="0" fontId="32" fillId="5" borderId="5" xfId="12" applyFont="1" applyFill="1" applyBorder="1" applyAlignment="1">
      <alignment vertical="center" wrapText="1"/>
    </xf>
    <xf numFmtId="0" fontId="32" fillId="5" borderId="49" xfId="12" applyFont="1" applyFill="1" applyBorder="1" applyAlignment="1">
      <alignment vertical="center" wrapText="1"/>
    </xf>
    <xf numFmtId="0" fontId="35" fillId="5" borderId="37" xfId="12" applyFont="1" applyFill="1" applyBorder="1" applyAlignment="1">
      <alignment horizontal="center" vertical="center" wrapText="1"/>
    </xf>
    <xf numFmtId="0" fontId="35" fillId="5" borderId="0" xfId="12" applyFont="1" applyFill="1" applyAlignment="1">
      <alignment horizontal="center" vertical="center" wrapText="1"/>
    </xf>
    <xf numFmtId="0" fontId="35" fillId="5" borderId="31" xfId="12" applyFont="1" applyFill="1" applyBorder="1" applyAlignment="1">
      <alignment horizontal="center" vertical="center" wrapText="1"/>
    </xf>
    <xf numFmtId="0" fontId="21" fillId="2" borderId="37" xfId="12" quotePrefix="1" applyFill="1" applyBorder="1" applyAlignment="1">
      <alignment vertical="center"/>
    </xf>
    <xf numFmtId="0" fontId="21" fillId="5" borderId="0" xfId="12" applyFill="1" applyAlignment="1">
      <alignment horizontal="left" vertical="center"/>
    </xf>
    <xf numFmtId="0" fontId="34" fillId="2" borderId="0" xfId="12" quotePrefix="1" applyFont="1" applyFill="1" applyAlignment="1">
      <alignment horizontal="center" vertical="center"/>
    </xf>
    <xf numFmtId="0" fontId="38" fillId="5" borderId="0" xfId="0" applyFont="1" applyFill="1" applyAlignment="1">
      <alignment vertical="center"/>
    </xf>
    <xf numFmtId="0" fontId="33" fillId="5" borderId="0" xfId="0" applyFont="1" applyFill="1" applyAlignment="1">
      <alignment vertical="center"/>
    </xf>
    <xf numFmtId="0" fontId="21" fillId="5" borderId="0" xfId="0" applyFont="1" applyFill="1" applyAlignment="1">
      <alignment vertical="center" wrapText="1"/>
    </xf>
    <xf numFmtId="172" fontId="21" fillId="5" borderId="0" xfId="0" applyNumberFormat="1" applyFont="1" applyFill="1" applyAlignment="1">
      <alignment vertical="center" wrapText="1"/>
    </xf>
    <xf numFmtId="172" fontId="33" fillId="5" borderId="0" xfId="0" applyNumberFormat="1" applyFont="1" applyFill="1" applyAlignment="1">
      <alignment vertical="center"/>
    </xf>
    <xf numFmtId="0" fontId="21" fillId="5" borderId="0" xfId="0" applyFont="1" applyFill="1" applyAlignment="1">
      <alignment horizontal="center" vertical="center" wrapText="1"/>
    </xf>
    <xf numFmtId="0" fontId="37" fillId="7" borderId="37" xfId="12" applyFont="1" applyFill="1" applyBorder="1" applyAlignment="1">
      <alignment vertical="center"/>
    </xf>
    <xf numFmtId="0" fontId="37" fillId="7" borderId="0" xfId="12" applyFont="1" applyFill="1" applyAlignment="1">
      <alignment vertical="center"/>
    </xf>
    <xf numFmtId="0" fontId="37" fillId="7" borderId="39" xfId="12" applyFont="1" applyFill="1" applyBorder="1" applyAlignment="1">
      <alignment vertical="center"/>
    </xf>
    <xf numFmtId="0" fontId="32" fillId="5" borderId="0" xfId="0" applyFont="1" applyFill="1" applyAlignment="1">
      <alignment vertical="center" wrapText="1"/>
    </xf>
    <xf numFmtId="0" fontId="39" fillId="5" borderId="47" xfId="12" applyFont="1" applyFill="1" applyBorder="1" applyAlignment="1">
      <alignment horizontal="left" vertical="center"/>
    </xf>
    <xf numFmtId="0" fontId="21" fillId="5" borderId="40" xfId="12" applyFill="1" applyBorder="1" applyAlignment="1">
      <alignment vertical="center" wrapText="1"/>
    </xf>
    <xf numFmtId="0" fontId="21" fillId="5" borderId="40" xfId="12" applyFill="1" applyBorder="1" applyAlignment="1">
      <alignment horizontal="center" vertical="center" wrapText="1"/>
    </xf>
    <xf numFmtId="173" fontId="21" fillId="5" borderId="40" xfId="6" applyNumberFormat="1" applyFont="1" applyFill="1" applyBorder="1" applyAlignment="1">
      <alignment vertical="center"/>
    </xf>
    <xf numFmtId="166" fontId="21" fillId="5" borderId="40" xfId="9" applyFont="1" applyFill="1" applyBorder="1" applyAlignment="1">
      <alignment vertical="center"/>
    </xf>
    <xf numFmtId="0" fontId="21" fillId="5" borderId="48" xfId="0" applyFont="1" applyFill="1" applyBorder="1" applyAlignment="1">
      <alignment horizontal="center" vertical="center" wrapText="1"/>
    </xf>
    <xf numFmtId="0" fontId="40" fillId="5" borderId="37" xfId="0" applyFont="1" applyFill="1" applyBorder="1" applyAlignment="1">
      <alignment horizontal="justify" vertical="center" wrapText="1"/>
    </xf>
    <xf numFmtId="0" fontId="21" fillId="5" borderId="39" xfId="0" applyFont="1" applyFill="1" applyBorder="1" applyAlignment="1">
      <alignment horizontal="center" vertical="center" wrapText="1"/>
    </xf>
    <xf numFmtId="0" fontId="45" fillId="2" borderId="29" xfId="12" quotePrefix="1" applyFont="1" applyFill="1" applyBorder="1" applyAlignment="1">
      <alignment horizontal="center" vertical="center"/>
    </xf>
    <xf numFmtId="0" fontId="21" fillId="5" borderId="37" xfId="0" applyFont="1" applyFill="1" applyBorder="1" applyAlignment="1">
      <alignment vertical="center" wrapText="1"/>
    </xf>
    <xf numFmtId="0" fontId="44" fillId="5" borderId="0" xfId="0" applyFont="1" applyFill="1" applyAlignment="1">
      <alignment horizontal="justify" vertical="center" wrapText="1"/>
    </xf>
    <xf numFmtId="0" fontId="42" fillId="5" borderId="52" xfId="0" applyFont="1" applyFill="1" applyBorder="1" applyAlignment="1">
      <alignment horizontal="center" vertical="center" wrapText="1"/>
    </xf>
    <xf numFmtId="0" fontId="42" fillId="5" borderId="53" xfId="0" applyFont="1" applyFill="1" applyBorder="1" applyAlignment="1">
      <alignment horizontal="justify" vertical="center" wrapText="1"/>
    </xf>
    <xf numFmtId="3" fontId="42" fillId="5" borderId="56" xfId="2" applyNumberFormat="1" applyFont="1" applyFill="1" applyBorder="1" applyAlignment="1">
      <alignment horizontal="center" vertical="center" wrapText="1"/>
    </xf>
    <xf numFmtId="167" fontId="32" fillId="5" borderId="29" xfId="12" applyNumberFormat="1" applyFont="1" applyFill="1" applyBorder="1" applyAlignment="1">
      <alignment horizontal="center" vertical="center"/>
    </xf>
    <xf numFmtId="167" fontId="21" fillId="5" borderId="0" xfId="2" applyFont="1" applyFill="1" applyAlignment="1">
      <alignment vertical="center" wrapText="1"/>
    </xf>
    <xf numFmtId="171" fontId="37" fillId="9" borderId="37" xfId="0" applyNumberFormat="1" applyFont="1" applyFill="1" applyBorder="1" applyAlignment="1">
      <alignment vertical="center" wrapText="1"/>
    </xf>
    <xf numFmtId="42" fontId="0" fillId="0" borderId="0" xfId="20" applyFont="1"/>
    <xf numFmtId="0" fontId="38" fillId="5" borderId="0" xfId="0" applyFont="1" applyFill="1" applyAlignment="1">
      <alignment horizontal="center" vertical="center"/>
    </xf>
    <xf numFmtId="178" fontId="0" fillId="0" borderId="0" xfId="20" applyNumberFormat="1" applyFont="1" applyAlignment="1">
      <alignment horizontal="center" vertical="center"/>
    </xf>
    <xf numFmtId="179" fontId="0" fillId="0" borderId="0" xfId="16" applyNumberFormat="1" applyFont="1"/>
    <xf numFmtId="171" fontId="42" fillId="0" borderId="53" xfId="0" applyNumberFormat="1" applyFont="1" applyBorder="1" applyAlignment="1">
      <alignment horizontal="center" vertical="center" wrapText="1"/>
    </xf>
    <xf numFmtId="167" fontId="32" fillId="5" borderId="31" xfId="12" quotePrefix="1" applyNumberFormat="1" applyFont="1" applyFill="1" applyBorder="1" applyAlignment="1">
      <alignment horizontal="center" vertical="center"/>
    </xf>
    <xf numFmtId="4" fontId="5" fillId="0" borderId="45" xfId="0" applyNumberFormat="1" applyFont="1" applyBorder="1" applyAlignment="1">
      <alignment horizontal="left" vertical="center" wrapText="1"/>
    </xf>
    <xf numFmtId="4" fontId="5" fillId="0" borderId="24" xfId="0" applyNumberFormat="1" applyFont="1" applyBorder="1" applyAlignment="1">
      <alignment horizontal="left" vertical="center" wrapText="1"/>
    </xf>
    <xf numFmtId="4" fontId="5" fillId="0" borderId="25" xfId="0" applyNumberFormat="1" applyFont="1" applyBorder="1" applyAlignment="1">
      <alignment horizontal="left" vertical="center" wrapText="1"/>
    </xf>
    <xf numFmtId="0" fontId="4" fillId="0" borderId="0" xfId="0" applyFont="1" applyAlignment="1">
      <alignment horizontal="center" vertical="center" wrapText="1"/>
    </xf>
    <xf numFmtId="0" fontId="14" fillId="0" borderId="0" xfId="0" applyFont="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0" fillId="0" borderId="0" xfId="0" applyFont="1" applyAlignment="1">
      <alignment horizontal="center" vertical="center" wrapText="1"/>
    </xf>
    <xf numFmtId="0" fontId="16" fillId="0" borderId="0" xfId="0" applyFont="1" applyAlignment="1">
      <alignment horizontal="center" vertical="center" wrapText="1"/>
    </xf>
    <xf numFmtId="0" fontId="2" fillId="0" borderId="0" xfId="0" applyFont="1" applyAlignment="1">
      <alignment horizontal="center" vertical="center" wrapText="1"/>
    </xf>
    <xf numFmtId="0" fontId="31" fillId="0" borderId="0" xfId="0" applyFont="1" applyAlignment="1">
      <alignment horizontal="center" vertical="center" wrapText="1"/>
    </xf>
    <xf numFmtId="4" fontId="5" fillId="0" borderId="41" xfId="0" applyNumberFormat="1" applyFont="1" applyBorder="1" applyAlignment="1">
      <alignment horizontal="left" vertical="center" wrapText="1"/>
    </xf>
    <xf numFmtId="4" fontId="5" fillId="0" borderId="18" xfId="0" applyNumberFormat="1" applyFont="1" applyBorder="1" applyAlignment="1">
      <alignment horizontal="left" vertical="center" wrapText="1"/>
    </xf>
    <xf numFmtId="4" fontId="5" fillId="0" borderId="20" xfId="0" applyNumberFormat="1" applyFont="1" applyBorder="1" applyAlignment="1">
      <alignment horizontal="left" vertical="center" wrapText="1"/>
    </xf>
    <xf numFmtId="4" fontId="6" fillId="0" borderId="42" xfId="0" applyNumberFormat="1" applyFont="1" applyBorder="1" applyAlignment="1">
      <alignment horizontal="left" vertical="center" wrapText="1"/>
    </xf>
    <xf numFmtId="4" fontId="6" fillId="0" borderId="43" xfId="0" applyNumberFormat="1" applyFont="1" applyBorder="1" applyAlignment="1">
      <alignment horizontal="left" vertical="center" wrapText="1"/>
    </xf>
    <xf numFmtId="4" fontId="6" fillId="0" borderId="44" xfId="0" applyNumberFormat="1" applyFont="1" applyBorder="1" applyAlignment="1">
      <alignment horizontal="left" vertical="center" wrapText="1"/>
    </xf>
    <xf numFmtId="0" fontId="6" fillId="2" borderId="0" xfId="0" applyFont="1" applyFill="1" applyAlignment="1">
      <alignment horizontal="left" vertical="center" wrapText="1"/>
    </xf>
    <xf numFmtId="4" fontId="1" fillId="0" borderId="0" xfId="15" applyNumberFormat="1" applyFont="1" applyAlignment="1">
      <alignment horizontal="left" vertical="center" wrapText="1"/>
    </xf>
    <xf numFmtId="4" fontId="9" fillId="0" borderId="0" xfId="15" applyNumberFormat="1" applyFont="1" applyAlignment="1">
      <alignment horizontal="left" vertic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5" fillId="0" borderId="0" xfId="0" applyFont="1" applyAlignment="1">
      <alignment horizontal="center" vertical="center" wrapText="1"/>
    </xf>
    <xf numFmtId="4" fontId="5" fillId="0" borderId="0" xfId="15" applyNumberFormat="1" applyFont="1" applyAlignment="1">
      <alignment horizontal="left" vertical="center" wrapText="1"/>
    </xf>
    <xf numFmtId="4" fontId="6" fillId="0" borderId="0" xfId="15" applyNumberFormat="1" applyFont="1" applyAlignment="1">
      <alignment horizontal="left" vertical="center" wrapText="1"/>
    </xf>
    <xf numFmtId="171" fontId="42" fillId="5" borderId="9" xfId="0" applyNumberFormat="1" applyFont="1" applyFill="1" applyBorder="1" applyAlignment="1">
      <alignment horizontal="center" vertical="center" wrapText="1"/>
    </xf>
    <xf numFmtId="171" fontId="42" fillId="5" borderId="55" xfId="0" applyNumberFormat="1" applyFont="1" applyFill="1" applyBorder="1" applyAlignment="1">
      <alignment horizontal="center" vertical="center" wrapText="1"/>
    </xf>
    <xf numFmtId="170" fontId="42" fillId="5" borderId="9" xfId="0" applyNumberFormat="1" applyFont="1" applyFill="1" applyBorder="1" applyAlignment="1">
      <alignment horizontal="center" vertical="center" wrapText="1"/>
    </xf>
    <xf numFmtId="170" fontId="42" fillId="5" borderId="56" xfId="0" applyNumberFormat="1" applyFont="1" applyFill="1" applyBorder="1" applyAlignment="1">
      <alignment horizontal="center" vertical="center" wrapText="1"/>
    </xf>
    <xf numFmtId="4" fontId="43" fillId="8" borderId="41" xfId="15" applyNumberFormat="1" applyFont="1" applyFill="1" applyBorder="1" applyAlignment="1">
      <alignment horizontal="left" vertical="center" wrapText="1"/>
    </xf>
    <xf numFmtId="4" fontId="43" fillId="8" borderId="18" xfId="15" applyNumberFormat="1" applyFont="1" applyFill="1" applyBorder="1" applyAlignment="1">
      <alignment horizontal="left" vertical="center" wrapText="1"/>
    </xf>
    <xf numFmtId="4" fontId="43" fillId="8" borderId="50" xfId="15" applyNumberFormat="1" applyFont="1" applyFill="1" applyBorder="1" applyAlignment="1">
      <alignment horizontal="left" vertical="center" wrapText="1"/>
    </xf>
    <xf numFmtId="4" fontId="37" fillId="8" borderId="51" xfId="15" applyNumberFormat="1" applyFont="1" applyFill="1" applyBorder="1" applyAlignment="1">
      <alignment horizontal="left" vertical="center" wrapText="1"/>
    </xf>
    <xf numFmtId="4" fontId="37" fillId="8" borderId="21" xfId="15" applyNumberFormat="1" applyFont="1" applyFill="1" applyBorder="1" applyAlignment="1">
      <alignment horizontal="left" vertical="center" wrapText="1"/>
    </xf>
    <xf numFmtId="4" fontId="37" fillId="8" borderId="58" xfId="15" applyNumberFormat="1" applyFont="1" applyFill="1" applyBorder="1" applyAlignment="1">
      <alignment horizontal="left" vertical="center" wrapText="1"/>
    </xf>
    <xf numFmtId="171" fontId="43" fillId="8" borderId="45" xfId="0" applyNumberFormat="1" applyFont="1" applyFill="1" applyBorder="1" applyAlignment="1">
      <alignment horizontal="center" vertical="center" wrapText="1"/>
    </xf>
    <xf numFmtId="171" fontId="43" fillId="8" borderId="57" xfId="0" applyNumberFormat="1" applyFont="1" applyFill="1" applyBorder="1" applyAlignment="1">
      <alignment horizontal="center" vertical="center" wrapText="1"/>
    </xf>
    <xf numFmtId="171" fontId="37" fillId="8" borderId="37" xfId="0" applyNumberFormat="1" applyFont="1" applyFill="1" applyBorder="1" applyAlignment="1">
      <alignment horizontal="center" vertical="center" wrapText="1"/>
    </xf>
    <xf numFmtId="171" fontId="37" fillId="8" borderId="39" xfId="0" applyNumberFormat="1" applyFont="1" applyFill="1" applyBorder="1" applyAlignment="1">
      <alignment horizontal="center" vertical="center" wrapText="1"/>
    </xf>
    <xf numFmtId="171" fontId="41" fillId="8" borderId="32" xfId="0" applyNumberFormat="1" applyFont="1" applyFill="1" applyBorder="1" applyAlignment="1">
      <alignment horizontal="center" vertical="center" wrapText="1"/>
    </xf>
    <xf numFmtId="171" fontId="41" fillId="8" borderId="46" xfId="0" applyNumberFormat="1" applyFont="1" applyFill="1" applyBorder="1" applyAlignment="1">
      <alignment horizontal="center" vertical="center" wrapText="1"/>
    </xf>
    <xf numFmtId="4" fontId="41" fillId="7" borderId="32" xfId="0" applyNumberFormat="1" applyFont="1" applyFill="1" applyBorder="1" applyAlignment="1">
      <alignment horizontal="left" vertical="center" wrapText="1"/>
    </xf>
    <xf numFmtId="4" fontId="41" fillId="7" borderId="33" xfId="0" applyNumberFormat="1" applyFont="1" applyFill="1" applyBorder="1" applyAlignment="1">
      <alignment horizontal="left" vertical="center" wrapText="1"/>
    </xf>
    <xf numFmtId="4" fontId="41" fillId="7" borderId="46" xfId="0" applyNumberFormat="1" applyFont="1" applyFill="1" applyBorder="1" applyAlignment="1">
      <alignment horizontal="left" vertical="center" wrapText="1"/>
    </xf>
    <xf numFmtId="4" fontId="43" fillId="5" borderId="52" xfId="15" applyNumberFormat="1" applyFont="1" applyFill="1" applyBorder="1" applyAlignment="1">
      <alignment horizontal="left" vertical="center" wrapText="1"/>
    </xf>
    <xf numFmtId="4" fontId="43" fillId="5" borderId="54" xfId="15" applyNumberFormat="1" applyFont="1" applyFill="1" applyBorder="1" applyAlignment="1">
      <alignment horizontal="left" vertical="center" wrapText="1"/>
    </xf>
    <xf numFmtId="4" fontId="43" fillId="5" borderId="55" xfId="15" applyNumberFormat="1" applyFont="1" applyFill="1" applyBorder="1" applyAlignment="1">
      <alignment horizontal="left" vertical="center" wrapText="1"/>
    </xf>
    <xf numFmtId="0" fontId="36" fillId="7" borderId="32" xfId="0" applyFont="1" applyFill="1" applyBorder="1" applyAlignment="1">
      <alignment horizontal="center" vertical="center" wrapText="1"/>
    </xf>
    <xf numFmtId="0" fontId="36" fillId="7" borderId="33" xfId="0" applyFont="1" applyFill="1" applyBorder="1" applyAlignment="1">
      <alignment horizontal="center" vertical="center" wrapText="1"/>
    </xf>
    <xf numFmtId="0" fontId="36" fillId="7" borderId="46" xfId="0" applyFont="1" applyFill="1" applyBorder="1" applyAlignment="1">
      <alignment horizontal="center" vertical="center" wrapText="1"/>
    </xf>
    <xf numFmtId="0" fontId="34" fillId="5" borderId="47" xfId="12" applyFont="1" applyFill="1" applyBorder="1" applyAlignment="1">
      <alignment horizontal="center" vertical="center"/>
    </xf>
    <xf numFmtId="0" fontId="34" fillId="5" borderId="40" xfId="12" applyFont="1" applyFill="1" applyBorder="1" applyAlignment="1">
      <alignment horizontal="center" vertical="center"/>
    </xf>
    <xf numFmtId="0" fontId="34" fillId="0" borderId="40" xfId="12" applyFont="1" applyBorder="1" applyAlignment="1">
      <alignment horizontal="center" vertical="center"/>
    </xf>
    <xf numFmtId="0" fontId="34" fillId="7" borderId="32" xfId="12" applyFont="1" applyFill="1" applyBorder="1" applyAlignment="1">
      <alignment horizontal="center" vertical="center" wrapText="1"/>
    </xf>
    <xf numFmtId="0" fontId="34" fillId="7" borderId="33" xfId="12" applyFont="1" applyFill="1" applyBorder="1" applyAlignment="1">
      <alignment horizontal="center" vertical="center" wrapText="1"/>
    </xf>
    <xf numFmtId="0" fontId="34" fillId="7" borderId="46" xfId="12" applyFont="1" applyFill="1" applyBorder="1" applyAlignment="1">
      <alignment horizontal="center" vertical="center" wrapText="1"/>
    </xf>
    <xf numFmtId="0" fontId="32" fillId="5" borderId="29" xfId="12" applyFont="1" applyFill="1" applyBorder="1" applyAlignment="1">
      <alignment horizontal="center" vertical="center"/>
    </xf>
    <xf numFmtId="0" fontId="32" fillId="5" borderId="31" xfId="12" applyFont="1" applyFill="1" applyBorder="1" applyAlignment="1">
      <alignment horizontal="center" vertical="center"/>
    </xf>
    <xf numFmtId="167" fontId="32" fillId="5" borderId="38" xfId="12" quotePrefix="1" applyNumberFormat="1" applyFont="1" applyFill="1" applyBorder="1" applyAlignment="1">
      <alignment horizontal="center" vertical="center"/>
    </xf>
    <xf numFmtId="167" fontId="32" fillId="5" borderId="49" xfId="12" quotePrefix="1" applyNumberFormat="1" applyFont="1" applyFill="1" applyBorder="1" applyAlignment="1">
      <alignment horizontal="center" vertical="center"/>
    </xf>
    <xf numFmtId="0" fontId="32" fillId="5" borderId="29" xfId="12" applyFont="1" applyFill="1" applyBorder="1" applyAlignment="1">
      <alignment horizontal="center" vertical="center" wrapText="1"/>
    </xf>
    <xf numFmtId="0" fontId="32" fillId="5" borderId="31" xfId="12" applyFont="1" applyFill="1" applyBorder="1" applyAlignment="1">
      <alignment horizontal="center" vertical="center" wrapText="1"/>
    </xf>
    <xf numFmtId="0" fontId="32" fillId="5" borderId="47" xfId="12" applyFont="1" applyFill="1" applyBorder="1" applyAlignment="1">
      <alignment horizontal="center" vertical="center"/>
    </xf>
    <xf numFmtId="0" fontId="32" fillId="5" borderId="48" xfId="12" applyFont="1" applyFill="1" applyBorder="1" applyAlignment="1">
      <alignment horizontal="center" vertical="center"/>
    </xf>
    <xf numFmtId="0" fontId="45" fillId="5" borderId="47" xfId="12" applyFont="1" applyFill="1" applyBorder="1" applyAlignment="1">
      <alignment horizontal="center"/>
    </xf>
    <xf numFmtId="0" fontId="45" fillId="5" borderId="40" xfId="12" applyFont="1" applyFill="1" applyBorder="1" applyAlignment="1">
      <alignment horizontal="center"/>
    </xf>
    <xf numFmtId="0" fontId="45" fillId="5" borderId="48" xfId="12" applyFont="1" applyFill="1" applyBorder="1" applyAlignment="1">
      <alignment horizontal="center"/>
    </xf>
    <xf numFmtId="0" fontId="36" fillId="5" borderId="37" xfId="12" applyFont="1" applyFill="1" applyBorder="1" applyAlignment="1">
      <alignment horizontal="center" vertical="center"/>
    </xf>
    <xf numFmtId="0" fontId="36" fillId="5" borderId="0" xfId="12" applyFont="1" applyFill="1" applyAlignment="1">
      <alignment horizontal="center" vertical="center"/>
    </xf>
    <xf numFmtId="0" fontId="36" fillId="5" borderId="39" xfId="12" applyFont="1" applyFill="1" applyBorder="1" applyAlignment="1">
      <alignment horizontal="center" vertical="center"/>
    </xf>
    <xf numFmtId="0" fontId="37" fillId="9" borderId="32" xfId="12" applyFont="1" applyFill="1" applyBorder="1" applyAlignment="1">
      <alignment horizontal="center" vertical="center" wrapText="1"/>
    </xf>
    <xf numFmtId="0" fontId="37" fillId="9" borderId="33" xfId="12" applyFont="1" applyFill="1" applyBorder="1" applyAlignment="1">
      <alignment horizontal="center" vertical="center" wrapText="1"/>
    </xf>
    <xf numFmtId="0" fontId="37" fillId="9" borderId="46" xfId="12" applyFont="1" applyFill="1" applyBorder="1" applyAlignment="1">
      <alignment horizontal="center" vertical="center" wrapText="1"/>
    </xf>
    <xf numFmtId="0" fontId="0" fillId="5" borderId="37" xfId="12" applyFont="1" applyFill="1" applyBorder="1" applyAlignment="1">
      <alignment horizontal="left" vertical="center" wrapText="1"/>
    </xf>
    <xf numFmtId="0" fontId="21" fillId="5" borderId="0" xfId="12" applyFill="1" applyAlignment="1">
      <alignment horizontal="left" vertical="center" wrapText="1"/>
    </xf>
    <xf numFmtId="0" fontId="21" fillId="5" borderId="39" xfId="12" applyFill="1" applyBorder="1" applyAlignment="1">
      <alignment horizontal="left" vertical="center" wrapText="1"/>
    </xf>
    <xf numFmtId="0" fontId="0" fillId="5" borderId="37" xfId="12" applyFont="1" applyFill="1" applyBorder="1" applyAlignment="1">
      <alignment horizontal="left" vertical="top" wrapText="1"/>
    </xf>
    <xf numFmtId="0" fontId="0" fillId="5" borderId="0" xfId="12" applyFont="1" applyFill="1" applyAlignment="1">
      <alignment horizontal="left" vertical="top" wrapText="1"/>
    </xf>
    <xf numFmtId="0" fontId="0" fillId="5" borderId="39" xfId="12" applyFont="1" applyFill="1" applyBorder="1" applyAlignment="1">
      <alignment horizontal="left" vertical="top" wrapText="1"/>
    </xf>
    <xf numFmtId="0" fontId="0" fillId="5" borderId="37" xfId="12" applyFont="1" applyFill="1" applyBorder="1" applyAlignment="1">
      <alignment horizontal="left" vertical="center"/>
    </xf>
    <xf numFmtId="0" fontId="21" fillId="5" borderId="0" xfId="12" applyFill="1" applyAlignment="1">
      <alignment horizontal="left" vertical="center"/>
    </xf>
    <xf numFmtId="0" fontId="21" fillId="5" borderId="39" xfId="12" applyFill="1" applyBorder="1" applyAlignment="1">
      <alignment horizontal="left" vertical="center"/>
    </xf>
    <xf numFmtId="0" fontId="45" fillId="0" borderId="37" xfId="12" applyFont="1" applyFill="1" applyBorder="1" applyAlignment="1">
      <alignment horizontal="center" vertical="center" wrapText="1"/>
    </xf>
    <xf numFmtId="0" fontId="45" fillId="0" borderId="0" xfId="12" applyFont="1" applyFill="1" applyAlignment="1">
      <alignment horizontal="center" vertical="center" wrapText="1"/>
    </xf>
    <xf numFmtId="0" fontId="45" fillId="0" borderId="39" xfId="12" applyFont="1" applyFill="1" applyBorder="1" applyAlignment="1">
      <alignment horizontal="center" vertical="center" wrapText="1"/>
    </xf>
  </cellXfs>
  <cellStyles count="21">
    <cellStyle name="Euro" xfId="1" xr:uid="{00000000-0005-0000-0000-000000000000}"/>
    <cellStyle name="Millares" xfId="2" builtinId="3"/>
    <cellStyle name="Millares [0] 2" xfId="3" xr:uid="{00000000-0005-0000-0000-000002000000}"/>
    <cellStyle name="Millares [0] 3" xfId="4" xr:uid="{00000000-0005-0000-0000-000003000000}"/>
    <cellStyle name="Millares 2" xfId="5" xr:uid="{00000000-0005-0000-0000-000004000000}"/>
    <cellStyle name="Millares 2 2" xfId="6" xr:uid="{00000000-0005-0000-0000-000005000000}"/>
    <cellStyle name="Millares 3" xfId="7" xr:uid="{00000000-0005-0000-0000-000006000000}"/>
    <cellStyle name="Moneda [0]" xfId="20" builtinId="7"/>
    <cellStyle name="Moneda [0] 2" xfId="8" xr:uid="{00000000-0005-0000-0000-000008000000}"/>
    <cellStyle name="Moneda 2" xfId="9" xr:uid="{00000000-0005-0000-0000-000009000000}"/>
    <cellStyle name="Moneda 3" xfId="10" xr:uid="{00000000-0005-0000-0000-00000A000000}"/>
    <cellStyle name="Normal" xfId="0" builtinId="0"/>
    <cellStyle name="Normal 2" xfId="11" xr:uid="{00000000-0005-0000-0000-00000C000000}"/>
    <cellStyle name="Normal 2 2" xfId="12" xr:uid="{00000000-0005-0000-0000-00000D000000}"/>
    <cellStyle name="Normal 2_PRESUPUESTO TUNJA - PAEZ_13-04-11" xfId="13" xr:uid="{00000000-0005-0000-0000-00000E000000}"/>
    <cellStyle name="Normal 3" xfId="14" xr:uid="{00000000-0005-0000-0000-00000F000000}"/>
    <cellStyle name="Normal_modelo ACTA OBRA y MODIFICACION" xfId="15" xr:uid="{00000000-0005-0000-0000-000010000000}"/>
    <cellStyle name="Porcentaje" xfId="16" builtinId="5"/>
    <cellStyle name="Porcentaje 2" xfId="17" xr:uid="{00000000-0005-0000-0000-000012000000}"/>
    <cellStyle name="Porcentaje 3" xfId="18" xr:uid="{00000000-0005-0000-0000-000013000000}"/>
    <cellStyle name="Porcentual 2" xfId="19" xr:uid="{00000000-0005-0000-0000-00001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9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11</xdr:row>
      <xdr:rowOff>0</xdr:rowOff>
    </xdr:from>
    <xdr:to>
      <xdr:col>0</xdr:col>
      <xdr:colOff>200025</xdr:colOff>
      <xdr:row>11</xdr:row>
      <xdr:rowOff>0</xdr:rowOff>
    </xdr:to>
    <xdr:pic>
      <xdr:nvPicPr>
        <xdr:cNvPr id="892485" name="Picture 18">
          <a:extLst>
            <a:ext uri="{FF2B5EF4-FFF2-40B4-BE49-F238E27FC236}">
              <a16:creationId xmlns:a16="http://schemas.microsoft.com/office/drawing/2014/main" id="{00000000-0008-0000-0000-0000459E0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860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11</xdr:row>
          <xdr:rowOff>0</xdr:rowOff>
        </xdr:from>
        <xdr:to>
          <xdr:col>2</xdr:col>
          <xdr:colOff>0</xdr:colOff>
          <xdr:row>11</xdr:row>
          <xdr:rowOff>0</xdr:rowOff>
        </xdr:to>
        <xdr:sp macro="" textlink="">
          <xdr:nvSpPr>
            <xdr:cNvPr id="66561" name="Imagen 2" hidden="1">
              <a:extLst>
                <a:ext uri="{63B3BB69-23CF-44E3-9099-C40C66FF867C}">
                  <a14:compatExt spid="_x0000_s66561"/>
                </a:ext>
                <a:ext uri="{FF2B5EF4-FFF2-40B4-BE49-F238E27FC236}">
                  <a16:creationId xmlns:a16="http://schemas.microsoft.com/office/drawing/2014/main" id="{00000000-0008-0000-00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200025</xdr:colOff>
      <xdr:row>10</xdr:row>
      <xdr:rowOff>0</xdr:rowOff>
    </xdr:to>
    <xdr:pic>
      <xdr:nvPicPr>
        <xdr:cNvPr id="917642" name="Picture 18">
          <a:extLst>
            <a:ext uri="{FF2B5EF4-FFF2-40B4-BE49-F238E27FC236}">
              <a16:creationId xmlns:a16="http://schemas.microsoft.com/office/drawing/2014/main" id="{00000000-0008-0000-0100-00008A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812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10</xdr:row>
          <xdr:rowOff>0</xdr:rowOff>
        </xdr:from>
        <xdr:to>
          <xdr:col>2</xdr:col>
          <xdr:colOff>0</xdr:colOff>
          <xdr:row>10</xdr:row>
          <xdr:rowOff>0</xdr:rowOff>
        </xdr:to>
        <xdr:sp macro="" textlink="">
          <xdr:nvSpPr>
            <xdr:cNvPr id="77825" name="Imagen 2" hidden="1">
              <a:extLst>
                <a:ext uri="{63B3BB69-23CF-44E3-9099-C40C66FF867C}">
                  <a14:compatExt spid="_x0000_s77825"/>
                </a:ext>
                <a:ext uri="{FF2B5EF4-FFF2-40B4-BE49-F238E27FC236}">
                  <a16:creationId xmlns:a16="http://schemas.microsoft.com/office/drawing/2014/main" id="{00000000-0008-0000-0100-000001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0</xdr:col>
      <xdr:colOff>0</xdr:colOff>
      <xdr:row>12</xdr:row>
      <xdr:rowOff>0</xdr:rowOff>
    </xdr:from>
    <xdr:to>
      <xdr:col>0</xdr:col>
      <xdr:colOff>200025</xdr:colOff>
      <xdr:row>12</xdr:row>
      <xdr:rowOff>0</xdr:rowOff>
    </xdr:to>
    <xdr:pic>
      <xdr:nvPicPr>
        <xdr:cNvPr id="917643" name="Picture 18">
          <a:extLst>
            <a:ext uri="{FF2B5EF4-FFF2-40B4-BE49-F238E27FC236}">
              <a16:creationId xmlns:a16="http://schemas.microsoft.com/office/drawing/2014/main" id="{00000000-0008-0000-0100-00008B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0505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12</xdr:row>
          <xdr:rowOff>0</xdr:rowOff>
        </xdr:from>
        <xdr:to>
          <xdr:col>2</xdr:col>
          <xdr:colOff>0</xdr:colOff>
          <xdr:row>12</xdr:row>
          <xdr:rowOff>0</xdr:rowOff>
        </xdr:to>
        <xdr:sp macro="" textlink="">
          <xdr:nvSpPr>
            <xdr:cNvPr id="77827" name="Imagen 2" hidden="1">
              <a:extLst>
                <a:ext uri="{63B3BB69-23CF-44E3-9099-C40C66FF867C}">
                  <a14:compatExt spid="_x0000_s77827"/>
                </a:ext>
                <a:ext uri="{FF2B5EF4-FFF2-40B4-BE49-F238E27FC236}">
                  <a16:creationId xmlns:a16="http://schemas.microsoft.com/office/drawing/2014/main" id="{00000000-0008-0000-0100-000003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Alejandro Sepulveda Buitrago" id="{310AC0E0-839C-4BE1-BA82-7D8337C7449D}"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10" dT="2024-04-26T22:42:08.84" personId="{310AC0E0-839C-4BE1-BA82-7D8337C7449D}" id="{9C6075BB-1FEE-47B8-9FE1-D46A056047EF}">
    <text>Establecer según el estudio económico de la zona.</text>
  </threadedComment>
  <threadedComment ref="C14" dT="2024-05-31T12:38:47.99" personId="{310AC0E0-839C-4BE1-BA82-7D8337C7449D}" id="{64948160-675F-42B5-A0F6-FEAF2F01E9EE}">
    <text>Se podrá establecer la Unidad, según la medida de área comercial, determinada en el estudio económico.</text>
  </threadedComment>
  <threadedComment ref="D14" dT="2024-04-12T01:57:41.36" personId="{310AC0E0-839C-4BE1-BA82-7D8337C7449D}" id="{50915D39-3279-47D6-B2CB-014E355FE01D}">
    <text>El costo unitario corresponderá al análisis económico hecho en territorio o lo referenciado por la Gerencia de Caminos Comunitarios de la Paz Total</text>
  </threadedComment>
  <threadedComment ref="E14" dT="2024-04-12T02:04:09.36" personId="{310AC0E0-839C-4BE1-BA82-7D8337C7449D}" id="{61178C52-D255-40FC-9365-C24B09C9189D}">
    <text>Verificar cantidades con las estimaciones de la Gerencia de Caminos Comunitarios de la Paz Total</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3.bin"/><Relationship Id="rId5" Type="http://schemas.openxmlformats.org/officeDocument/2006/relationships/image" Target="../media/image1.png"/><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A1:Z73"/>
  <sheetViews>
    <sheetView showGridLines="0" view="pageBreakPreview" zoomScaleNormal="81" workbookViewId="0">
      <selection activeCell="A11" sqref="A11:H11"/>
    </sheetView>
  </sheetViews>
  <sheetFormatPr baseColWidth="10" defaultColWidth="9.1640625" defaultRowHeight="13" x14ac:dyDescent="0.15"/>
  <cols>
    <col min="1" max="1" width="6.5" style="3" customWidth="1"/>
    <col min="2" max="2" width="35.6640625" style="3" customWidth="1"/>
    <col min="3" max="3" width="14.1640625" style="134" customWidth="1"/>
    <col min="4" max="4" width="13.33203125" style="134" customWidth="1"/>
    <col min="5" max="5" width="12" style="134" customWidth="1"/>
    <col min="6" max="6" width="12" style="3" customWidth="1"/>
    <col min="7" max="7" width="10.33203125" style="3" customWidth="1"/>
    <col min="8" max="8" width="19.1640625" style="3" customWidth="1"/>
    <col min="9" max="12" width="11.5" style="3" hidden="1" customWidth="1"/>
    <col min="13" max="13" width="14.33203125" style="3" bestFit="1" customWidth="1"/>
    <col min="14" max="14" width="16.33203125" style="3" customWidth="1"/>
    <col min="15" max="15" width="41.33203125" style="3" customWidth="1"/>
    <col min="16" max="16" width="16.33203125" style="3" bestFit="1" customWidth="1"/>
    <col min="17" max="18" width="9.1640625" style="3" customWidth="1"/>
    <col min="19" max="19" width="12.5" style="135" bestFit="1" customWidth="1"/>
    <col min="20" max="20" width="9.1640625" style="3" customWidth="1"/>
    <col min="21" max="21" width="13.83203125" style="3" bestFit="1" customWidth="1"/>
    <col min="22" max="22" width="13.83203125" style="3" customWidth="1"/>
    <col min="23" max="23" width="20.5" style="3" customWidth="1"/>
    <col min="24" max="24" width="14.5" style="3" bestFit="1" customWidth="1"/>
    <col min="25" max="16384" width="9.1640625" style="3"/>
  </cols>
  <sheetData>
    <row r="1" spans="1:26" ht="20" x14ac:dyDescent="0.15">
      <c r="A1" s="283" t="s">
        <v>0</v>
      </c>
      <c r="B1" s="283"/>
      <c r="C1" s="283"/>
      <c r="D1" s="283"/>
      <c r="E1" s="283"/>
      <c r="F1" s="283"/>
      <c r="G1" s="283"/>
      <c r="H1" s="283"/>
    </row>
    <row r="2" spans="1:26" ht="19" x14ac:dyDescent="0.15">
      <c r="A2" s="284" t="s">
        <v>1</v>
      </c>
      <c r="B2" s="284"/>
      <c r="C2" s="284"/>
      <c r="D2" s="284"/>
      <c r="E2" s="284"/>
      <c r="F2" s="284"/>
      <c r="G2" s="284"/>
      <c r="H2" s="284"/>
    </row>
    <row r="3" spans="1:26" x14ac:dyDescent="0.15">
      <c r="A3" s="285"/>
      <c r="B3" s="285"/>
      <c r="C3" s="285"/>
      <c r="D3" s="285"/>
      <c r="E3" s="285"/>
      <c r="F3" s="285"/>
      <c r="G3" s="285"/>
      <c r="H3" s="285"/>
    </row>
    <row r="4" spans="1:26" ht="18" x14ac:dyDescent="0.15">
      <c r="A4" s="286" t="s">
        <v>2</v>
      </c>
      <c r="B4" s="286"/>
      <c r="C4" s="286"/>
      <c r="D4" s="286"/>
      <c r="E4" s="286"/>
      <c r="F4" s="286"/>
      <c r="G4" s="286"/>
      <c r="H4" s="286"/>
    </row>
    <row r="5" spans="1:26" ht="17" x14ac:dyDescent="0.15">
      <c r="A5" s="287" t="s">
        <v>3</v>
      </c>
      <c r="B5" s="287"/>
      <c r="C5" s="287"/>
      <c r="D5" s="287"/>
      <c r="E5" s="287"/>
      <c r="F5" s="287"/>
      <c r="G5" s="287"/>
      <c r="H5" s="287"/>
    </row>
    <row r="6" spans="1:26" x14ac:dyDescent="0.15">
      <c r="A6" s="285"/>
      <c r="B6" s="285"/>
      <c r="C6" s="285"/>
      <c r="D6" s="285"/>
      <c r="E6" s="285"/>
      <c r="F6" s="285"/>
      <c r="G6" s="285"/>
      <c r="H6" s="285"/>
    </row>
    <row r="7" spans="1:26" ht="16" x14ac:dyDescent="0.15">
      <c r="A7" s="288" t="s">
        <v>4</v>
      </c>
      <c r="B7" s="288"/>
      <c r="C7" s="288"/>
      <c r="D7" s="288"/>
      <c r="E7" s="288"/>
      <c r="F7" s="288"/>
      <c r="G7" s="288"/>
      <c r="H7" s="288"/>
    </row>
    <row r="8" spans="1:26" x14ac:dyDescent="0.15">
      <c r="A8" s="285"/>
      <c r="B8" s="285"/>
      <c r="C8" s="285"/>
      <c r="D8" s="285"/>
      <c r="E8" s="285"/>
      <c r="F8" s="285"/>
      <c r="G8" s="285"/>
      <c r="H8" s="285"/>
      <c r="U8" s="203"/>
      <c r="V8" s="204"/>
      <c r="W8" s="205"/>
    </row>
    <row r="9" spans="1:26" ht="28" x14ac:dyDescent="0.15">
      <c r="A9" s="289" t="s">
        <v>5</v>
      </c>
      <c r="B9" s="289"/>
      <c r="C9" s="289"/>
      <c r="D9" s="289"/>
      <c r="E9" s="289"/>
      <c r="F9" s="289"/>
      <c r="G9" s="289"/>
      <c r="H9" s="289"/>
      <c r="O9" s="3" t="s">
        <v>6</v>
      </c>
      <c r="P9" s="77">
        <f>+H64</f>
        <v>1591836000</v>
      </c>
      <c r="U9" s="206">
        <v>9402000000</v>
      </c>
      <c r="V9" s="207"/>
      <c r="W9" s="208" t="s">
        <v>7</v>
      </c>
    </row>
    <row r="10" spans="1:26" x14ac:dyDescent="0.15">
      <c r="A10" s="290"/>
      <c r="B10" s="290"/>
      <c r="C10" s="290"/>
      <c r="D10" s="290"/>
      <c r="E10" s="290"/>
      <c r="F10" s="290"/>
      <c r="G10" s="290"/>
      <c r="H10" s="290"/>
      <c r="U10" s="209"/>
      <c r="V10" s="210"/>
      <c r="W10" s="211"/>
    </row>
    <row r="11" spans="1:26" x14ac:dyDescent="0.15">
      <c r="A11" s="285" t="s">
        <v>8</v>
      </c>
      <c r="B11" s="285"/>
      <c r="C11" s="285"/>
      <c r="D11" s="285"/>
      <c r="E11" s="285"/>
      <c r="F11" s="285"/>
      <c r="G11" s="285"/>
      <c r="H11" s="285"/>
    </row>
    <row r="12" spans="1:26" s="131" customFormat="1" ht="12" customHeight="1" x14ac:dyDescent="0.15">
      <c r="A12" s="136"/>
      <c r="B12" s="136"/>
      <c r="C12" s="136"/>
      <c r="D12" s="136"/>
      <c r="E12" s="136"/>
      <c r="F12" s="136"/>
      <c r="G12" s="136"/>
      <c r="H12" s="137" t="s">
        <v>9</v>
      </c>
      <c r="P12" s="165"/>
      <c r="Q12" s="212"/>
      <c r="R12" s="213" t="s">
        <v>10</v>
      </c>
      <c r="S12" s="205"/>
    </row>
    <row r="13" spans="1:26" s="131" customFormat="1" ht="14" x14ac:dyDescent="0.15">
      <c r="A13" s="13" t="s">
        <v>11</v>
      </c>
      <c r="B13" s="14" t="s">
        <v>12</v>
      </c>
      <c r="C13" s="15" t="s">
        <v>13</v>
      </c>
      <c r="D13" s="235" t="s">
        <v>14</v>
      </c>
      <c r="E13" s="235" t="s">
        <v>15</v>
      </c>
      <c r="F13" s="235" t="s">
        <v>16</v>
      </c>
      <c r="G13" s="15" t="s">
        <v>17</v>
      </c>
      <c r="H13" s="236" t="s">
        <v>18</v>
      </c>
      <c r="I13" s="166"/>
      <c r="J13" s="167"/>
      <c r="K13" s="167"/>
      <c r="L13" s="167"/>
      <c r="O13" s="168" t="s">
        <v>19</v>
      </c>
      <c r="P13" s="169" t="s">
        <v>20</v>
      </c>
      <c r="Q13" s="214" t="s">
        <v>10</v>
      </c>
      <c r="R13" s="214" t="s">
        <v>21</v>
      </c>
      <c r="S13" s="112" t="s">
        <v>20</v>
      </c>
    </row>
    <row r="14" spans="1:26" s="8" customFormat="1" ht="14" x14ac:dyDescent="0.15">
      <c r="A14" s="16">
        <v>1</v>
      </c>
      <c r="B14" s="17" t="s">
        <v>22</v>
      </c>
      <c r="C14" s="18">
        <v>6800000</v>
      </c>
      <c r="D14" s="18"/>
      <c r="E14" s="138">
        <v>1</v>
      </c>
      <c r="F14" s="20">
        <v>8</v>
      </c>
      <c r="G14" s="20">
        <f>E14*F14</f>
        <v>8</v>
      </c>
      <c r="H14" s="21">
        <f t="shared" ref="H14:H44" si="0">A14*(C14+D14)*G14</f>
        <v>54400000</v>
      </c>
      <c r="I14" s="170"/>
      <c r="J14" s="171">
        <v>43200000</v>
      </c>
      <c r="K14" s="171"/>
      <c r="L14" s="171"/>
      <c r="M14" s="130"/>
      <c r="N14" s="172">
        <f t="shared" ref="N14:N44" si="1">+H14*$H$46</f>
        <v>130560000</v>
      </c>
      <c r="O14" s="130"/>
      <c r="P14" s="130"/>
      <c r="Q14" s="130"/>
      <c r="R14" s="130"/>
      <c r="S14" s="119"/>
      <c r="W14" s="82" t="s">
        <v>10</v>
      </c>
      <c r="X14" s="111"/>
    </row>
    <row r="15" spans="1:26" s="7" customFormat="1" ht="24" x14ac:dyDescent="0.15">
      <c r="A15" s="22">
        <v>1</v>
      </c>
      <c r="B15" s="5" t="s">
        <v>23</v>
      </c>
      <c r="C15" s="23">
        <v>3800000</v>
      </c>
      <c r="D15" s="23"/>
      <c r="E15" s="24">
        <v>1</v>
      </c>
      <c r="F15" s="25">
        <v>6</v>
      </c>
      <c r="G15" s="25">
        <f t="shared" ref="G15:G44" si="2">E15*F15</f>
        <v>6</v>
      </c>
      <c r="H15" s="26">
        <f t="shared" si="0"/>
        <v>22800000</v>
      </c>
      <c r="I15" s="170"/>
      <c r="J15" s="171">
        <v>79200000</v>
      </c>
      <c r="K15" s="171"/>
      <c r="L15" s="171"/>
      <c r="M15" s="130"/>
      <c r="N15" s="172">
        <f t="shared" si="1"/>
        <v>54720000</v>
      </c>
      <c r="O15" s="130"/>
      <c r="P15" s="130"/>
      <c r="Q15" s="130"/>
      <c r="R15" s="130"/>
      <c r="S15" s="119"/>
      <c r="W15" s="86" t="s">
        <v>21</v>
      </c>
      <c r="X15" s="112" t="s">
        <v>20</v>
      </c>
      <c r="Z15" s="113" t="s">
        <v>24</v>
      </c>
    </row>
    <row r="16" spans="1:26" s="7" customFormat="1" ht="11" x14ac:dyDescent="0.15">
      <c r="A16" s="40"/>
      <c r="B16" s="41"/>
      <c r="C16" s="42"/>
      <c r="D16" s="42"/>
      <c r="E16" s="43"/>
      <c r="F16" s="44"/>
      <c r="G16" s="44"/>
      <c r="H16" s="46"/>
      <c r="I16" s="170"/>
      <c r="J16" s="171"/>
      <c r="K16" s="171"/>
      <c r="L16" s="171"/>
      <c r="M16" s="130"/>
      <c r="N16" s="173">
        <f t="shared" si="1"/>
        <v>0</v>
      </c>
      <c r="O16" s="130"/>
      <c r="P16" s="130"/>
      <c r="Q16" s="130"/>
      <c r="R16" s="130"/>
      <c r="S16" s="119"/>
      <c r="W16" s="78"/>
      <c r="X16" s="81"/>
      <c r="Z16" s="115"/>
    </row>
    <row r="17" spans="1:26" s="8" customFormat="1" ht="12" x14ac:dyDescent="0.15">
      <c r="A17" s="22">
        <v>1</v>
      </c>
      <c r="B17" s="27" t="s">
        <v>25</v>
      </c>
      <c r="C17" s="23">
        <v>6000000</v>
      </c>
      <c r="D17" s="23"/>
      <c r="E17" s="28">
        <v>0.6</v>
      </c>
      <c r="F17" s="25">
        <v>3</v>
      </c>
      <c r="G17" s="31">
        <f t="shared" si="2"/>
        <v>1.7999999999999998</v>
      </c>
      <c r="H17" s="26">
        <f t="shared" si="0"/>
        <v>10799999.999999998</v>
      </c>
      <c r="I17" s="170"/>
      <c r="J17" s="171">
        <v>28860000</v>
      </c>
      <c r="K17" s="171"/>
      <c r="L17" s="171"/>
      <c r="M17" s="130"/>
      <c r="N17" s="174">
        <f t="shared" si="1"/>
        <v>25919999.999999996</v>
      </c>
      <c r="O17" s="175" t="s">
        <v>26</v>
      </c>
      <c r="P17" s="176">
        <f>+N17</f>
        <v>25919999.999999996</v>
      </c>
      <c r="Q17" s="215">
        <f>+P17/$P$9</f>
        <v>1.6283084438346661E-2</v>
      </c>
      <c r="R17" s="89">
        <f>+ROUND(Q17,4)</f>
        <v>1.6299999999999999E-2</v>
      </c>
      <c r="S17" s="216">
        <f>+R17*$P$9</f>
        <v>25946926.799999997</v>
      </c>
      <c r="U17" s="217">
        <f>+P17/$U$9</f>
        <v>2.7568602425015951E-3</v>
      </c>
      <c r="V17" s="218">
        <f>+U17*$U$9</f>
        <v>25919999.999999996</v>
      </c>
      <c r="W17" s="98">
        <f>+ROUND(U17,3)</f>
        <v>3.0000000000000001E-3</v>
      </c>
      <c r="X17" s="116">
        <f>+W17*$U$9</f>
        <v>28206000</v>
      </c>
      <c r="Z17" s="231">
        <f>+W17*100</f>
        <v>0.3</v>
      </c>
    </row>
    <row r="18" spans="1:26" s="7" customFormat="1" ht="24" x14ac:dyDescent="0.15">
      <c r="A18" s="22">
        <v>1</v>
      </c>
      <c r="B18" s="27" t="s">
        <v>27</v>
      </c>
      <c r="C18" s="23">
        <v>6000000</v>
      </c>
      <c r="D18" s="23"/>
      <c r="E18" s="24">
        <v>0.5</v>
      </c>
      <c r="F18" s="25">
        <v>5</v>
      </c>
      <c r="G18" s="31">
        <f t="shared" si="2"/>
        <v>2.5</v>
      </c>
      <c r="H18" s="26">
        <f t="shared" si="0"/>
        <v>15000000</v>
      </c>
      <c r="I18" s="170"/>
      <c r="J18" s="171">
        <v>64800000</v>
      </c>
      <c r="K18" s="171"/>
      <c r="L18" s="171"/>
      <c r="M18" s="177"/>
      <c r="N18" s="174">
        <f t="shared" si="1"/>
        <v>36000000</v>
      </c>
      <c r="O18" s="175" t="s">
        <v>28</v>
      </c>
      <c r="P18" s="178">
        <f>+N18</f>
        <v>36000000</v>
      </c>
      <c r="Q18" s="219">
        <f t="shared" ref="Q18:Q26" si="3">+P18/$P$9</f>
        <v>2.2615395053259255E-2</v>
      </c>
      <c r="R18" s="96">
        <f t="shared" ref="R18:R26" si="4">+ROUND(Q18,4)</f>
        <v>2.2599999999999999E-2</v>
      </c>
      <c r="S18" s="220">
        <f t="shared" ref="S18:S26" si="5">+R18*$P$9</f>
        <v>35975493.599999994</v>
      </c>
      <c r="U18" s="217">
        <f t="shared" ref="U18:U27" si="6">+P18/$U$9</f>
        <v>3.8289725590299937E-3</v>
      </c>
      <c r="V18" s="218">
        <f t="shared" ref="V18:V27" si="7">+U18*$U$9</f>
        <v>36000000</v>
      </c>
      <c r="W18" s="98">
        <f t="shared" ref="W18:W27" si="8">+ROUND(U18,3)</f>
        <v>4.0000000000000001E-3</v>
      </c>
      <c r="X18" s="116">
        <f t="shared" ref="X18:X27" si="9">+W18*$U$9</f>
        <v>37608000</v>
      </c>
      <c r="Z18" s="231">
        <f t="shared" ref="Z18:Z27" si="10">+W18*100</f>
        <v>0.4</v>
      </c>
    </row>
    <row r="19" spans="1:26" s="8" customFormat="1" ht="12" x14ac:dyDescent="0.15">
      <c r="A19" s="22">
        <v>1</v>
      </c>
      <c r="B19" s="27" t="s">
        <v>29</v>
      </c>
      <c r="C19" s="23">
        <v>6000000</v>
      </c>
      <c r="D19" s="23"/>
      <c r="E19" s="24">
        <v>0.5</v>
      </c>
      <c r="F19" s="25">
        <v>5</v>
      </c>
      <c r="G19" s="31">
        <f t="shared" si="2"/>
        <v>2.5</v>
      </c>
      <c r="H19" s="26">
        <f t="shared" si="0"/>
        <v>15000000</v>
      </c>
      <c r="I19" s="170">
        <v>24561600</v>
      </c>
      <c r="J19" s="171">
        <v>64800000</v>
      </c>
      <c r="K19" s="171"/>
      <c r="L19" s="171"/>
      <c r="M19" s="130"/>
      <c r="N19" s="174">
        <f t="shared" si="1"/>
        <v>36000000</v>
      </c>
      <c r="O19" s="175" t="s">
        <v>30</v>
      </c>
      <c r="P19" s="178">
        <f>0.2*N19+0.5*N28+N21+0.2*N20+0.1*N29+0.1*N30</f>
        <v>59472000</v>
      </c>
      <c r="Q19" s="219">
        <f t="shared" si="3"/>
        <v>3.7360632627984287E-2</v>
      </c>
      <c r="R19" s="96">
        <f t="shared" si="4"/>
        <v>3.7400000000000003E-2</v>
      </c>
      <c r="S19" s="220">
        <f t="shared" si="5"/>
        <v>59534666.400000006</v>
      </c>
      <c r="U19" s="217">
        <f t="shared" si="6"/>
        <v>6.3254626675175495E-3</v>
      </c>
      <c r="V19" s="218">
        <f t="shared" si="7"/>
        <v>59472000</v>
      </c>
      <c r="W19" s="98">
        <v>6.3E-3</v>
      </c>
      <c r="X19" s="116">
        <f t="shared" si="9"/>
        <v>59232600</v>
      </c>
      <c r="Y19" s="117">
        <f>+ROUND(U19,3)</f>
        <v>6.0000000000000001E-3</v>
      </c>
      <c r="Z19" s="231">
        <f t="shared" si="10"/>
        <v>0.63</v>
      </c>
    </row>
    <row r="20" spans="1:26" s="8" customFormat="1" ht="12" x14ac:dyDescent="0.15">
      <c r="A20" s="22">
        <v>1</v>
      </c>
      <c r="B20" s="27" t="s">
        <v>31</v>
      </c>
      <c r="C20" s="23">
        <v>6000000</v>
      </c>
      <c r="D20" s="23"/>
      <c r="E20" s="24">
        <v>0.6</v>
      </c>
      <c r="F20" s="25">
        <v>5</v>
      </c>
      <c r="G20" s="31">
        <f t="shared" si="2"/>
        <v>3</v>
      </c>
      <c r="H20" s="26">
        <f t="shared" si="0"/>
        <v>18000000</v>
      </c>
      <c r="I20" s="170"/>
      <c r="J20" s="171">
        <v>64800000</v>
      </c>
      <c r="K20" s="171"/>
      <c r="L20" s="171"/>
      <c r="M20" s="130"/>
      <c r="N20" s="174">
        <f t="shared" si="1"/>
        <v>43200000</v>
      </c>
      <c r="O20" s="175" t="s">
        <v>32</v>
      </c>
      <c r="P20" s="178">
        <f>0.5*N19+0.2*N28</f>
        <v>22320000</v>
      </c>
      <c r="Q20" s="219">
        <f t="shared" si="3"/>
        <v>1.4021544933020739E-2</v>
      </c>
      <c r="R20" s="96">
        <f t="shared" si="4"/>
        <v>1.4E-2</v>
      </c>
      <c r="S20" s="220">
        <f t="shared" si="5"/>
        <v>22285704</v>
      </c>
      <c r="U20" s="217">
        <f t="shared" si="6"/>
        <v>2.3739629865985961E-3</v>
      </c>
      <c r="V20" s="218">
        <f t="shared" si="7"/>
        <v>22320000</v>
      </c>
      <c r="W20" s="98">
        <v>2.3999999999999998E-3</v>
      </c>
      <c r="X20" s="116">
        <f t="shared" si="9"/>
        <v>22564799.999999996</v>
      </c>
      <c r="Y20" s="117">
        <f>+ROUND(U20,3)</f>
        <v>2E-3</v>
      </c>
      <c r="Z20" s="231">
        <f t="shared" si="10"/>
        <v>0.24</v>
      </c>
    </row>
    <row r="21" spans="1:26" s="132" customFormat="1" ht="12" x14ac:dyDescent="0.15">
      <c r="A21" s="139">
        <v>1</v>
      </c>
      <c r="B21" s="140" t="s">
        <v>33</v>
      </c>
      <c r="C21" s="141">
        <v>6000000</v>
      </c>
      <c r="D21" s="141"/>
      <c r="E21" s="142">
        <v>0.5</v>
      </c>
      <c r="F21" s="143">
        <v>3</v>
      </c>
      <c r="G21" s="144">
        <f t="shared" si="2"/>
        <v>1.5</v>
      </c>
      <c r="H21" s="145">
        <f t="shared" si="0"/>
        <v>9000000</v>
      </c>
      <c r="I21" s="179"/>
      <c r="J21" s="180"/>
      <c r="K21" s="180"/>
      <c r="L21" s="180"/>
      <c r="N21" s="181">
        <f t="shared" si="1"/>
        <v>21600000</v>
      </c>
      <c r="O21" s="175" t="s">
        <v>34</v>
      </c>
      <c r="P21" s="178">
        <f>0.3*N19+0.8*N20</f>
        <v>45360000</v>
      </c>
      <c r="Q21" s="219">
        <f t="shared" si="3"/>
        <v>2.8495397767106662E-2</v>
      </c>
      <c r="R21" s="96">
        <f t="shared" si="4"/>
        <v>2.8500000000000001E-2</v>
      </c>
      <c r="S21" s="220">
        <f t="shared" si="5"/>
        <v>45367326</v>
      </c>
      <c r="U21" s="217">
        <f t="shared" si="6"/>
        <v>4.8245054243777922E-3</v>
      </c>
      <c r="V21" s="218">
        <f t="shared" si="7"/>
        <v>45360000</v>
      </c>
      <c r="W21" s="98">
        <f t="shared" si="8"/>
        <v>5.0000000000000001E-3</v>
      </c>
      <c r="X21" s="116">
        <f t="shared" si="9"/>
        <v>47010000</v>
      </c>
      <c r="Z21" s="231">
        <f t="shared" si="10"/>
        <v>0.5</v>
      </c>
    </row>
    <row r="22" spans="1:26" s="8" customFormat="1" ht="12" x14ac:dyDescent="0.15">
      <c r="A22" s="40"/>
      <c r="B22" s="41"/>
      <c r="C22" s="42"/>
      <c r="D22" s="42"/>
      <c r="E22" s="43"/>
      <c r="F22" s="44"/>
      <c r="G22" s="45"/>
      <c r="H22" s="46"/>
      <c r="I22" s="170"/>
      <c r="J22" s="171">
        <v>19200000</v>
      </c>
      <c r="K22" s="171"/>
      <c r="L22" s="171"/>
      <c r="M22" s="130"/>
      <c r="N22" s="174">
        <f t="shared" si="1"/>
        <v>0</v>
      </c>
      <c r="O22" s="175" t="s">
        <v>35</v>
      </c>
      <c r="P22" s="178">
        <f>0.1*N28+0.9*N23</f>
        <v>47520000</v>
      </c>
      <c r="Q22" s="219">
        <f t="shared" si="3"/>
        <v>2.9852321470302218E-2</v>
      </c>
      <c r="R22" s="96">
        <f t="shared" si="4"/>
        <v>2.9899999999999999E-2</v>
      </c>
      <c r="S22" s="220">
        <f t="shared" si="5"/>
        <v>47595896.399999999</v>
      </c>
      <c r="U22" s="217">
        <f t="shared" si="6"/>
        <v>5.0542437779195915E-3</v>
      </c>
      <c r="V22" s="218">
        <f t="shared" si="7"/>
        <v>47520000</v>
      </c>
      <c r="W22" s="98">
        <f t="shared" si="8"/>
        <v>5.0000000000000001E-3</v>
      </c>
      <c r="X22" s="116">
        <f t="shared" si="9"/>
        <v>47010000</v>
      </c>
      <c r="Z22" s="231">
        <f t="shared" si="10"/>
        <v>0.5</v>
      </c>
    </row>
    <row r="23" spans="1:26" s="8" customFormat="1" ht="12" x14ac:dyDescent="0.15">
      <c r="A23" s="22">
        <v>1</v>
      </c>
      <c r="B23" s="27" t="s">
        <v>36</v>
      </c>
      <c r="C23" s="23">
        <v>6000000</v>
      </c>
      <c r="D23" s="23"/>
      <c r="E23" s="24">
        <v>0.7</v>
      </c>
      <c r="F23" s="25">
        <v>5</v>
      </c>
      <c r="G23" s="31">
        <f t="shared" si="2"/>
        <v>3.5</v>
      </c>
      <c r="H23" s="26">
        <f t="shared" si="0"/>
        <v>21000000</v>
      </c>
      <c r="I23" s="170"/>
      <c r="J23" s="171">
        <v>45600000</v>
      </c>
      <c r="K23" s="171"/>
      <c r="L23" s="171"/>
      <c r="M23" s="130"/>
      <c r="N23" s="174">
        <f t="shared" si="1"/>
        <v>50400000</v>
      </c>
      <c r="O23" s="175" t="s">
        <v>37</v>
      </c>
      <c r="P23" s="178">
        <f>0.2*N28+0.1*N23+0.9*N29+0.9*N30+N32+N33+N34+0.5*N31+0.6*N37+N35+N36</f>
        <v>255312000</v>
      </c>
      <c r="Q23" s="219">
        <f t="shared" si="3"/>
        <v>0.16038838171771463</v>
      </c>
      <c r="R23" s="96">
        <f t="shared" si="4"/>
        <v>0.16039999999999999</v>
      </c>
      <c r="S23" s="220">
        <f t="shared" si="5"/>
        <v>255330494.39999998</v>
      </c>
      <c r="U23" s="217">
        <f t="shared" si="6"/>
        <v>2.7155073388640715E-2</v>
      </c>
      <c r="V23" s="218">
        <f t="shared" si="7"/>
        <v>255312000</v>
      </c>
      <c r="W23" s="98">
        <f t="shared" si="8"/>
        <v>2.7E-2</v>
      </c>
      <c r="X23" s="116">
        <f t="shared" si="9"/>
        <v>253854000</v>
      </c>
      <c r="Z23" s="231">
        <f t="shared" si="10"/>
        <v>2.7</v>
      </c>
    </row>
    <row r="24" spans="1:26" s="133" customFormat="1" ht="12" x14ac:dyDescent="0.15">
      <c r="A24" s="40"/>
      <c r="B24" s="41"/>
      <c r="C24" s="42"/>
      <c r="D24" s="42"/>
      <c r="E24" s="43"/>
      <c r="F24" s="44"/>
      <c r="G24" s="45"/>
      <c r="H24" s="46"/>
      <c r="I24" s="182">
        <v>69600000</v>
      </c>
      <c r="J24" s="183"/>
      <c r="K24" s="183"/>
      <c r="L24" s="184">
        <v>0.83319999999999994</v>
      </c>
      <c r="N24" s="174">
        <f t="shared" si="1"/>
        <v>0</v>
      </c>
      <c r="O24" s="175" t="s">
        <v>38</v>
      </c>
      <c r="P24" s="178">
        <f>+N39+N40+0.4*N37</f>
        <v>67488000</v>
      </c>
      <c r="Q24" s="219">
        <f t="shared" si="3"/>
        <v>4.2396327259843353E-2</v>
      </c>
      <c r="R24" s="96">
        <f t="shared" si="4"/>
        <v>4.24E-2</v>
      </c>
      <c r="S24" s="220">
        <f t="shared" si="5"/>
        <v>67493846.400000006</v>
      </c>
      <c r="U24" s="217">
        <f t="shared" si="6"/>
        <v>7.1780472239948946E-3</v>
      </c>
      <c r="V24" s="218">
        <f t="shared" si="7"/>
        <v>67488000</v>
      </c>
      <c r="W24" s="98">
        <f t="shared" si="8"/>
        <v>7.0000000000000001E-3</v>
      </c>
      <c r="X24" s="116">
        <f t="shared" si="9"/>
        <v>65814000</v>
      </c>
      <c r="Z24" s="231">
        <f t="shared" si="10"/>
        <v>0.70000000000000007</v>
      </c>
    </row>
    <row r="25" spans="1:26" s="7" customFormat="1" ht="12" x14ac:dyDescent="0.15">
      <c r="A25" s="40"/>
      <c r="B25" s="41"/>
      <c r="C25" s="42"/>
      <c r="D25" s="42"/>
      <c r="E25" s="43"/>
      <c r="F25" s="44"/>
      <c r="G25" s="45"/>
      <c r="H25" s="46"/>
      <c r="I25" s="170"/>
      <c r="J25" s="171">
        <v>16800000</v>
      </c>
      <c r="K25" s="171"/>
      <c r="L25" s="171"/>
      <c r="N25" s="174">
        <f t="shared" si="1"/>
        <v>0</v>
      </c>
      <c r="O25" s="175" t="s">
        <v>39</v>
      </c>
      <c r="P25" s="178">
        <f>+N26</f>
        <v>10944000.000000002</v>
      </c>
      <c r="Q25" s="219">
        <f t="shared" si="3"/>
        <v>6.8750800961908144E-3</v>
      </c>
      <c r="R25" s="96">
        <f t="shared" si="4"/>
        <v>6.8999999999999999E-3</v>
      </c>
      <c r="S25" s="220">
        <f t="shared" si="5"/>
        <v>10983668.4</v>
      </c>
      <c r="U25" s="217">
        <f t="shared" si="6"/>
        <v>1.1640076579451182E-3</v>
      </c>
      <c r="V25" s="218">
        <f t="shared" si="7"/>
        <v>10944000.000000002</v>
      </c>
      <c r="W25" s="98">
        <v>1.1999999999999999E-3</v>
      </c>
      <c r="X25" s="116">
        <f t="shared" si="9"/>
        <v>11282399.999999998</v>
      </c>
      <c r="Y25" s="117">
        <f>+ROUND(U25,3)</f>
        <v>1E-3</v>
      </c>
      <c r="Z25" s="231">
        <f t="shared" si="10"/>
        <v>0.12</v>
      </c>
    </row>
    <row r="26" spans="1:26" s="7" customFormat="1" ht="24" x14ac:dyDescent="0.15">
      <c r="A26" s="22">
        <v>1</v>
      </c>
      <c r="B26" s="27" t="s">
        <v>40</v>
      </c>
      <c r="C26" s="23">
        <v>3800000</v>
      </c>
      <c r="D26" s="23"/>
      <c r="E26" s="24">
        <v>0.4</v>
      </c>
      <c r="F26" s="25">
        <v>3</v>
      </c>
      <c r="G26" s="31">
        <f t="shared" si="2"/>
        <v>1.2000000000000002</v>
      </c>
      <c r="H26" s="26">
        <f t="shared" si="0"/>
        <v>4560000.0000000009</v>
      </c>
      <c r="I26" s="170"/>
      <c r="J26" s="171">
        <v>23200000</v>
      </c>
      <c r="K26" s="171"/>
      <c r="L26" s="171"/>
      <c r="N26" s="174">
        <f t="shared" si="1"/>
        <v>10944000.000000002</v>
      </c>
      <c r="O26" s="175" t="s">
        <v>41</v>
      </c>
      <c r="P26" s="178">
        <f>+N27+0.5*N31</f>
        <v>32400000</v>
      </c>
      <c r="Q26" s="219">
        <f t="shared" si="3"/>
        <v>2.0353855547933331E-2</v>
      </c>
      <c r="R26" s="96">
        <f t="shared" si="4"/>
        <v>2.0400000000000001E-2</v>
      </c>
      <c r="S26" s="220">
        <f t="shared" si="5"/>
        <v>32473454.400000002</v>
      </c>
      <c r="U26" s="217">
        <f t="shared" si="6"/>
        <v>3.4460753031269943E-3</v>
      </c>
      <c r="V26" s="218">
        <f t="shared" si="7"/>
        <v>32400000</v>
      </c>
      <c r="W26" s="98">
        <v>3.2000000000000002E-3</v>
      </c>
      <c r="X26" s="116">
        <f t="shared" si="9"/>
        <v>30086400</v>
      </c>
      <c r="Y26" s="117">
        <f>+ROUND(U26,3)</f>
        <v>3.0000000000000001E-3</v>
      </c>
      <c r="Z26" s="231">
        <f t="shared" si="10"/>
        <v>0.32</v>
      </c>
    </row>
    <row r="27" spans="1:26" s="7" customFormat="1" ht="21.75" customHeight="1" x14ac:dyDescent="0.15">
      <c r="A27" s="22">
        <v>1</v>
      </c>
      <c r="B27" s="27" t="s">
        <v>42</v>
      </c>
      <c r="C27" s="23">
        <v>6000000</v>
      </c>
      <c r="D27" s="23"/>
      <c r="E27" s="24">
        <v>0.5</v>
      </c>
      <c r="F27" s="25">
        <v>3</v>
      </c>
      <c r="G27" s="31">
        <f t="shared" si="2"/>
        <v>1.5</v>
      </c>
      <c r="H27" s="26">
        <f t="shared" si="0"/>
        <v>9000000</v>
      </c>
      <c r="I27" s="170"/>
      <c r="J27" s="171">
        <v>23200000</v>
      </c>
      <c r="K27" s="171"/>
      <c r="L27" s="171"/>
      <c r="N27" s="174">
        <f t="shared" si="1"/>
        <v>21600000</v>
      </c>
      <c r="O27" s="180" t="s">
        <v>43</v>
      </c>
      <c r="P27" s="185">
        <v>0</v>
      </c>
      <c r="Q27" s="221"/>
      <c r="R27" s="222"/>
      <c r="S27" s="223"/>
      <c r="U27" s="217">
        <f t="shared" si="6"/>
        <v>0</v>
      </c>
      <c r="V27" s="218">
        <f t="shared" si="7"/>
        <v>0</v>
      </c>
      <c r="W27" s="98">
        <f t="shared" si="8"/>
        <v>0</v>
      </c>
      <c r="X27" s="116">
        <f t="shared" si="9"/>
        <v>0</v>
      </c>
      <c r="Z27" s="232">
        <f t="shared" si="10"/>
        <v>0</v>
      </c>
    </row>
    <row r="28" spans="1:26" s="132" customFormat="1" ht="12" x14ac:dyDescent="0.15">
      <c r="A28" s="139">
        <v>1</v>
      </c>
      <c r="B28" s="140" t="s">
        <v>44</v>
      </c>
      <c r="C28" s="141">
        <v>6000000</v>
      </c>
      <c r="D28" s="141"/>
      <c r="E28" s="142">
        <v>0.5</v>
      </c>
      <c r="F28" s="143">
        <v>3</v>
      </c>
      <c r="G28" s="144">
        <f t="shared" si="2"/>
        <v>1.5</v>
      </c>
      <c r="H28" s="145">
        <f t="shared" si="0"/>
        <v>9000000</v>
      </c>
      <c r="I28" s="179"/>
      <c r="J28" s="180"/>
      <c r="K28" s="180"/>
      <c r="L28" s="180"/>
      <c r="N28" s="181">
        <f t="shared" si="1"/>
        <v>21600000</v>
      </c>
      <c r="P28" s="186">
        <f>SUM(P17:P27)</f>
        <v>602736000</v>
      </c>
      <c r="Q28" s="224"/>
      <c r="R28" s="224"/>
      <c r="S28" s="225">
        <f>SUM(S17:S27)</f>
        <v>602987476.79999995</v>
      </c>
      <c r="V28" s="196">
        <f>SUM(V17:V27)</f>
        <v>602736000</v>
      </c>
      <c r="W28" s="226"/>
      <c r="X28" s="227">
        <f>SUM(X17:X27)</f>
        <v>602668200</v>
      </c>
      <c r="Y28" s="92">
        <f>+V28-X28</f>
        <v>67800</v>
      </c>
    </row>
    <row r="29" spans="1:26" s="7" customFormat="1" ht="12" x14ac:dyDescent="0.15">
      <c r="A29" s="146">
        <v>1</v>
      </c>
      <c r="B29" s="147" t="s">
        <v>45</v>
      </c>
      <c r="C29" s="148">
        <v>6000000</v>
      </c>
      <c r="D29" s="148"/>
      <c r="E29" s="149">
        <v>0.8</v>
      </c>
      <c r="F29" s="150">
        <v>5</v>
      </c>
      <c r="G29" s="151">
        <f t="shared" si="2"/>
        <v>4</v>
      </c>
      <c r="H29" s="152">
        <f t="shared" si="0"/>
        <v>24000000</v>
      </c>
      <c r="I29" s="170"/>
      <c r="J29" s="171">
        <v>5460000</v>
      </c>
      <c r="K29" s="171"/>
      <c r="L29" s="171"/>
      <c r="N29" s="174">
        <f t="shared" si="1"/>
        <v>57600000</v>
      </c>
      <c r="P29" s="187"/>
      <c r="Q29" s="130"/>
      <c r="R29" s="130"/>
      <c r="S29" s="228"/>
    </row>
    <row r="30" spans="1:26" s="7" customFormat="1" ht="12" x14ac:dyDescent="0.15">
      <c r="A30" s="153">
        <v>2</v>
      </c>
      <c r="B30" s="147" t="s">
        <v>46</v>
      </c>
      <c r="C30" s="148">
        <v>3800000</v>
      </c>
      <c r="D30" s="148"/>
      <c r="E30" s="149">
        <v>0.6</v>
      </c>
      <c r="F30" s="150">
        <v>5</v>
      </c>
      <c r="G30" s="151">
        <f t="shared" si="2"/>
        <v>3</v>
      </c>
      <c r="H30" s="152">
        <f t="shared" si="0"/>
        <v>22800000</v>
      </c>
      <c r="I30" s="170"/>
      <c r="J30" s="171">
        <v>32760000</v>
      </c>
      <c r="K30" s="171"/>
      <c r="L30" s="171"/>
      <c r="N30" s="174">
        <f t="shared" si="1"/>
        <v>54720000</v>
      </c>
      <c r="O30" s="171" t="s">
        <v>47</v>
      </c>
      <c r="P30" s="187">
        <f>+N14+N15+N41+N42+N43+N44+N38</f>
        <v>314640000</v>
      </c>
      <c r="Q30" s="130"/>
      <c r="R30" s="130"/>
      <c r="S30" s="228"/>
    </row>
    <row r="31" spans="1:26" s="132" customFormat="1" ht="12" x14ac:dyDescent="0.15">
      <c r="A31" s="139">
        <v>1</v>
      </c>
      <c r="B31" s="140" t="s">
        <v>48</v>
      </c>
      <c r="C31" s="141">
        <v>6000000</v>
      </c>
      <c r="D31" s="141"/>
      <c r="E31" s="142">
        <v>0.5</v>
      </c>
      <c r="F31" s="143">
        <v>3</v>
      </c>
      <c r="G31" s="144">
        <f t="shared" si="2"/>
        <v>1.5</v>
      </c>
      <c r="H31" s="145">
        <f t="shared" si="0"/>
        <v>9000000</v>
      </c>
      <c r="I31" s="179"/>
      <c r="J31" s="180"/>
      <c r="K31" s="180"/>
      <c r="L31" s="180"/>
      <c r="N31" s="181">
        <f t="shared" si="1"/>
        <v>21600000</v>
      </c>
      <c r="O31" s="171" t="s">
        <v>49</v>
      </c>
      <c r="P31" s="187">
        <f>+P28</f>
        <v>602736000</v>
      </c>
      <c r="Q31" s="229">
        <f>+P31-O46</f>
        <v>0</v>
      </c>
      <c r="R31" s="230"/>
      <c r="S31" s="228"/>
    </row>
    <row r="32" spans="1:26" s="8" customFormat="1" ht="12" x14ac:dyDescent="0.15">
      <c r="A32" s="146">
        <v>1</v>
      </c>
      <c r="B32" s="147" t="s">
        <v>50</v>
      </c>
      <c r="C32" s="148">
        <v>3800000</v>
      </c>
      <c r="D32" s="148"/>
      <c r="E32" s="149">
        <v>0.5</v>
      </c>
      <c r="F32" s="150">
        <v>5</v>
      </c>
      <c r="G32" s="151">
        <f t="shared" si="2"/>
        <v>2.5</v>
      </c>
      <c r="H32" s="152">
        <f t="shared" si="0"/>
        <v>9500000</v>
      </c>
      <c r="I32" s="170"/>
      <c r="J32" s="171">
        <v>64800000</v>
      </c>
      <c r="K32" s="171"/>
      <c r="L32" s="171"/>
      <c r="M32" s="130"/>
      <c r="N32" s="174">
        <f t="shared" si="1"/>
        <v>22800000</v>
      </c>
      <c r="O32" s="171" t="s">
        <v>51</v>
      </c>
      <c r="P32" s="188">
        <f>+P30+P31</f>
        <v>917376000</v>
      </c>
      <c r="Q32" s="177"/>
      <c r="R32" s="130"/>
      <c r="S32" s="228"/>
    </row>
    <row r="33" spans="1:19" s="8" customFormat="1" ht="12" x14ac:dyDescent="0.15">
      <c r="A33" s="146">
        <v>1</v>
      </c>
      <c r="B33" s="147" t="s">
        <v>52</v>
      </c>
      <c r="C33" s="148">
        <v>3800000</v>
      </c>
      <c r="D33" s="148"/>
      <c r="E33" s="149">
        <v>0.5</v>
      </c>
      <c r="F33" s="150">
        <v>5</v>
      </c>
      <c r="G33" s="151">
        <f t="shared" si="2"/>
        <v>2.5</v>
      </c>
      <c r="H33" s="152">
        <f t="shared" si="0"/>
        <v>9500000</v>
      </c>
      <c r="I33" s="170"/>
      <c r="J33" s="171">
        <v>42120000</v>
      </c>
      <c r="K33" s="171"/>
      <c r="L33" s="171"/>
      <c r="M33" s="130"/>
      <c r="N33" s="174">
        <f t="shared" si="1"/>
        <v>22800000</v>
      </c>
      <c r="O33" s="189" t="s">
        <v>53</v>
      </c>
      <c r="P33" s="190">
        <f>+H63</f>
        <v>674460000</v>
      </c>
      <c r="Q33" s="130"/>
      <c r="R33" s="130"/>
      <c r="S33" s="228"/>
    </row>
    <row r="34" spans="1:19" s="7" customFormat="1" ht="12" x14ac:dyDescent="0.15">
      <c r="A34" s="146">
        <v>1</v>
      </c>
      <c r="B34" s="147" t="s">
        <v>54</v>
      </c>
      <c r="C34" s="148">
        <v>3800000</v>
      </c>
      <c r="D34" s="148"/>
      <c r="E34" s="149">
        <v>0.5</v>
      </c>
      <c r="F34" s="150">
        <v>5</v>
      </c>
      <c r="G34" s="151">
        <f t="shared" si="2"/>
        <v>2.5</v>
      </c>
      <c r="H34" s="152">
        <f t="shared" si="0"/>
        <v>9500000</v>
      </c>
      <c r="I34" s="170"/>
      <c r="J34" s="171">
        <v>33000000</v>
      </c>
      <c r="K34" s="171"/>
      <c r="L34" s="171"/>
      <c r="M34" s="130"/>
      <c r="N34" s="174">
        <f t="shared" si="1"/>
        <v>22800000</v>
      </c>
      <c r="O34" s="189" t="s">
        <v>55</v>
      </c>
      <c r="P34" s="187">
        <f>+P33+P32</f>
        <v>1591836000</v>
      </c>
      <c r="Q34" s="130"/>
      <c r="R34" s="130"/>
      <c r="S34" s="228"/>
    </row>
    <row r="35" spans="1:19" s="7" customFormat="1" ht="12" x14ac:dyDescent="0.15">
      <c r="A35" s="146">
        <v>1</v>
      </c>
      <c r="B35" s="147" t="s">
        <v>56</v>
      </c>
      <c r="C35" s="148">
        <v>3800000</v>
      </c>
      <c r="D35" s="148"/>
      <c r="E35" s="149">
        <v>0.6</v>
      </c>
      <c r="F35" s="150">
        <v>3</v>
      </c>
      <c r="G35" s="151">
        <f t="shared" si="2"/>
        <v>1.7999999999999998</v>
      </c>
      <c r="H35" s="152">
        <f t="shared" si="0"/>
        <v>6839999.9999999991</v>
      </c>
      <c r="I35" s="170"/>
      <c r="J35" s="171">
        <v>21840000</v>
      </c>
      <c r="K35" s="171"/>
      <c r="L35" s="171"/>
      <c r="M35" s="130"/>
      <c r="N35" s="174">
        <f t="shared" si="1"/>
        <v>16415999.999999996</v>
      </c>
      <c r="O35" s="130"/>
      <c r="P35" s="130"/>
      <c r="Q35" s="130"/>
      <c r="R35" s="130"/>
      <c r="S35" s="228"/>
    </row>
    <row r="36" spans="1:19" s="7" customFormat="1" ht="12" x14ac:dyDescent="0.15">
      <c r="A36" s="146">
        <v>1</v>
      </c>
      <c r="B36" s="154" t="s">
        <v>57</v>
      </c>
      <c r="C36" s="148">
        <v>3800000</v>
      </c>
      <c r="D36" s="148"/>
      <c r="E36" s="149">
        <v>0.6</v>
      </c>
      <c r="F36" s="150">
        <v>3</v>
      </c>
      <c r="G36" s="151">
        <f t="shared" si="2"/>
        <v>1.7999999999999998</v>
      </c>
      <c r="H36" s="152">
        <f t="shared" si="0"/>
        <v>6839999.9999999991</v>
      </c>
      <c r="I36" s="170"/>
      <c r="J36" s="171"/>
      <c r="K36" s="171"/>
      <c r="L36" s="171"/>
      <c r="M36" s="130"/>
      <c r="N36" s="174">
        <f t="shared" si="1"/>
        <v>16415999.999999996</v>
      </c>
      <c r="O36" s="130"/>
      <c r="P36" s="130"/>
      <c r="Q36" s="130"/>
      <c r="R36" s="130"/>
      <c r="S36" s="228"/>
    </row>
    <row r="37" spans="1:19" s="8" customFormat="1" ht="12" x14ac:dyDescent="0.15">
      <c r="A37" s="146">
        <v>2</v>
      </c>
      <c r="B37" s="155" t="s">
        <v>58</v>
      </c>
      <c r="C37" s="148">
        <v>3800000</v>
      </c>
      <c r="D37" s="148"/>
      <c r="E37" s="149">
        <v>0.5</v>
      </c>
      <c r="F37" s="150">
        <v>6</v>
      </c>
      <c r="G37" s="151">
        <f t="shared" si="2"/>
        <v>3</v>
      </c>
      <c r="H37" s="152">
        <f t="shared" si="0"/>
        <v>22800000</v>
      </c>
      <c r="I37" s="170"/>
      <c r="J37" s="171">
        <v>3000000</v>
      </c>
      <c r="K37" s="171"/>
      <c r="L37" s="171"/>
      <c r="M37" s="130"/>
      <c r="N37" s="173">
        <f t="shared" si="1"/>
        <v>54720000</v>
      </c>
      <c r="O37" s="130"/>
      <c r="P37" s="130"/>
      <c r="Q37" s="130"/>
      <c r="R37" s="130"/>
      <c r="S37" s="228"/>
    </row>
    <row r="38" spans="1:19" s="7" customFormat="1" ht="12" x14ac:dyDescent="0.15">
      <c r="A38" s="22">
        <v>1</v>
      </c>
      <c r="B38" s="5" t="s">
        <v>59</v>
      </c>
      <c r="C38" s="23">
        <v>3800000</v>
      </c>
      <c r="D38" s="23"/>
      <c r="E38" s="24">
        <v>0.5</v>
      </c>
      <c r="F38" s="25">
        <v>5</v>
      </c>
      <c r="G38" s="31">
        <f t="shared" si="2"/>
        <v>2.5</v>
      </c>
      <c r="H38" s="26">
        <f t="shared" si="0"/>
        <v>9500000</v>
      </c>
      <c r="I38" s="170"/>
      <c r="J38" s="171">
        <v>16820000</v>
      </c>
      <c r="K38" s="171"/>
      <c r="L38" s="171"/>
      <c r="M38" s="130"/>
      <c r="N38" s="172">
        <f t="shared" si="1"/>
        <v>22800000</v>
      </c>
      <c r="O38" s="130"/>
      <c r="P38" s="130"/>
      <c r="Q38" s="130"/>
      <c r="R38" s="130"/>
      <c r="S38" s="228"/>
    </row>
    <row r="39" spans="1:19" s="7" customFormat="1" ht="12" x14ac:dyDescent="0.15">
      <c r="A39" s="22">
        <v>1</v>
      </c>
      <c r="B39" s="5" t="s">
        <v>60</v>
      </c>
      <c r="C39" s="23">
        <v>3800000</v>
      </c>
      <c r="D39" s="23"/>
      <c r="E39" s="24">
        <v>0.5</v>
      </c>
      <c r="F39" s="25">
        <v>5</v>
      </c>
      <c r="G39" s="31">
        <f t="shared" si="2"/>
        <v>2.5</v>
      </c>
      <c r="H39" s="26">
        <f t="shared" si="0"/>
        <v>9500000</v>
      </c>
      <c r="I39" s="170"/>
      <c r="J39" s="171"/>
      <c r="K39" s="171"/>
      <c r="L39" s="171"/>
      <c r="M39" s="130"/>
      <c r="N39" s="173">
        <f t="shared" si="1"/>
        <v>22800000</v>
      </c>
      <c r="O39" s="130"/>
      <c r="P39" s="130"/>
      <c r="Q39" s="130"/>
      <c r="R39" s="130"/>
      <c r="S39" s="228"/>
    </row>
    <row r="40" spans="1:19" s="7" customFormat="1" ht="12" x14ac:dyDescent="0.15">
      <c r="A40" s="22">
        <v>1</v>
      </c>
      <c r="B40" s="5" t="s">
        <v>61</v>
      </c>
      <c r="C40" s="23">
        <v>3800000</v>
      </c>
      <c r="D40" s="23"/>
      <c r="E40" s="24">
        <v>0.5</v>
      </c>
      <c r="F40" s="25">
        <v>5</v>
      </c>
      <c r="G40" s="31">
        <f t="shared" si="2"/>
        <v>2.5</v>
      </c>
      <c r="H40" s="26">
        <f t="shared" si="0"/>
        <v>9500000</v>
      </c>
      <c r="I40" s="170"/>
      <c r="J40" s="171"/>
      <c r="K40" s="171"/>
      <c r="L40" s="171"/>
      <c r="M40" s="130"/>
      <c r="N40" s="173">
        <f t="shared" si="1"/>
        <v>22800000</v>
      </c>
      <c r="O40" s="130"/>
      <c r="P40" s="130"/>
      <c r="Q40" s="130"/>
      <c r="R40" s="130"/>
      <c r="S40" s="228"/>
    </row>
    <row r="41" spans="1:19" s="8" customFormat="1" x14ac:dyDescent="0.15">
      <c r="A41" s="22">
        <v>1</v>
      </c>
      <c r="B41" s="5" t="s">
        <v>62</v>
      </c>
      <c r="C41" s="23">
        <v>1800000</v>
      </c>
      <c r="D41" s="23"/>
      <c r="E41" s="24">
        <v>1</v>
      </c>
      <c r="F41" s="25">
        <v>5</v>
      </c>
      <c r="G41" s="31">
        <f t="shared" si="2"/>
        <v>5</v>
      </c>
      <c r="H41" s="26">
        <f t="shared" si="0"/>
        <v>9000000</v>
      </c>
      <c r="I41" s="76"/>
      <c r="J41" s="1"/>
      <c r="K41" s="1"/>
      <c r="L41" s="1"/>
      <c r="M41" s="130"/>
      <c r="N41" s="172">
        <f t="shared" si="1"/>
        <v>21600000</v>
      </c>
      <c r="O41" s="130"/>
      <c r="P41" s="130"/>
      <c r="Q41" s="130"/>
      <c r="R41" s="130"/>
      <c r="S41" s="228"/>
    </row>
    <row r="42" spans="1:19" s="8" customFormat="1" ht="12" x14ac:dyDescent="0.15">
      <c r="A42" s="22">
        <v>2</v>
      </c>
      <c r="B42" s="5" t="s">
        <v>63</v>
      </c>
      <c r="C42" s="23">
        <v>1800000</v>
      </c>
      <c r="D42" s="23"/>
      <c r="E42" s="24">
        <v>1</v>
      </c>
      <c r="F42" s="25">
        <v>6</v>
      </c>
      <c r="G42" s="31">
        <f t="shared" si="2"/>
        <v>6</v>
      </c>
      <c r="H42" s="26">
        <f t="shared" si="0"/>
        <v>21600000</v>
      </c>
      <c r="I42" s="170">
        <v>235200000</v>
      </c>
      <c r="J42" s="171"/>
      <c r="K42" s="171"/>
      <c r="L42" s="191">
        <v>13.0947</v>
      </c>
      <c r="M42" s="130"/>
      <c r="N42" s="172">
        <f t="shared" si="1"/>
        <v>51840000</v>
      </c>
      <c r="O42" s="130"/>
      <c r="P42" s="130"/>
      <c r="Q42" s="130"/>
      <c r="R42" s="130"/>
      <c r="S42" s="228"/>
    </row>
    <row r="43" spans="1:19" s="8" customFormat="1" ht="12" x14ac:dyDescent="0.15">
      <c r="A43" s="22">
        <v>1</v>
      </c>
      <c r="B43" s="5" t="s">
        <v>64</v>
      </c>
      <c r="C43" s="23">
        <v>1800000</v>
      </c>
      <c r="D43" s="23"/>
      <c r="E43" s="24">
        <v>1</v>
      </c>
      <c r="F43" s="25">
        <v>5</v>
      </c>
      <c r="G43" s="31">
        <f t="shared" si="2"/>
        <v>5</v>
      </c>
      <c r="H43" s="26">
        <f t="shared" si="0"/>
        <v>9000000</v>
      </c>
      <c r="I43" s="170"/>
      <c r="J43" s="171"/>
      <c r="K43" s="171"/>
      <c r="L43" s="191"/>
      <c r="M43" s="130"/>
      <c r="N43" s="172">
        <f t="shared" si="1"/>
        <v>21600000</v>
      </c>
      <c r="O43" s="130"/>
      <c r="P43" s="130"/>
      <c r="Q43" s="130"/>
      <c r="R43" s="130"/>
      <c r="S43" s="228"/>
    </row>
    <row r="44" spans="1:19" s="8" customFormat="1" x14ac:dyDescent="0.15">
      <c r="A44" s="47">
        <v>1</v>
      </c>
      <c r="B44" s="156" t="s">
        <v>65</v>
      </c>
      <c r="C44" s="49">
        <v>800000</v>
      </c>
      <c r="D44" s="49"/>
      <c r="E44" s="50">
        <v>1</v>
      </c>
      <c r="F44" s="51">
        <v>6</v>
      </c>
      <c r="G44" s="52">
        <f t="shared" si="2"/>
        <v>6</v>
      </c>
      <c r="H44" s="53">
        <f t="shared" si="0"/>
        <v>4800000</v>
      </c>
      <c r="I44" s="192"/>
      <c r="J44" s="193"/>
      <c r="K44" s="193"/>
      <c r="L44" s="193"/>
      <c r="M44" s="130"/>
      <c r="N44" s="172">
        <f t="shared" si="1"/>
        <v>11520000</v>
      </c>
      <c r="O44" s="194" t="s">
        <v>66</v>
      </c>
      <c r="P44" s="130"/>
      <c r="Q44" s="130"/>
      <c r="R44" s="130"/>
      <c r="S44" s="228"/>
    </row>
    <row r="45" spans="1:19" ht="14" x14ac:dyDescent="0.15">
      <c r="A45" s="280" t="s">
        <v>67</v>
      </c>
      <c r="B45" s="281"/>
      <c r="C45" s="281"/>
      <c r="D45" s="281"/>
      <c r="E45" s="281"/>
      <c r="F45" s="281"/>
      <c r="G45" s="282"/>
      <c r="H45" s="54">
        <f>SUM(H14:H44)</f>
        <v>382240000</v>
      </c>
      <c r="I45" s="192"/>
      <c r="J45" s="193"/>
      <c r="K45" s="193"/>
      <c r="L45" s="193"/>
      <c r="O45" s="109">
        <f>+N14+N15+N38+N41+N42+N43+N44</f>
        <v>314640000</v>
      </c>
      <c r="P45" s="4" t="s">
        <v>68</v>
      </c>
      <c r="Q45" s="4"/>
      <c r="R45" s="4"/>
    </row>
    <row r="46" spans="1:19" s="4" customFormat="1" ht="14" x14ac:dyDescent="0.15">
      <c r="A46" s="292" t="s">
        <v>69</v>
      </c>
      <c r="B46" s="293"/>
      <c r="C46" s="293"/>
      <c r="D46" s="293"/>
      <c r="E46" s="293"/>
      <c r="F46" s="293"/>
      <c r="G46" s="294"/>
      <c r="H46" s="55">
        <v>2.4</v>
      </c>
      <c r="I46" s="192"/>
      <c r="J46" s="193"/>
      <c r="K46" s="193"/>
      <c r="L46" s="193"/>
      <c r="O46" s="195">
        <f>+N17+N18+N19+N20+N21+N23+N26+N27+N28+N29+N30+N31+N32+N33+N34+N35+N36+N37+N39+N40</f>
        <v>602736000</v>
      </c>
      <c r="P46" s="195" t="s">
        <v>70</v>
      </c>
      <c r="S46" s="135"/>
    </row>
    <row r="47" spans="1:19" ht="14" x14ac:dyDescent="0.15">
      <c r="A47" s="295" t="s">
        <v>71</v>
      </c>
      <c r="B47" s="296"/>
      <c r="C47" s="296"/>
      <c r="D47" s="296"/>
      <c r="E47" s="296"/>
      <c r="F47" s="296"/>
      <c r="G47" s="297"/>
      <c r="H47" s="53">
        <f>+(H45*H46)</f>
        <v>917376000</v>
      </c>
      <c r="I47" s="170"/>
      <c r="J47" s="171"/>
      <c r="K47" s="171"/>
      <c r="L47" s="171"/>
      <c r="N47" s="109">
        <f>SUM(N14:N44)</f>
        <v>917376000</v>
      </c>
      <c r="O47" s="196">
        <f>+O45+O46</f>
        <v>917376000</v>
      </c>
      <c r="P47" s="4" t="s">
        <v>72</v>
      </c>
      <c r="Q47" s="4"/>
      <c r="R47" s="4"/>
    </row>
    <row r="48" spans="1:19" s="2" customFormat="1" x14ac:dyDescent="0.15">
      <c r="A48" s="157" t="s">
        <v>11</v>
      </c>
      <c r="B48" s="158" t="s">
        <v>73</v>
      </c>
      <c r="C48" s="58" t="s">
        <v>74</v>
      </c>
      <c r="D48" s="59" t="s">
        <v>75</v>
      </c>
      <c r="E48" s="59"/>
      <c r="F48" s="59"/>
      <c r="G48" s="60" t="s">
        <v>17</v>
      </c>
      <c r="H48" s="61" t="s">
        <v>18</v>
      </c>
      <c r="I48" s="170"/>
      <c r="J48" s="171"/>
      <c r="K48" s="171"/>
      <c r="L48" s="171"/>
      <c r="P48" s="197"/>
      <c r="Q48" s="197"/>
      <c r="R48" s="197"/>
      <c r="S48" s="208"/>
    </row>
    <row r="49" spans="1:19" s="7" customFormat="1" ht="24" x14ac:dyDescent="0.15">
      <c r="A49" s="62">
        <v>1</v>
      </c>
      <c r="B49" s="5" t="s">
        <v>76</v>
      </c>
      <c r="C49" s="23">
        <v>180000</v>
      </c>
      <c r="D49" s="63" t="s">
        <v>77</v>
      </c>
      <c r="E49" s="64"/>
      <c r="F49" s="64"/>
      <c r="G49" s="65">
        <f>2*3*6</f>
        <v>36</v>
      </c>
      <c r="H49" s="26">
        <f t="shared" ref="H49:H61" si="11">A49*C49*G49</f>
        <v>6480000</v>
      </c>
      <c r="I49" s="170"/>
      <c r="J49" s="171"/>
      <c r="K49" s="171"/>
      <c r="L49" s="171"/>
      <c r="M49" s="7" t="s">
        <v>78</v>
      </c>
      <c r="N49" s="73">
        <f t="shared" ref="N49:N54" si="12">+G49*A49</f>
        <v>36</v>
      </c>
      <c r="P49" s="130"/>
      <c r="Q49" s="130"/>
      <c r="R49" s="130"/>
      <c r="S49" s="119"/>
    </row>
    <row r="50" spans="1:19" s="7" customFormat="1" ht="24" x14ac:dyDescent="0.15">
      <c r="A50" s="62">
        <v>7</v>
      </c>
      <c r="B50" s="5" t="s">
        <v>79</v>
      </c>
      <c r="C50" s="23">
        <v>180000</v>
      </c>
      <c r="D50" s="63" t="s">
        <v>77</v>
      </c>
      <c r="E50" s="64"/>
      <c r="F50" s="64"/>
      <c r="G50" s="65">
        <f>A50*3*3</f>
        <v>63</v>
      </c>
      <c r="H50" s="26">
        <f t="shared" si="11"/>
        <v>79380000</v>
      </c>
      <c r="I50" s="198"/>
      <c r="J50" s="199"/>
      <c r="K50" s="199"/>
      <c r="L50" s="199"/>
      <c r="M50" s="7" t="s">
        <v>80</v>
      </c>
      <c r="N50" s="73">
        <f t="shared" si="12"/>
        <v>441</v>
      </c>
      <c r="P50" s="130"/>
      <c r="Q50" s="130"/>
      <c r="R50" s="130"/>
      <c r="S50" s="119"/>
    </row>
    <row r="51" spans="1:19" s="7" customFormat="1" ht="24" x14ac:dyDescent="0.15">
      <c r="A51" s="62">
        <v>15</v>
      </c>
      <c r="B51" s="5" t="s">
        <v>81</v>
      </c>
      <c r="C51" s="23">
        <v>180000</v>
      </c>
      <c r="D51" s="63" t="s">
        <v>77</v>
      </c>
      <c r="E51" s="64"/>
      <c r="F51" s="64"/>
      <c r="G51" s="65">
        <f>(A51*3*2)</f>
        <v>90</v>
      </c>
      <c r="H51" s="26">
        <f t="shared" si="11"/>
        <v>243000000</v>
      </c>
      <c r="I51" s="198"/>
      <c r="J51" s="199"/>
      <c r="K51" s="199"/>
      <c r="L51" s="199"/>
      <c r="M51" s="7" t="s">
        <v>82</v>
      </c>
      <c r="N51" s="73">
        <f t="shared" si="12"/>
        <v>1350</v>
      </c>
      <c r="P51" s="130"/>
      <c r="Q51" s="130"/>
      <c r="R51" s="130"/>
      <c r="S51" s="119"/>
    </row>
    <row r="52" spans="1:19" s="7" customFormat="1" ht="24" x14ac:dyDescent="0.15">
      <c r="A52" s="62">
        <v>1</v>
      </c>
      <c r="B52" s="5" t="s">
        <v>83</v>
      </c>
      <c r="C52" s="23">
        <v>1000000</v>
      </c>
      <c r="D52" s="63" t="s">
        <v>84</v>
      </c>
      <c r="E52" s="64"/>
      <c r="F52" s="64"/>
      <c r="G52" s="65">
        <f>3*6</f>
        <v>18</v>
      </c>
      <c r="H52" s="26">
        <f t="shared" si="11"/>
        <v>18000000</v>
      </c>
      <c r="I52" s="198"/>
      <c r="J52" s="199"/>
      <c r="K52" s="199"/>
      <c r="L52" s="199"/>
      <c r="M52" s="200"/>
      <c r="N52" s="73">
        <f t="shared" si="12"/>
        <v>18</v>
      </c>
      <c r="P52" s="130"/>
      <c r="Q52" s="130"/>
      <c r="R52" s="130"/>
      <c r="S52" s="119"/>
    </row>
    <row r="53" spans="1:19" s="7" customFormat="1" ht="24" x14ac:dyDescent="0.15">
      <c r="A53" s="62">
        <v>7</v>
      </c>
      <c r="B53" s="5" t="s">
        <v>85</v>
      </c>
      <c r="C53" s="23">
        <v>1000000</v>
      </c>
      <c r="D53" s="63" t="s">
        <v>84</v>
      </c>
      <c r="E53" s="64"/>
      <c r="F53" s="64"/>
      <c r="G53" s="65">
        <v>3</v>
      </c>
      <c r="H53" s="26">
        <f t="shared" si="11"/>
        <v>21000000</v>
      </c>
      <c r="I53" s="198"/>
      <c r="J53" s="199"/>
      <c r="K53" s="199"/>
      <c r="L53" s="199"/>
      <c r="N53" s="73">
        <f t="shared" si="12"/>
        <v>21</v>
      </c>
      <c r="P53" s="130"/>
      <c r="Q53" s="130"/>
      <c r="R53" s="130"/>
      <c r="S53" s="119"/>
    </row>
    <row r="54" spans="1:19" s="7" customFormat="1" ht="24" x14ac:dyDescent="0.15">
      <c r="A54" s="62">
        <v>15</v>
      </c>
      <c r="B54" s="5" t="s">
        <v>86</v>
      </c>
      <c r="C54" s="23">
        <v>1000000</v>
      </c>
      <c r="D54" s="63" t="s">
        <v>84</v>
      </c>
      <c r="E54" s="64"/>
      <c r="F54" s="64"/>
      <c r="G54" s="65">
        <v>2</v>
      </c>
      <c r="H54" s="26">
        <f t="shared" si="11"/>
        <v>30000000</v>
      </c>
      <c r="I54" s="198"/>
      <c r="J54" s="199"/>
      <c r="K54" s="199"/>
      <c r="L54" s="199"/>
      <c r="N54" s="73">
        <f t="shared" si="12"/>
        <v>30</v>
      </c>
      <c r="P54" s="130"/>
      <c r="Q54" s="130"/>
      <c r="R54" s="130"/>
      <c r="S54" s="119"/>
    </row>
    <row r="55" spans="1:19" s="7" customFormat="1" ht="24" x14ac:dyDescent="0.15">
      <c r="A55" s="62">
        <v>1</v>
      </c>
      <c r="B55" s="5" t="s">
        <v>87</v>
      </c>
      <c r="C55" s="23">
        <v>50000000</v>
      </c>
      <c r="D55" s="63" t="s">
        <v>88</v>
      </c>
      <c r="E55" s="64"/>
      <c r="F55" s="64"/>
      <c r="G55" s="65">
        <v>1</v>
      </c>
      <c r="H55" s="26">
        <f t="shared" si="11"/>
        <v>50000000</v>
      </c>
      <c r="I55" s="198"/>
      <c r="J55" s="199"/>
      <c r="K55" s="199"/>
      <c r="L55" s="199"/>
      <c r="P55" s="130"/>
      <c r="Q55" s="130"/>
      <c r="R55" s="130"/>
      <c r="S55" s="119"/>
    </row>
    <row r="56" spans="1:19" s="7" customFormat="1" ht="11" x14ac:dyDescent="0.15">
      <c r="A56" s="159"/>
      <c r="B56" s="160"/>
      <c r="C56" s="42"/>
      <c r="D56" s="161"/>
      <c r="E56" s="162"/>
      <c r="F56" s="162"/>
      <c r="G56" s="163"/>
      <c r="H56" s="46"/>
      <c r="I56" s="198"/>
      <c r="J56" s="199"/>
      <c r="K56" s="199"/>
      <c r="L56" s="199"/>
      <c r="P56" s="130"/>
      <c r="Q56" s="130"/>
      <c r="R56" s="130"/>
      <c r="S56" s="119"/>
    </row>
    <row r="57" spans="1:19" s="7" customFormat="1" ht="24" x14ac:dyDescent="0.15">
      <c r="A57" s="62">
        <v>1</v>
      </c>
      <c r="B57" s="5" t="s">
        <v>89</v>
      </c>
      <c r="C57" s="23">
        <v>100000000</v>
      </c>
      <c r="D57" s="63" t="s">
        <v>90</v>
      </c>
      <c r="E57" s="64"/>
      <c r="F57" s="64"/>
      <c r="G57" s="65">
        <v>1</v>
      </c>
      <c r="H57" s="26">
        <f t="shared" si="11"/>
        <v>100000000</v>
      </c>
      <c r="P57" s="130"/>
      <c r="Q57" s="130"/>
      <c r="R57" s="130"/>
      <c r="S57" s="119"/>
    </row>
    <row r="58" spans="1:19" s="7" customFormat="1" x14ac:dyDescent="0.15">
      <c r="A58" s="159"/>
      <c r="B58" s="160"/>
      <c r="C58" s="42"/>
      <c r="D58" s="161"/>
      <c r="E58" s="162"/>
      <c r="F58" s="162"/>
      <c r="G58" s="163"/>
      <c r="H58" s="46"/>
      <c r="I58" s="3"/>
      <c r="J58" s="3"/>
      <c r="K58" s="3"/>
      <c r="L58" s="3"/>
      <c r="P58" s="130"/>
      <c r="Q58" s="130"/>
      <c r="R58" s="130"/>
      <c r="S58" s="119"/>
    </row>
    <row r="59" spans="1:19" s="7" customFormat="1" ht="24" x14ac:dyDescent="0.15">
      <c r="A59" s="62">
        <v>1</v>
      </c>
      <c r="B59" s="5" t="s">
        <v>91</v>
      </c>
      <c r="C59" s="23">
        <v>200000</v>
      </c>
      <c r="D59" s="63" t="s">
        <v>92</v>
      </c>
      <c r="E59" s="64"/>
      <c r="F59" s="64"/>
      <c r="G59" s="65">
        <v>8</v>
      </c>
      <c r="H59" s="26">
        <f t="shared" si="11"/>
        <v>1600000</v>
      </c>
      <c r="I59" s="3"/>
      <c r="J59" s="3"/>
      <c r="K59" s="3"/>
      <c r="L59" s="3"/>
      <c r="P59" s="130"/>
      <c r="Q59" s="130"/>
      <c r="R59" s="130"/>
      <c r="S59" s="119"/>
    </row>
    <row r="60" spans="1:19" s="7" customFormat="1" ht="48" x14ac:dyDescent="0.15">
      <c r="A60" s="62">
        <v>1</v>
      </c>
      <c r="B60" s="5" t="s">
        <v>93</v>
      </c>
      <c r="C60" s="23">
        <v>25000000</v>
      </c>
      <c r="D60" s="63" t="s">
        <v>88</v>
      </c>
      <c r="E60" s="64"/>
      <c r="F60" s="64"/>
      <c r="G60" s="65">
        <v>1</v>
      </c>
      <c r="H60" s="26">
        <f t="shared" si="11"/>
        <v>25000000</v>
      </c>
      <c r="I60" s="3"/>
      <c r="J60" s="3"/>
      <c r="K60" s="3"/>
      <c r="L60" s="3"/>
      <c r="M60" s="174">
        <f>+H60/56</f>
        <v>446428.57142857142</v>
      </c>
      <c r="P60" s="130"/>
      <c r="Q60" s="130"/>
      <c r="R60" s="130"/>
      <c r="S60" s="119"/>
    </row>
    <row r="61" spans="1:19" s="7" customFormat="1" x14ac:dyDescent="0.15">
      <c r="A61" s="62">
        <v>1</v>
      </c>
      <c r="B61" s="5" t="s">
        <v>94</v>
      </c>
      <c r="C61" s="164">
        <v>100000000</v>
      </c>
      <c r="D61" s="63" t="s">
        <v>88</v>
      </c>
      <c r="E61" s="64"/>
      <c r="F61" s="64"/>
      <c r="G61" s="65">
        <v>1</v>
      </c>
      <c r="H61" s="26">
        <f t="shared" si="11"/>
        <v>100000000</v>
      </c>
      <c r="I61" s="3"/>
      <c r="J61" s="3"/>
      <c r="K61" s="3"/>
      <c r="L61" s="3"/>
      <c r="P61" s="130"/>
      <c r="Q61" s="130"/>
      <c r="R61" s="130"/>
      <c r="S61" s="119"/>
    </row>
    <row r="62" spans="1:19" s="7" customFormat="1" ht="7.5" customHeight="1" x14ac:dyDescent="0.15">
      <c r="A62" s="62"/>
      <c r="B62" s="48"/>
      <c r="C62" s="23"/>
      <c r="D62" s="63"/>
      <c r="E62" s="64"/>
      <c r="F62" s="64"/>
      <c r="G62" s="65"/>
      <c r="H62" s="26"/>
      <c r="I62" s="201"/>
      <c r="J62" s="202"/>
      <c r="P62" s="130"/>
      <c r="Q62" s="130"/>
      <c r="R62" s="130"/>
      <c r="S62" s="119"/>
    </row>
    <row r="63" spans="1:19" x14ac:dyDescent="0.15">
      <c r="A63" s="124"/>
      <c r="B63" s="125"/>
      <c r="C63" s="126"/>
      <c r="D63" s="126"/>
      <c r="E63" s="126"/>
      <c r="F63" s="126"/>
      <c r="G63" s="126"/>
      <c r="H63" s="127">
        <f>SUM(H49:H62)</f>
        <v>674460000</v>
      </c>
      <c r="I63" s="201"/>
      <c r="J63" s="131"/>
      <c r="M63" s="298"/>
      <c r="N63" s="298"/>
      <c r="O63" s="298"/>
      <c r="P63" s="4"/>
      <c r="Q63" s="4"/>
      <c r="R63" s="4"/>
    </row>
    <row r="64" spans="1:19" ht="9.75" customHeight="1" x14ac:dyDescent="0.15">
      <c r="A64" s="299" t="s">
        <v>95</v>
      </c>
      <c r="B64" s="299"/>
      <c r="C64" s="299"/>
      <c r="D64" s="299"/>
      <c r="E64" s="299"/>
      <c r="F64" s="299"/>
      <c r="G64" s="299"/>
      <c r="H64" s="128">
        <f>H47+H63</f>
        <v>1591836000</v>
      </c>
      <c r="J64" s="131"/>
      <c r="P64" s="4"/>
      <c r="Q64" s="4"/>
      <c r="R64" s="4"/>
    </row>
    <row r="65" spans="1:18" ht="11.25" customHeight="1" x14ac:dyDescent="0.15">
      <c r="A65" s="299" t="s">
        <v>96</v>
      </c>
      <c r="B65" s="299"/>
      <c r="C65" s="299"/>
      <c r="D65" s="299"/>
      <c r="E65" s="299"/>
      <c r="F65" s="299"/>
      <c r="G65" s="299"/>
      <c r="H65" s="128">
        <f>ROUND(H64*16%,0)</f>
        <v>254693760</v>
      </c>
      <c r="P65" s="4"/>
      <c r="Q65" s="4"/>
      <c r="R65" s="4"/>
    </row>
    <row r="66" spans="1:18" ht="14" x14ac:dyDescent="0.15">
      <c r="A66" s="300" t="s">
        <v>97</v>
      </c>
      <c r="B66" s="300"/>
      <c r="C66" s="300"/>
      <c r="D66" s="300"/>
      <c r="E66" s="300"/>
      <c r="F66" s="300"/>
      <c r="G66" s="300"/>
      <c r="H66" s="129">
        <f>H64+H65</f>
        <v>1846529760</v>
      </c>
      <c r="M66" s="110"/>
      <c r="N66" s="233"/>
    </row>
    <row r="67" spans="1:18" ht="12.75" customHeight="1" x14ac:dyDescent="0.15">
      <c r="A67" s="291"/>
      <c r="B67" s="291"/>
      <c r="C67" s="291"/>
      <c r="D67" s="291"/>
      <c r="E67" s="291"/>
      <c r="F67" s="291"/>
      <c r="G67" s="291"/>
      <c r="H67" s="291"/>
      <c r="I67" s="7"/>
      <c r="J67" s="7"/>
      <c r="K67" s="7"/>
      <c r="L67" s="7"/>
      <c r="N67" s="110"/>
      <c r="O67" s="234"/>
    </row>
    <row r="68" spans="1:18" x14ac:dyDescent="0.15">
      <c r="C68" s="4"/>
      <c r="D68" s="4"/>
      <c r="E68" s="4"/>
    </row>
    <row r="69" spans="1:18" ht="14" x14ac:dyDescent="0.15">
      <c r="C69" s="4"/>
      <c r="D69" s="4"/>
      <c r="E69" s="4"/>
      <c r="G69" s="3" t="s">
        <v>98</v>
      </c>
      <c r="H69" s="233">
        <f>+H66/57</f>
        <v>32395258.947368421</v>
      </c>
    </row>
    <row r="70" spans="1:18" x14ac:dyDescent="0.15">
      <c r="C70" s="4"/>
      <c r="D70" s="4"/>
      <c r="E70" s="4"/>
    </row>
    <row r="71" spans="1:18" x14ac:dyDescent="0.15">
      <c r="C71" s="4"/>
      <c r="D71" s="4"/>
      <c r="E71" s="4"/>
    </row>
    <row r="72" spans="1:18" x14ac:dyDescent="0.15">
      <c r="C72" s="4"/>
      <c r="D72" s="4"/>
      <c r="E72" s="4"/>
    </row>
    <row r="73" spans="1:18" x14ac:dyDescent="0.15">
      <c r="C73" s="4"/>
      <c r="D73" s="4"/>
      <c r="E73" s="4"/>
    </row>
  </sheetData>
  <mergeCells count="19">
    <mergeCell ref="A67:H67"/>
    <mergeCell ref="A46:G46"/>
    <mergeCell ref="A47:G47"/>
    <mergeCell ref="M63:O63"/>
    <mergeCell ref="A64:G64"/>
    <mergeCell ref="A65:G65"/>
    <mergeCell ref="A66:G66"/>
    <mergeCell ref="A45:G45"/>
    <mergeCell ref="A1:H1"/>
    <mergeCell ref="A2:H2"/>
    <mergeCell ref="A3:H3"/>
    <mergeCell ref="A4:H4"/>
    <mergeCell ref="A5:H5"/>
    <mergeCell ref="A6:H6"/>
    <mergeCell ref="A7:H7"/>
    <mergeCell ref="A8:H8"/>
    <mergeCell ref="A9:H9"/>
    <mergeCell ref="A10:H10"/>
    <mergeCell ref="A11:H11"/>
  </mergeCells>
  <printOptions horizontalCentered="1"/>
  <pageMargins left="0.19685039370078741" right="0.19685039370078741" top="0.59055118110236227" bottom="0.31496062992125984" header="0" footer="0"/>
  <pageSetup scale="70" orientation="portrait" r:id="rId1"/>
  <headerFooter alignWithMargins="0">
    <oddFooter>&amp;C&amp;P DE &amp;N&amp;R&amp;D</oddFooter>
  </headerFooter>
  <rowBreaks count="1" manualBreakCount="1">
    <brk id="44" max="18" man="1"/>
  </rowBreaks>
  <colBreaks count="1" manualBreakCount="1">
    <brk id="8" max="1048575" man="1"/>
  </colBreaks>
  <ignoredErrors>
    <ignoredError sqref="W17:W18 W21:W24 W27" formula="1"/>
  </ignoredErrors>
  <drawing r:id="rId2"/>
  <legacyDrawing r:id="rId3"/>
  <oleObjects>
    <mc:AlternateContent xmlns:mc="http://schemas.openxmlformats.org/markup-compatibility/2006">
      <mc:Choice Requires="x14">
        <oleObject progId="MSPhotoEd.3" shapeId="66561" r:id="rId4">
          <objectPr defaultSize="0" autoPict="0" altText="" r:id="rId5">
            <anchor moveWithCells="1" sizeWithCells="1">
              <from>
                <xdr:col>2</xdr:col>
                <xdr:colOff>0</xdr:colOff>
                <xdr:row>11</xdr:row>
                <xdr:rowOff>0</xdr:rowOff>
              </from>
              <to>
                <xdr:col>2</xdr:col>
                <xdr:colOff>0</xdr:colOff>
                <xdr:row>11</xdr:row>
                <xdr:rowOff>0</xdr:rowOff>
              </to>
            </anchor>
          </objectPr>
        </oleObject>
      </mc:Choice>
      <mc:Fallback>
        <oleObject progId="MSPhotoEd.3" shapeId="66561"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59999389629810485"/>
  </sheetPr>
  <dimension ref="A1:AA131"/>
  <sheetViews>
    <sheetView showGridLines="0" view="pageBreakPreview" topLeftCell="A70" zoomScale="115" zoomScaleNormal="81" workbookViewId="0">
      <selection activeCell="A12" sqref="A12:H12"/>
    </sheetView>
  </sheetViews>
  <sheetFormatPr baseColWidth="10" defaultColWidth="9.1640625" defaultRowHeight="11" x14ac:dyDescent="0.15"/>
  <cols>
    <col min="1" max="1" width="6.5" style="7" customWidth="1"/>
    <col min="2" max="2" width="35.6640625" style="7" customWidth="1"/>
    <col min="3" max="3" width="14.1640625" style="8" customWidth="1"/>
    <col min="4" max="4" width="13.33203125" style="8" customWidth="1"/>
    <col min="5" max="5" width="12" style="8" customWidth="1"/>
    <col min="6" max="6" width="12" style="7" customWidth="1"/>
    <col min="7" max="7" width="10.33203125" style="7" customWidth="1"/>
    <col min="8" max="8" width="19.1640625" style="7" customWidth="1"/>
    <col min="9" max="12" width="11.5" style="7" hidden="1" customWidth="1"/>
    <col min="13" max="13" width="16.5" style="7" bestFit="1" customWidth="1"/>
    <col min="14" max="14" width="14.33203125" style="7" customWidth="1"/>
    <col min="15" max="15" width="15.33203125" style="7" bestFit="1" customWidth="1"/>
    <col min="16" max="16" width="46.1640625" style="7" customWidth="1"/>
    <col min="17" max="17" width="14.33203125" style="7" bestFit="1" customWidth="1"/>
    <col min="18" max="19" width="9.1640625" style="7" customWidth="1"/>
    <col min="20" max="20" width="13.5" style="7" customWidth="1"/>
    <col min="21" max="21" width="9.1640625" style="7" customWidth="1"/>
    <col min="22" max="22" width="13.83203125" style="7" bestFit="1" customWidth="1"/>
    <col min="23" max="23" width="13.33203125" style="7" customWidth="1"/>
    <col min="24" max="24" width="23.33203125" style="7" customWidth="1"/>
    <col min="25" max="16384" width="9.1640625" style="7"/>
  </cols>
  <sheetData>
    <row r="1" spans="1:24" ht="20.25" customHeight="1" x14ac:dyDescent="0.15">
      <c r="A1" s="301" t="s">
        <v>0</v>
      </c>
      <c r="B1" s="301"/>
      <c r="C1" s="301"/>
      <c r="D1" s="301"/>
      <c r="E1" s="301"/>
      <c r="F1" s="301"/>
      <c r="G1" s="301"/>
      <c r="H1" s="301"/>
    </row>
    <row r="2" spans="1:24" ht="19.5" customHeight="1" x14ac:dyDescent="0.15">
      <c r="A2" s="301" t="s">
        <v>1</v>
      </c>
      <c r="B2" s="301"/>
      <c r="C2" s="301"/>
      <c r="D2" s="301"/>
      <c r="E2" s="301"/>
      <c r="F2" s="301"/>
      <c r="G2" s="301"/>
      <c r="H2" s="301"/>
    </row>
    <row r="3" spans="1:24" x14ac:dyDescent="0.15">
      <c r="A3" s="301"/>
      <c r="B3" s="301"/>
      <c r="C3" s="301"/>
      <c r="D3" s="301"/>
      <c r="E3" s="301"/>
      <c r="F3" s="301"/>
      <c r="G3" s="301"/>
      <c r="H3" s="301"/>
    </row>
    <row r="4" spans="1:24" ht="18" customHeight="1" x14ac:dyDescent="0.15">
      <c r="A4" s="301" t="s">
        <v>2</v>
      </c>
      <c r="B4" s="301"/>
      <c r="C4" s="301"/>
      <c r="D4" s="301"/>
      <c r="E4" s="301"/>
      <c r="F4" s="301"/>
      <c r="G4" s="301"/>
      <c r="H4" s="301"/>
    </row>
    <row r="5" spans="1:24" ht="16.5" customHeight="1" x14ac:dyDescent="0.15">
      <c r="A5" s="301" t="s">
        <v>3</v>
      </c>
      <c r="B5" s="301"/>
      <c r="C5" s="301"/>
      <c r="D5" s="301"/>
      <c r="E5" s="301"/>
      <c r="F5" s="301"/>
      <c r="G5" s="301"/>
      <c r="H5" s="301"/>
    </row>
    <row r="6" spans="1:24" x14ac:dyDescent="0.15">
      <c r="A6" s="301"/>
      <c r="B6" s="301"/>
      <c r="C6" s="301"/>
      <c r="D6" s="301"/>
      <c r="E6" s="301"/>
      <c r="F6" s="301"/>
      <c r="G6" s="301"/>
      <c r="H6" s="301"/>
    </row>
    <row r="7" spans="1:24" ht="15.75" customHeight="1" x14ac:dyDescent="0.15">
      <c r="A7" s="301" t="s">
        <v>99</v>
      </c>
      <c r="B7" s="301"/>
      <c r="C7" s="301"/>
      <c r="D7" s="301"/>
      <c r="E7" s="301"/>
      <c r="F7" s="301"/>
      <c r="G7" s="301"/>
      <c r="H7" s="301"/>
    </row>
    <row r="8" spans="1:24" x14ac:dyDescent="0.15">
      <c r="A8" s="301"/>
      <c r="B8" s="301"/>
      <c r="C8" s="301"/>
      <c r="D8" s="301"/>
      <c r="E8" s="301"/>
      <c r="F8" s="301"/>
      <c r="G8" s="301"/>
      <c r="H8" s="301"/>
    </row>
    <row r="9" spans="1:24" ht="15" customHeight="1" x14ac:dyDescent="0.15">
      <c r="A9" s="302" t="s">
        <v>5</v>
      </c>
      <c r="B9" s="302"/>
      <c r="C9" s="302"/>
      <c r="D9" s="302"/>
      <c r="E9" s="302"/>
      <c r="F9" s="302"/>
      <c r="G9" s="302"/>
      <c r="H9" s="302"/>
    </row>
    <row r="10" spans="1:24" x14ac:dyDescent="0.15">
      <c r="A10" s="303"/>
      <c r="B10" s="303"/>
      <c r="C10" s="303"/>
      <c r="D10" s="303"/>
      <c r="E10" s="303"/>
      <c r="F10" s="303"/>
      <c r="G10" s="303"/>
      <c r="H10" s="303"/>
    </row>
    <row r="11" spans="1:24" ht="12.75" customHeight="1" x14ac:dyDescent="0.15">
      <c r="C11" s="7"/>
      <c r="D11" s="7"/>
      <c r="E11" s="7"/>
    </row>
    <row r="12" spans="1:24" ht="12.75" customHeight="1" x14ac:dyDescent="0.15">
      <c r="A12" s="285" t="s">
        <v>8</v>
      </c>
      <c r="B12" s="285"/>
      <c r="C12" s="285"/>
      <c r="D12" s="285"/>
      <c r="E12" s="285"/>
      <c r="F12" s="285"/>
      <c r="G12" s="285"/>
      <c r="H12" s="285"/>
    </row>
    <row r="13" spans="1:24" ht="12" x14ac:dyDescent="0.15">
      <c r="A13" s="9"/>
      <c r="B13" s="9"/>
      <c r="C13" s="9"/>
      <c r="D13" s="9"/>
      <c r="E13" s="9"/>
      <c r="F13" s="11"/>
      <c r="G13" s="11"/>
      <c r="H13" s="10" t="s">
        <v>100</v>
      </c>
    </row>
    <row r="14" spans="1:24" x14ac:dyDescent="0.15">
      <c r="A14" s="12"/>
      <c r="B14" s="12"/>
      <c r="C14" s="12"/>
      <c r="D14" s="12"/>
      <c r="E14" s="12"/>
      <c r="F14" s="12"/>
      <c r="G14" s="12"/>
      <c r="H14" s="12"/>
    </row>
    <row r="15" spans="1:24" ht="14" x14ac:dyDescent="0.15">
      <c r="A15" s="13" t="s">
        <v>11</v>
      </c>
      <c r="B15" s="14" t="s">
        <v>12</v>
      </c>
      <c r="C15" s="15" t="s">
        <v>13</v>
      </c>
      <c r="D15" s="235" t="s">
        <v>14</v>
      </c>
      <c r="E15" s="235" t="s">
        <v>15</v>
      </c>
      <c r="F15" s="235" t="s">
        <v>16</v>
      </c>
      <c r="G15" s="15" t="s">
        <v>17</v>
      </c>
      <c r="H15" s="236" t="s">
        <v>18</v>
      </c>
      <c r="V15" s="74">
        <v>9402000000</v>
      </c>
      <c r="W15" s="75"/>
      <c r="X15" s="76" t="s">
        <v>7</v>
      </c>
    </row>
    <row r="16" spans="1:24" ht="12" x14ac:dyDescent="0.15">
      <c r="A16" s="16">
        <v>1</v>
      </c>
      <c r="B16" s="17" t="s">
        <v>22</v>
      </c>
      <c r="C16" s="18">
        <v>6800000</v>
      </c>
      <c r="D16" s="18"/>
      <c r="E16" s="19">
        <v>1</v>
      </c>
      <c r="F16" s="20">
        <v>9</v>
      </c>
      <c r="G16" s="20">
        <f>E16*F16</f>
        <v>9</v>
      </c>
      <c r="H16" s="21">
        <f>A16*(C16+D16)*G16</f>
        <v>61200000</v>
      </c>
      <c r="M16" s="68">
        <v>3.6</v>
      </c>
      <c r="N16" s="68">
        <f>+H16*$H$47</f>
        <v>146880000</v>
      </c>
    </row>
    <row r="17" spans="1:27" ht="14" x14ac:dyDescent="0.15">
      <c r="A17" s="22">
        <v>1</v>
      </c>
      <c r="B17" s="5" t="s">
        <v>101</v>
      </c>
      <c r="C17" s="23">
        <v>3800000</v>
      </c>
      <c r="D17" s="23"/>
      <c r="E17" s="24">
        <v>1</v>
      </c>
      <c r="F17" s="25">
        <v>4</v>
      </c>
      <c r="G17" s="25">
        <f t="shared" ref="G17:G43" si="0">E17*F17</f>
        <v>4</v>
      </c>
      <c r="H17" s="26">
        <f>A17*(C17+D17)*G17</f>
        <v>15200000</v>
      </c>
      <c r="M17" s="68">
        <v>3</v>
      </c>
      <c r="N17" s="68">
        <f t="shared" ref="N17:N45" si="1">+H17*$H$47</f>
        <v>36480000</v>
      </c>
      <c r="P17" s="3" t="s">
        <v>6</v>
      </c>
      <c r="Q17" s="77">
        <f>+H75</f>
        <v>2253188000</v>
      </c>
      <c r="R17" s="3"/>
      <c r="S17" s="3"/>
      <c r="T17" s="3"/>
    </row>
    <row r="18" spans="1:27" ht="14" x14ac:dyDescent="0.15">
      <c r="A18" s="22">
        <v>1</v>
      </c>
      <c r="B18" s="5" t="s">
        <v>102</v>
      </c>
      <c r="C18" s="23">
        <v>3800000</v>
      </c>
      <c r="D18" s="23">
        <v>500000</v>
      </c>
      <c r="E18" s="24">
        <v>1</v>
      </c>
      <c r="F18" s="25">
        <v>4</v>
      </c>
      <c r="G18" s="25">
        <f t="shared" si="0"/>
        <v>4</v>
      </c>
      <c r="H18" s="26">
        <f>A18*(C18+D18)*G18</f>
        <v>17200000</v>
      </c>
      <c r="M18" s="68">
        <v>3</v>
      </c>
      <c r="N18" s="68">
        <f t="shared" si="1"/>
        <v>41280000</v>
      </c>
      <c r="P18" s="3"/>
      <c r="Q18" s="78"/>
      <c r="R18" s="79"/>
      <c r="S18" s="80" t="s">
        <v>10</v>
      </c>
      <c r="T18" s="81"/>
      <c r="X18" s="82" t="s">
        <v>10</v>
      </c>
      <c r="Y18" s="111"/>
    </row>
    <row r="19" spans="1:27" ht="26" x14ac:dyDescent="0.15">
      <c r="A19" s="22">
        <v>1</v>
      </c>
      <c r="B19" s="5" t="s">
        <v>103</v>
      </c>
      <c r="C19" s="23">
        <v>3800000</v>
      </c>
      <c r="D19" s="23">
        <v>500000</v>
      </c>
      <c r="E19" s="24">
        <v>1</v>
      </c>
      <c r="F19" s="25">
        <v>4</v>
      </c>
      <c r="G19" s="25">
        <f t="shared" si="0"/>
        <v>4</v>
      </c>
      <c r="H19" s="26">
        <f>A19*(C19+D19)*G19</f>
        <v>17200000</v>
      </c>
      <c r="M19" s="68">
        <v>3</v>
      </c>
      <c r="N19" s="68">
        <f t="shared" si="1"/>
        <v>41280000</v>
      </c>
      <c r="P19" s="3"/>
      <c r="Q19" s="83" t="s">
        <v>20</v>
      </c>
      <c r="R19" s="84" t="s">
        <v>10</v>
      </c>
      <c r="S19" s="84" t="s">
        <v>21</v>
      </c>
      <c r="T19" s="85" t="s">
        <v>20</v>
      </c>
      <c r="X19" s="86" t="s">
        <v>21</v>
      </c>
      <c r="Y19" s="112" t="s">
        <v>20</v>
      </c>
      <c r="AA19" s="113" t="s">
        <v>24</v>
      </c>
    </row>
    <row r="20" spans="1:27" ht="12" x14ac:dyDescent="0.15">
      <c r="A20" s="22">
        <v>1</v>
      </c>
      <c r="B20" s="27" t="s">
        <v>25</v>
      </c>
      <c r="C20" s="23">
        <v>6000000</v>
      </c>
      <c r="D20" s="23"/>
      <c r="E20" s="28">
        <v>1</v>
      </c>
      <c r="F20" s="29">
        <v>2.5</v>
      </c>
      <c r="G20" s="30">
        <f t="shared" si="0"/>
        <v>2.5</v>
      </c>
      <c r="H20" s="26">
        <f t="shared" ref="H20:H45" si="2">A20*(C20+D20)*G20</f>
        <v>15000000</v>
      </c>
      <c r="M20" s="68">
        <v>2</v>
      </c>
      <c r="N20" s="68">
        <f t="shared" si="1"/>
        <v>36000000</v>
      </c>
      <c r="P20" s="69" t="s">
        <v>104</v>
      </c>
      <c r="Q20" s="87">
        <f>+N20</f>
        <v>36000000</v>
      </c>
      <c r="R20" s="88">
        <f>+Q20/$Q$17</f>
        <v>1.5977361853515996E-2</v>
      </c>
      <c r="S20" s="89">
        <f>+ROUND(R20,4)</f>
        <v>1.6E-2</v>
      </c>
      <c r="T20" s="90">
        <f>+S20*$Q$17</f>
        <v>36051008</v>
      </c>
      <c r="V20" s="91">
        <f>+Q20/$V$15</f>
        <v>3.8289725590299937E-3</v>
      </c>
      <c r="W20" s="92">
        <f>+V20*$V$15</f>
        <v>36000000</v>
      </c>
      <c r="X20" s="93">
        <f>+ROUND(V20,3)</f>
        <v>4.0000000000000001E-3</v>
      </c>
      <c r="Y20" s="114">
        <f>+X20*$V$15</f>
        <v>37608000</v>
      </c>
      <c r="AA20" s="115">
        <f>+X20*100</f>
        <v>0.4</v>
      </c>
    </row>
    <row r="21" spans="1:27" ht="24" x14ac:dyDescent="0.15">
      <c r="A21" s="22">
        <v>1</v>
      </c>
      <c r="B21" s="27" t="s">
        <v>27</v>
      </c>
      <c r="C21" s="23">
        <v>6000000</v>
      </c>
      <c r="D21" s="23"/>
      <c r="E21" s="28">
        <v>0.5</v>
      </c>
      <c r="F21" s="29">
        <v>4</v>
      </c>
      <c r="G21" s="30">
        <f t="shared" si="0"/>
        <v>2</v>
      </c>
      <c r="H21" s="26">
        <f t="shared" si="2"/>
        <v>12000000</v>
      </c>
      <c r="M21" s="68">
        <v>2</v>
      </c>
      <c r="N21" s="68">
        <f t="shared" si="1"/>
        <v>28800000</v>
      </c>
      <c r="P21" s="69" t="s">
        <v>105</v>
      </c>
      <c r="Q21" s="94">
        <f>+N21</f>
        <v>28800000</v>
      </c>
      <c r="R21" s="95">
        <f t="shared" ref="R21:R33" si="3">+Q21/$Q$17</f>
        <v>1.2781889482812796E-2</v>
      </c>
      <c r="S21" s="96">
        <f t="shared" ref="S21:S33" si="4">+ROUND(R21,4)</f>
        <v>1.2800000000000001E-2</v>
      </c>
      <c r="T21" s="97">
        <f t="shared" ref="T21:T33" si="5">+S21*$Q$17</f>
        <v>28840806.400000002</v>
      </c>
      <c r="V21" s="91">
        <f t="shared" ref="V21:V33" si="6">+Q21/$V$15</f>
        <v>3.0631780472239948E-3</v>
      </c>
      <c r="W21" s="92">
        <f t="shared" ref="W21:W33" si="7">+V21*$V$15</f>
        <v>28800000</v>
      </c>
      <c r="X21" s="98">
        <f t="shared" ref="X21:X33" si="8">+ROUND(V21,3)</f>
        <v>3.0000000000000001E-3</v>
      </c>
      <c r="Y21" s="116">
        <f t="shared" ref="Y21:Y33" si="9">+X21*$V$15</f>
        <v>28206000</v>
      </c>
      <c r="AA21" s="115">
        <f t="shared" ref="AA21:AA33" si="10">+X21*100</f>
        <v>0.3</v>
      </c>
    </row>
    <row r="22" spans="1:27" ht="12" x14ac:dyDescent="0.15">
      <c r="A22" s="22">
        <v>1</v>
      </c>
      <c r="B22" s="27" t="s">
        <v>106</v>
      </c>
      <c r="C22" s="23">
        <v>6000000</v>
      </c>
      <c r="D22" s="23"/>
      <c r="E22" s="28">
        <v>0.5</v>
      </c>
      <c r="F22" s="29">
        <v>4</v>
      </c>
      <c r="G22" s="30">
        <f t="shared" si="0"/>
        <v>2</v>
      </c>
      <c r="H22" s="26">
        <f t="shared" si="2"/>
        <v>12000000</v>
      </c>
      <c r="M22" s="68">
        <v>2</v>
      </c>
      <c r="N22" s="68">
        <f t="shared" si="1"/>
        <v>28800000</v>
      </c>
      <c r="P22" s="70" t="s">
        <v>107</v>
      </c>
      <c r="Q22" s="94">
        <f>0.8*N22</f>
        <v>23040000</v>
      </c>
      <c r="R22" s="95">
        <f t="shared" si="3"/>
        <v>1.0225511586250237E-2</v>
      </c>
      <c r="S22" s="96">
        <f t="shared" si="4"/>
        <v>1.0200000000000001E-2</v>
      </c>
      <c r="T22" s="97">
        <f t="shared" si="5"/>
        <v>22982517.600000001</v>
      </c>
      <c r="V22" s="99">
        <f t="shared" si="6"/>
        <v>2.4505424377791957E-3</v>
      </c>
      <c r="W22" s="92">
        <f t="shared" si="7"/>
        <v>23039999.999999996</v>
      </c>
      <c r="X22" s="98">
        <v>2.3999999999999998E-3</v>
      </c>
      <c r="Y22" s="116">
        <f t="shared" si="9"/>
        <v>22564799.999999996</v>
      </c>
      <c r="Z22" s="117">
        <f>+ROUND(V22,3)</f>
        <v>2E-3</v>
      </c>
      <c r="AA22" s="115">
        <f t="shared" si="10"/>
        <v>0.24</v>
      </c>
    </row>
    <row r="23" spans="1:27" ht="24" x14ac:dyDescent="0.15">
      <c r="A23" s="22">
        <v>1</v>
      </c>
      <c r="B23" s="27" t="s">
        <v>31</v>
      </c>
      <c r="C23" s="23">
        <v>6000000</v>
      </c>
      <c r="D23" s="23"/>
      <c r="E23" s="28">
        <v>0.6</v>
      </c>
      <c r="F23" s="29">
        <v>4</v>
      </c>
      <c r="G23" s="30">
        <f t="shared" si="0"/>
        <v>2.4</v>
      </c>
      <c r="H23" s="26">
        <f t="shared" si="2"/>
        <v>14400000</v>
      </c>
      <c r="M23" s="68">
        <v>2</v>
      </c>
      <c r="N23" s="68">
        <f t="shared" si="1"/>
        <v>34560000</v>
      </c>
      <c r="P23" s="70" t="s">
        <v>108</v>
      </c>
      <c r="Q23" s="94">
        <f>0.4*N23</f>
        <v>13824000</v>
      </c>
      <c r="R23" s="95">
        <f t="shared" si="3"/>
        <v>6.1353069517501423E-3</v>
      </c>
      <c r="S23" s="96">
        <f t="shared" si="4"/>
        <v>6.1000000000000004E-3</v>
      </c>
      <c r="T23" s="97">
        <f t="shared" si="5"/>
        <v>13744446.800000001</v>
      </c>
      <c r="V23" s="99">
        <f t="shared" si="6"/>
        <v>1.4703254626675176E-3</v>
      </c>
      <c r="W23" s="92">
        <f t="shared" si="7"/>
        <v>13824000</v>
      </c>
      <c r="X23" s="98">
        <v>1.4E-3</v>
      </c>
      <c r="Y23" s="116">
        <f t="shared" si="9"/>
        <v>13162800</v>
      </c>
      <c r="Z23" s="117">
        <f>+ROUND(V23,3)</f>
        <v>1E-3</v>
      </c>
      <c r="AA23" s="115">
        <f t="shared" si="10"/>
        <v>0.13999999999999999</v>
      </c>
    </row>
    <row r="24" spans="1:27" ht="12" x14ac:dyDescent="0.15">
      <c r="A24" s="22">
        <v>1</v>
      </c>
      <c r="B24" s="27" t="s">
        <v>109</v>
      </c>
      <c r="C24" s="23">
        <v>6000000</v>
      </c>
      <c r="D24" s="23"/>
      <c r="E24" s="28">
        <v>0.5</v>
      </c>
      <c r="F24" s="29">
        <v>4</v>
      </c>
      <c r="G24" s="30">
        <f t="shared" si="0"/>
        <v>2</v>
      </c>
      <c r="H24" s="26">
        <f t="shared" si="2"/>
        <v>12000000</v>
      </c>
      <c r="M24" s="68">
        <v>2</v>
      </c>
      <c r="N24" s="68">
        <f t="shared" si="1"/>
        <v>28800000</v>
      </c>
      <c r="P24" s="70" t="s">
        <v>110</v>
      </c>
      <c r="Q24" s="94">
        <f>0.2*N22+0.5*N23</f>
        <v>23040000</v>
      </c>
      <c r="R24" s="95">
        <f t="shared" si="3"/>
        <v>1.0225511586250237E-2</v>
      </c>
      <c r="S24" s="96">
        <f t="shared" si="4"/>
        <v>1.0200000000000001E-2</v>
      </c>
      <c r="T24" s="97">
        <f t="shared" si="5"/>
        <v>22982517.600000001</v>
      </c>
      <c r="V24" s="99">
        <f t="shared" si="6"/>
        <v>2.4505424377791957E-3</v>
      </c>
      <c r="W24" s="92">
        <f t="shared" si="7"/>
        <v>23039999.999999996</v>
      </c>
      <c r="X24" s="98">
        <v>2.3999999999999998E-3</v>
      </c>
      <c r="Y24" s="116">
        <f t="shared" si="9"/>
        <v>22564799.999999996</v>
      </c>
      <c r="Z24" s="117">
        <f>+ROUND(V24,3)</f>
        <v>2E-3</v>
      </c>
      <c r="AA24" s="115">
        <f t="shared" si="10"/>
        <v>0.24</v>
      </c>
    </row>
    <row r="25" spans="1:27" ht="12" x14ac:dyDescent="0.15">
      <c r="A25" s="22">
        <v>1</v>
      </c>
      <c r="B25" s="27" t="s">
        <v>36</v>
      </c>
      <c r="C25" s="23">
        <v>6000000</v>
      </c>
      <c r="D25" s="23"/>
      <c r="E25" s="24">
        <v>0.6</v>
      </c>
      <c r="F25" s="25">
        <v>5</v>
      </c>
      <c r="G25" s="31">
        <f t="shared" si="0"/>
        <v>3</v>
      </c>
      <c r="H25" s="26">
        <f t="shared" si="2"/>
        <v>18000000</v>
      </c>
      <c r="M25" s="68">
        <v>2</v>
      </c>
      <c r="N25" s="68">
        <f t="shared" si="1"/>
        <v>43200000</v>
      </c>
      <c r="P25" s="70" t="s">
        <v>111</v>
      </c>
      <c r="Q25" s="94">
        <f>0.1*N23+N24</f>
        <v>32256000</v>
      </c>
      <c r="R25" s="95">
        <f t="shared" si="3"/>
        <v>1.4315716220750332E-2</v>
      </c>
      <c r="S25" s="96">
        <f t="shared" si="4"/>
        <v>1.43E-2</v>
      </c>
      <c r="T25" s="97">
        <f t="shared" si="5"/>
        <v>32220588.400000002</v>
      </c>
      <c r="V25" s="99">
        <f t="shared" si="6"/>
        <v>3.4307594128908741E-3</v>
      </c>
      <c r="W25" s="92">
        <f t="shared" si="7"/>
        <v>32255999.999999996</v>
      </c>
      <c r="X25" s="98">
        <v>3.3999999999999998E-3</v>
      </c>
      <c r="Y25" s="116">
        <f t="shared" si="9"/>
        <v>31966800</v>
      </c>
      <c r="Z25" s="117">
        <f>+ROUND(V25,3)</f>
        <v>3.0000000000000001E-3</v>
      </c>
      <c r="AA25" s="115">
        <f t="shared" si="10"/>
        <v>0.33999999999999997</v>
      </c>
    </row>
    <row r="26" spans="1:27" ht="12" x14ac:dyDescent="0.15">
      <c r="A26" s="22">
        <v>1</v>
      </c>
      <c r="B26" s="27" t="s">
        <v>112</v>
      </c>
      <c r="C26" s="23">
        <v>6000000</v>
      </c>
      <c r="D26" s="23"/>
      <c r="E26" s="24">
        <v>0.5</v>
      </c>
      <c r="F26" s="25">
        <v>4</v>
      </c>
      <c r="G26" s="31">
        <f t="shared" si="0"/>
        <v>2</v>
      </c>
      <c r="H26" s="26">
        <f t="shared" si="2"/>
        <v>12000000</v>
      </c>
      <c r="M26" s="68">
        <v>2.5</v>
      </c>
      <c r="N26" s="68">
        <f t="shared" si="1"/>
        <v>28800000</v>
      </c>
      <c r="P26" s="70" t="s">
        <v>113</v>
      </c>
      <c r="Q26" s="94">
        <f>0.9*N25</f>
        <v>38880000</v>
      </c>
      <c r="R26" s="95">
        <f t="shared" si="3"/>
        <v>1.7255550801797276E-2</v>
      </c>
      <c r="S26" s="96">
        <f t="shared" si="4"/>
        <v>1.7299999999999999E-2</v>
      </c>
      <c r="T26" s="97">
        <f t="shared" si="5"/>
        <v>38980152.399999999</v>
      </c>
      <c r="V26" s="91">
        <f t="shared" si="6"/>
        <v>4.1352903637523935E-3</v>
      </c>
      <c r="W26" s="92">
        <f t="shared" si="7"/>
        <v>38880000</v>
      </c>
      <c r="X26" s="98">
        <f t="shared" si="8"/>
        <v>4.0000000000000001E-3</v>
      </c>
      <c r="Y26" s="116">
        <f t="shared" si="9"/>
        <v>37608000</v>
      </c>
      <c r="AA26" s="115">
        <f t="shared" si="10"/>
        <v>0.4</v>
      </c>
    </row>
    <row r="27" spans="1:27" ht="12" x14ac:dyDescent="0.15">
      <c r="A27" s="22">
        <v>1</v>
      </c>
      <c r="B27" s="27" t="s">
        <v>114</v>
      </c>
      <c r="C27" s="23">
        <v>6000000</v>
      </c>
      <c r="D27" s="23"/>
      <c r="E27" s="24">
        <v>0.3</v>
      </c>
      <c r="F27" s="25">
        <v>2</v>
      </c>
      <c r="G27" s="31">
        <f t="shared" si="0"/>
        <v>0.6</v>
      </c>
      <c r="H27" s="26">
        <f t="shared" si="2"/>
        <v>3600000</v>
      </c>
      <c r="M27" s="68">
        <v>1.2000000000000002</v>
      </c>
      <c r="N27" s="68">
        <f t="shared" si="1"/>
        <v>8640000</v>
      </c>
      <c r="P27" s="70" t="s">
        <v>115</v>
      </c>
      <c r="Q27" s="94">
        <f>+N26</f>
        <v>28800000</v>
      </c>
      <c r="R27" s="95">
        <f t="shared" si="3"/>
        <v>1.2781889482812796E-2</v>
      </c>
      <c r="S27" s="96">
        <f t="shared" si="4"/>
        <v>1.2800000000000001E-2</v>
      </c>
      <c r="T27" s="97">
        <f t="shared" si="5"/>
        <v>28840806.400000002</v>
      </c>
      <c r="V27" s="91">
        <f t="shared" si="6"/>
        <v>3.0631780472239948E-3</v>
      </c>
      <c r="W27" s="92">
        <f t="shared" si="7"/>
        <v>28800000</v>
      </c>
      <c r="X27" s="98">
        <f t="shared" si="8"/>
        <v>3.0000000000000001E-3</v>
      </c>
      <c r="Y27" s="116">
        <f t="shared" si="9"/>
        <v>28206000</v>
      </c>
      <c r="AA27" s="115">
        <f t="shared" si="10"/>
        <v>0.3</v>
      </c>
    </row>
    <row r="28" spans="1:27" ht="12" x14ac:dyDescent="0.15">
      <c r="A28" s="22">
        <v>1</v>
      </c>
      <c r="B28" s="27" t="s">
        <v>40</v>
      </c>
      <c r="C28" s="23">
        <v>3800000</v>
      </c>
      <c r="D28" s="23"/>
      <c r="E28" s="24">
        <v>0.5</v>
      </c>
      <c r="F28" s="25">
        <v>3</v>
      </c>
      <c r="G28" s="31">
        <f t="shared" si="0"/>
        <v>1.5</v>
      </c>
      <c r="H28" s="26">
        <f t="shared" si="2"/>
        <v>5700000</v>
      </c>
      <c r="M28" s="68">
        <v>1.2000000000000002</v>
      </c>
      <c r="N28" s="68">
        <f t="shared" si="1"/>
        <v>13680000</v>
      </c>
      <c r="P28" s="70" t="s">
        <v>116</v>
      </c>
      <c r="Q28" s="94">
        <v>0</v>
      </c>
      <c r="R28" s="95">
        <f t="shared" si="3"/>
        <v>0</v>
      </c>
      <c r="S28" s="96">
        <f t="shared" si="4"/>
        <v>0</v>
      </c>
      <c r="T28" s="97">
        <f t="shared" si="5"/>
        <v>0</v>
      </c>
      <c r="V28" s="91">
        <f t="shared" si="6"/>
        <v>0</v>
      </c>
      <c r="W28" s="92">
        <f t="shared" si="7"/>
        <v>0</v>
      </c>
      <c r="X28" s="98">
        <f t="shared" si="8"/>
        <v>0</v>
      </c>
      <c r="Y28" s="116">
        <f t="shared" si="9"/>
        <v>0</v>
      </c>
      <c r="AA28" s="115">
        <f t="shared" si="10"/>
        <v>0</v>
      </c>
    </row>
    <row r="29" spans="1:27" ht="12" x14ac:dyDescent="0.15">
      <c r="A29" s="22">
        <v>1</v>
      </c>
      <c r="B29" s="27" t="s">
        <v>42</v>
      </c>
      <c r="C29" s="23">
        <v>6000000</v>
      </c>
      <c r="D29" s="23"/>
      <c r="E29" s="24">
        <v>0.5</v>
      </c>
      <c r="F29" s="25">
        <v>3</v>
      </c>
      <c r="G29" s="31">
        <f t="shared" si="0"/>
        <v>1.5</v>
      </c>
      <c r="H29" s="26">
        <f t="shared" si="2"/>
        <v>9000000</v>
      </c>
      <c r="M29" s="68">
        <v>1.2000000000000002</v>
      </c>
      <c r="N29" s="68">
        <f t="shared" si="1"/>
        <v>21600000</v>
      </c>
      <c r="P29" s="70" t="s">
        <v>117</v>
      </c>
      <c r="Q29" s="94">
        <f>+N27</f>
        <v>8640000</v>
      </c>
      <c r="R29" s="95">
        <f t="shared" si="3"/>
        <v>3.8345668448438392E-3</v>
      </c>
      <c r="S29" s="96">
        <f t="shared" si="4"/>
        <v>3.8E-3</v>
      </c>
      <c r="T29" s="97">
        <f t="shared" si="5"/>
        <v>8562114.4000000004</v>
      </c>
      <c r="V29" s="91">
        <f t="shared" si="6"/>
        <v>9.189534141671985E-4</v>
      </c>
      <c r="W29" s="92">
        <f t="shared" si="7"/>
        <v>8640000</v>
      </c>
      <c r="X29" s="98">
        <f t="shared" si="8"/>
        <v>1E-3</v>
      </c>
      <c r="Y29" s="116">
        <f t="shared" si="9"/>
        <v>9402000</v>
      </c>
      <c r="AA29" s="115">
        <f t="shared" si="10"/>
        <v>0.1</v>
      </c>
    </row>
    <row r="30" spans="1:27" ht="12" x14ac:dyDescent="0.15">
      <c r="A30" s="22">
        <v>1</v>
      </c>
      <c r="B30" s="27" t="s">
        <v>45</v>
      </c>
      <c r="C30" s="23">
        <v>6000000</v>
      </c>
      <c r="D30" s="23"/>
      <c r="E30" s="24">
        <v>0.5</v>
      </c>
      <c r="F30" s="25">
        <v>6</v>
      </c>
      <c r="G30" s="31">
        <f t="shared" si="0"/>
        <v>3</v>
      </c>
      <c r="H30" s="26">
        <f t="shared" si="2"/>
        <v>18000000</v>
      </c>
      <c r="M30" s="68">
        <v>2.5</v>
      </c>
      <c r="N30" s="68">
        <f t="shared" si="1"/>
        <v>43200000</v>
      </c>
      <c r="P30" s="69" t="s">
        <v>118</v>
      </c>
      <c r="Q30" s="94">
        <f>+N40+N41+0.3*N38</f>
        <v>42864000</v>
      </c>
      <c r="R30" s="95">
        <f t="shared" si="3"/>
        <v>1.9023712180253047E-2</v>
      </c>
      <c r="S30" s="96">
        <f t="shared" si="4"/>
        <v>1.9E-2</v>
      </c>
      <c r="T30" s="97">
        <f t="shared" si="5"/>
        <v>42810572</v>
      </c>
      <c r="V30" s="91">
        <f t="shared" si="6"/>
        <v>4.5590299936183794E-3</v>
      </c>
      <c r="W30" s="92">
        <f t="shared" si="7"/>
        <v>42864000</v>
      </c>
      <c r="X30" s="98">
        <f t="shared" si="8"/>
        <v>5.0000000000000001E-3</v>
      </c>
      <c r="Y30" s="116">
        <f t="shared" si="9"/>
        <v>47010000</v>
      </c>
      <c r="AA30" s="115">
        <f t="shared" si="10"/>
        <v>0.5</v>
      </c>
    </row>
    <row r="31" spans="1:27" ht="12" x14ac:dyDescent="0.15">
      <c r="A31" s="22">
        <v>1</v>
      </c>
      <c r="B31" s="27" t="s">
        <v>46</v>
      </c>
      <c r="C31" s="23">
        <v>3800000</v>
      </c>
      <c r="D31" s="23"/>
      <c r="E31" s="24">
        <v>0.5</v>
      </c>
      <c r="F31" s="25">
        <v>6</v>
      </c>
      <c r="G31" s="31">
        <f t="shared" si="0"/>
        <v>3</v>
      </c>
      <c r="H31" s="26">
        <f t="shared" si="2"/>
        <v>11400000</v>
      </c>
      <c r="M31" s="68">
        <v>2.5</v>
      </c>
      <c r="N31" s="68">
        <f t="shared" si="1"/>
        <v>27360000</v>
      </c>
      <c r="P31" s="69" t="s">
        <v>119</v>
      </c>
      <c r="Q31" s="94">
        <f>0.1*N25+N30+N31+N34+N35+N33+N36+N37+0.7*N38</f>
        <v>162432000</v>
      </c>
      <c r="R31" s="95">
        <f t="shared" si="3"/>
        <v>7.2089856683064168E-2</v>
      </c>
      <c r="S31" s="96">
        <f t="shared" si="4"/>
        <v>7.2099999999999997E-2</v>
      </c>
      <c r="T31" s="97">
        <f t="shared" si="5"/>
        <v>162454854.79999998</v>
      </c>
      <c r="V31" s="99">
        <f t="shared" si="6"/>
        <v>1.7276324186343332E-2</v>
      </c>
      <c r="W31" s="92">
        <f t="shared" si="7"/>
        <v>162432000</v>
      </c>
      <c r="X31" s="98">
        <v>1.72E-2</v>
      </c>
      <c r="Y31" s="116">
        <f t="shared" si="9"/>
        <v>161714400</v>
      </c>
      <c r="Z31" s="117">
        <f>+ROUND(V31,3)</f>
        <v>1.7000000000000001E-2</v>
      </c>
      <c r="AA31" s="115">
        <f t="shared" si="10"/>
        <v>1.72</v>
      </c>
    </row>
    <row r="32" spans="1:27" ht="24" x14ac:dyDescent="0.15">
      <c r="A32" s="32"/>
      <c r="B32" s="33"/>
      <c r="C32" s="34"/>
      <c r="D32" s="34"/>
      <c r="E32" s="35"/>
      <c r="F32" s="36"/>
      <c r="G32" s="37"/>
      <c r="H32" s="38"/>
      <c r="M32" s="68"/>
      <c r="N32" s="68">
        <f t="shared" si="1"/>
        <v>0</v>
      </c>
      <c r="P32" s="69" t="s">
        <v>120</v>
      </c>
      <c r="Q32" s="94">
        <f>+N28</f>
        <v>13680000</v>
      </c>
      <c r="R32" s="95">
        <f t="shared" si="3"/>
        <v>6.0713975043360782E-3</v>
      </c>
      <c r="S32" s="96">
        <f t="shared" si="4"/>
        <v>6.1000000000000004E-3</v>
      </c>
      <c r="T32" s="97">
        <f t="shared" si="5"/>
        <v>13744446.800000001</v>
      </c>
      <c r="V32" s="99">
        <f t="shared" si="6"/>
        <v>1.4550095724313976E-3</v>
      </c>
      <c r="W32" s="92">
        <f t="shared" si="7"/>
        <v>13680000</v>
      </c>
      <c r="X32" s="98">
        <v>1.4E-3</v>
      </c>
      <c r="Y32" s="116">
        <f t="shared" si="9"/>
        <v>13162800</v>
      </c>
      <c r="Z32" s="117">
        <f>+ROUND(V32,3)</f>
        <v>1E-3</v>
      </c>
      <c r="AA32" s="115">
        <f t="shared" si="10"/>
        <v>0.13999999999999999</v>
      </c>
    </row>
    <row r="33" spans="1:27" ht="12" x14ac:dyDescent="0.15">
      <c r="A33" s="22">
        <v>1</v>
      </c>
      <c r="B33" s="27" t="s">
        <v>50</v>
      </c>
      <c r="C33" s="23">
        <v>3800000</v>
      </c>
      <c r="D33" s="23"/>
      <c r="E33" s="24">
        <v>0.5</v>
      </c>
      <c r="F33" s="25">
        <v>3</v>
      </c>
      <c r="G33" s="31">
        <f t="shared" si="0"/>
        <v>1.5</v>
      </c>
      <c r="H33" s="26">
        <f t="shared" si="2"/>
        <v>5700000</v>
      </c>
      <c r="M33" s="68">
        <v>2.5</v>
      </c>
      <c r="N33" s="68">
        <f t="shared" si="1"/>
        <v>13680000</v>
      </c>
      <c r="P33" s="69" t="s">
        <v>121</v>
      </c>
      <c r="Q33" s="94">
        <f>+N29</f>
        <v>21600000</v>
      </c>
      <c r="R33" s="95">
        <f t="shared" si="3"/>
        <v>9.5864171121095975E-3</v>
      </c>
      <c r="S33" s="96">
        <f t="shared" si="4"/>
        <v>9.5999999999999992E-3</v>
      </c>
      <c r="T33" s="97">
        <f t="shared" si="5"/>
        <v>21630604.799999997</v>
      </c>
      <c r="V33" s="91">
        <f t="shared" si="6"/>
        <v>2.297383535417996E-3</v>
      </c>
      <c r="W33" s="92">
        <f t="shared" si="7"/>
        <v>21600000</v>
      </c>
      <c r="X33" s="98">
        <f t="shared" si="8"/>
        <v>2E-3</v>
      </c>
      <c r="Y33" s="116">
        <f t="shared" si="9"/>
        <v>18804000</v>
      </c>
      <c r="AA33" s="118">
        <f t="shared" si="10"/>
        <v>0.2</v>
      </c>
    </row>
    <row r="34" spans="1:27" ht="12" x14ac:dyDescent="0.15">
      <c r="A34" s="22">
        <v>1</v>
      </c>
      <c r="B34" s="27" t="s">
        <v>52</v>
      </c>
      <c r="C34" s="23">
        <v>3800000</v>
      </c>
      <c r="D34" s="23"/>
      <c r="E34" s="24">
        <v>0.5</v>
      </c>
      <c r="F34" s="25">
        <v>3</v>
      </c>
      <c r="G34" s="31">
        <f t="shared" si="0"/>
        <v>1.5</v>
      </c>
      <c r="H34" s="26">
        <f t="shared" si="2"/>
        <v>5700000</v>
      </c>
      <c r="M34" s="68">
        <v>2.5</v>
      </c>
      <c r="N34" s="68">
        <f t="shared" si="1"/>
        <v>13680000</v>
      </c>
      <c r="P34" s="71" t="s">
        <v>122</v>
      </c>
      <c r="Q34" s="100"/>
      <c r="R34" s="101"/>
      <c r="S34" s="102"/>
      <c r="T34" s="103"/>
      <c r="X34" s="104"/>
      <c r="Y34" s="119"/>
    </row>
    <row r="35" spans="1:27" ht="13" x14ac:dyDescent="0.15">
      <c r="A35" s="22">
        <v>1</v>
      </c>
      <c r="B35" s="27" t="s">
        <v>54</v>
      </c>
      <c r="C35" s="23">
        <v>3800000</v>
      </c>
      <c r="D35" s="23"/>
      <c r="E35" s="24">
        <v>0.5</v>
      </c>
      <c r="F35" s="25">
        <v>3</v>
      </c>
      <c r="G35" s="31">
        <f t="shared" si="0"/>
        <v>1.5</v>
      </c>
      <c r="H35" s="26">
        <f t="shared" si="2"/>
        <v>5700000</v>
      </c>
      <c r="M35" s="68">
        <v>2.5</v>
      </c>
      <c r="N35" s="68">
        <f t="shared" si="1"/>
        <v>13680000</v>
      </c>
      <c r="P35" s="3"/>
      <c r="Q35" s="78"/>
      <c r="R35" s="79"/>
      <c r="S35" s="79"/>
      <c r="T35" s="81"/>
      <c r="X35" s="104"/>
      <c r="Y35" s="119"/>
    </row>
    <row r="36" spans="1:27" ht="13" x14ac:dyDescent="0.15">
      <c r="A36" s="22">
        <v>1</v>
      </c>
      <c r="B36" s="27" t="s">
        <v>56</v>
      </c>
      <c r="C36" s="23">
        <v>3800000</v>
      </c>
      <c r="D36" s="23"/>
      <c r="E36" s="24">
        <v>0.2</v>
      </c>
      <c r="F36" s="25">
        <v>4</v>
      </c>
      <c r="G36" s="31">
        <f t="shared" si="0"/>
        <v>0.8</v>
      </c>
      <c r="H36" s="26">
        <f t="shared" si="2"/>
        <v>3040000</v>
      </c>
      <c r="M36" s="68">
        <v>1.6</v>
      </c>
      <c r="N36" s="68">
        <f t="shared" si="1"/>
        <v>7296000</v>
      </c>
      <c r="P36" s="3"/>
      <c r="Q36" s="105">
        <f>SUM(Q20:Q35)</f>
        <v>473856000</v>
      </c>
      <c r="R36" s="102"/>
      <c r="S36" s="102"/>
      <c r="T36" s="106">
        <f>SUM(T20:T35)</f>
        <v>473845436.39999998</v>
      </c>
      <c r="W36" s="107">
        <f>SUM(W20:W35)</f>
        <v>473856000</v>
      </c>
      <c r="X36" s="108"/>
      <c r="Y36" s="120">
        <f>SUM(Y20:Y35)</f>
        <v>471980400</v>
      </c>
      <c r="Z36" s="92">
        <f>+W36-Y36</f>
        <v>1875600</v>
      </c>
    </row>
    <row r="37" spans="1:27" ht="13" x14ac:dyDescent="0.15">
      <c r="A37" s="22">
        <v>1</v>
      </c>
      <c r="B37" s="27" t="s">
        <v>57</v>
      </c>
      <c r="C37" s="23">
        <v>3800000</v>
      </c>
      <c r="D37" s="23"/>
      <c r="E37" s="24">
        <v>0.2</v>
      </c>
      <c r="F37" s="25">
        <v>4</v>
      </c>
      <c r="G37" s="31">
        <f t="shared" si="0"/>
        <v>0.8</v>
      </c>
      <c r="H37" s="26">
        <f t="shared" si="2"/>
        <v>3040000</v>
      </c>
      <c r="M37" s="68">
        <v>1.6</v>
      </c>
      <c r="N37" s="68">
        <f t="shared" si="1"/>
        <v>7296000</v>
      </c>
      <c r="P37" s="3"/>
      <c r="Q37" s="3"/>
      <c r="R37" s="3"/>
      <c r="S37" s="3"/>
      <c r="T37" s="3"/>
    </row>
    <row r="38" spans="1:27" ht="13" x14ac:dyDescent="0.15">
      <c r="A38" s="22">
        <v>2</v>
      </c>
      <c r="B38" s="39" t="s">
        <v>58</v>
      </c>
      <c r="C38" s="23">
        <v>3800000</v>
      </c>
      <c r="D38" s="23"/>
      <c r="E38" s="24">
        <v>0.5</v>
      </c>
      <c r="F38" s="25">
        <v>5</v>
      </c>
      <c r="G38" s="31">
        <f t="shared" si="0"/>
        <v>2.5</v>
      </c>
      <c r="H38" s="26">
        <f t="shared" si="2"/>
        <v>19000000</v>
      </c>
      <c r="M38" s="68">
        <v>2</v>
      </c>
      <c r="N38" s="68">
        <f t="shared" si="1"/>
        <v>45600000</v>
      </c>
      <c r="P38" s="3"/>
      <c r="Q38" s="3"/>
      <c r="R38" s="3"/>
      <c r="S38" s="3"/>
      <c r="T38" s="3"/>
    </row>
    <row r="39" spans="1:27" ht="13" x14ac:dyDescent="0.15">
      <c r="A39" s="22">
        <v>1</v>
      </c>
      <c r="B39" s="5" t="s">
        <v>59</v>
      </c>
      <c r="C39" s="23">
        <v>3800000</v>
      </c>
      <c r="D39" s="23"/>
      <c r="E39" s="24">
        <v>0.4</v>
      </c>
      <c r="F39" s="25">
        <v>4</v>
      </c>
      <c r="G39" s="31">
        <f t="shared" si="0"/>
        <v>1.6</v>
      </c>
      <c r="H39" s="26">
        <f t="shared" si="2"/>
        <v>6080000</v>
      </c>
      <c r="M39" s="68">
        <v>1.6</v>
      </c>
      <c r="N39" s="68">
        <f t="shared" si="1"/>
        <v>14592000</v>
      </c>
      <c r="P39" s="3"/>
      <c r="Q39" s="3"/>
      <c r="R39" s="3"/>
      <c r="S39" s="3"/>
      <c r="T39" s="3"/>
    </row>
    <row r="40" spans="1:27" ht="13" x14ac:dyDescent="0.15">
      <c r="A40" s="22">
        <v>1</v>
      </c>
      <c r="B40" s="5" t="s">
        <v>123</v>
      </c>
      <c r="C40" s="23">
        <v>3800000</v>
      </c>
      <c r="D40" s="23"/>
      <c r="E40" s="24">
        <v>0.4</v>
      </c>
      <c r="F40" s="25">
        <v>4</v>
      </c>
      <c r="G40" s="31">
        <f t="shared" si="0"/>
        <v>1.6</v>
      </c>
      <c r="H40" s="26">
        <f t="shared" si="2"/>
        <v>6080000</v>
      </c>
      <c r="M40" s="68">
        <v>1.6</v>
      </c>
      <c r="N40" s="68">
        <f t="shared" si="1"/>
        <v>14592000</v>
      </c>
      <c r="P40" s="3"/>
      <c r="Q40" s="3"/>
      <c r="R40" s="3"/>
      <c r="S40" s="3"/>
      <c r="T40" s="3"/>
    </row>
    <row r="41" spans="1:27" ht="13" x14ac:dyDescent="0.15">
      <c r="A41" s="22">
        <v>1</v>
      </c>
      <c r="B41" s="5" t="s">
        <v>61</v>
      </c>
      <c r="C41" s="23">
        <v>3800000</v>
      </c>
      <c r="D41" s="23"/>
      <c r="E41" s="24">
        <v>0.4</v>
      </c>
      <c r="F41" s="25">
        <v>4</v>
      </c>
      <c r="G41" s="31">
        <f t="shared" si="0"/>
        <v>1.6</v>
      </c>
      <c r="H41" s="26">
        <f t="shared" si="2"/>
        <v>6080000</v>
      </c>
      <c r="M41" s="68">
        <v>1.6</v>
      </c>
      <c r="N41" s="68">
        <f t="shared" si="1"/>
        <v>14592000</v>
      </c>
      <c r="P41" s="3"/>
      <c r="Q41" s="3"/>
      <c r="R41" s="3"/>
      <c r="S41" s="3"/>
      <c r="T41" s="3"/>
    </row>
    <row r="42" spans="1:27" ht="13" x14ac:dyDescent="0.15">
      <c r="A42" s="22">
        <v>1</v>
      </c>
      <c r="B42" s="5" t="s">
        <v>62</v>
      </c>
      <c r="C42" s="23">
        <v>1800000</v>
      </c>
      <c r="D42" s="23"/>
      <c r="E42" s="24">
        <v>0.5</v>
      </c>
      <c r="F42" s="25">
        <v>6</v>
      </c>
      <c r="G42" s="31">
        <f t="shared" si="0"/>
        <v>3</v>
      </c>
      <c r="H42" s="26">
        <f t="shared" si="2"/>
        <v>5400000</v>
      </c>
      <c r="M42" s="68">
        <v>4</v>
      </c>
      <c r="N42" s="68">
        <f t="shared" si="1"/>
        <v>12960000</v>
      </c>
      <c r="P42" s="3"/>
      <c r="Q42" s="3"/>
      <c r="R42" s="3"/>
      <c r="S42" s="3"/>
      <c r="T42" s="3"/>
    </row>
    <row r="43" spans="1:27" ht="13" x14ac:dyDescent="0.15">
      <c r="A43" s="22">
        <v>1</v>
      </c>
      <c r="B43" s="5" t="s">
        <v>63</v>
      </c>
      <c r="C43" s="23">
        <v>1800000</v>
      </c>
      <c r="D43" s="23"/>
      <c r="E43" s="24">
        <v>1</v>
      </c>
      <c r="F43" s="25">
        <v>8</v>
      </c>
      <c r="G43" s="31">
        <f t="shared" si="0"/>
        <v>8</v>
      </c>
      <c r="H43" s="26">
        <f t="shared" si="2"/>
        <v>14400000</v>
      </c>
      <c r="M43" s="68">
        <v>3</v>
      </c>
      <c r="N43" s="68">
        <f t="shared" si="1"/>
        <v>34560000</v>
      </c>
      <c r="P43" s="3"/>
      <c r="Q43" s="3"/>
      <c r="R43" s="3"/>
      <c r="S43" s="3"/>
      <c r="T43" s="3"/>
    </row>
    <row r="44" spans="1:27" ht="13" x14ac:dyDescent="0.15">
      <c r="A44" s="40"/>
      <c r="B44" s="41"/>
      <c r="C44" s="42"/>
      <c r="D44" s="42"/>
      <c r="E44" s="43"/>
      <c r="F44" s="44"/>
      <c r="G44" s="45"/>
      <c r="H44" s="46"/>
      <c r="M44" s="68">
        <v>3</v>
      </c>
      <c r="N44" s="68">
        <f t="shared" si="1"/>
        <v>0</v>
      </c>
      <c r="P44" s="3"/>
      <c r="Q44" s="3"/>
      <c r="R44" s="3"/>
      <c r="S44" s="3"/>
      <c r="T44" s="3"/>
    </row>
    <row r="45" spans="1:27" ht="13" x14ac:dyDescent="0.15">
      <c r="A45" s="47">
        <v>1</v>
      </c>
      <c r="B45" s="48" t="s">
        <v>65</v>
      </c>
      <c r="C45" s="49">
        <v>800000</v>
      </c>
      <c r="D45" s="49"/>
      <c r="E45" s="50">
        <v>1</v>
      </c>
      <c r="F45" s="51">
        <v>2</v>
      </c>
      <c r="G45" s="52">
        <f>E45*F45</f>
        <v>2</v>
      </c>
      <c r="H45" s="53">
        <f t="shared" si="2"/>
        <v>1600000</v>
      </c>
      <c r="M45" s="68">
        <v>4</v>
      </c>
      <c r="N45" s="68">
        <f t="shared" si="1"/>
        <v>3840000</v>
      </c>
      <c r="P45" s="3"/>
      <c r="Q45" s="3"/>
      <c r="R45" s="3"/>
      <c r="S45" s="3"/>
      <c r="T45" s="3"/>
    </row>
    <row r="46" spans="1:27" ht="13" x14ac:dyDescent="0.15">
      <c r="A46" s="280" t="s">
        <v>67</v>
      </c>
      <c r="B46" s="281"/>
      <c r="C46" s="281"/>
      <c r="D46" s="281"/>
      <c r="E46" s="281"/>
      <c r="F46" s="281"/>
      <c r="G46" s="282"/>
      <c r="H46" s="54">
        <f>SUM(H16:H45)</f>
        <v>335720000</v>
      </c>
      <c r="P46" s="3"/>
      <c r="Q46" s="3"/>
      <c r="R46" s="3"/>
      <c r="S46" s="3"/>
      <c r="T46" s="3"/>
    </row>
    <row r="47" spans="1:27" ht="13" x14ac:dyDescent="0.15">
      <c r="A47" s="292" t="s">
        <v>69</v>
      </c>
      <c r="B47" s="293"/>
      <c r="C47" s="293"/>
      <c r="D47" s="293"/>
      <c r="E47" s="293"/>
      <c r="F47" s="293"/>
      <c r="G47" s="294"/>
      <c r="H47" s="55">
        <v>2.4</v>
      </c>
      <c r="P47" s="3"/>
      <c r="Q47" s="3"/>
      <c r="R47" s="3"/>
      <c r="S47" s="3"/>
      <c r="T47" s="3"/>
    </row>
    <row r="48" spans="1:27" ht="13" x14ac:dyDescent="0.15">
      <c r="A48" s="295" t="s">
        <v>71</v>
      </c>
      <c r="B48" s="296"/>
      <c r="C48" s="296"/>
      <c r="D48" s="296"/>
      <c r="E48" s="296"/>
      <c r="F48" s="296"/>
      <c r="G48" s="297"/>
      <c r="H48" s="53">
        <f>+(H46*H47)</f>
        <v>805728000</v>
      </c>
      <c r="P48" s="3"/>
      <c r="Q48" s="3"/>
      <c r="R48" s="3"/>
      <c r="S48" s="3"/>
      <c r="T48" s="3"/>
    </row>
    <row r="49" spans="1:20" ht="14" x14ac:dyDescent="0.15">
      <c r="A49" s="56" t="s">
        <v>11</v>
      </c>
      <c r="B49" s="57" t="s">
        <v>73</v>
      </c>
      <c r="C49" s="58" t="s">
        <v>74</v>
      </c>
      <c r="D49" s="59" t="s">
        <v>75</v>
      </c>
      <c r="E49" s="59"/>
      <c r="F49" s="59"/>
      <c r="G49" s="60" t="s">
        <v>17</v>
      </c>
      <c r="H49" s="61" t="s">
        <v>18</v>
      </c>
      <c r="P49" s="3" t="s">
        <v>47</v>
      </c>
      <c r="Q49" s="109">
        <f>+N16+N17+N18+N19+N39+N42+N43+N45</f>
        <v>331872000</v>
      </c>
      <c r="R49" s="3"/>
      <c r="S49" s="3"/>
      <c r="T49" s="3"/>
    </row>
    <row r="50" spans="1:20" ht="24" x14ac:dyDescent="0.15">
      <c r="A50" s="62">
        <v>1</v>
      </c>
      <c r="B50" s="5" t="s">
        <v>76</v>
      </c>
      <c r="C50" s="23">
        <v>180000</v>
      </c>
      <c r="D50" s="63" t="s">
        <v>77</v>
      </c>
      <c r="E50" s="64"/>
      <c r="F50" s="64"/>
      <c r="G50" s="65">
        <f>2*2*8</f>
        <v>32</v>
      </c>
      <c r="H50" s="26">
        <f t="shared" ref="H50:H72" si="11">A50*C50*G50</f>
        <v>5760000</v>
      </c>
      <c r="M50" s="72">
        <v>24</v>
      </c>
      <c r="N50" s="7" t="s">
        <v>124</v>
      </c>
      <c r="O50" s="73">
        <f t="shared" ref="O50:O55" si="12">+G50*A50</f>
        <v>32</v>
      </c>
      <c r="P50" s="3" t="s">
        <v>49</v>
      </c>
      <c r="Q50" s="109">
        <f>+N20+N21+N22+N23+N24+N25+N26+N27+N28+N29+N30+N31+N33+N34+N35+N36+N37+N38+N40+N41</f>
        <v>473856000</v>
      </c>
      <c r="R50" s="3"/>
      <c r="S50" s="3"/>
      <c r="T50" s="3"/>
    </row>
    <row r="51" spans="1:20" ht="24" x14ac:dyDescent="0.15">
      <c r="A51" s="62">
        <v>10</v>
      </c>
      <c r="B51" s="5" t="s">
        <v>79</v>
      </c>
      <c r="C51" s="23">
        <v>180000</v>
      </c>
      <c r="D51" s="63" t="s">
        <v>77</v>
      </c>
      <c r="E51" s="64"/>
      <c r="F51" s="64"/>
      <c r="G51" s="65">
        <f>A51*2*2</f>
        <v>40</v>
      </c>
      <c r="H51" s="26">
        <f t="shared" si="11"/>
        <v>72000000</v>
      </c>
      <c r="M51" s="72">
        <v>40</v>
      </c>
      <c r="N51" s="7" t="s">
        <v>125</v>
      </c>
      <c r="O51" s="73">
        <f t="shared" si="12"/>
        <v>400</v>
      </c>
      <c r="P51" s="3" t="s">
        <v>126</v>
      </c>
      <c r="Q51" s="109">
        <f>+Q50+Q49</f>
        <v>805728000</v>
      </c>
      <c r="R51" s="3"/>
      <c r="S51" s="3"/>
      <c r="T51" s="3"/>
    </row>
    <row r="52" spans="1:20" ht="24" x14ac:dyDescent="0.15">
      <c r="A52" s="62">
        <v>13</v>
      </c>
      <c r="B52" s="5" t="s">
        <v>81</v>
      </c>
      <c r="C52" s="23">
        <v>180000</v>
      </c>
      <c r="D52" s="63" t="s">
        <v>77</v>
      </c>
      <c r="E52" s="64"/>
      <c r="F52" s="64"/>
      <c r="G52" s="65">
        <f>(A52*1*2)</f>
        <v>26</v>
      </c>
      <c r="H52" s="26">
        <f t="shared" si="11"/>
        <v>60840000</v>
      </c>
      <c r="M52" s="72">
        <v>32</v>
      </c>
      <c r="N52" s="7" t="s">
        <v>127</v>
      </c>
      <c r="O52" s="73">
        <f t="shared" si="12"/>
        <v>338</v>
      </c>
      <c r="P52" s="3" t="s">
        <v>53</v>
      </c>
      <c r="Q52" s="110">
        <f>+H74</f>
        <v>1447460000</v>
      </c>
      <c r="R52" s="3"/>
      <c r="S52" s="3"/>
      <c r="T52" s="3"/>
    </row>
    <row r="53" spans="1:20" ht="24" x14ac:dyDescent="0.15">
      <c r="A53" s="62">
        <v>1</v>
      </c>
      <c r="B53" s="5" t="s">
        <v>83</v>
      </c>
      <c r="C53" s="23">
        <v>1000000</v>
      </c>
      <c r="D53" s="63" t="s">
        <v>84</v>
      </c>
      <c r="E53" s="64"/>
      <c r="F53" s="64"/>
      <c r="G53" s="65">
        <v>8</v>
      </c>
      <c r="H53" s="26">
        <f t="shared" si="11"/>
        <v>8000000</v>
      </c>
      <c r="M53" s="72">
        <v>6</v>
      </c>
      <c r="O53" s="73">
        <f t="shared" si="12"/>
        <v>8</v>
      </c>
      <c r="P53" s="3"/>
      <c r="Q53" s="109">
        <f>+Q52+Q51</f>
        <v>2253188000</v>
      </c>
      <c r="R53" s="3"/>
      <c r="S53" s="3"/>
      <c r="T53" s="3"/>
    </row>
    <row r="54" spans="1:20" ht="24" x14ac:dyDescent="0.15">
      <c r="A54" s="62">
        <v>10</v>
      </c>
      <c r="B54" s="5" t="s">
        <v>85</v>
      </c>
      <c r="C54" s="23">
        <v>1000000</v>
      </c>
      <c r="D54" s="63" t="s">
        <v>84</v>
      </c>
      <c r="E54" s="64"/>
      <c r="F54" s="64"/>
      <c r="G54" s="65">
        <v>2</v>
      </c>
      <c r="H54" s="26">
        <f t="shared" si="11"/>
        <v>20000000</v>
      </c>
      <c r="M54" s="72">
        <v>1</v>
      </c>
      <c r="O54" s="73">
        <f t="shared" si="12"/>
        <v>20</v>
      </c>
    </row>
    <row r="55" spans="1:20" ht="24" x14ac:dyDescent="0.15">
      <c r="A55" s="62">
        <v>13</v>
      </c>
      <c r="B55" s="5" t="s">
        <v>86</v>
      </c>
      <c r="C55" s="23">
        <v>1000000</v>
      </c>
      <c r="D55" s="63" t="s">
        <v>84</v>
      </c>
      <c r="E55" s="64"/>
      <c r="F55" s="64"/>
      <c r="G55" s="65">
        <v>2</v>
      </c>
      <c r="H55" s="26">
        <f t="shared" si="11"/>
        <v>26000000</v>
      </c>
      <c r="M55" s="72">
        <v>1</v>
      </c>
      <c r="O55" s="73">
        <f t="shared" si="12"/>
        <v>26</v>
      </c>
    </row>
    <row r="56" spans="1:20" ht="24" x14ac:dyDescent="0.15">
      <c r="A56" s="62">
        <v>1</v>
      </c>
      <c r="B56" s="5" t="s">
        <v>87</v>
      </c>
      <c r="C56" s="23">
        <v>30000000</v>
      </c>
      <c r="D56" s="63" t="s">
        <v>88</v>
      </c>
      <c r="E56" s="64"/>
      <c r="F56" s="64"/>
      <c r="G56" s="65">
        <v>1</v>
      </c>
      <c r="H56" s="26">
        <f t="shared" si="11"/>
        <v>30000000</v>
      </c>
    </row>
    <row r="57" spans="1:20" ht="24" x14ac:dyDescent="0.15">
      <c r="A57" s="62">
        <v>1</v>
      </c>
      <c r="B57" s="5" t="s">
        <v>128</v>
      </c>
      <c r="C57" s="66">
        <v>3500000</v>
      </c>
      <c r="D57" s="63" t="s">
        <v>129</v>
      </c>
      <c r="E57" s="64"/>
      <c r="F57" s="64"/>
      <c r="G57" s="67">
        <v>73</v>
      </c>
      <c r="H57" s="26">
        <f t="shared" si="11"/>
        <v>255500000</v>
      </c>
      <c r="M57" s="68">
        <v>86400000</v>
      </c>
    </row>
    <row r="58" spans="1:20" ht="12" x14ac:dyDescent="0.15">
      <c r="A58" s="62">
        <v>1</v>
      </c>
      <c r="B58" s="5" t="s">
        <v>130</v>
      </c>
      <c r="C58" s="23">
        <v>1800000</v>
      </c>
      <c r="D58" s="63" t="s">
        <v>131</v>
      </c>
      <c r="E58" s="64"/>
      <c r="F58" s="64"/>
      <c r="G58" s="65">
        <v>10</v>
      </c>
      <c r="H58" s="26">
        <f t="shared" si="11"/>
        <v>18000000</v>
      </c>
    </row>
    <row r="59" spans="1:20" ht="36" x14ac:dyDescent="0.15">
      <c r="A59" s="62">
        <v>1</v>
      </c>
      <c r="B59" s="5" t="s">
        <v>132</v>
      </c>
      <c r="C59" s="23">
        <v>1400000</v>
      </c>
      <c r="D59" s="63" t="s">
        <v>133</v>
      </c>
      <c r="E59" s="64"/>
      <c r="F59" s="64"/>
      <c r="G59" s="67">
        <v>73</v>
      </c>
      <c r="H59" s="26">
        <f t="shared" si="11"/>
        <v>102200000</v>
      </c>
      <c r="M59" s="68">
        <v>16000000</v>
      </c>
    </row>
    <row r="60" spans="1:20" ht="36" x14ac:dyDescent="0.15">
      <c r="A60" s="62">
        <v>1</v>
      </c>
      <c r="B60" s="5" t="s">
        <v>134</v>
      </c>
      <c r="C60" s="23">
        <v>6000000</v>
      </c>
      <c r="D60" s="63" t="s">
        <v>92</v>
      </c>
      <c r="E60" s="64"/>
      <c r="F60" s="64"/>
      <c r="G60" s="65">
        <v>4</v>
      </c>
      <c r="H60" s="26">
        <f t="shared" si="11"/>
        <v>24000000</v>
      </c>
    </row>
    <row r="61" spans="1:20" ht="24" x14ac:dyDescent="0.15">
      <c r="A61" s="62">
        <v>1</v>
      </c>
      <c r="B61" s="5" t="s">
        <v>135</v>
      </c>
      <c r="C61" s="23">
        <v>67160000</v>
      </c>
      <c r="D61" s="63" t="s">
        <v>88</v>
      </c>
      <c r="E61" s="64"/>
      <c r="F61" s="64"/>
      <c r="G61" s="65">
        <v>1</v>
      </c>
      <c r="H61" s="26">
        <f t="shared" si="11"/>
        <v>67160000</v>
      </c>
      <c r="M61" s="68">
        <v>67159862</v>
      </c>
    </row>
    <row r="62" spans="1:20" ht="12" x14ac:dyDescent="0.15">
      <c r="A62" s="62">
        <v>2</v>
      </c>
      <c r="B62" s="5" t="s">
        <v>136</v>
      </c>
      <c r="C62" s="23">
        <v>1200000</v>
      </c>
      <c r="D62" s="63" t="s">
        <v>92</v>
      </c>
      <c r="E62" s="64"/>
      <c r="F62" s="64"/>
      <c r="G62" s="65">
        <f>G60</f>
        <v>4</v>
      </c>
      <c r="H62" s="26">
        <f t="shared" si="11"/>
        <v>9600000</v>
      </c>
    </row>
    <row r="63" spans="1:20" ht="24" x14ac:dyDescent="0.15">
      <c r="A63" s="62">
        <v>1</v>
      </c>
      <c r="B63" s="5" t="s">
        <v>91</v>
      </c>
      <c r="C63" s="23">
        <v>200000</v>
      </c>
      <c r="D63" s="63" t="s">
        <v>92</v>
      </c>
      <c r="E63" s="64"/>
      <c r="F63" s="64"/>
      <c r="G63" s="65">
        <v>9</v>
      </c>
      <c r="H63" s="26">
        <f t="shared" si="11"/>
        <v>1800000</v>
      </c>
    </row>
    <row r="64" spans="1:20" ht="48" x14ac:dyDescent="0.15">
      <c r="A64" s="62">
        <v>1</v>
      </c>
      <c r="B64" s="5" t="s">
        <v>93</v>
      </c>
      <c r="C64" s="23">
        <v>30000000</v>
      </c>
      <c r="D64" s="63" t="s">
        <v>88</v>
      </c>
      <c r="E64" s="64"/>
      <c r="F64" s="64"/>
      <c r="G64" s="65">
        <v>1</v>
      </c>
      <c r="H64" s="26">
        <f t="shared" si="11"/>
        <v>30000000</v>
      </c>
    </row>
    <row r="65" spans="1:15" ht="24" x14ac:dyDescent="0.15">
      <c r="A65" s="62">
        <v>1</v>
      </c>
      <c r="B65" s="5" t="s">
        <v>137</v>
      </c>
      <c r="C65" s="23">
        <v>400000</v>
      </c>
      <c r="D65" s="63" t="s">
        <v>138</v>
      </c>
      <c r="E65" s="64"/>
      <c r="F65" s="64"/>
      <c r="G65" s="121">
        <v>620</v>
      </c>
      <c r="H65" s="122">
        <f t="shared" si="11"/>
        <v>248000000</v>
      </c>
      <c r="M65" s="7">
        <v>60</v>
      </c>
      <c r="N65" s="68">
        <v>297600000</v>
      </c>
      <c r="O65" s="7">
        <f>17*73/2</f>
        <v>620.5</v>
      </c>
    </row>
    <row r="66" spans="1:15" ht="12" x14ac:dyDescent="0.15">
      <c r="A66" s="62">
        <v>1</v>
      </c>
      <c r="B66" s="5" t="s">
        <v>139</v>
      </c>
      <c r="C66" s="23">
        <v>280000</v>
      </c>
      <c r="D66" s="63" t="s">
        <v>138</v>
      </c>
      <c r="E66" s="64"/>
      <c r="F66" s="64"/>
      <c r="G66" s="121">
        <v>550</v>
      </c>
      <c r="H66" s="122">
        <f t="shared" si="11"/>
        <v>154000000</v>
      </c>
      <c r="M66" s="7">
        <v>50</v>
      </c>
      <c r="O66" s="7">
        <f>15*73/2</f>
        <v>547.5</v>
      </c>
    </row>
    <row r="67" spans="1:15" ht="12" x14ac:dyDescent="0.15">
      <c r="A67" s="62">
        <v>1</v>
      </c>
      <c r="B67" s="5" t="s">
        <v>140</v>
      </c>
      <c r="C67" s="23">
        <v>100000</v>
      </c>
      <c r="D67" s="63" t="s">
        <v>141</v>
      </c>
      <c r="E67" s="64"/>
      <c r="F67" s="64"/>
      <c r="G67" s="121">
        <f>2*73</f>
        <v>146</v>
      </c>
      <c r="H67" s="26">
        <f t="shared" si="11"/>
        <v>14600000</v>
      </c>
      <c r="M67" s="7">
        <v>30</v>
      </c>
    </row>
    <row r="68" spans="1:15" ht="84" x14ac:dyDescent="0.15">
      <c r="A68" s="62">
        <v>1</v>
      </c>
      <c r="B68" s="5" t="s">
        <v>142</v>
      </c>
      <c r="C68" s="123">
        <v>100000000</v>
      </c>
      <c r="D68" s="63" t="s">
        <v>88</v>
      </c>
      <c r="E68" s="64"/>
      <c r="F68" s="64"/>
      <c r="G68" s="65">
        <v>1</v>
      </c>
      <c r="H68" s="26">
        <f t="shared" si="11"/>
        <v>100000000</v>
      </c>
      <c r="N68" s="68">
        <f>+H68/73</f>
        <v>1369863.01369863</v>
      </c>
    </row>
    <row r="69" spans="1:15" ht="48" x14ac:dyDescent="0.15">
      <c r="A69" s="62">
        <v>1</v>
      </c>
      <c r="B69" s="5" t="s">
        <v>143</v>
      </c>
      <c r="C69" s="23">
        <v>80000000</v>
      </c>
      <c r="D69" s="63" t="s">
        <v>88</v>
      </c>
      <c r="E69" s="64"/>
      <c r="F69" s="64"/>
      <c r="G69" s="65">
        <v>1</v>
      </c>
      <c r="H69" s="26">
        <f t="shared" si="11"/>
        <v>80000000</v>
      </c>
    </row>
    <row r="70" spans="1:15" ht="12" x14ac:dyDescent="0.15">
      <c r="A70" s="62">
        <v>1</v>
      </c>
      <c r="B70" s="5" t="s">
        <v>94</v>
      </c>
      <c r="C70" s="23">
        <v>50000000</v>
      </c>
      <c r="D70" s="63" t="s">
        <v>88</v>
      </c>
      <c r="E70" s="64"/>
      <c r="F70" s="64"/>
      <c r="G70" s="65">
        <v>1</v>
      </c>
      <c r="H70" s="26">
        <f t="shared" si="11"/>
        <v>50000000</v>
      </c>
    </row>
    <row r="71" spans="1:15" ht="12" x14ac:dyDescent="0.15">
      <c r="A71" s="62">
        <v>1</v>
      </c>
      <c r="B71" s="5" t="s">
        <v>144</v>
      </c>
      <c r="C71" s="23">
        <v>40000</v>
      </c>
      <c r="D71" s="63" t="s">
        <v>145</v>
      </c>
      <c r="E71" s="64"/>
      <c r="F71" s="64"/>
      <c r="G71" s="65">
        <v>1000</v>
      </c>
      <c r="H71" s="26">
        <f t="shared" si="11"/>
        <v>40000000</v>
      </c>
    </row>
    <row r="72" spans="1:15" ht="12" x14ac:dyDescent="0.15">
      <c r="A72" s="62">
        <v>1</v>
      </c>
      <c r="B72" s="6" t="s">
        <v>146</v>
      </c>
      <c r="C72" s="23">
        <v>30000000</v>
      </c>
      <c r="D72" s="63" t="s">
        <v>88</v>
      </c>
      <c r="E72" s="64"/>
      <c r="F72" s="64"/>
      <c r="G72" s="65">
        <v>1</v>
      </c>
      <c r="H72" s="26">
        <f t="shared" si="11"/>
        <v>30000000</v>
      </c>
    </row>
    <row r="73" spans="1:15" x14ac:dyDescent="0.15">
      <c r="A73" s="62"/>
      <c r="B73" s="48"/>
      <c r="C73" s="23"/>
      <c r="D73" s="63"/>
      <c r="E73" s="64"/>
      <c r="F73" s="64"/>
      <c r="G73" s="65"/>
      <c r="H73" s="26"/>
    </row>
    <row r="74" spans="1:15" x14ac:dyDescent="0.15">
      <c r="A74" s="124"/>
      <c r="B74" s="125"/>
      <c r="C74" s="126"/>
      <c r="D74" s="126"/>
      <c r="E74" s="126"/>
      <c r="F74" s="126"/>
      <c r="G74" s="126"/>
      <c r="H74" s="127">
        <f>SUM(H50:H73)</f>
        <v>1447460000</v>
      </c>
    </row>
    <row r="75" spans="1:15" x14ac:dyDescent="0.15">
      <c r="A75" s="304" t="s">
        <v>95</v>
      </c>
      <c r="B75" s="304"/>
      <c r="C75" s="304"/>
      <c r="D75" s="304"/>
      <c r="E75" s="304"/>
      <c r="F75" s="304"/>
      <c r="G75" s="304"/>
      <c r="H75" s="128">
        <f>H48+H74</f>
        <v>2253188000</v>
      </c>
    </row>
    <row r="76" spans="1:15" x14ac:dyDescent="0.15">
      <c r="A76" s="304" t="s">
        <v>96</v>
      </c>
      <c r="B76" s="304"/>
      <c r="C76" s="304"/>
      <c r="D76" s="304"/>
      <c r="E76" s="304"/>
      <c r="F76" s="304"/>
      <c r="G76" s="304"/>
      <c r="H76" s="128">
        <f>ROUND(H75*16%,0)</f>
        <v>360510080</v>
      </c>
    </row>
    <row r="77" spans="1:15" x14ac:dyDescent="0.15">
      <c r="A77" s="305" t="s">
        <v>97</v>
      </c>
      <c r="B77" s="305"/>
      <c r="C77" s="305"/>
      <c r="D77" s="305"/>
      <c r="E77" s="305"/>
      <c r="F77" s="305"/>
      <c r="G77" s="305"/>
      <c r="H77" s="129">
        <f>H75+H76</f>
        <v>2613698080</v>
      </c>
      <c r="M77" s="68"/>
      <c r="N77" s="128"/>
    </row>
    <row r="78" spans="1:15" x14ac:dyDescent="0.15">
      <c r="C78" s="7"/>
      <c r="D78" s="7"/>
      <c r="E78" s="7"/>
    </row>
    <row r="79" spans="1:15" x14ac:dyDescent="0.15">
      <c r="C79" s="130"/>
      <c r="D79" s="130"/>
      <c r="E79" s="130"/>
      <c r="H79" s="68">
        <f>+H77/73</f>
        <v>35804083.287671231</v>
      </c>
    </row>
    <row r="80" spans="1:15" x14ac:dyDescent="0.15">
      <c r="C80" s="130"/>
      <c r="D80" s="130"/>
      <c r="E80" s="130"/>
    </row>
    <row r="81" spans="3:5" x14ac:dyDescent="0.15">
      <c r="C81" s="130"/>
      <c r="D81" s="130"/>
      <c r="E81" s="130"/>
    </row>
    <row r="82" spans="3:5" x14ac:dyDescent="0.15">
      <c r="C82" s="130"/>
      <c r="D82" s="130"/>
      <c r="E82" s="130"/>
    </row>
    <row r="83" spans="3:5" x14ac:dyDescent="0.15">
      <c r="C83" s="130"/>
      <c r="D83" s="130"/>
      <c r="E83" s="130"/>
    </row>
    <row r="84" spans="3:5" x14ac:dyDescent="0.15">
      <c r="C84" s="130"/>
      <c r="D84" s="130"/>
      <c r="E84" s="130"/>
    </row>
    <row r="85" spans="3:5" x14ac:dyDescent="0.15">
      <c r="C85" s="130"/>
      <c r="D85" s="130"/>
      <c r="E85" s="130"/>
    </row>
    <row r="86" spans="3:5" x14ac:dyDescent="0.15">
      <c r="C86" s="130"/>
      <c r="D86" s="130"/>
      <c r="E86" s="130"/>
    </row>
    <row r="87" spans="3:5" x14ac:dyDescent="0.15">
      <c r="C87" s="130"/>
      <c r="D87" s="130"/>
      <c r="E87" s="130"/>
    </row>
    <row r="88" spans="3:5" x14ac:dyDescent="0.15">
      <c r="C88" s="130"/>
      <c r="D88" s="130"/>
      <c r="E88" s="130"/>
    </row>
    <row r="89" spans="3:5" x14ac:dyDescent="0.15">
      <c r="C89" s="130"/>
      <c r="D89" s="130"/>
      <c r="E89" s="130"/>
    </row>
    <row r="90" spans="3:5" x14ac:dyDescent="0.15">
      <c r="C90" s="130"/>
      <c r="D90" s="130"/>
      <c r="E90" s="130"/>
    </row>
    <row r="91" spans="3:5" x14ac:dyDescent="0.15">
      <c r="C91" s="130"/>
      <c r="D91" s="130"/>
      <c r="E91" s="130"/>
    </row>
    <row r="92" spans="3:5" x14ac:dyDescent="0.15">
      <c r="C92" s="130"/>
      <c r="D92" s="130"/>
      <c r="E92" s="130"/>
    </row>
    <row r="93" spans="3:5" x14ac:dyDescent="0.15">
      <c r="C93" s="130"/>
      <c r="D93" s="130"/>
      <c r="E93" s="130"/>
    </row>
    <row r="94" spans="3:5" x14ac:dyDescent="0.15">
      <c r="C94" s="130"/>
      <c r="D94" s="130"/>
      <c r="E94" s="130"/>
    </row>
    <row r="95" spans="3:5" x14ac:dyDescent="0.15">
      <c r="C95" s="130"/>
      <c r="D95" s="130"/>
      <c r="E95" s="130"/>
    </row>
    <row r="96" spans="3:5" x14ac:dyDescent="0.15">
      <c r="C96" s="130"/>
      <c r="D96" s="130"/>
      <c r="E96" s="130"/>
    </row>
    <row r="97" spans="3:5" x14ac:dyDescent="0.15">
      <c r="C97" s="130"/>
      <c r="D97" s="130"/>
      <c r="E97" s="130"/>
    </row>
    <row r="98" spans="3:5" x14ac:dyDescent="0.15">
      <c r="C98" s="130"/>
      <c r="D98" s="130"/>
      <c r="E98" s="130"/>
    </row>
    <row r="99" spans="3:5" x14ac:dyDescent="0.15">
      <c r="C99" s="130"/>
      <c r="D99" s="130"/>
      <c r="E99" s="130"/>
    </row>
    <row r="100" spans="3:5" x14ac:dyDescent="0.15">
      <c r="C100" s="130"/>
      <c r="D100" s="130"/>
      <c r="E100" s="130"/>
    </row>
    <row r="101" spans="3:5" x14ac:dyDescent="0.15">
      <c r="C101" s="130"/>
      <c r="D101" s="130"/>
      <c r="E101" s="130"/>
    </row>
    <row r="102" spans="3:5" x14ac:dyDescent="0.15">
      <c r="C102" s="130"/>
      <c r="D102" s="130"/>
      <c r="E102" s="130"/>
    </row>
    <row r="103" spans="3:5" x14ac:dyDescent="0.15">
      <c r="C103" s="130"/>
      <c r="D103" s="130"/>
      <c r="E103" s="130"/>
    </row>
    <row r="104" spans="3:5" x14ac:dyDescent="0.15">
      <c r="C104" s="130"/>
      <c r="D104" s="130"/>
      <c r="E104" s="130"/>
    </row>
    <row r="105" spans="3:5" x14ac:dyDescent="0.15">
      <c r="C105" s="130"/>
      <c r="D105" s="130"/>
      <c r="E105" s="130"/>
    </row>
    <row r="106" spans="3:5" x14ac:dyDescent="0.15">
      <c r="C106" s="130"/>
      <c r="D106" s="130"/>
      <c r="E106" s="130"/>
    </row>
    <row r="107" spans="3:5" x14ac:dyDescent="0.15">
      <c r="C107" s="130"/>
      <c r="D107" s="130"/>
      <c r="E107" s="130"/>
    </row>
    <row r="108" spans="3:5" x14ac:dyDescent="0.15">
      <c r="C108" s="130"/>
      <c r="D108" s="130"/>
      <c r="E108" s="130"/>
    </row>
    <row r="109" spans="3:5" x14ac:dyDescent="0.15">
      <c r="C109" s="130"/>
      <c r="D109" s="130"/>
      <c r="E109" s="130"/>
    </row>
    <row r="110" spans="3:5" x14ac:dyDescent="0.15">
      <c r="C110" s="130"/>
      <c r="D110" s="130"/>
      <c r="E110" s="130"/>
    </row>
    <row r="111" spans="3:5" x14ac:dyDescent="0.15">
      <c r="C111" s="130"/>
      <c r="D111" s="130"/>
      <c r="E111" s="130"/>
    </row>
    <row r="112" spans="3:5" x14ac:dyDescent="0.15">
      <c r="C112" s="130"/>
      <c r="D112" s="130"/>
      <c r="E112" s="130"/>
    </row>
    <row r="113" spans="3:5" x14ac:dyDescent="0.15">
      <c r="C113" s="130"/>
      <c r="D113" s="130"/>
      <c r="E113" s="130"/>
    </row>
    <row r="114" spans="3:5" x14ac:dyDescent="0.15">
      <c r="C114" s="130"/>
      <c r="D114" s="130"/>
      <c r="E114" s="130"/>
    </row>
    <row r="115" spans="3:5" x14ac:dyDescent="0.15">
      <c r="C115" s="130"/>
      <c r="D115" s="130"/>
      <c r="E115" s="130"/>
    </row>
    <row r="116" spans="3:5" x14ac:dyDescent="0.15">
      <c r="C116" s="130"/>
      <c r="D116" s="130"/>
      <c r="E116" s="130"/>
    </row>
    <row r="117" spans="3:5" x14ac:dyDescent="0.15">
      <c r="C117" s="130"/>
      <c r="D117" s="130"/>
      <c r="E117" s="130"/>
    </row>
    <row r="118" spans="3:5" x14ac:dyDescent="0.15">
      <c r="C118" s="130"/>
      <c r="D118" s="130"/>
      <c r="E118" s="130"/>
    </row>
    <row r="119" spans="3:5" x14ac:dyDescent="0.15">
      <c r="C119" s="130"/>
      <c r="D119" s="130"/>
      <c r="E119" s="130"/>
    </row>
    <row r="120" spans="3:5" x14ac:dyDescent="0.15">
      <c r="C120" s="130"/>
      <c r="D120" s="130"/>
      <c r="E120" s="130"/>
    </row>
    <row r="121" spans="3:5" x14ac:dyDescent="0.15">
      <c r="C121" s="130"/>
      <c r="D121" s="130"/>
      <c r="E121" s="130"/>
    </row>
    <row r="122" spans="3:5" x14ac:dyDescent="0.15">
      <c r="C122" s="130"/>
      <c r="D122" s="130"/>
      <c r="E122" s="130"/>
    </row>
    <row r="123" spans="3:5" x14ac:dyDescent="0.15">
      <c r="C123" s="130"/>
      <c r="D123" s="130"/>
      <c r="E123" s="130"/>
    </row>
    <row r="124" spans="3:5" x14ac:dyDescent="0.15">
      <c r="C124" s="130"/>
      <c r="D124" s="130"/>
      <c r="E124" s="130"/>
    </row>
    <row r="125" spans="3:5" x14ac:dyDescent="0.15">
      <c r="C125" s="130"/>
      <c r="D125" s="130"/>
      <c r="E125" s="130"/>
    </row>
    <row r="126" spans="3:5" x14ac:dyDescent="0.15">
      <c r="C126" s="130"/>
      <c r="D126" s="130"/>
      <c r="E126" s="130"/>
    </row>
    <row r="127" spans="3:5" x14ac:dyDescent="0.15">
      <c r="C127" s="130"/>
      <c r="D127" s="130"/>
      <c r="E127" s="130"/>
    </row>
    <row r="128" spans="3:5" x14ac:dyDescent="0.15">
      <c r="C128" s="130"/>
      <c r="D128" s="130"/>
      <c r="E128" s="130"/>
    </row>
    <row r="129" spans="3:5" x14ac:dyDescent="0.15">
      <c r="C129" s="130"/>
      <c r="D129" s="130"/>
      <c r="E129" s="130"/>
    </row>
    <row r="130" spans="3:5" x14ac:dyDescent="0.15">
      <c r="C130" s="130"/>
      <c r="D130" s="130"/>
      <c r="E130" s="130"/>
    </row>
    <row r="131" spans="3:5" x14ac:dyDescent="0.15">
      <c r="C131" s="130"/>
      <c r="D131" s="130"/>
      <c r="E131" s="130"/>
    </row>
  </sheetData>
  <mergeCells count="17">
    <mergeCell ref="A47:G47"/>
    <mergeCell ref="A48:G48"/>
    <mergeCell ref="A75:G75"/>
    <mergeCell ref="A76:G76"/>
    <mergeCell ref="A77:G77"/>
    <mergeCell ref="A46:G46"/>
    <mergeCell ref="A1:H1"/>
    <mergeCell ref="A2:H2"/>
    <mergeCell ref="A3:H3"/>
    <mergeCell ref="A4:H4"/>
    <mergeCell ref="A5:H5"/>
    <mergeCell ref="A6:H6"/>
    <mergeCell ref="A7:H7"/>
    <mergeCell ref="A8:H8"/>
    <mergeCell ref="A9:H9"/>
    <mergeCell ref="A10:H10"/>
    <mergeCell ref="A12:H12"/>
  </mergeCells>
  <printOptions horizontalCentered="1"/>
  <pageMargins left="0.19685039370078741" right="0.19685039370078741" top="0.59055118110236227" bottom="0.31496062992125984" header="0" footer="0"/>
  <pageSetup scale="74" orientation="portrait" r:id="rId1"/>
  <headerFooter alignWithMargins="0">
    <oddFooter>&amp;C&amp;P DE &amp;N&amp;R&amp;D</oddFooter>
  </headerFooter>
  <drawing r:id="rId2"/>
  <legacyDrawing r:id="rId3"/>
  <oleObjects>
    <mc:AlternateContent xmlns:mc="http://schemas.openxmlformats.org/markup-compatibility/2006">
      <mc:Choice Requires="x14">
        <oleObject progId="MSPhotoEd.3" shapeId="77825" r:id="rId4">
          <objectPr defaultSize="0" autoPict="0" altText="" r:id="rId5">
            <anchor moveWithCells="1" sizeWithCells="1">
              <from>
                <xdr:col>2</xdr:col>
                <xdr:colOff>0</xdr:colOff>
                <xdr:row>10</xdr:row>
                <xdr:rowOff>0</xdr:rowOff>
              </from>
              <to>
                <xdr:col>2</xdr:col>
                <xdr:colOff>0</xdr:colOff>
                <xdr:row>10</xdr:row>
                <xdr:rowOff>0</xdr:rowOff>
              </to>
            </anchor>
          </objectPr>
        </oleObject>
      </mc:Choice>
      <mc:Fallback>
        <oleObject progId="MSPhotoEd.3" shapeId="77825" r:id="rId4"/>
      </mc:Fallback>
    </mc:AlternateContent>
    <mc:AlternateContent xmlns:mc="http://schemas.openxmlformats.org/markup-compatibility/2006">
      <mc:Choice Requires="x14">
        <oleObject progId="MSPhotoEd.3" shapeId="77827" r:id="rId6">
          <objectPr defaultSize="0" autoPict="0" altText="" r:id="rId5">
            <anchor moveWithCells="1" sizeWithCells="1">
              <from>
                <xdr:col>2</xdr:col>
                <xdr:colOff>0</xdr:colOff>
                <xdr:row>12</xdr:row>
                <xdr:rowOff>0</xdr:rowOff>
              </from>
              <to>
                <xdr:col>2</xdr:col>
                <xdr:colOff>0</xdr:colOff>
                <xdr:row>12</xdr:row>
                <xdr:rowOff>0</xdr:rowOff>
              </to>
            </anchor>
          </objectPr>
        </oleObject>
      </mc:Choice>
      <mc:Fallback>
        <oleObject progId="MSPhotoEd.3" shapeId="77827"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N34"/>
  <sheetViews>
    <sheetView tabSelected="1" view="pageBreakPreview" zoomScale="80" zoomScaleNormal="80" zoomScaleSheetLayoutView="80" workbookViewId="0">
      <selection activeCell="A3" sqref="A3:H4"/>
    </sheetView>
  </sheetViews>
  <sheetFormatPr baseColWidth="10" defaultColWidth="9.1640625" defaultRowHeight="13" x14ac:dyDescent="0.15"/>
  <cols>
    <col min="1" max="1" width="18.83203125" style="249" customWidth="1"/>
    <col min="2" max="2" width="71.6640625" style="249" customWidth="1"/>
    <col min="3" max="4" width="27.5" style="249" customWidth="1"/>
    <col min="5" max="5" width="18.5" style="249" customWidth="1"/>
    <col min="6" max="6" width="24.83203125" style="249" customWidth="1"/>
    <col min="7" max="7" width="18.33203125" style="249" customWidth="1"/>
    <col min="8" max="8" width="22.5" style="252" customWidth="1"/>
    <col min="9" max="9" width="42.6640625" style="249" customWidth="1"/>
    <col min="10" max="11" width="21.33203125" style="249" customWidth="1"/>
    <col min="12" max="12" width="19.1640625" style="249" customWidth="1"/>
    <col min="13" max="16384" width="9.1640625" style="249"/>
  </cols>
  <sheetData>
    <row r="1" spans="1:14" s="237" customFormat="1" ht="34.5" customHeight="1" x14ac:dyDescent="0.15">
      <c r="A1" s="345" t="s">
        <v>0</v>
      </c>
      <c r="B1" s="346"/>
      <c r="C1" s="346"/>
      <c r="D1" s="346"/>
      <c r="E1" s="346"/>
      <c r="F1" s="346"/>
      <c r="G1" s="346"/>
      <c r="H1" s="347"/>
    </row>
    <row r="2" spans="1:14" s="237" customFormat="1" ht="22.5" customHeight="1" x14ac:dyDescent="0.15">
      <c r="A2" s="348" t="s">
        <v>1</v>
      </c>
      <c r="B2" s="349"/>
      <c r="C2" s="349"/>
      <c r="D2" s="349"/>
      <c r="E2" s="349"/>
      <c r="F2" s="349"/>
      <c r="G2" s="349"/>
      <c r="H2" s="350"/>
    </row>
    <row r="3" spans="1:14" s="237" customFormat="1" ht="19.5" customHeight="1" x14ac:dyDescent="0.15">
      <c r="A3" s="363" t="s">
        <v>168</v>
      </c>
      <c r="B3" s="364"/>
      <c r="C3" s="364"/>
      <c r="D3" s="364"/>
      <c r="E3" s="364"/>
      <c r="F3" s="364"/>
      <c r="G3" s="364"/>
      <c r="H3" s="365"/>
    </row>
    <row r="4" spans="1:14" s="237" customFormat="1" ht="21" customHeight="1" x14ac:dyDescent="0.15">
      <c r="A4" s="363" t="s">
        <v>169</v>
      </c>
      <c r="B4" s="364"/>
      <c r="C4" s="364"/>
      <c r="D4" s="364"/>
      <c r="E4" s="364"/>
      <c r="F4" s="364"/>
      <c r="G4" s="364"/>
      <c r="H4" s="365"/>
    </row>
    <row r="5" spans="1:14" s="237" customFormat="1" ht="10.5" customHeight="1" thickBot="1" x14ac:dyDescent="0.2">
      <c r="A5" s="238"/>
      <c r="B5" s="239"/>
      <c r="C5" s="239"/>
      <c r="D5" s="239"/>
      <c r="E5" s="239"/>
      <c r="F5" s="239"/>
      <c r="G5" s="239"/>
      <c r="H5" s="240"/>
    </row>
    <row r="6" spans="1:14" s="237" customFormat="1" ht="57" customHeight="1" thickBot="1" x14ac:dyDescent="0.2">
      <c r="A6" s="351" t="s">
        <v>147</v>
      </c>
      <c r="B6" s="352"/>
      <c r="C6" s="352"/>
      <c r="D6" s="352"/>
      <c r="E6" s="352"/>
      <c r="F6" s="352"/>
      <c r="G6" s="352"/>
      <c r="H6" s="353"/>
    </row>
    <row r="7" spans="1:14" s="237" customFormat="1" ht="18.75" customHeight="1" thickBot="1" x14ac:dyDescent="0.2">
      <c r="A7" s="241"/>
      <c r="B7" s="242"/>
      <c r="C7" s="242"/>
      <c r="D7" s="242"/>
      <c r="E7" s="242"/>
      <c r="G7" s="242"/>
      <c r="H7" s="243"/>
    </row>
    <row r="8" spans="1:14" s="237" customFormat="1" ht="18.75" customHeight="1" thickBot="1" x14ac:dyDescent="0.2">
      <c r="A8" s="244" t="s">
        <v>148</v>
      </c>
      <c r="B8" s="245"/>
      <c r="C8" s="245"/>
      <c r="D8" s="245"/>
      <c r="E8" s="245"/>
      <c r="G8" s="246"/>
      <c r="H8" s="265"/>
    </row>
    <row r="9" spans="1:14" s="237" customFormat="1" ht="68.25" customHeight="1" thickBot="1" x14ac:dyDescent="0.2">
      <c r="A9" s="328" t="s">
        <v>170</v>
      </c>
      <c r="B9" s="329"/>
      <c r="C9" s="329"/>
      <c r="D9" s="329"/>
      <c r="E9" s="329"/>
      <c r="F9" s="329"/>
      <c r="G9" s="329"/>
      <c r="H9" s="330"/>
    </row>
    <row r="10" spans="1:14" s="237" customFormat="1" ht="60" customHeight="1" thickBot="1" x14ac:dyDescent="0.2">
      <c r="A10" s="331" t="s">
        <v>149</v>
      </c>
      <c r="B10" s="332"/>
      <c r="C10" s="332"/>
      <c r="D10" s="332"/>
      <c r="E10" s="333"/>
      <c r="F10" s="334" t="s">
        <v>155</v>
      </c>
      <c r="G10" s="335"/>
      <c r="H10" s="336"/>
    </row>
    <row r="11" spans="1:14" s="247" customFormat="1" ht="53.25" customHeight="1" thickBot="1" x14ac:dyDescent="0.2">
      <c r="A11" s="253" t="s">
        <v>156</v>
      </c>
      <c r="B11" s="254"/>
      <c r="C11" s="254"/>
      <c r="D11" s="254"/>
      <c r="E11" s="254"/>
      <c r="F11" s="254"/>
      <c r="G11" s="254"/>
      <c r="H11" s="255"/>
      <c r="J11" s="251"/>
    </row>
    <row r="12" spans="1:14" s="247" customFormat="1" ht="28.5" customHeight="1" x14ac:dyDescent="0.15">
      <c r="A12" s="337" t="s">
        <v>157</v>
      </c>
      <c r="B12" s="341" t="s">
        <v>12</v>
      </c>
      <c r="C12" s="337" t="s">
        <v>150</v>
      </c>
      <c r="D12" s="271" t="s">
        <v>151</v>
      </c>
      <c r="E12" s="343" t="s">
        <v>152</v>
      </c>
      <c r="F12" s="344"/>
      <c r="G12" s="343" t="s">
        <v>153</v>
      </c>
      <c r="H12" s="344"/>
      <c r="J12" s="248"/>
    </row>
    <row r="13" spans="1:14" s="247" customFormat="1" ht="28.5" customHeight="1" thickBot="1" x14ac:dyDescent="0.2">
      <c r="A13" s="338"/>
      <c r="B13" s="342"/>
      <c r="C13" s="338"/>
      <c r="D13" s="279" t="s">
        <v>158</v>
      </c>
      <c r="E13" s="339" t="s">
        <v>159</v>
      </c>
      <c r="F13" s="340"/>
      <c r="G13" s="339" t="s">
        <v>160</v>
      </c>
      <c r="H13" s="340"/>
      <c r="J13" s="248"/>
      <c r="K13" s="275"/>
      <c r="L13" s="275"/>
    </row>
    <row r="14" spans="1:14" ht="32.25" customHeight="1" thickBot="1" x14ac:dyDescent="0.2">
      <c r="A14" s="268">
        <v>1</v>
      </c>
      <c r="B14" s="269" t="s">
        <v>171</v>
      </c>
      <c r="C14" s="270" t="s">
        <v>131</v>
      </c>
      <c r="D14" s="278">
        <v>800000</v>
      </c>
      <c r="E14" s="308">
        <v>74</v>
      </c>
      <c r="F14" s="309"/>
      <c r="G14" s="306">
        <f>+ROUND(E14*D14,0)</f>
        <v>59200000</v>
      </c>
      <c r="H14" s="307"/>
      <c r="I14" s="250"/>
      <c r="J14" s="248"/>
      <c r="K14" s="276"/>
      <c r="L14" s="276"/>
      <c r="M14" s="274"/>
      <c r="N14" s="274"/>
    </row>
    <row r="15" spans="1:14" s="256" customFormat="1" ht="42" customHeight="1" thickBot="1" x14ac:dyDescent="0.2">
      <c r="A15" s="322" t="s">
        <v>161</v>
      </c>
      <c r="B15" s="323"/>
      <c r="C15" s="323"/>
      <c r="D15" s="323"/>
      <c r="E15" s="323"/>
      <c r="F15" s="324"/>
      <c r="G15" s="320">
        <f>+G14</f>
        <v>59200000</v>
      </c>
      <c r="H15" s="321"/>
      <c r="J15" s="248"/>
      <c r="K15" s="277"/>
      <c r="L15" s="274"/>
      <c r="M15" s="274"/>
      <c r="N15" s="274"/>
    </row>
    <row r="16" spans="1:14" ht="34.5" customHeight="1" x14ac:dyDescent="0.15">
      <c r="A16" s="325" t="s">
        <v>162</v>
      </c>
      <c r="B16" s="326"/>
      <c r="C16" s="326"/>
      <c r="D16" s="326"/>
      <c r="E16" s="326"/>
      <c r="F16" s="327"/>
      <c r="G16" s="316">
        <f>+G15</f>
        <v>59200000</v>
      </c>
      <c r="H16" s="317"/>
      <c r="J16" s="248"/>
      <c r="K16"/>
      <c r="L16"/>
      <c r="M16"/>
    </row>
    <row r="17" spans="1:13" ht="34.5" customHeight="1" x14ac:dyDescent="0.15">
      <c r="A17" s="310" t="s">
        <v>163</v>
      </c>
      <c r="B17" s="311"/>
      <c r="C17" s="311"/>
      <c r="D17" s="311"/>
      <c r="E17" s="311"/>
      <c r="F17" s="312"/>
      <c r="G17" s="316">
        <f>+ROUND(G16*0.19,0)</f>
        <v>11248000</v>
      </c>
      <c r="H17" s="317"/>
      <c r="J17" s="272"/>
      <c r="K17"/>
      <c r="L17"/>
      <c r="M17"/>
    </row>
    <row r="18" spans="1:13" ht="60" customHeight="1" thickBot="1" x14ac:dyDescent="0.2">
      <c r="A18" s="313" t="s">
        <v>164</v>
      </c>
      <c r="B18" s="314"/>
      <c r="C18" s="314"/>
      <c r="D18" s="314"/>
      <c r="E18" s="314"/>
      <c r="F18" s="315"/>
      <c r="G18" s="318">
        <f>+G17+G16</f>
        <v>70448000</v>
      </c>
      <c r="H18" s="319"/>
      <c r="J18" s="273"/>
      <c r="K18"/>
      <c r="L18"/>
      <c r="M18"/>
    </row>
    <row r="19" spans="1:13" ht="22.5" customHeight="1" x14ac:dyDescent="0.15">
      <c r="A19" s="257" t="s">
        <v>154</v>
      </c>
      <c r="B19" s="258"/>
      <c r="C19" s="259"/>
      <c r="D19" s="259"/>
      <c r="E19" s="260"/>
      <c r="F19" s="261"/>
      <c r="G19" s="261"/>
      <c r="H19" s="262"/>
      <c r="J19" s="273"/>
      <c r="K19"/>
      <c r="L19"/>
      <c r="M19"/>
    </row>
    <row r="20" spans="1:13" x14ac:dyDescent="0.15">
      <c r="A20" s="266"/>
      <c r="H20" s="264"/>
      <c r="K20"/>
      <c r="L20"/>
      <c r="M20"/>
    </row>
    <row r="21" spans="1:13" ht="33.75" customHeight="1" x14ac:dyDescent="0.15">
      <c r="A21" s="354" t="s">
        <v>165</v>
      </c>
      <c r="B21" s="355"/>
      <c r="C21" s="355"/>
      <c r="D21" s="355"/>
      <c r="E21" s="355"/>
      <c r="F21" s="355"/>
      <c r="G21" s="355"/>
      <c r="H21" s="356"/>
      <c r="K21"/>
      <c r="L21"/>
      <c r="M21"/>
    </row>
    <row r="22" spans="1:13" ht="17.25" customHeight="1" x14ac:dyDescent="0.15">
      <c r="A22" s="360" t="s">
        <v>166</v>
      </c>
      <c r="B22" s="361"/>
      <c r="C22" s="361"/>
      <c r="D22" s="361"/>
      <c r="E22" s="361"/>
      <c r="F22" s="361"/>
      <c r="G22" s="361"/>
      <c r="H22" s="362"/>
      <c r="K22"/>
      <c r="L22"/>
      <c r="M22"/>
    </row>
    <row r="23" spans="1:13" ht="34.5" customHeight="1" x14ac:dyDescent="0.15">
      <c r="A23" s="357" t="s">
        <v>167</v>
      </c>
      <c r="B23" s="358"/>
      <c r="C23" s="358"/>
      <c r="D23" s="358"/>
      <c r="E23" s="358"/>
      <c r="F23" s="358"/>
      <c r="G23" s="358"/>
      <c r="H23" s="359"/>
    </row>
    <row r="24" spans="1:13" ht="38.5" customHeight="1" x14ac:dyDescent="0.15">
      <c r="A24" s="357"/>
      <c r="B24" s="358"/>
      <c r="C24" s="358"/>
      <c r="D24" s="358"/>
      <c r="E24" s="358"/>
      <c r="F24" s="358"/>
      <c r="G24" s="358"/>
      <c r="H24" s="359"/>
    </row>
    <row r="25" spans="1:13" ht="37.5" customHeight="1" x14ac:dyDescent="0.15">
      <c r="A25" s="357"/>
      <c r="B25" s="358"/>
      <c r="C25" s="358"/>
      <c r="D25" s="358"/>
      <c r="E25" s="358"/>
      <c r="F25" s="358"/>
      <c r="G25" s="358"/>
      <c r="H25" s="359"/>
    </row>
    <row r="26" spans="1:13" ht="42.75" customHeight="1" x14ac:dyDescent="0.15">
      <c r="A26" s="357"/>
      <c r="B26" s="358"/>
      <c r="C26" s="358"/>
      <c r="D26" s="358"/>
      <c r="E26" s="358"/>
      <c r="F26" s="358"/>
      <c r="G26" s="358"/>
      <c r="H26" s="359"/>
    </row>
    <row r="27" spans="1:13" ht="21" customHeight="1" x14ac:dyDescent="0.15">
      <c r="A27" s="357"/>
      <c r="B27" s="358"/>
      <c r="C27" s="358"/>
      <c r="D27" s="358"/>
      <c r="E27" s="358"/>
      <c r="F27" s="358"/>
      <c r="G27" s="358"/>
      <c r="H27" s="359"/>
    </row>
    <row r="28" spans="1:13" ht="21" customHeight="1" x14ac:dyDescent="0.15">
      <c r="A28" s="357"/>
      <c r="B28" s="358"/>
      <c r="C28" s="358"/>
      <c r="D28" s="358"/>
      <c r="E28" s="358"/>
      <c r="F28" s="358"/>
      <c r="G28" s="358"/>
      <c r="H28" s="359"/>
    </row>
    <row r="29" spans="1:13" ht="15.75" customHeight="1" x14ac:dyDescent="0.15">
      <c r="A29" s="357"/>
      <c r="B29" s="358"/>
      <c r="C29" s="358"/>
      <c r="D29" s="358"/>
      <c r="E29" s="358"/>
      <c r="F29" s="358"/>
      <c r="G29" s="358"/>
      <c r="H29" s="359"/>
    </row>
    <row r="30" spans="1:13" ht="18" customHeight="1" x14ac:dyDescent="0.15">
      <c r="A30" s="357"/>
      <c r="B30" s="358"/>
      <c r="C30" s="358"/>
      <c r="D30" s="358"/>
      <c r="E30" s="358"/>
      <c r="F30" s="358"/>
      <c r="G30" s="358"/>
      <c r="H30" s="359"/>
    </row>
    <row r="31" spans="1:13" ht="18" customHeight="1" x14ac:dyDescent="0.15">
      <c r="A31" s="357"/>
      <c r="B31" s="358"/>
      <c r="C31" s="358"/>
      <c r="D31" s="358"/>
      <c r="E31" s="358"/>
      <c r="F31" s="358"/>
      <c r="G31" s="358"/>
      <c r="H31" s="359"/>
    </row>
    <row r="32" spans="1:13" ht="35.25" customHeight="1" x14ac:dyDescent="0.15">
      <c r="A32" s="357"/>
      <c r="B32" s="358"/>
      <c r="C32" s="358"/>
      <c r="D32" s="358"/>
      <c r="E32" s="358"/>
      <c r="F32" s="358"/>
      <c r="G32" s="358"/>
      <c r="H32" s="359"/>
    </row>
    <row r="33" spans="1:8" ht="66.75" customHeight="1" x14ac:dyDescent="0.15">
      <c r="A33" s="354"/>
      <c r="B33" s="355"/>
      <c r="C33" s="355"/>
      <c r="D33" s="355"/>
      <c r="E33" s="355"/>
      <c r="F33" s="355"/>
      <c r="G33" s="355"/>
      <c r="H33" s="356"/>
    </row>
    <row r="34" spans="1:8" x14ac:dyDescent="0.15">
      <c r="A34" s="263"/>
      <c r="B34" s="267"/>
      <c r="C34" s="267"/>
      <c r="D34" s="267"/>
      <c r="E34" s="267"/>
      <c r="F34" s="267"/>
      <c r="G34" s="267"/>
      <c r="H34" s="264"/>
    </row>
  </sheetData>
  <mergeCells count="29">
    <mergeCell ref="A33:H33"/>
    <mergeCell ref="A23:H32"/>
    <mergeCell ref="A21:H21"/>
    <mergeCell ref="A22:H22"/>
    <mergeCell ref="A1:H1"/>
    <mergeCell ref="A2:H2"/>
    <mergeCell ref="A3:H3"/>
    <mergeCell ref="A4:H4"/>
    <mergeCell ref="A6:H6"/>
    <mergeCell ref="A9:H9"/>
    <mergeCell ref="A10:E10"/>
    <mergeCell ref="F10:H10"/>
    <mergeCell ref="A12:A13"/>
    <mergeCell ref="G13:H13"/>
    <mergeCell ref="B12:B13"/>
    <mergeCell ref="C12:C13"/>
    <mergeCell ref="E13:F13"/>
    <mergeCell ref="G12:H12"/>
    <mergeCell ref="E12:F12"/>
    <mergeCell ref="G14:H14"/>
    <mergeCell ref="E14:F14"/>
    <mergeCell ref="A17:F17"/>
    <mergeCell ref="A18:F18"/>
    <mergeCell ref="G17:H17"/>
    <mergeCell ref="G18:H18"/>
    <mergeCell ref="G15:H15"/>
    <mergeCell ref="G16:H16"/>
    <mergeCell ref="A15:F15"/>
    <mergeCell ref="A16:F16"/>
  </mergeCells>
  <pageMargins left="0.7" right="0.7" top="0.75" bottom="0.75" header="0.3" footer="0.3"/>
  <pageSetup scale="31" fitToHeight="0" orientation="portrait" r:id="rId1"/>
  <rowBreaks count="1" manualBreakCount="1">
    <brk id="10" max="8" man="1"/>
  </rowBreaks>
  <legacy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HITO I (Fase I)</vt:lpstr>
      <vt:lpstr>Hito II (Actualización)</vt:lpstr>
      <vt:lpstr>PRESUPUESTO </vt:lpstr>
      <vt:lpstr>'HITO I (Fase I)'!Área_de_impresión</vt:lpstr>
      <vt:lpstr>'Hito II (Actualización)'!Área_de_impresión</vt:lpstr>
      <vt:lpstr>'PRESUPUESTO '!Área_de_impresión</vt:lpstr>
      <vt:lpstr>'HITO I (Fase I)'!Títulos_a_imprimir</vt:lpstr>
      <vt:lpstr>'Hito II (Actualización)'!Títulos_a_imprimir</vt:lpstr>
      <vt:lpstr>'PRESUPUESTO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ACTA DE COSTOS</dc:title>
  <dc:subject/>
  <dc:creator>Secretaría General Técnica</dc:creator>
  <cp:keywords/>
  <dc:description/>
  <cp:lastModifiedBy>Yalile Isaac Toscano</cp:lastModifiedBy>
  <cp:revision/>
  <dcterms:created xsi:type="dcterms:W3CDTF">2000-02-14T18:40:08Z</dcterms:created>
  <dcterms:modified xsi:type="dcterms:W3CDTF">2024-06-18T23:08:02Z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1033-11.2.0.8970</vt:lpwstr>
  </property>
</Properties>
</file>