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OneDrive - Universidad de los andes\Trabajo\DADEP\Estructuración\Licitacion 2019\4. Evaluación de propuestas\"/>
    </mc:Choice>
  </mc:AlternateContent>
  <xr:revisionPtr revIDLastSave="0" documentId="8_{5B135FD8-B901-429F-8D02-9AD01B2D0CF1}" xr6:coauthVersionLast="45" xr6:coauthVersionMax="45" xr10:uidLastSave="{00000000-0000-0000-0000-000000000000}"/>
  <workbookProtection workbookAlgorithmName="SHA-512" workbookHashValue="r830cOWd78gNKxw59E+cFMJYZ8YDVCefLviVtAqPE89ck5Krd30CQ9SldymXhqxCmUCCrfXAl+k7rh0W6bJPOw==" workbookSaltValue="LX/9BVfwbOogVoaSsFW5SA==" workbookSpinCount="100000" lockStructure="1"/>
  <bookViews>
    <workbookView xWindow="-120" yWindow="-120" windowWidth="29040" windowHeight="15840" xr2:uid="{A2E15F12-ECBC-4106-B086-62F1968B0F1B}"/>
  </bookViews>
  <sheets>
    <sheet name="Puntaje definitivo" sheetId="9" r:id="rId1"/>
    <sheet name="TRM" sheetId="1" r:id="rId2"/>
    <sheet name="PuntajePrecio por Ventas Brutas" sheetId="2" r:id="rId3"/>
    <sheet name="Puntaje Precio por tipología" sheetId="3" r:id="rId4"/>
    <sheet name="Calculos precios por tipologia" sheetId="4" r:id="rId5"/>
    <sheet name="Puntaje Precio por Mantenimient" sheetId="5" r:id="rId6"/>
    <sheet name="Puntaje Precio por Traslados" sheetId="6" r:id="rId7"/>
    <sheet name="Puntaje adicionales" sheetId="7" r:id="rId8"/>
    <sheet name="Puntaje total" sheetId="8" r:id="rId9"/>
  </sheets>
  <definedNames>
    <definedName name="p">#REF!</definedName>
    <definedName name="s">#REF!</definedName>
    <definedName name="vm">#REF!</definedName>
    <definedName name="vs">#REF!</definedName>
    <definedName name="vt">#REF!</definedName>
  </definedNames>
  <calcPr calcId="191029" iterate="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9" l="1"/>
  <c r="F12" i="9"/>
  <c r="F11" i="9"/>
  <c r="G11" i="9"/>
  <c r="G10" i="9"/>
  <c r="F10" i="9"/>
  <c r="G9" i="9"/>
  <c r="F9" i="9"/>
  <c r="G8" i="9"/>
  <c r="F8" i="9"/>
  <c r="G13" i="9"/>
  <c r="F13" i="9"/>
  <c r="E13" i="9"/>
  <c r="H6" i="2"/>
  <c r="H7" i="2"/>
  <c r="H8" i="2"/>
  <c r="E10" i="2"/>
  <c r="B7" i="8"/>
  <c r="G20" i="3"/>
  <c r="G21" i="3"/>
  <c r="G22" i="3"/>
  <c r="D25" i="3"/>
  <c r="C7" i="8"/>
  <c r="G30" i="3"/>
  <c r="G31" i="3"/>
  <c r="G32" i="3"/>
  <c r="D35" i="3"/>
  <c r="D7" i="8"/>
  <c r="G41" i="3"/>
  <c r="G42" i="3"/>
  <c r="G43" i="3"/>
  <c r="D46" i="3"/>
  <c r="E7" i="8"/>
  <c r="G52" i="3"/>
  <c r="G53" i="3"/>
  <c r="G54" i="3"/>
  <c r="D57" i="3"/>
  <c r="F7" i="8"/>
  <c r="G64" i="3"/>
  <c r="G65" i="3"/>
  <c r="G66" i="3"/>
  <c r="D69" i="3"/>
  <c r="G7" i="8"/>
  <c r="G20" i="5"/>
  <c r="G21" i="5"/>
  <c r="G22" i="5"/>
  <c r="D25" i="5"/>
  <c r="H7" i="8"/>
  <c r="G32" i="5"/>
  <c r="G33" i="5"/>
  <c r="G34" i="5"/>
  <c r="D37" i="5"/>
  <c r="I7" i="8"/>
  <c r="G43" i="5"/>
  <c r="G44" i="5"/>
  <c r="G45" i="5"/>
  <c r="D48" i="5"/>
  <c r="J7" i="8"/>
  <c r="G53" i="5"/>
  <c r="G54" i="5"/>
  <c r="G55" i="5"/>
  <c r="D58" i="5"/>
  <c r="K7" i="8"/>
  <c r="G64" i="5"/>
  <c r="G65" i="5"/>
  <c r="G66" i="5"/>
  <c r="D69" i="5"/>
  <c r="L7" i="8"/>
  <c r="G75" i="5"/>
  <c r="G76" i="5"/>
  <c r="G77" i="5"/>
  <c r="D80" i="5"/>
  <c r="M7" i="8"/>
  <c r="G19" i="6"/>
  <c r="G20" i="6"/>
  <c r="G21" i="6"/>
  <c r="D24" i="6"/>
  <c r="N7" i="8"/>
  <c r="G31" i="6"/>
  <c r="G32" i="6"/>
  <c r="G33" i="6"/>
  <c r="D36" i="6"/>
  <c r="O7" i="8"/>
  <c r="G42" i="6"/>
  <c r="G43" i="6"/>
  <c r="G44" i="6"/>
  <c r="D47" i="6"/>
  <c r="P7" i="8"/>
  <c r="G52" i="6"/>
  <c r="G53" i="6"/>
  <c r="G54" i="6"/>
  <c r="D57" i="6"/>
  <c r="Q7" i="8"/>
  <c r="G67" i="6"/>
  <c r="G68" i="6"/>
  <c r="G69" i="6"/>
  <c r="D72" i="6"/>
  <c r="R7" i="8"/>
  <c r="S7" i="8"/>
  <c r="T7" i="8"/>
  <c r="U7" i="8"/>
  <c r="V7" i="8"/>
  <c r="W7" i="8"/>
  <c r="E9" i="2"/>
  <c r="B6" i="8"/>
  <c r="D24" i="3"/>
  <c r="C6" i="8"/>
  <c r="D34" i="3"/>
  <c r="D6" i="8"/>
  <c r="D45" i="3"/>
  <c r="E6" i="8"/>
  <c r="D56" i="3"/>
  <c r="F6" i="8"/>
  <c r="D68" i="3"/>
  <c r="G6" i="8"/>
  <c r="D24" i="5"/>
  <c r="H6" i="8"/>
  <c r="D36" i="5"/>
  <c r="I6" i="8"/>
  <c r="D47" i="5"/>
  <c r="J6" i="8"/>
  <c r="D57" i="5"/>
  <c r="K6" i="8"/>
  <c r="D68" i="5"/>
  <c r="L6" i="8"/>
  <c r="D79" i="5"/>
  <c r="M6" i="8"/>
  <c r="D23" i="6"/>
  <c r="N6" i="8"/>
  <c r="D35" i="6"/>
  <c r="O6" i="8"/>
  <c r="D46" i="6"/>
  <c r="P6" i="8"/>
  <c r="D56" i="6"/>
  <c r="Q6" i="8"/>
  <c r="D71" i="6"/>
  <c r="R6" i="8"/>
  <c r="S6" i="8"/>
  <c r="T6" i="8"/>
  <c r="U6" i="8"/>
  <c r="V6" i="8"/>
  <c r="W6" i="8"/>
  <c r="W5" i="8"/>
  <c r="E72" i="6"/>
  <c r="E71" i="6"/>
  <c r="E66" i="6"/>
  <c r="E65" i="6"/>
  <c r="B63" i="6"/>
  <c r="E18" i="6"/>
  <c r="C60" i="6"/>
  <c r="D60" i="6"/>
  <c r="C58" i="6"/>
  <c r="D58" i="6"/>
  <c r="C59" i="6"/>
  <c r="D59" i="6"/>
  <c r="E60" i="6"/>
  <c r="B60" i="6"/>
  <c r="E59" i="6"/>
  <c r="B59" i="6"/>
  <c r="E58" i="6"/>
  <c r="B58" i="6"/>
  <c r="E57" i="6"/>
  <c r="E56" i="6"/>
  <c r="E51" i="6"/>
  <c r="B49" i="6"/>
  <c r="E47" i="6"/>
  <c r="E46" i="6"/>
  <c r="E41" i="6"/>
  <c r="B39" i="6"/>
  <c r="E36" i="6"/>
  <c r="E35" i="6"/>
  <c r="E30" i="6"/>
  <c r="B27" i="6"/>
  <c r="E24" i="6"/>
  <c r="E23" i="6"/>
  <c r="B15" i="6"/>
  <c r="F13" i="6"/>
  <c r="E80" i="5"/>
  <c r="E79" i="5"/>
  <c r="E74" i="5"/>
  <c r="B72" i="5"/>
  <c r="E69" i="5"/>
  <c r="E68" i="5"/>
  <c r="E63" i="5"/>
  <c r="B61" i="5"/>
  <c r="E58" i="5"/>
  <c r="E57" i="5"/>
  <c r="E52" i="5"/>
  <c r="B50" i="5"/>
  <c r="E48" i="5"/>
  <c r="E47" i="5"/>
  <c r="E42" i="5"/>
  <c r="B40" i="5"/>
  <c r="E37" i="5"/>
  <c r="E36" i="5"/>
  <c r="E31" i="5"/>
  <c r="E30" i="5"/>
  <c r="B28" i="5"/>
  <c r="E25" i="5"/>
  <c r="E24" i="5"/>
  <c r="E19" i="5"/>
  <c r="E18" i="5"/>
  <c r="B16" i="5"/>
  <c r="F14" i="5"/>
  <c r="I3" i="4"/>
  <c r="I4" i="4"/>
  <c r="I5" i="4"/>
  <c r="I6" i="4"/>
  <c r="I7" i="4"/>
  <c r="I8" i="4"/>
  <c r="H8" i="4"/>
  <c r="E3" i="4"/>
  <c r="E4" i="4"/>
  <c r="E5" i="4"/>
  <c r="E6" i="4"/>
  <c r="E7" i="4"/>
  <c r="E8" i="4"/>
  <c r="D8" i="4"/>
  <c r="J7" i="4"/>
  <c r="F7" i="4"/>
  <c r="J6" i="4"/>
  <c r="F6" i="4"/>
  <c r="J5" i="4"/>
  <c r="F5" i="4"/>
  <c r="J4" i="4"/>
  <c r="F4" i="4"/>
  <c r="J3" i="4"/>
  <c r="F3" i="4"/>
  <c r="E69" i="3"/>
  <c r="E68" i="3"/>
  <c r="E63" i="3"/>
  <c r="E62" i="3"/>
  <c r="B60" i="3"/>
  <c r="E57" i="3"/>
  <c r="E56" i="3"/>
  <c r="E51" i="3"/>
  <c r="B48" i="3"/>
  <c r="E46" i="3"/>
  <c r="E45" i="3"/>
  <c r="E40" i="3"/>
  <c r="B38" i="3"/>
  <c r="E35" i="3"/>
  <c r="E34" i="3"/>
  <c r="E29" i="3"/>
  <c r="B28" i="3"/>
  <c r="E25" i="3"/>
  <c r="E24" i="3"/>
  <c r="E19" i="3"/>
  <c r="B16" i="3"/>
  <c r="F10" i="2"/>
  <c r="F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Edgar</author>
  </authors>
  <commentList>
    <comment ref="H6" authorId="0" shapeId="0" xr:uid="{F2DD63C1-7966-4789-8108-5EB69919A326}">
      <text>
        <r>
          <rPr>
            <b/>
            <sz val="9"/>
            <color indexed="81"/>
            <rFont val="Tahoma"/>
            <family val="2"/>
          </rPr>
          <t>Edgar:</t>
        </r>
        <r>
          <rPr>
            <sz val="9"/>
            <color indexed="81"/>
            <rFont val="Tahoma"/>
            <family val="2"/>
          </rPr>
          <t xml:space="preserve">
Escribir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Microsoft Office</author>
  </authors>
  <commentList>
    <comment ref="D8" authorId="0" shapeId="0" xr:uid="{D1E0EB5A-5ECF-41CC-81AA-B6328BE797A6}">
      <text>
        <r>
          <rPr>
            <b/>
            <sz val="10"/>
            <color indexed="8"/>
            <rFont val="Calibri"/>
            <family val="2"/>
          </rPr>
          <t>Usuario de Microsoft Office:</t>
        </r>
        <r>
          <rPr>
            <sz val="10"/>
            <color indexed="8"/>
            <rFont val="Calibri"/>
            <family val="2"/>
          </rPr>
          <t xml:space="preserve">
</t>
        </r>
        <r>
          <rPr>
            <sz val="10"/>
            <color indexed="8"/>
            <rFont val="Calibri"/>
            <family val="2"/>
          </rPr>
          <t xml:space="preserve">Oferta un valor global, pero en la propuesta debe discriminar por componente: estructura paradero, señalización horizontal pavimento, panel informativo, señalización horizontal pododáctil y área de paño de andén
</t>
        </r>
        <r>
          <rPr>
            <sz val="10"/>
            <color indexed="8"/>
            <rFont val="Calibri"/>
            <family val="2"/>
          </rPr>
          <t xml:space="preserve">
</t>
        </r>
      </text>
    </comment>
    <comment ref="D10" authorId="0" shapeId="0" xr:uid="{C80F6FAC-7DF8-4683-9BF4-0C6B19C7DF95}">
      <text>
        <r>
          <rPr>
            <b/>
            <sz val="10"/>
            <color indexed="81"/>
            <rFont val="Calibri"/>
            <family val="2"/>
          </rPr>
          <t>Usuario de Microsoft Office:</t>
        </r>
        <r>
          <rPr>
            <sz val="10"/>
            <color indexed="81"/>
            <rFont val="Calibri"/>
            <family val="2"/>
          </rPr>
          <t xml:space="preserve">
Se debe ofertar precio global, pero discriminar en la propuesta, área de paño de andén, señalización horizontal pavimento, señalización horizontal pododáctil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Microsoft Office</author>
  </authors>
  <commentList>
    <comment ref="D8" authorId="0" shapeId="0" xr:uid="{686386F9-A301-4BAF-85F5-CC247AD1F656}">
      <text>
        <r>
          <rPr>
            <b/>
            <sz val="10"/>
            <color indexed="8"/>
            <rFont val="Calibri"/>
            <family val="2"/>
          </rPr>
          <t>Usuario de Microsoft Office:</t>
        </r>
        <r>
          <rPr>
            <sz val="10"/>
            <color indexed="8"/>
            <rFont val="Calibri"/>
            <family val="2"/>
          </rPr>
          <t xml:space="preserve">
</t>
        </r>
        <r>
          <rPr>
            <sz val="10"/>
            <color indexed="8"/>
            <rFont val="Calibri"/>
            <family val="2"/>
          </rPr>
          <t xml:space="preserve">Oferta un valor global, pero en la propuesta debe discriminar por componente: estructura paradero, señalización horizontal pavimento, panel informativo, señalización horizontal pododáctil y área de paño de andén
</t>
        </r>
        <r>
          <rPr>
            <sz val="10"/>
            <color indexed="8"/>
            <rFont val="Calibri"/>
            <family val="2"/>
          </rPr>
          <t xml:space="preserve">
</t>
        </r>
      </text>
    </comment>
    <comment ref="D10" authorId="0" shapeId="0" xr:uid="{D02009C8-8392-4484-9552-0B1A31BDB0E9}">
      <text>
        <r>
          <rPr>
            <b/>
            <sz val="10"/>
            <color indexed="81"/>
            <rFont val="Calibri"/>
            <family val="2"/>
          </rPr>
          <t>Usuario de Microsoft Office:</t>
        </r>
        <r>
          <rPr>
            <sz val="10"/>
            <color indexed="81"/>
            <rFont val="Calibri"/>
            <family val="2"/>
          </rPr>
          <t xml:space="preserve">
Se debe ofertar precio global, pero discriminar en la propuesta, área de paño de andén, señalización horizontal pavimento, señalización horizontal pododáctil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Microsoft Office</author>
  </authors>
  <commentList>
    <comment ref="D8" authorId="0" shapeId="0" xr:uid="{D81241E5-F7D5-4609-BCEE-91F80449D5F7}">
      <text>
        <r>
          <rPr>
            <b/>
            <sz val="10"/>
            <color indexed="8"/>
            <rFont val="Calibri"/>
            <family val="2"/>
          </rPr>
          <t>Usuario de Microsoft Office:</t>
        </r>
        <r>
          <rPr>
            <sz val="10"/>
            <color indexed="8"/>
            <rFont val="Calibri"/>
            <family val="2"/>
          </rPr>
          <t xml:space="preserve">
</t>
        </r>
        <r>
          <rPr>
            <sz val="10"/>
            <color indexed="8"/>
            <rFont val="Calibri"/>
            <family val="2"/>
          </rPr>
          <t xml:space="preserve">Oferta un valor global, pero en la propuesta debe discriminar por componente: estructura paradero, señalización horizontal pavimento, panel informativo, señalización horizontal pododáctil y área de paño de andén
</t>
        </r>
        <r>
          <rPr>
            <sz val="10"/>
            <color indexed="8"/>
            <rFont val="Calibri"/>
            <family val="2"/>
          </rPr>
          <t xml:space="preserve">
</t>
        </r>
      </text>
    </comment>
    <comment ref="D10" authorId="0" shapeId="0" xr:uid="{63A467B1-5036-46DA-91D1-AABCFAC79259}">
      <text>
        <r>
          <rPr>
            <b/>
            <sz val="10"/>
            <color indexed="81"/>
            <rFont val="Calibri"/>
            <family val="2"/>
          </rPr>
          <t>Usuario de Microsoft Office:</t>
        </r>
        <r>
          <rPr>
            <sz val="10"/>
            <color indexed="81"/>
            <rFont val="Calibri"/>
            <family val="2"/>
          </rPr>
          <t xml:space="preserve">
Se debe ofertar precio global, pero discriminar en la propuesta, área de paño de andén, señalización horizontal pavimento, señalización horizontal pododáctil</t>
        </r>
      </text>
    </comment>
  </commentList>
</comments>
</file>

<file path=xl/sharedStrings.xml><?xml version="1.0" encoding="utf-8"?>
<sst xmlns="http://schemas.openxmlformats.org/spreadsheetml/2006/main" count="431" uniqueCount="154">
  <si>
    <t>"A Partir del valor de las propuestas se evaluarán con el método escogido en forma aleatoria para la ponderación de la oferta económica, con media aritmética, media geométrica o media aritmética alta. Para la determinación del método se tomarán los primeros dos decimales de la TRM (Tasa Representativa del Mercado) que rija el día hábil siguiente a la fecha de presentación de ofertas. El método debe ser escogido de acuerdo con los rangos establecidos en la siguiente tabla:"</t>
  </si>
  <si>
    <t>Rango (inclusive)</t>
  </si>
  <si>
    <t>Método</t>
  </si>
  <si>
    <t>De 0.00 a 0.32</t>
  </si>
  <si>
    <t>Media aritmética</t>
  </si>
  <si>
    <t>De 0.33 a 0.65</t>
  </si>
  <si>
    <t>Media Geométrica</t>
  </si>
  <si>
    <t>De 0.66 a 0.99</t>
  </si>
  <si>
    <t>Media aritmética alta</t>
  </si>
  <si>
    <t>Retribución total (Porcentaje por  ventas brutas).</t>
  </si>
  <si>
    <t>Piso</t>
  </si>
  <si>
    <t>techo</t>
  </si>
  <si>
    <t xml:space="preserve">Nº Proponetes </t>
  </si>
  <si>
    <t xml:space="preserve">Puntaje </t>
  </si>
  <si>
    <t>Media aritmética alta de cada uno de los porcentajes ofertados</t>
  </si>
  <si>
    <t>Valor Total sin decimales de la oferta más alta</t>
  </si>
  <si>
    <t>Promedio</t>
  </si>
  <si>
    <t>Porcentaje ofertado</t>
  </si>
  <si>
    <t>Calificación</t>
  </si>
  <si>
    <t>Orden de Elegibilidad</t>
  </si>
  <si>
    <t>MEDIA  ALTA</t>
  </si>
  <si>
    <t>PUNTAJE POR PRECIO OFERTADO POR TIPOLOGÍA</t>
  </si>
  <si>
    <t>PUNTAJE COSTO UNITARIO POR TIPOLOGÍA</t>
  </si>
  <si>
    <t xml:space="preserve"> TIPOLOGIA</t>
  </si>
  <si>
    <t>PUNTAJE  MAXIMO ASIGNADO POR ELEMENTO</t>
  </si>
  <si>
    <t>Paradero tipo 1: con módulo</t>
  </si>
  <si>
    <t>Paradero tipo 2: Totem SITP</t>
  </si>
  <si>
    <t>Panel publicitario</t>
  </si>
  <si>
    <t>Paradero tipo 3 con bandera</t>
  </si>
  <si>
    <t>Panel informativo interactivo estaciones</t>
  </si>
  <si>
    <t>MEDIA ARITMÉTICA  ALTA</t>
  </si>
  <si>
    <t>Max Puntaje</t>
  </si>
  <si>
    <t>Valor propuesto</t>
  </si>
  <si>
    <t>PRECIO OFERTADO POR TIPOLOGÍA</t>
  </si>
  <si>
    <t>Cantidad</t>
  </si>
  <si>
    <t>Valor total Calculado</t>
  </si>
  <si>
    <t>Diferencia</t>
  </si>
  <si>
    <t>PUNTAJE POR MANTENIMIENTO MENSUAL POR TIPOLOGÍA</t>
  </si>
  <si>
    <t>Bancas existentes</t>
  </si>
  <si>
    <t>Total</t>
  </si>
  <si>
    <t>PUNTAJE POR PRECIOS OFERTADOS POR TRASLADOS</t>
  </si>
  <si>
    <t xml:space="preserve"> TIPOLOGÍA</t>
  </si>
  <si>
    <t>CANTIDAD</t>
  </si>
  <si>
    <t>PUNTAJE  MÁXIMO ASIGNADO POR ELEMENTO</t>
  </si>
  <si>
    <t>Paradero tipo 1 con módulo</t>
  </si>
  <si>
    <r>
      <t xml:space="preserve">Paradero </t>
    </r>
    <r>
      <rPr>
        <sz val="10"/>
        <color rgb="FF000000"/>
        <rFont val="Trebuchet MS"/>
        <family val="2"/>
        <charset val="1"/>
      </rPr>
      <t>tipo 3 con bandera</t>
    </r>
  </si>
  <si>
    <t>Paradero tipo 2 con tótem</t>
  </si>
  <si>
    <t xml:space="preserve">N.º Proponentes </t>
  </si>
  <si>
    <t>PUNTAJE FACTOR DE CALIDAD POR PROGRAMA DE CULTURA CIUDADANA</t>
  </si>
  <si>
    <t>Presupuesto ofertado ($ de junio de 2019)</t>
  </si>
  <si>
    <t>Puntaje</t>
  </si>
  <si>
    <t>Nombre del Proponente</t>
  </si>
  <si>
    <t>Valor ofertado</t>
  </si>
  <si>
    <t>Puntaje Asigando</t>
  </si>
  <si>
    <t>Comentarios y Documentación Soporte</t>
  </si>
  <si>
    <t>Nombre del documento: PROPUESTA ECONOMICA ANEXOS 14,13,13A,15,16,17 y 17B 
Folio o página: 254
 Se remite el Anexo 13 con la oferta económica para desarrollar el programa de cultura ciudadana.</t>
  </si>
  <si>
    <t>Nombre del documento: TIPS MEDIA ANEXO 13 PONDERACION DE ELEMENTOS DE CALIDAD PROGRAMA DE CULTURA CIUDADANA 
Folio o página: 1
Se remite el Anexo 13 con la oferta económica para desarrollar el programa de cultura ciudadana.</t>
  </si>
  <si>
    <t>PUNTAJE FACTOR DE CALIDAD POR TÓTEMS ADICIONALES</t>
  </si>
  <si>
    <t>Cantidad de tótems</t>
  </si>
  <si>
    <t>Puntaje asignado</t>
  </si>
  <si>
    <t>50 tótems adicionales</t>
  </si>
  <si>
    <t>14 puntos</t>
  </si>
  <si>
    <t>100 tótems adicionales</t>
  </si>
  <si>
    <t>29 puntos</t>
  </si>
  <si>
    <t>150 tótems adicionales</t>
  </si>
  <si>
    <t>43 puntos</t>
  </si>
  <si>
    <t>200 tótems adicionales</t>
  </si>
  <si>
    <t>57 puntos</t>
  </si>
  <si>
    <t>250 tótems adicionales</t>
  </si>
  <si>
    <t>71 puntos</t>
  </si>
  <si>
    <t>300 tótems adicionales</t>
  </si>
  <si>
    <t>86 puntos</t>
  </si>
  <si>
    <t>350 tótems adicionales</t>
  </si>
  <si>
    <t>100 puntos</t>
  </si>
  <si>
    <t>Nombre del documento: PROPUESTA ECONOMICA ANEXOS 14,13,13A,15,16,17 y 17B
Folios o página: 255
Se remite el Anexo 13A con la oferta para instalar los totem adiconales.</t>
  </si>
  <si>
    <t>Nombre del documento: TIPS MEDIA ANEXO 13A PONDERACION DE ELEMENTOS DE CALIDAD TOTEM
Folio o página: 1
Se remite el Anexo 13A con la oferta para instalar los totem adiconales.</t>
  </si>
  <si>
    <t>Apoyo a la industria Nacional</t>
  </si>
  <si>
    <t>FACTOR PROMOCIÓN A LA INDUSTRIA NACIONAL</t>
  </si>
  <si>
    <t>SUBCRITERIO</t>
  </si>
  <si>
    <t>CONDICIONES</t>
  </si>
  <si>
    <t>PUNTAJE</t>
  </si>
  <si>
    <t>SERVICIOS DE ORIGEN NACIONAL (Sub criterio 1)</t>
  </si>
  <si>
    <t>El proponente individual y la totalidad del proponente plural o proponente individual deben cumplir y ser: personas naturales o jurídicas nacionales o personas naturales o jurídicas extranjeras que hayan acreditado la reciprocidad, así como las estructuras plurales integradas por dichas personas.</t>
  </si>
  <si>
    <t xml:space="preserve"> 150 puntos</t>
  </si>
  <si>
    <t>INCENTIVO A LA INCORPORACIÓN DE COMPONENTE NACIONAL (Sub criterio 2)</t>
  </si>
  <si>
    <t>Proponentes extranjeros y estructurales plurales de origen extranjero que no hayan acreditado la reciprocidad, que ofrezcan determinado porcentaje de componente nacional incorporado, referido a la totalidad de bienes nacionales requeridos para la ejecución del contrato.</t>
  </si>
  <si>
    <t>Hasta 100 puntos, según tabla*</t>
  </si>
  <si>
    <t>*COMPONENTE DE BIENES NACIONALES OFRECIDO [Medido en términos del porcentaje referido de la totalidad de bienes requeridos para la ejecución del objeto del contrato]</t>
  </si>
  <si>
    <t>PUNTAJES</t>
  </si>
  <si>
    <t>Entre 0 % y 21 % del componente nacional incorporado</t>
  </si>
  <si>
    <t>0 PUNTOS</t>
  </si>
  <si>
    <t>Entre 22 % d y 43 %</t>
  </si>
  <si>
    <t>15 PUNTOS</t>
  </si>
  <si>
    <t>Entre 44 % y 61 %</t>
  </si>
  <si>
    <t>30 PUNTOS</t>
  </si>
  <si>
    <t>Entre 62 % y 80 %</t>
  </si>
  <si>
    <t>50 PUNTOS</t>
  </si>
  <si>
    <t>Entre 81 % y 90 %</t>
  </si>
  <si>
    <t>80 PUNTOS</t>
  </si>
  <si>
    <t>Entre 91 % y 99 %</t>
  </si>
  <si>
    <t>90 PUNTOS</t>
  </si>
  <si>
    <t>100 PUNTOS</t>
  </si>
  <si>
    <r>
      <t>Nota 1:</t>
    </r>
    <r>
      <rPr>
        <sz val="10"/>
        <color theme="1"/>
        <rFont val="Trebuchet MS"/>
        <family val="2"/>
      </rPr>
      <t xml:space="preserve"> para estos efectos, los proponentes extranjeros que no hayan acreditado reciprocidad deberán señalar en el anexo correspondiente, el porcentaje ofrecido de componente nacional incorporado, referido a la totalidad de los bienes requeridos para la ejecución del contrato.</t>
    </r>
  </si>
  <si>
    <r>
      <t>Nota 2:</t>
    </r>
    <r>
      <rPr>
        <sz val="10"/>
        <color theme="1"/>
        <rFont val="Trebuchet MS"/>
        <family val="2"/>
      </rPr>
      <t xml:space="preserve"> el proponente debe tener en cuenta que los puntos relacionados en esta tabla son excluyentes, es decir, solo podrá obtener puntaje con uno de los anteriores criterios (servicios nacionales o incorporación de bienes nacionales).</t>
    </r>
  </si>
  <si>
    <r>
      <t>Nota 3:</t>
    </r>
    <r>
      <rPr>
        <sz val="10"/>
        <color theme="1"/>
        <rFont val="Trebuchet MS"/>
        <family val="2"/>
      </rPr>
      <t xml:space="preserve"> en los eventos en que se presente bajo la figura de promesa de sociedad futura, obtendrá el puntaje asignado a servicios nacionales, siempre y cuando en el documento de promesa conste de manera inequívoca, clara y expresa que, en caso de adjudicación, la sociedad se constituirá en Colombia.</t>
    </r>
  </si>
  <si>
    <t>Su criterio y porcentaje</t>
  </si>
  <si>
    <t>SERVICIOS DE ORIGEN NACIONAL 100%</t>
  </si>
  <si>
    <t>Nombre del documento: PROPUESTA ECONOMICA ANEXOS 14,13,13A,15,16,17 y 17B 
Folio o página: 260
Comentarios: En el documento indica la nacionalidad y el porcentaje de participaciòn de los proponentes, y se evidencia que el proponente es 100% colombiano.</t>
  </si>
  <si>
    <t>Nombre del documento: TIPS MEDIA ANEXO 17 ORIGEN DE LOS BIENES Y SERVICIOS CUMPLIMIENTO LEY 816 DE 2003
Folio o página: 1
Comentarios: En el documento indica la nacionalidad y el porcentaje de participaciòn de los proponentes, y se evidencia que el proponente es 100% colombiano.</t>
  </si>
  <si>
    <t>V.2.5. Discapacidad</t>
  </si>
  <si>
    <t>Número total de trabajadores de la planta de personal del proponente</t>
  </si>
  <si>
    <t>Número mínimo de trabajadores con discapacidad exigido</t>
  </si>
  <si>
    <t>Entre 1 y 30</t>
  </si>
  <si>
    <t>Entre 31 y 100</t>
  </si>
  <si>
    <t>Entre 101 y 150</t>
  </si>
  <si>
    <t>Entre 151 y 200</t>
  </si>
  <si>
    <t>Más de 200</t>
  </si>
  <si>
    <t>Puntaje Asignado</t>
  </si>
  <si>
    <t xml:space="preserve">
Nombre del documento: PROPUESTA ECONOMICA ANEXOS 14,13,13A,15,16,17 y 17B 
Folio o página: 257
Comentarios: En el documento describe que el número de empleados en condición de discapacidad es de 3, entre 95 empleados y anexa las certificaciones respectivas</t>
  </si>
  <si>
    <t xml:space="preserve">
Nombre del documento: ANEXO 16 - DISCPACITADOS.
Folio o página: 1 y 2
En el documento se describe que el número de empleados en condición de discapacidad es de 5, entre 376 empleados</t>
  </si>
  <si>
    <t>Factor económico</t>
  </si>
  <si>
    <t>Factor de calidad por programa de cultura ciudadana</t>
  </si>
  <si>
    <t>Factor de calidad tótem</t>
  </si>
  <si>
    <t>Incentivo a la Industria Nacional</t>
  </si>
  <si>
    <t>Discapacidad</t>
  </si>
  <si>
    <t>Retribución total (Porcentaje * ventas brutas)</t>
  </si>
  <si>
    <t>Precios Unitarios por Tipología</t>
  </si>
  <si>
    <t>Precios unitarios por Mantenimiento Mensual</t>
  </si>
  <si>
    <t>Precios Unitarios por Traslado por cada Tipología</t>
  </si>
  <si>
    <r>
      <t xml:space="preserve">Paradero tipo 2 </t>
    </r>
    <r>
      <rPr>
        <b/>
        <i/>
        <sz val="10"/>
        <color theme="1"/>
        <rFont val="Trebuchet MS"/>
        <family val="2"/>
      </rPr>
      <t>con t</t>
    </r>
    <r>
      <rPr>
        <b/>
        <i/>
        <sz val="10"/>
        <color rgb="FF000000"/>
        <rFont val="Trebuchet MS"/>
        <family val="2"/>
      </rPr>
      <t>ótem</t>
    </r>
  </si>
  <si>
    <r>
      <t xml:space="preserve">Paradero tipo 3 con </t>
    </r>
    <r>
      <rPr>
        <b/>
        <i/>
        <sz val="10"/>
        <color rgb="FF000000"/>
        <rFont val="Trebuchet MS"/>
        <family val="2"/>
      </rPr>
      <t>bandera</t>
    </r>
  </si>
  <si>
    <r>
      <t>Paradero</t>
    </r>
    <r>
      <rPr>
        <b/>
        <i/>
        <sz val="10"/>
        <color theme="1"/>
        <rFont val="Trebuchet MS"/>
        <family val="2"/>
      </rPr>
      <t xml:space="preserve"> tipo 1 con módulo</t>
    </r>
  </si>
  <si>
    <r>
      <t xml:space="preserve">Paradero </t>
    </r>
    <r>
      <rPr>
        <b/>
        <i/>
        <sz val="10"/>
        <color rgb="FF000000"/>
        <rFont val="Trebuchet MS"/>
        <family val="2"/>
      </rPr>
      <t>tipo 3 con bandera</t>
    </r>
  </si>
  <si>
    <t>Puntaje Máximo</t>
  </si>
  <si>
    <t>Puntaje obtenido por EUCOL</t>
  </si>
  <si>
    <t>Puntaje obtenido por TIPS</t>
  </si>
  <si>
    <t>EUCOL S.A.S.</t>
  </si>
  <si>
    <t>TIPS MEDIA S.A.S.</t>
  </si>
  <si>
    <t>Por lo tanto el método escogido para la ponderación de la oferta económica es la Media Aritmética Alta.</t>
  </si>
  <si>
    <t xml:space="preserve">La tasa representativa del mercado para el día 10 noviembre fue 3.447,74. Dado lo establecido en el pliego de condiciones:
</t>
  </si>
  <si>
    <t>Valor unitario ofrecido por el EUCOL S.A.S.</t>
  </si>
  <si>
    <t>Valor total ofertado por TIPS MEDIA S.A.S.</t>
  </si>
  <si>
    <t>Paradero tipo 2: Tótem SITP</t>
  </si>
  <si>
    <t>Valor unitario ofrecido por TIPS MEDIA S.A.S.</t>
  </si>
  <si>
    <t>Valor total ofertado EUCOL S.A.S.</t>
  </si>
  <si>
    <t>CRITERIO</t>
  </si>
  <si>
    <t>PUNTAJE MÁXIMO</t>
  </si>
  <si>
    <t>EQUIPAMIENTOS URBANOS NACIONALES DE COLOMBIA S.A.S - EUCOL S.A.S</t>
  </si>
  <si>
    <t>Factor de Calidad tótem</t>
  </si>
  <si>
    <t>Factor Económico</t>
  </si>
  <si>
    <t xml:space="preserve">TOTAL PUNTAJE </t>
  </si>
  <si>
    <t>OBJETO DEL CONTRATO</t>
  </si>
  <si>
    <t>Otorgar en concesión la realización del diseño, la fabricación, el suministro, la instalación,la actualización, el mantenimiento, la operación, el traslado y la reposición del mobiliario de Bogotá D.C.</t>
  </si>
  <si>
    <t>PUNTAJE FINAL CONSOLIDADO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</si>
</sst>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64" formatCode="_-&quot;$&quot;* #,##0.00_-;\-&quot;$&quot;* #,##0.00_-;_-&quot;$&quot;* &quot;-&quot;??_-;_-@_-"/>
    <numFmt numFmtId="165" formatCode="0.000%"/>
    <numFmt numFmtId="166" formatCode="0.000"/>
    <numFmt numFmtId="167" formatCode="_-* #,##0.00_-;\-* #,##0.00_-;_-* &quot;-&quot;_-;_-@_-"/>
    <numFmt numFmtId="168" formatCode="_-&quot;$&quot;* #,##0_-;\-&quot;$&quot;* #,##0_-;_-&quot;$&quot;* &quot;-&quot;_-;_-@_-"/>
    <numFmt numFmtId="169" formatCode="_-&quot;$&quot;* #,##0.00_-;\-&quot;$&quot;* #,##0.00_-;_-&quot;$&quot;* &quot;-&quot;_-;_-@_-"/>
    <numFmt numFmtId="170" formatCode="_-[$$-409]* #,##0.00_ ;_-[$$-409]* \-#,##0.00\ ;_-[$$-409]* &quot;-&quot;??_ ;_-@_ "/>
    <numFmt numFmtId="171" formatCode="_-[$$-409]* #,##0_ ;_-[$$-409]* \-#,##0\ ;_-[$$-409]* &quot;-&quot;??_ ;_-@_ "/>
  </numFmts>
  <fonts count="4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0"/>
      <color theme="1"/>
      <name val="Trebuchet MS"/>
      <family val="2"/>
    </font>
    <font>
      <b/>
      <sz val="10"/>
      <color rgb="FF000000"/>
      <name val="Trebuchet MS"/>
      <family val="2"/>
    </font>
    <font>
      <b/>
      <sz val="12"/>
      <color theme="1"/>
      <name val="Calibri"/>
      <family val="2"/>
      <scheme val="minor"/>
    </font>
    <font>
      <b/>
      <sz val="18"/>
      <color theme="0"/>
      <name val="Trebuchet MS"/>
      <family val="2"/>
    </font>
    <font>
      <sz val="11"/>
      <color theme="1"/>
      <name val="Trebuchet MS"/>
      <family val="2"/>
    </font>
    <font>
      <sz val="11"/>
      <color rgb="FF000000"/>
      <name val="Trebuchet MS"/>
      <family val="2"/>
    </font>
    <font>
      <b/>
      <sz val="11"/>
      <color theme="1"/>
      <name val="Trebuchet MS"/>
      <family val="2"/>
    </font>
    <font>
      <b/>
      <sz val="11"/>
      <color rgb="FF000000"/>
      <name val="Trebuchet MS"/>
      <family val="2"/>
    </font>
    <font>
      <sz val="11"/>
      <color theme="0"/>
      <name val="Trebuchet M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Trebuchet MS"/>
      <family val="2"/>
    </font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b/>
      <sz val="1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color indexed="81"/>
      <name val="Calibri"/>
      <family val="2"/>
    </font>
    <font>
      <sz val="10"/>
      <color indexed="81"/>
      <name val="Calibri"/>
      <family val="2"/>
    </font>
    <font>
      <sz val="10"/>
      <color rgb="FF000000"/>
      <name val="Trebuchet MS"/>
      <family val="2"/>
    </font>
    <font>
      <sz val="10"/>
      <color rgb="FF000000"/>
      <name val="Trebuchet MS"/>
      <family val="2"/>
      <charset val="1"/>
    </font>
    <font>
      <sz val="10"/>
      <color theme="1"/>
      <name val="Trebuchet MS"/>
      <family val="2"/>
    </font>
    <font>
      <b/>
      <sz val="12"/>
      <color theme="0"/>
      <name val="Trebuchet MS"/>
      <family val="2"/>
    </font>
    <font>
      <b/>
      <i/>
      <sz val="10"/>
      <color rgb="FF000000"/>
      <name val="Trebuchet MS"/>
      <family val="2"/>
    </font>
    <font>
      <b/>
      <i/>
      <sz val="10"/>
      <color theme="1"/>
      <name val="Trebuchet MS"/>
      <family val="2"/>
    </font>
    <font>
      <i/>
      <sz val="10"/>
      <color rgb="FF000000"/>
      <name val="Trebuchet MS"/>
      <family val="2"/>
    </font>
    <font>
      <b/>
      <sz val="12"/>
      <color indexed="9"/>
      <name val="Trebuchet MS"/>
      <family val="2"/>
    </font>
    <font>
      <b/>
      <sz val="12"/>
      <name val="Trebuchet MS"/>
      <family val="2"/>
    </font>
    <font>
      <sz val="12"/>
      <name val="Trebuchet MS"/>
      <family val="2"/>
    </font>
  </fonts>
  <fills count="2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</fills>
  <borders count="72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</cellStyleXfs>
  <cellXfs count="231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/>
    <xf numFmtId="164" fontId="9" fillId="0" borderId="0" xfId="2" applyFont="1"/>
    <xf numFmtId="0" fontId="10" fillId="0" borderId="0" xfId="0" applyFont="1"/>
    <xf numFmtId="41" fontId="9" fillId="0" borderId="0" xfId="1" applyFont="1" applyBorder="1"/>
    <xf numFmtId="9" fontId="11" fillId="0" borderId="0" xfId="0" applyNumberFormat="1" applyFont="1" applyAlignment="1">
      <alignment horizontal="center" vertical="center"/>
    </xf>
    <xf numFmtId="41" fontId="9" fillId="0" borderId="0" xfId="1" applyFont="1"/>
    <xf numFmtId="0" fontId="9" fillId="0" borderId="6" xfId="0" applyFont="1" applyBorder="1"/>
    <xf numFmtId="0" fontId="12" fillId="0" borderId="6" xfId="0" applyFont="1" applyBorder="1" applyAlignment="1">
      <alignment horizontal="center"/>
    </xf>
    <xf numFmtId="10" fontId="9" fillId="0" borderId="0" xfId="1" applyNumberFormat="1" applyFont="1" applyBorder="1" applyAlignment="1">
      <alignment horizontal="center" vertical="center"/>
    </xf>
    <xf numFmtId="9" fontId="9" fillId="0" borderId="0" xfId="1" applyNumberFormat="1" applyFont="1" applyAlignment="1">
      <alignment horizontal="center" vertical="center"/>
    </xf>
    <xf numFmtId="0" fontId="11" fillId="0" borderId="0" xfId="0" applyFont="1"/>
    <xf numFmtId="0" fontId="11" fillId="5" borderId="0" xfId="0" applyFont="1" applyFill="1" applyAlignment="1">
      <alignment horizontal="center" wrapText="1"/>
    </xf>
    <xf numFmtId="10" fontId="9" fillId="6" borderId="7" xfId="4" applyNumberFormat="1" applyFont="1" applyFill="1" applyBorder="1"/>
    <xf numFmtId="0" fontId="12" fillId="0" borderId="8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0" fillId="7" borderId="7" xfId="0" applyFont="1" applyFill="1" applyBorder="1" applyAlignment="1">
      <alignment horizontal="center" vertical="center"/>
    </xf>
    <xf numFmtId="10" fontId="13" fillId="4" borderId="7" xfId="0" applyNumberFormat="1" applyFont="1" applyFill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1" fillId="0" borderId="7" xfId="0" applyFont="1" applyBorder="1"/>
    <xf numFmtId="0" fontId="11" fillId="7" borderId="7" xfId="0" applyFont="1" applyFill="1" applyBorder="1" applyAlignment="1">
      <alignment horizontal="center"/>
    </xf>
    <xf numFmtId="165" fontId="10" fillId="8" borderId="7" xfId="4" applyNumberFormat="1" applyFont="1" applyFill="1" applyBorder="1" applyAlignment="1">
      <alignment horizontal="center"/>
    </xf>
    <xf numFmtId="0" fontId="9" fillId="0" borderId="7" xfId="0" applyFont="1" applyBorder="1"/>
    <xf numFmtId="165" fontId="9" fillId="0" borderId="7" xfId="4" applyNumberFormat="1" applyFont="1" applyBorder="1"/>
    <xf numFmtId="2" fontId="10" fillId="0" borderId="7" xfId="0" applyNumberFormat="1" applyFont="1" applyBorder="1"/>
    <xf numFmtId="1" fontId="10" fillId="9" borderId="7" xfId="0" applyNumberFormat="1" applyFont="1" applyFill="1" applyBorder="1" applyAlignment="1">
      <alignment horizontal="center"/>
    </xf>
    <xf numFmtId="0" fontId="12" fillId="0" borderId="0" xfId="0" applyFont="1"/>
    <xf numFmtId="166" fontId="10" fillId="0" borderId="0" xfId="0" applyNumberFormat="1" applyFont="1"/>
    <xf numFmtId="0" fontId="16" fillId="5" borderId="12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horizontal="center" vertical="center"/>
    </xf>
    <xf numFmtId="0" fontId="16" fillId="5" borderId="13" xfId="5" applyFont="1" applyFill="1" applyBorder="1" applyAlignment="1">
      <alignment horizontal="center" vertical="justify"/>
    </xf>
    <xf numFmtId="0" fontId="17" fillId="0" borderId="14" xfId="5" applyFont="1" applyBorder="1" applyAlignment="1">
      <alignment horizontal="left" wrapText="1" indent="1"/>
    </xf>
    <xf numFmtId="0" fontId="17" fillId="0" borderId="8" xfId="5" applyFont="1" applyBorder="1"/>
    <xf numFmtId="167" fontId="17" fillId="0" borderId="15" xfId="6" applyNumberFormat="1" applyFont="1" applyBorder="1"/>
    <xf numFmtId="0" fontId="17" fillId="0" borderId="12" xfId="5" applyFont="1" applyBorder="1" applyAlignment="1">
      <alignment horizontal="left" wrapText="1" indent="1"/>
    </xf>
    <xf numFmtId="0" fontId="17" fillId="0" borderId="16" xfId="5" applyFont="1" applyBorder="1" applyAlignment="1">
      <alignment horizontal="left" indent="1"/>
    </xf>
    <xf numFmtId="0" fontId="17" fillId="0" borderId="17" xfId="5" applyFont="1" applyBorder="1"/>
    <xf numFmtId="167" fontId="18" fillId="0" borderId="18" xfId="6" applyNumberFormat="1" applyFont="1" applyBorder="1"/>
    <xf numFmtId="9" fontId="20" fillId="0" borderId="0" xfId="0" applyNumberFormat="1" applyFont="1" applyAlignment="1">
      <alignment horizontal="center"/>
    </xf>
    <xf numFmtId="9" fontId="7" fillId="0" borderId="0" xfId="0" applyNumberFormat="1" applyFont="1"/>
    <xf numFmtId="168" fontId="2" fillId="0" borderId="0" xfId="3" applyFont="1" applyFill="1" applyAlignment="1">
      <alignment horizontal="center"/>
    </xf>
    <xf numFmtId="168" fontId="2" fillId="0" borderId="0" xfId="3" applyFont="1" applyFill="1" applyBorder="1" applyAlignment="1">
      <alignment horizontal="center"/>
    </xf>
    <xf numFmtId="41" fontId="3" fillId="0" borderId="0" xfId="1" applyFont="1"/>
    <xf numFmtId="0" fontId="0" fillId="0" borderId="7" xfId="0" applyBorder="1"/>
    <xf numFmtId="0" fontId="21" fillId="0" borderId="7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168" fontId="3" fillId="0" borderId="0" xfId="3" applyFont="1" applyBorder="1"/>
    <xf numFmtId="169" fontId="7" fillId="10" borderId="7" xfId="3" applyNumberFormat="1" applyFont="1" applyFill="1" applyBorder="1"/>
    <xf numFmtId="0" fontId="7" fillId="0" borderId="0" xfId="0" applyFont="1"/>
    <xf numFmtId="0" fontId="22" fillId="0" borderId="0" xfId="0" applyFont="1" applyAlignment="1">
      <alignment horizontal="center"/>
    </xf>
    <xf numFmtId="169" fontId="13" fillId="4" borderId="7" xfId="3" applyNumberFormat="1" applyFont="1" applyFill="1" applyBorder="1" applyAlignment="1">
      <alignment horizontal="center"/>
    </xf>
    <xf numFmtId="168" fontId="3" fillId="0" borderId="0" xfId="3" applyFont="1"/>
    <xf numFmtId="169" fontId="10" fillId="8" borderId="7" xfId="3" applyNumberFormat="1" applyFont="1" applyFill="1" applyBorder="1" applyAlignment="1">
      <alignment horizontal="center"/>
    </xf>
    <xf numFmtId="0" fontId="1" fillId="0" borderId="7" xfId="0" applyFont="1" applyBorder="1"/>
    <xf numFmtId="164" fontId="23" fillId="0" borderId="7" xfId="2" applyFont="1" applyBorder="1"/>
    <xf numFmtId="166" fontId="24" fillId="0" borderId="7" xfId="0" applyNumberFormat="1" applyFont="1" applyBorder="1"/>
    <xf numFmtId="166" fontId="24" fillId="0" borderId="0" xfId="0" applyNumberFormat="1" applyFont="1"/>
    <xf numFmtId="0" fontId="25" fillId="0" borderId="0" xfId="0" applyFont="1"/>
    <xf numFmtId="167" fontId="22" fillId="0" borderId="7" xfId="0" applyNumberFormat="1" applyFont="1" applyBorder="1" applyAlignment="1">
      <alignment horizontal="center"/>
    </xf>
    <xf numFmtId="168" fontId="2" fillId="0" borderId="0" xfId="3" applyFont="1" applyAlignment="1">
      <alignment horizontal="center"/>
    </xf>
    <xf numFmtId="168" fontId="2" fillId="0" borderId="0" xfId="3" applyFont="1" applyBorder="1" applyAlignment="1">
      <alignment horizontal="center"/>
    </xf>
    <xf numFmtId="0" fontId="7" fillId="12" borderId="22" xfId="0" applyFont="1" applyFill="1" applyBorder="1"/>
    <xf numFmtId="0" fontId="7" fillId="12" borderId="23" xfId="0" applyFont="1" applyFill="1" applyBorder="1"/>
    <xf numFmtId="0" fontId="7" fillId="12" borderId="24" xfId="0" applyFont="1" applyFill="1" applyBorder="1" applyAlignment="1">
      <alignment wrapText="1"/>
    </xf>
    <xf numFmtId="170" fontId="7" fillId="12" borderId="25" xfId="0" applyNumberFormat="1" applyFont="1" applyFill="1" applyBorder="1" applyAlignment="1">
      <alignment wrapText="1"/>
    </xf>
    <xf numFmtId="0" fontId="7" fillId="12" borderId="25" xfId="0" applyFont="1" applyFill="1" applyBorder="1" applyAlignment="1">
      <alignment wrapText="1"/>
    </xf>
    <xf numFmtId="0" fontId="7" fillId="12" borderId="26" xfId="0" applyFont="1" applyFill="1" applyBorder="1"/>
    <xf numFmtId="0" fontId="0" fillId="0" borderId="27" xfId="0" applyBorder="1"/>
    <xf numFmtId="171" fontId="0" fillId="0" borderId="28" xfId="0" applyNumberFormat="1" applyBorder="1"/>
    <xf numFmtId="171" fontId="0" fillId="0" borderId="29" xfId="0" applyNumberFormat="1" applyBorder="1"/>
    <xf numFmtId="171" fontId="0" fillId="0" borderId="27" xfId="0" applyNumberFormat="1" applyBorder="1"/>
    <xf numFmtId="0" fontId="7" fillId="12" borderId="30" xfId="0" applyFont="1" applyFill="1" applyBorder="1"/>
    <xf numFmtId="0" fontId="0" fillId="0" borderId="31" xfId="0" applyBorder="1"/>
    <xf numFmtId="171" fontId="0" fillId="0" borderId="32" xfId="0" applyNumberFormat="1" applyBorder="1"/>
    <xf numFmtId="171" fontId="0" fillId="0" borderId="33" xfId="0" applyNumberFormat="1" applyBorder="1"/>
    <xf numFmtId="171" fontId="0" fillId="0" borderId="31" xfId="0" applyNumberFormat="1" applyBorder="1"/>
    <xf numFmtId="170" fontId="7" fillId="0" borderId="0" xfId="0" applyNumberFormat="1" applyFont="1"/>
    <xf numFmtId="171" fontId="7" fillId="0" borderId="0" xfId="0" applyNumberFormat="1" applyFont="1"/>
    <xf numFmtId="170" fontId="0" fillId="0" borderId="0" xfId="0" applyNumberFormat="1"/>
    <xf numFmtId="0" fontId="16" fillId="5" borderId="5" xfId="5" applyFont="1" applyFill="1" applyBorder="1" applyAlignment="1">
      <alignment horizontal="center" vertical="center"/>
    </xf>
    <xf numFmtId="0" fontId="16" fillId="5" borderId="0" xfId="5" applyFont="1" applyFill="1" applyAlignment="1">
      <alignment horizontal="center" vertical="center"/>
    </xf>
    <xf numFmtId="0" fontId="16" fillId="5" borderId="37" xfId="5" applyFont="1" applyFill="1" applyBorder="1" applyAlignment="1">
      <alignment horizontal="center" vertical="justify"/>
    </xf>
    <xf numFmtId="0" fontId="17" fillId="0" borderId="5" xfId="5" applyFont="1" applyBorder="1" applyAlignment="1">
      <alignment horizontal="left" wrapText="1" indent="1"/>
    </xf>
    <xf numFmtId="0" fontId="17" fillId="0" borderId="0" xfId="5" applyFont="1"/>
    <xf numFmtId="167" fontId="17" fillId="0" borderId="37" xfId="6" applyNumberFormat="1" applyFont="1" applyBorder="1"/>
    <xf numFmtId="0" fontId="17" fillId="0" borderId="5" xfId="5" applyFont="1" applyBorder="1" applyAlignment="1">
      <alignment horizontal="left" indent="1"/>
    </xf>
    <xf numFmtId="0" fontId="9" fillId="0" borderId="38" xfId="0" applyFont="1" applyBorder="1"/>
    <xf numFmtId="0" fontId="11" fillId="0" borderId="39" xfId="0" applyFont="1" applyBorder="1"/>
    <xf numFmtId="167" fontId="7" fillId="0" borderId="40" xfId="0" applyNumberFormat="1" applyFont="1" applyBorder="1"/>
    <xf numFmtId="0" fontId="30" fillId="0" borderId="29" xfId="0" applyFont="1" applyBorder="1"/>
    <xf numFmtId="0" fontId="30" fillId="0" borderId="25" xfId="0" applyFont="1" applyBorder="1"/>
    <xf numFmtId="0" fontId="32" fillId="0" borderId="25" xfId="0" applyFont="1" applyBorder="1"/>
    <xf numFmtId="3" fontId="0" fillId="0" borderId="7" xfId="0" applyNumberFormat="1" applyBorder="1"/>
    <xf numFmtId="3" fontId="0" fillId="0" borderId="0" xfId="0" applyNumberFormat="1"/>
    <xf numFmtId="0" fontId="0" fillId="0" borderId="0" xfId="0" applyAlignment="1">
      <alignment horizontal="center" vertical="center"/>
    </xf>
    <xf numFmtId="0" fontId="7" fillId="13" borderId="7" xfId="0" applyFont="1" applyFill="1" applyBorder="1" applyAlignment="1">
      <alignment horizontal="center" vertical="center" wrapText="1"/>
    </xf>
    <xf numFmtId="0" fontId="7" fillId="13" borderId="7" xfId="0" applyFont="1" applyFill="1" applyBorder="1" applyAlignment="1">
      <alignment horizontal="center" vertical="center"/>
    </xf>
    <xf numFmtId="0" fontId="7" fillId="13" borderId="2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68" fontId="0" fillId="0" borderId="7" xfId="3" applyFont="1" applyBorder="1" applyAlignment="1">
      <alignment horizontal="center" vertical="center"/>
    </xf>
    <xf numFmtId="0" fontId="0" fillId="0" borderId="29" xfId="0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/>
    </xf>
    <xf numFmtId="0" fontId="6" fillId="14" borderId="41" xfId="0" applyFont="1" applyFill="1" applyBorder="1" applyAlignment="1">
      <alignment horizontal="center" vertical="center" wrapText="1"/>
    </xf>
    <xf numFmtId="0" fontId="6" fillId="14" borderId="42" xfId="0" applyFont="1" applyFill="1" applyBorder="1" applyAlignment="1">
      <alignment horizontal="center" vertical="center" wrapText="1"/>
    </xf>
    <xf numFmtId="0" fontId="32" fillId="0" borderId="41" xfId="0" applyFont="1" applyBorder="1" applyAlignment="1">
      <alignment horizontal="justify" vertical="center" wrapText="1"/>
    </xf>
    <xf numFmtId="0" fontId="32" fillId="0" borderId="42" xfId="0" applyFont="1" applyBorder="1" applyAlignment="1">
      <alignment horizontal="justify" vertical="center" wrapText="1"/>
    </xf>
    <xf numFmtId="0" fontId="32" fillId="0" borderId="42" xfId="0" applyFont="1" applyBorder="1" applyAlignment="1">
      <alignment horizontal="center" vertical="center" wrapText="1"/>
    </xf>
    <xf numFmtId="0" fontId="32" fillId="0" borderId="41" xfId="0" applyFont="1" applyBorder="1" applyAlignment="1">
      <alignment vertical="center" wrapText="1"/>
    </xf>
    <xf numFmtId="0" fontId="6" fillId="15" borderId="4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9" xfId="0" applyBorder="1" applyAlignment="1">
      <alignment horizontal="left" wrapText="1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wrapText="1"/>
    </xf>
    <xf numFmtId="0" fontId="0" fillId="16" borderId="29" xfId="0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34" fillId="17" borderId="57" xfId="0" applyFont="1" applyFill="1" applyBorder="1" applyAlignment="1">
      <alignment wrapText="1"/>
    </xf>
    <xf numFmtId="0" fontId="34" fillId="17" borderId="29" xfId="0" applyFont="1" applyFill="1" applyBorder="1" applyAlignment="1">
      <alignment wrapText="1"/>
    </xf>
    <xf numFmtId="0" fontId="35" fillId="17" borderId="29" xfId="0" applyFont="1" applyFill="1" applyBorder="1" applyAlignment="1">
      <alignment wrapText="1"/>
    </xf>
    <xf numFmtId="0" fontId="34" fillId="17" borderId="58" xfId="0" applyFont="1" applyFill="1" applyBorder="1" applyAlignment="1">
      <alignment wrapText="1"/>
    </xf>
    <xf numFmtId="0" fontId="7" fillId="6" borderId="60" xfId="0" applyFont="1" applyFill="1" applyBorder="1"/>
    <xf numFmtId="0" fontId="7" fillId="6" borderId="52" xfId="0" applyFont="1" applyFill="1" applyBorder="1"/>
    <xf numFmtId="0" fontId="7" fillId="6" borderId="57" xfId="0" applyFont="1" applyFill="1" applyBorder="1"/>
    <xf numFmtId="0" fontId="7" fillId="6" borderId="29" xfId="0" applyFont="1" applyFill="1" applyBorder="1"/>
    <xf numFmtId="0" fontId="7" fillId="6" borderId="58" xfId="0" applyFont="1" applyFill="1" applyBorder="1"/>
    <xf numFmtId="0" fontId="7" fillId="6" borderId="61" xfId="0" applyFont="1" applyFill="1" applyBorder="1"/>
    <xf numFmtId="0" fontId="0" fillId="6" borderId="61" xfId="0" applyFill="1" applyBorder="1"/>
    <xf numFmtId="0" fontId="36" fillId="6" borderId="62" xfId="0" applyFont="1" applyFill="1" applyBorder="1" applyAlignment="1">
      <alignment wrapText="1"/>
    </xf>
    <xf numFmtId="2" fontId="0" fillId="6" borderId="52" xfId="0" applyNumberFormat="1" applyFill="1" applyBorder="1"/>
    <xf numFmtId="0" fontId="0" fillId="6" borderId="57" xfId="0" applyFill="1" applyBorder="1"/>
    <xf numFmtId="0" fontId="0" fillId="6" borderId="29" xfId="0" applyFill="1" applyBorder="1"/>
    <xf numFmtId="0" fontId="0" fillId="6" borderId="58" xfId="0" applyFill="1" applyBorder="1"/>
    <xf numFmtId="2" fontId="0" fillId="0" borderId="0" xfId="0" applyNumberFormat="1"/>
    <xf numFmtId="0" fontId="36" fillId="6" borderId="63" xfId="0" applyFont="1" applyFill="1" applyBorder="1" applyAlignment="1">
      <alignment wrapText="1"/>
    </xf>
    <xf numFmtId="2" fontId="0" fillId="6" borderId="64" xfId="0" applyNumberFormat="1" applyFill="1" applyBorder="1"/>
    <xf numFmtId="0" fontId="0" fillId="6" borderId="65" xfId="0" applyFill="1" applyBorder="1"/>
    <xf numFmtId="0" fontId="0" fillId="6" borderId="66" xfId="0" applyFill="1" applyBorder="1"/>
    <xf numFmtId="0" fontId="0" fillId="6" borderId="67" xfId="0" applyFill="1" applyBorder="1"/>
    <xf numFmtId="0" fontId="0" fillId="6" borderId="68" xfId="0" applyFill="1" applyBorder="1"/>
    <xf numFmtId="0" fontId="7" fillId="3" borderId="61" xfId="0" applyFont="1" applyFill="1" applyBorder="1" applyAlignment="1">
      <alignment horizontal="center" vertical="center"/>
    </xf>
    <xf numFmtId="2" fontId="7" fillId="3" borderId="61" xfId="0" applyNumberFormat="1" applyFont="1" applyFill="1" applyBorder="1" applyAlignment="1">
      <alignment horizontal="center" vertical="center"/>
    </xf>
    <xf numFmtId="2" fontId="7" fillId="3" borderId="68" xfId="0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7" fillId="0" borderId="0" xfId="0" applyFont="1"/>
    <xf numFmtId="0" fontId="18" fillId="23" borderId="70" xfId="0" applyFont="1" applyFill="1" applyBorder="1" applyAlignment="1">
      <alignment horizontal="center" vertical="center" wrapText="1"/>
    </xf>
    <xf numFmtId="0" fontId="18" fillId="23" borderId="71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1" fontId="17" fillId="0" borderId="13" xfId="0" applyNumberFormat="1" applyFont="1" applyBorder="1" applyAlignment="1">
      <alignment horizontal="center" vertical="center" wrapText="1"/>
    </xf>
    <xf numFmtId="2" fontId="17" fillId="0" borderId="13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3" borderId="17" xfId="0" applyFont="1" applyFill="1" applyBorder="1" applyAlignment="1">
      <alignment horizontal="center" vertical="center" wrapText="1"/>
    </xf>
    <xf numFmtId="2" fontId="18" fillId="3" borderId="18" xfId="0" applyNumberFormat="1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8" fillId="3" borderId="17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38" fillId="22" borderId="5" xfId="0" applyFont="1" applyFill="1" applyBorder="1" applyAlignment="1">
      <alignment horizontal="center"/>
    </xf>
    <xf numFmtId="0" fontId="38" fillId="22" borderId="0" xfId="0" applyFont="1" applyFill="1" applyAlignment="1">
      <alignment horizontal="center"/>
    </xf>
    <xf numFmtId="0" fontId="39" fillId="0" borderId="5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7" fillId="21" borderId="5" xfId="0" applyFont="1" applyFill="1" applyBorder="1" applyAlignment="1">
      <alignment horizontal="center" shrinkToFit="1"/>
    </xf>
    <xf numFmtId="0" fontId="37" fillId="21" borderId="0" xfId="0" applyFont="1" applyFill="1" applyAlignment="1">
      <alignment horizontal="center" shrinkToFit="1"/>
    </xf>
    <xf numFmtId="0" fontId="38" fillId="22" borderId="69" xfId="0" applyFont="1" applyFill="1" applyBorder="1" applyAlignment="1">
      <alignment horizontal="center" vertical="center" wrapText="1"/>
    </xf>
    <xf numFmtId="0" fontId="38" fillId="22" borderId="70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wrapText="1"/>
    </xf>
    <xf numFmtId="0" fontId="7" fillId="3" borderId="0" xfId="0" applyFont="1" applyFill="1" applyAlignment="1">
      <alignment horizontal="left"/>
    </xf>
    <xf numFmtId="0" fontId="8" fillId="4" borderId="5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2" fillId="0" borderId="7" xfId="0" applyFont="1" applyBorder="1" applyAlignment="1">
      <alignment horizontal="center"/>
    </xf>
    <xf numFmtId="0" fontId="19" fillId="5" borderId="0" xfId="0" applyFont="1" applyFill="1" applyAlignment="1">
      <alignment horizontal="center"/>
    </xf>
    <xf numFmtId="0" fontId="16" fillId="5" borderId="9" xfId="5" applyFont="1" applyFill="1" applyBorder="1" applyAlignment="1">
      <alignment horizontal="center"/>
    </xf>
    <xf numFmtId="0" fontId="16" fillId="5" borderId="10" xfId="5" applyFont="1" applyFill="1" applyBorder="1" applyAlignment="1">
      <alignment horizontal="center"/>
    </xf>
    <xf numFmtId="0" fontId="16" fillId="5" borderId="11" xfId="5" applyFont="1" applyFill="1" applyBorder="1" applyAlignment="1">
      <alignment horizontal="center"/>
    </xf>
    <xf numFmtId="0" fontId="7" fillId="11" borderId="19" xfId="0" applyFon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7" fillId="11" borderId="21" xfId="0" applyFont="1" applyFill="1" applyBorder="1" applyAlignment="1">
      <alignment horizontal="center"/>
    </xf>
    <xf numFmtId="0" fontId="16" fillId="5" borderId="34" xfId="5" applyFont="1" applyFill="1" applyBorder="1" applyAlignment="1">
      <alignment horizontal="center"/>
    </xf>
    <xf numFmtId="0" fontId="16" fillId="5" borderId="35" xfId="5" applyFont="1" applyFill="1" applyBorder="1" applyAlignment="1">
      <alignment horizontal="center"/>
    </xf>
    <xf numFmtId="0" fontId="16" fillId="5" borderId="36" xfId="5" applyFont="1" applyFill="1" applyBorder="1" applyAlignment="1">
      <alignment horizontal="center"/>
    </xf>
    <xf numFmtId="0" fontId="5" fillId="0" borderId="19" xfId="0" applyFont="1" applyBorder="1" applyAlignment="1">
      <alignment horizontal="justify" vertical="center" wrapText="1"/>
    </xf>
    <xf numFmtId="0" fontId="5" fillId="0" borderId="20" xfId="0" applyFont="1" applyBorder="1" applyAlignment="1">
      <alignment horizontal="justify" vertical="center" wrapText="1"/>
    </xf>
    <xf numFmtId="0" fontId="5" fillId="0" borderId="21" xfId="0" applyFont="1" applyBorder="1" applyAlignment="1">
      <alignment horizontal="justify" vertical="center" wrapText="1"/>
    </xf>
    <xf numFmtId="0" fontId="5" fillId="0" borderId="43" xfId="0" applyFont="1" applyBorder="1" applyAlignment="1">
      <alignment horizontal="justify" vertical="center" wrapText="1"/>
    </xf>
    <xf numFmtId="0" fontId="5" fillId="0" borderId="44" xfId="0" applyFont="1" applyBorder="1" applyAlignment="1">
      <alignment horizontal="justify" vertical="center" wrapText="1"/>
    </xf>
    <xf numFmtId="0" fontId="5" fillId="0" borderId="45" xfId="0" applyFont="1" applyBorder="1" applyAlignment="1">
      <alignment horizontal="justify" vertical="center" wrapText="1"/>
    </xf>
    <xf numFmtId="0" fontId="5" fillId="0" borderId="46" xfId="0" applyFont="1" applyBorder="1" applyAlignment="1">
      <alignment horizontal="justify" vertical="center" wrapText="1"/>
    </xf>
    <xf numFmtId="0" fontId="5" fillId="0" borderId="47" xfId="0" applyFont="1" applyBorder="1" applyAlignment="1">
      <alignment horizontal="justify" vertical="center" wrapText="1"/>
    </xf>
    <xf numFmtId="0" fontId="5" fillId="0" borderId="42" xfId="0" applyFont="1" applyBorder="1" applyAlignment="1">
      <alignment horizontal="justify" vertical="center" wrapText="1"/>
    </xf>
    <xf numFmtId="0" fontId="33" fillId="4" borderId="5" xfId="0" applyFont="1" applyFill="1" applyBorder="1" applyAlignment="1">
      <alignment horizontal="center" vertical="center"/>
    </xf>
    <xf numFmtId="0" fontId="33" fillId="4" borderId="0" xfId="0" applyFont="1" applyFill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9" fontId="32" fillId="0" borderId="19" xfId="0" applyNumberFormat="1" applyFont="1" applyBorder="1" applyAlignment="1">
      <alignment horizontal="center" vertical="center" wrapText="1"/>
    </xf>
    <xf numFmtId="9" fontId="32" fillId="0" borderId="21" xfId="0" applyNumberFormat="1" applyFont="1" applyBorder="1" applyAlignment="1">
      <alignment horizontal="center" vertical="center" wrapText="1"/>
    </xf>
    <xf numFmtId="0" fontId="5" fillId="14" borderId="19" xfId="0" applyFont="1" applyFill="1" applyBorder="1" applyAlignment="1">
      <alignment horizontal="center" vertical="center" wrapText="1"/>
    </xf>
    <xf numFmtId="0" fontId="5" fillId="14" borderId="20" xfId="0" applyFont="1" applyFill="1" applyBorder="1" applyAlignment="1">
      <alignment horizontal="center" vertical="center" wrapText="1"/>
    </xf>
    <xf numFmtId="0" fontId="5" fillId="14" borderId="21" xfId="0" applyFont="1" applyFill="1" applyBorder="1" applyAlignment="1">
      <alignment horizontal="center" vertical="center" wrapText="1"/>
    </xf>
    <xf numFmtId="0" fontId="6" fillId="15" borderId="19" xfId="0" applyFont="1" applyFill="1" applyBorder="1" applyAlignment="1">
      <alignment horizontal="justify" vertical="center" wrapText="1"/>
    </xf>
    <xf numFmtId="0" fontId="6" fillId="15" borderId="21" xfId="0" applyFont="1" applyFill="1" applyBorder="1" applyAlignment="1">
      <alignment horizontal="justify" vertical="center" wrapText="1"/>
    </xf>
    <xf numFmtId="0" fontId="6" fillId="17" borderId="48" xfId="0" applyFont="1" applyFill="1" applyBorder="1" applyAlignment="1">
      <alignment horizontal="center"/>
    </xf>
    <xf numFmtId="0" fontId="6" fillId="17" borderId="49" xfId="0" applyFont="1" applyFill="1" applyBorder="1" applyAlignment="1">
      <alignment horizontal="center"/>
    </xf>
    <xf numFmtId="0" fontId="6" fillId="17" borderId="50" xfId="0" applyFont="1" applyFill="1" applyBorder="1" applyAlignment="1">
      <alignment horizontal="center"/>
    </xf>
    <xf numFmtId="0" fontId="6" fillId="18" borderId="51" xfId="0" applyFont="1" applyFill="1" applyBorder="1" applyAlignment="1">
      <alignment horizontal="center" wrapText="1"/>
    </xf>
    <xf numFmtId="0" fontId="6" fillId="18" borderId="56" xfId="0" applyFont="1" applyFill="1" applyBorder="1" applyAlignment="1">
      <alignment horizontal="center" wrapText="1"/>
    </xf>
    <xf numFmtId="0" fontId="6" fillId="18" borderId="59" xfId="0" applyFont="1" applyFill="1" applyBorder="1" applyAlignment="1">
      <alignment horizontal="center" wrapText="1"/>
    </xf>
    <xf numFmtId="0" fontId="5" fillId="19" borderId="51" xfId="0" applyFont="1" applyFill="1" applyBorder="1" applyAlignment="1">
      <alignment horizontal="center" wrapText="1"/>
    </xf>
    <xf numFmtId="0" fontId="5" fillId="19" borderId="56" xfId="0" applyFont="1" applyFill="1" applyBorder="1" applyAlignment="1">
      <alignment horizontal="center" wrapText="1"/>
    </xf>
    <xf numFmtId="0" fontId="5" fillId="19" borderId="59" xfId="0" applyFont="1" applyFill="1" applyBorder="1" applyAlignment="1">
      <alignment horizontal="center" wrapText="1"/>
    </xf>
    <xf numFmtId="0" fontId="6" fillId="20" borderId="51" xfId="0" applyFont="1" applyFill="1" applyBorder="1" applyAlignment="1">
      <alignment horizontal="center" wrapText="1"/>
    </xf>
    <xf numFmtId="0" fontId="6" fillId="20" borderId="56" xfId="0" applyFont="1" applyFill="1" applyBorder="1" applyAlignment="1">
      <alignment horizontal="center" wrapText="1"/>
    </xf>
    <xf numFmtId="0" fontId="6" fillId="20" borderId="59" xfId="0" applyFont="1" applyFill="1" applyBorder="1" applyAlignment="1">
      <alignment horizontal="center" wrapText="1"/>
    </xf>
    <xf numFmtId="0" fontId="6" fillId="20" borderId="51" xfId="0" applyFont="1" applyFill="1" applyBorder="1" applyAlignment="1">
      <alignment horizontal="center"/>
    </xf>
    <xf numFmtId="0" fontId="6" fillId="20" borderId="56" xfId="0" applyFont="1" applyFill="1" applyBorder="1" applyAlignment="1">
      <alignment horizontal="center"/>
    </xf>
    <xf numFmtId="0" fontId="6" fillId="20" borderId="59" xfId="0" applyFont="1" applyFill="1" applyBorder="1" applyAlignment="1">
      <alignment horizontal="center"/>
    </xf>
    <xf numFmtId="0" fontId="6" fillId="3" borderId="51" xfId="0" applyFont="1" applyFill="1" applyBorder="1" applyAlignment="1">
      <alignment horizontal="center" vertical="center"/>
    </xf>
    <xf numFmtId="0" fontId="6" fillId="3" borderId="56" xfId="0" applyFont="1" applyFill="1" applyBorder="1" applyAlignment="1">
      <alignment horizontal="center" vertical="center"/>
    </xf>
    <xf numFmtId="0" fontId="6" fillId="3" borderId="59" xfId="0" applyFont="1" applyFill="1" applyBorder="1" applyAlignment="1">
      <alignment horizontal="center" vertical="center"/>
    </xf>
    <xf numFmtId="0" fontId="34" fillId="17" borderId="52" xfId="0" applyFont="1" applyFill="1" applyBorder="1" applyAlignment="1">
      <alignment horizontal="center" vertical="center" wrapText="1"/>
    </xf>
    <xf numFmtId="0" fontId="6" fillId="17" borderId="53" xfId="0" applyFont="1" applyFill="1" applyBorder="1" applyAlignment="1">
      <alignment horizontal="center" wrapText="1"/>
    </xf>
    <xf numFmtId="0" fontId="6" fillId="17" borderId="54" xfId="0" applyFont="1" applyFill="1" applyBorder="1" applyAlignment="1">
      <alignment horizontal="center" wrapText="1"/>
    </xf>
    <xf numFmtId="0" fontId="6" fillId="17" borderId="55" xfId="0" applyFont="1" applyFill="1" applyBorder="1" applyAlignment="1">
      <alignment horizontal="center" wrapText="1"/>
    </xf>
  </cellXfs>
  <cellStyles count="7">
    <cellStyle name="Millares [0]" xfId="1" builtinId="6"/>
    <cellStyle name="Millares [0] 3" xfId="6" xr:uid="{D2EF642B-0129-4515-BC4B-80020B12349D}"/>
    <cellStyle name="Moneda" xfId="2" builtinId="4"/>
    <cellStyle name="Moneda [0]" xfId="3" builtinId="7"/>
    <cellStyle name="Normal" xfId="0" builtinId="0"/>
    <cellStyle name="Normal 6" xfId="5" xr:uid="{0610C4DF-1BEF-410D-AE88-15B707F4534D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3</xdr:row>
      <xdr:rowOff>0</xdr:rowOff>
    </xdr:from>
    <xdr:to>
      <xdr:col>14</xdr:col>
      <xdr:colOff>465201</xdr:colOff>
      <xdr:row>32</xdr:row>
      <xdr:rowOff>161180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1AC6628-61C6-4CF9-8E11-D2DB33706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600075"/>
          <a:ext cx="12190476" cy="59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15A62-52AE-4E39-9D51-F658D36827F9}">
  <sheetPr>
    <tabColor theme="7"/>
  </sheetPr>
  <dimension ref="A1:H20"/>
  <sheetViews>
    <sheetView tabSelected="1" workbookViewId="0">
      <selection activeCell="L13" sqref="L13"/>
    </sheetView>
  </sheetViews>
  <sheetFormatPr baseColWidth="10" defaultRowHeight="15.75" x14ac:dyDescent="0.25"/>
  <cols>
    <col min="3" max="3" width="14.125" customWidth="1"/>
    <col min="5" max="5" width="18.5" customWidth="1"/>
    <col min="6" max="6" width="22.625" customWidth="1"/>
    <col min="7" max="7" width="17.75" customWidth="1"/>
  </cols>
  <sheetData>
    <row r="1" spans="1:7" ht="18" x14ac:dyDescent="0.35">
      <c r="A1" s="163" t="s">
        <v>151</v>
      </c>
      <c r="B1" s="164"/>
      <c r="C1" s="164"/>
      <c r="D1" s="164"/>
      <c r="E1" s="164"/>
      <c r="F1" s="164"/>
      <c r="G1" s="164"/>
    </row>
    <row r="2" spans="1:7" ht="14.45" customHeight="1" x14ac:dyDescent="0.25">
      <c r="A2" s="165" t="s">
        <v>152</v>
      </c>
      <c r="B2" s="166"/>
      <c r="C2" s="166"/>
      <c r="D2" s="166"/>
      <c r="E2" s="166"/>
      <c r="F2" s="166"/>
      <c r="G2" s="166"/>
    </row>
    <row r="3" spans="1:7" ht="31.15" customHeight="1" x14ac:dyDescent="0.25">
      <c r="A3" s="165"/>
      <c r="B3" s="166"/>
      <c r="C3" s="166"/>
      <c r="D3" s="166"/>
      <c r="E3" s="166"/>
      <c r="F3" s="166"/>
      <c r="G3" s="166"/>
    </row>
    <row r="4" spans="1:7" ht="18" x14ac:dyDescent="0.35">
      <c r="A4" s="167" t="s">
        <v>153</v>
      </c>
      <c r="B4" s="168"/>
      <c r="C4" s="168"/>
      <c r="D4" s="168"/>
      <c r="E4" s="168"/>
      <c r="F4" s="168"/>
      <c r="G4" s="168"/>
    </row>
    <row r="5" spans="1:7" ht="18" x14ac:dyDescent="0.35">
      <c r="A5" s="148"/>
      <c r="B5" s="148"/>
      <c r="C5" s="148"/>
      <c r="D5" s="148"/>
      <c r="E5" s="148"/>
      <c r="F5" s="148"/>
    </row>
    <row r="6" spans="1:7" ht="18.75" thickBot="1" x14ac:dyDescent="0.4">
      <c r="A6" s="148"/>
      <c r="B6" s="148"/>
      <c r="C6" s="148"/>
      <c r="D6" s="148"/>
      <c r="E6" s="148"/>
      <c r="F6" s="148"/>
    </row>
    <row r="7" spans="1:7" ht="90" x14ac:dyDescent="0.25">
      <c r="A7" s="169" t="s">
        <v>145</v>
      </c>
      <c r="B7" s="170"/>
      <c r="C7" s="170"/>
      <c r="D7" s="170"/>
      <c r="E7" s="149" t="s">
        <v>146</v>
      </c>
      <c r="F7" s="150" t="s">
        <v>147</v>
      </c>
      <c r="G7" s="150" t="s">
        <v>137</v>
      </c>
    </row>
    <row r="8" spans="1:7" ht="18" x14ac:dyDescent="0.25">
      <c r="A8" s="158" t="s">
        <v>121</v>
      </c>
      <c r="B8" s="159"/>
      <c r="C8" s="159"/>
      <c r="D8" s="159"/>
      <c r="E8" s="151">
        <v>140</v>
      </c>
      <c r="F8" s="152">
        <f>'Puntaje total'!S6</f>
        <v>140</v>
      </c>
      <c r="G8" s="152">
        <f>'Puntaje total'!S7</f>
        <v>140</v>
      </c>
    </row>
    <row r="9" spans="1:7" ht="18" x14ac:dyDescent="0.25">
      <c r="A9" s="158" t="s">
        <v>148</v>
      </c>
      <c r="B9" s="159"/>
      <c r="C9" s="159"/>
      <c r="D9" s="159"/>
      <c r="E9" s="151">
        <v>100</v>
      </c>
      <c r="F9" s="152">
        <f>'Puntaje total'!T6</f>
        <v>100</v>
      </c>
      <c r="G9" s="152">
        <f>'Puntaje total'!T7</f>
        <v>100</v>
      </c>
    </row>
    <row r="10" spans="1:7" ht="18" x14ac:dyDescent="0.25">
      <c r="A10" s="158" t="s">
        <v>149</v>
      </c>
      <c r="B10" s="159"/>
      <c r="C10" s="159"/>
      <c r="D10" s="159"/>
      <c r="E10" s="151">
        <v>600</v>
      </c>
      <c r="F10" s="153">
        <f>SUM('Puntaje total'!B6:R6)</f>
        <v>530.46</v>
      </c>
      <c r="G10" s="153">
        <f>SUM('Puntaje total'!B7:R7)</f>
        <v>398.3</v>
      </c>
    </row>
    <row r="11" spans="1:7" ht="18" x14ac:dyDescent="0.25">
      <c r="A11" s="158" t="s">
        <v>123</v>
      </c>
      <c r="B11" s="159"/>
      <c r="C11" s="159"/>
      <c r="D11" s="159"/>
      <c r="E11" s="151">
        <v>150</v>
      </c>
      <c r="F11" s="152">
        <f>'Puntaje total'!U6</f>
        <v>150</v>
      </c>
      <c r="G11" s="152">
        <f>'Puntaje total'!U7</f>
        <v>150</v>
      </c>
    </row>
    <row r="12" spans="1:7" ht="18" x14ac:dyDescent="0.25">
      <c r="A12" s="158" t="s">
        <v>124</v>
      </c>
      <c r="B12" s="159"/>
      <c r="C12" s="159"/>
      <c r="D12" s="159"/>
      <c r="E12" s="151">
        <v>10</v>
      </c>
      <c r="F12" s="152">
        <f>'Puntaje total'!V6</f>
        <v>10</v>
      </c>
      <c r="G12" s="152">
        <f>'Puntaje total'!V7</f>
        <v>10</v>
      </c>
    </row>
    <row r="13" spans="1:7" ht="18.75" thickBot="1" x14ac:dyDescent="0.3">
      <c r="A13" s="160" t="s">
        <v>150</v>
      </c>
      <c r="B13" s="161"/>
      <c r="C13" s="161"/>
      <c r="D13" s="161"/>
      <c r="E13" s="156">
        <f>SUM(E8:E12)</f>
        <v>1000</v>
      </c>
      <c r="F13" s="157">
        <f>SUM(F8:F12)</f>
        <v>930.46</v>
      </c>
      <c r="G13" s="157">
        <f>SUM(G8:G12)</f>
        <v>798.3</v>
      </c>
    </row>
    <row r="19" spans="1:8" ht="18" x14ac:dyDescent="0.25">
      <c r="A19" s="154"/>
      <c r="F19" s="154"/>
    </row>
    <row r="20" spans="1:8" ht="18" x14ac:dyDescent="0.25">
      <c r="A20" s="162"/>
      <c r="B20" s="162"/>
      <c r="C20" s="162"/>
      <c r="D20" s="162"/>
      <c r="F20" s="155"/>
      <c r="G20" s="155"/>
      <c r="H20" s="155"/>
    </row>
  </sheetData>
  <sheetProtection algorithmName="SHA-512" hashValue="If/0FRDNZWzPp17Kih1awzGXV5FydzUhXWB1BH9YzjE64G7gO+as09YDF/pt78PbnrXQUEZuREKHwQkkgx0U6A==" saltValue="QXdQOBahZyvfbb7LM/kRrw==" spinCount="100000" sheet="1" formatCells="0" formatColumns="0" formatRows="0" insertColumns="0" insertRows="0" insertHyperlinks="0" deleteColumns="0" deleteRows="0" sort="0" autoFilter="0" pivotTables="0"/>
  <mergeCells count="11">
    <mergeCell ref="A9:D9"/>
    <mergeCell ref="A1:G1"/>
    <mergeCell ref="A2:G3"/>
    <mergeCell ref="A4:G4"/>
    <mergeCell ref="A7:D7"/>
    <mergeCell ref="A8:D8"/>
    <mergeCell ref="A10:D10"/>
    <mergeCell ref="A11:D11"/>
    <mergeCell ref="A12:D12"/>
    <mergeCell ref="A13:D13"/>
    <mergeCell ref="A20:D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DB6D5-15F2-4F5F-9B2D-2AABB7F05074}">
  <sheetPr>
    <tabColor theme="5" tint="-0.249977111117893"/>
  </sheetPr>
  <dimension ref="B35:M43"/>
  <sheetViews>
    <sheetView showGridLines="0" workbookViewId="0">
      <selection activeCell="S13" sqref="S13"/>
    </sheetView>
  </sheetViews>
  <sheetFormatPr baseColWidth="10" defaultRowHeight="15.75" x14ac:dyDescent="0.25"/>
  <cols>
    <col min="2" max="2" width="11" customWidth="1"/>
    <col min="4" max="4" width="11" customWidth="1"/>
  </cols>
  <sheetData>
    <row r="35" spans="2:13" x14ac:dyDescent="0.25">
      <c r="B35" s="171" t="s">
        <v>139</v>
      </c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1"/>
    </row>
    <row r="36" spans="2:13" ht="76.5" customHeight="1" x14ac:dyDescent="0.25">
      <c r="B36" s="172" t="s">
        <v>0</v>
      </c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</row>
    <row r="37" spans="2:13" ht="16.5" thickBot="1" x14ac:dyDescent="0.3"/>
    <row r="38" spans="2:13" ht="30.75" thickBot="1" x14ac:dyDescent="0.3">
      <c r="B38" s="1" t="s">
        <v>1</v>
      </c>
      <c r="C38" s="2" t="s">
        <v>2</v>
      </c>
    </row>
    <row r="39" spans="2:13" ht="30.75" thickBot="1" x14ac:dyDescent="0.3">
      <c r="B39" s="3" t="s">
        <v>3</v>
      </c>
      <c r="C39" s="4" t="s">
        <v>4</v>
      </c>
    </row>
    <row r="40" spans="2:13" ht="30.75" thickBot="1" x14ac:dyDescent="0.3">
      <c r="B40" s="3" t="s">
        <v>5</v>
      </c>
      <c r="C40" s="4" t="s">
        <v>6</v>
      </c>
    </row>
    <row r="41" spans="2:13" ht="45.75" thickBot="1" x14ac:dyDescent="0.3">
      <c r="B41" s="3" t="s">
        <v>7</v>
      </c>
      <c r="C41" s="4" t="s">
        <v>8</v>
      </c>
    </row>
    <row r="43" spans="2:13" x14ac:dyDescent="0.25">
      <c r="B43" s="173" t="s">
        <v>138</v>
      </c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</row>
  </sheetData>
  <sheetProtection algorithmName="SHA-512" hashValue="DibSVTGii+LZN3bqwA3Cxb3f8yhRwR4I5KFZNScuyIo19H9oaJgxfJ2BfKw/tOmTZlQbtpeRebUoGc3IIi7ZPA==" saltValue="Ku1yfHmef1DHt+utXXRAHg==" spinCount="100000" sheet="1" formatCells="0" formatColumns="0" formatRows="0" insertColumns="0" insertRows="0" insertHyperlinks="0" deleteColumns="0" deleteRows="0" sort="0" autoFilter="0" pivotTables="0"/>
  <mergeCells count="3">
    <mergeCell ref="B35:M35"/>
    <mergeCell ref="B36:M36"/>
    <mergeCell ref="B43:M43"/>
  </mergeCell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47583-786E-4D92-994B-A954054647D8}">
  <sheetPr>
    <tabColor theme="5" tint="-0.249977111117893"/>
  </sheetPr>
  <dimension ref="B2:I12"/>
  <sheetViews>
    <sheetView showGridLines="0" zoomScale="70" zoomScaleNormal="70" workbookViewId="0">
      <selection activeCell="F10" sqref="F10"/>
    </sheetView>
  </sheetViews>
  <sheetFormatPr baseColWidth="10" defaultColWidth="11" defaultRowHeight="16.5" x14ac:dyDescent="0.3"/>
  <cols>
    <col min="1" max="1" width="22.375" style="5" customWidth="1"/>
    <col min="2" max="2" width="21" style="5" customWidth="1"/>
    <col min="3" max="3" width="15.375" style="5" customWidth="1"/>
    <col min="4" max="4" width="17.5" style="5" customWidth="1"/>
    <col min="5" max="5" width="18.875" style="5" customWidth="1"/>
    <col min="6" max="6" width="18.25" style="5" customWidth="1"/>
    <col min="7" max="7" width="18.375" style="5" customWidth="1"/>
    <col min="8" max="8" width="16" style="5" customWidth="1"/>
    <col min="9" max="9" width="36" style="5" customWidth="1"/>
    <col min="10" max="16384" width="11" style="5"/>
  </cols>
  <sheetData>
    <row r="2" spans="2:9" ht="23.25" x14ac:dyDescent="0.3">
      <c r="B2" s="174" t="s">
        <v>9</v>
      </c>
      <c r="C2" s="175"/>
      <c r="D2" s="175"/>
      <c r="E2" s="175"/>
      <c r="F2" s="175"/>
      <c r="G2" s="175"/>
      <c r="H2" s="175"/>
      <c r="I2" s="175"/>
    </row>
    <row r="3" spans="2:9" x14ac:dyDescent="0.3">
      <c r="D3" s="6"/>
      <c r="E3" s="6"/>
      <c r="F3" s="7"/>
      <c r="G3" s="7"/>
    </row>
    <row r="4" spans="2:9" x14ac:dyDescent="0.3">
      <c r="B4" s="8"/>
      <c r="F4" s="9" t="s">
        <v>10</v>
      </c>
      <c r="G4" s="9" t="s">
        <v>11</v>
      </c>
      <c r="H4" s="10"/>
    </row>
    <row r="5" spans="2:9" x14ac:dyDescent="0.3">
      <c r="B5" s="8"/>
      <c r="C5" s="11" t="s">
        <v>12</v>
      </c>
      <c r="D5" s="12" t="s">
        <v>13</v>
      </c>
      <c r="E5" s="12">
        <v>400</v>
      </c>
      <c r="F5" s="13">
        <v>4.4999999999999998E-2</v>
      </c>
      <c r="G5" s="14">
        <v>0.08</v>
      </c>
      <c r="H5" s="10"/>
      <c r="I5" s="15"/>
    </row>
    <row r="6" spans="2:9" ht="49.5" x14ac:dyDescent="0.3">
      <c r="C6" s="176" t="s">
        <v>14</v>
      </c>
      <c r="D6" s="176"/>
      <c r="E6" s="176"/>
      <c r="F6" s="176"/>
      <c r="G6" s="16" t="s">
        <v>15</v>
      </c>
      <c r="H6" s="17">
        <f>MAX(D9:D10)</f>
        <v>7.7499999999999999E-2</v>
      </c>
    </row>
    <row r="7" spans="2:9" x14ac:dyDescent="0.3">
      <c r="B7" s="8"/>
      <c r="C7" s="18"/>
      <c r="D7" s="18"/>
      <c r="E7" s="18"/>
      <c r="F7" s="19"/>
      <c r="G7" s="20" t="s">
        <v>16</v>
      </c>
      <c r="H7" s="21">
        <f>AVERAGE(D9:D10)</f>
        <v>6.9150000000000003E-2</v>
      </c>
    </row>
    <row r="8" spans="2:9" x14ac:dyDescent="0.3">
      <c r="B8" s="8"/>
      <c r="C8" s="22"/>
      <c r="D8" s="22" t="s">
        <v>17</v>
      </c>
      <c r="E8" s="22" t="s">
        <v>18</v>
      </c>
      <c r="F8" s="23" t="s">
        <v>19</v>
      </c>
      <c r="G8" s="24" t="s">
        <v>20</v>
      </c>
      <c r="H8" s="25">
        <f>(H6+H7)/2</f>
        <v>7.3325000000000001E-2</v>
      </c>
    </row>
    <row r="9" spans="2:9" x14ac:dyDescent="0.3">
      <c r="B9" s="8"/>
      <c r="C9" s="26" t="s">
        <v>136</v>
      </c>
      <c r="D9" s="27">
        <v>7.7499999999999999E-2</v>
      </c>
      <c r="E9" s="28">
        <f>ROUND(IF(D9&lt;=$H$8,400*(1-($H$8-D9)/$H$8),400*(1+($H$8-D9)/$H$8)),2)</f>
        <v>377.22</v>
      </c>
      <c r="F9" s="29">
        <f>_xlfn.RANK.EQ(E9,E9:E10)</f>
        <v>1</v>
      </c>
      <c r="G9" s="15"/>
      <c r="I9" s="30"/>
    </row>
    <row r="10" spans="2:9" x14ac:dyDescent="0.3">
      <c r="B10" s="8"/>
      <c r="C10" s="26" t="s">
        <v>137</v>
      </c>
      <c r="D10" s="27">
        <v>6.08E-2</v>
      </c>
      <c r="E10" s="28">
        <f>ROUND(IF(D10&lt;=$H$8,400*(1-($H$8-D10)/$H$8),400*(1+($H$8-D10)/$H$8)),2)</f>
        <v>331.67</v>
      </c>
      <c r="F10" s="29">
        <f>_xlfn.RANK.EQ(E10,E9:E10)</f>
        <v>2</v>
      </c>
      <c r="G10" s="31"/>
    </row>
    <row r="11" spans="2:9" x14ac:dyDescent="0.3">
      <c r="B11" s="8"/>
      <c r="D11" s="6"/>
      <c r="E11" s="6"/>
      <c r="F11" s="7"/>
      <c r="G11" s="31"/>
    </row>
    <row r="12" spans="2:9" x14ac:dyDescent="0.3">
      <c r="B12" s="8"/>
      <c r="D12" s="6"/>
      <c r="E12" s="6"/>
      <c r="F12" s="7"/>
      <c r="G12" s="7"/>
    </row>
  </sheetData>
  <sheetProtection algorithmName="SHA-512" hashValue="s+VY4ut6vv3dKXa8TD9Ibv0LXaPDAXAW2OeQs6kWLH/F/ZentXNuCwCY8YBDuEiIwRdKUjCB4Qqj6holWREYNA==" saltValue="n9LNGd5GOzqW2LOvEVeYvw==" spinCount="100000" sheet="1" formatCells="0" formatColumns="0" formatRows="0" insertColumns="0" insertRows="0" insertHyperlinks="0" deleteColumns="0" deleteRows="0" sort="0" autoFilter="0" pivotTables="0"/>
  <mergeCells count="2">
    <mergeCell ref="B2:I2"/>
    <mergeCell ref="C6:F6"/>
  </mergeCells>
  <conditionalFormatting sqref="F9:F1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">
      <colorScale>
        <cfvo type="min"/>
        <cfvo type="max"/>
        <color rgb="FFFCFCFF"/>
        <color rgb="FF63BE7B"/>
      </colorScale>
    </cfRule>
  </conditionalFormatting>
  <pageMargins left="0.75" right="0.75" top="1" bottom="1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CB2EF-28C2-4008-9D63-24262E6F37A0}">
  <sheetPr>
    <tabColor theme="5" tint="-0.249977111117893"/>
  </sheetPr>
  <dimension ref="A2:I69"/>
  <sheetViews>
    <sheetView showGridLines="0" topLeftCell="A52" zoomScale="70" zoomScaleNormal="70" workbookViewId="0"/>
  </sheetViews>
  <sheetFormatPr baseColWidth="10" defaultColWidth="11" defaultRowHeight="16.5" x14ac:dyDescent="0.3"/>
  <cols>
    <col min="1" max="1" width="22.375" style="5" customWidth="1"/>
    <col min="2" max="2" width="21" style="5" customWidth="1"/>
    <col min="3" max="3" width="22.125" style="5" bestFit="1" customWidth="1"/>
    <col min="4" max="4" width="25.875" style="5" customWidth="1"/>
    <col min="5" max="5" width="18.875" style="5" customWidth="1"/>
    <col min="6" max="6" width="17.375" style="5" customWidth="1"/>
    <col min="7" max="7" width="19.5" style="5" bestFit="1" customWidth="1"/>
    <col min="8" max="8" width="16" style="5" customWidth="1"/>
    <col min="9" max="9" width="36" style="5" customWidth="1"/>
    <col min="10" max="16384" width="11" style="5"/>
  </cols>
  <sheetData>
    <row r="2" spans="1:9" x14ac:dyDescent="0.3">
      <c r="B2" s="8"/>
      <c r="D2" s="6"/>
      <c r="E2" s="6"/>
      <c r="F2" s="7"/>
      <c r="G2" s="31"/>
    </row>
    <row r="3" spans="1:9" x14ac:dyDescent="0.3">
      <c r="B3" s="8"/>
      <c r="D3" s="6"/>
      <c r="E3" s="6"/>
      <c r="F3" s="7"/>
      <c r="G3" s="7"/>
    </row>
    <row r="4" spans="1:9" ht="23.25" x14ac:dyDescent="0.3">
      <c r="B4" s="174" t="s">
        <v>21</v>
      </c>
      <c r="C4" s="175"/>
      <c r="D4" s="175"/>
      <c r="E4" s="175"/>
      <c r="F4" s="175"/>
      <c r="G4" s="175"/>
      <c r="H4" s="175"/>
      <c r="I4" s="175"/>
    </row>
    <row r="5" spans="1:9" ht="17.25" thickBot="1" x14ac:dyDescent="0.35">
      <c r="B5" s="8"/>
      <c r="D5" s="6"/>
      <c r="E5" s="6"/>
      <c r="F5" s="7"/>
      <c r="G5" s="7"/>
    </row>
    <row r="6" spans="1:9" x14ac:dyDescent="0.3">
      <c r="D6" s="180" t="s">
        <v>22</v>
      </c>
      <c r="E6" s="181"/>
      <c r="F6" s="182"/>
    </row>
    <row r="7" spans="1:9" ht="45" x14ac:dyDescent="0.3">
      <c r="D7" s="32" t="s">
        <v>23</v>
      </c>
      <c r="E7" s="33"/>
      <c r="F7" s="34" t="s">
        <v>24</v>
      </c>
    </row>
    <row r="8" spans="1:9" ht="36" x14ac:dyDescent="0.35">
      <c r="D8" s="35" t="s">
        <v>25</v>
      </c>
      <c r="E8" s="36"/>
      <c r="F8" s="37">
        <v>33.409999999999997</v>
      </c>
    </row>
    <row r="9" spans="1:9" ht="36" x14ac:dyDescent="0.35">
      <c r="D9" s="38" t="s">
        <v>26</v>
      </c>
      <c r="E9" s="36"/>
      <c r="F9" s="37">
        <v>7.92</v>
      </c>
    </row>
    <row r="10" spans="1:9" ht="18" x14ac:dyDescent="0.35">
      <c r="D10" s="38" t="s">
        <v>27</v>
      </c>
      <c r="E10" s="36"/>
      <c r="F10" s="37">
        <v>4.6100000000000003</v>
      </c>
    </row>
    <row r="11" spans="1:9" ht="36" x14ac:dyDescent="0.35">
      <c r="D11" s="38" t="s">
        <v>28</v>
      </c>
      <c r="E11" s="36"/>
      <c r="F11" s="37">
        <v>0.84</v>
      </c>
    </row>
    <row r="12" spans="1:9" ht="36" x14ac:dyDescent="0.35">
      <c r="D12" s="38" t="s">
        <v>29</v>
      </c>
      <c r="E12" s="36"/>
      <c r="F12" s="37">
        <v>3.22</v>
      </c>
    </row>
    <row r="13" spans="1:9" ht="18.75" thickBot="1" x14ac:dyDescent="0.4">
      <c r="D13" s="39"/>
      <c r="E13" s="40"/>
      <c r="F13" s="41">
        <v>50</v>
      </c>
    </row>
    <row r="14" spans="1:9" customFormat="1" x14ac:dyDescent="0.3">
      <c r="A14" s="5"/>
      <c r="B14" s="5"/>
      <c r="C14" s="5"/>
      <c r="D14" s="5"/>
      <c r="E14" s="5"/>
    </row>
    <row r="16" spans="1:9" ht="21" x14ac:dyDescent="0.35">
      <c r="B16" s="179" t="str">
        <f>+D8</f>
        <v>Paradero tipo 1: con módulo</v>
      </c>
      <c r="C16" s="179"/>
      <c r="D16" s="179"/>
      <c r="E16" s="179"/>
      <c r="F16" s="179"/>
      <c r="G16" s="179"/>
    </row>
    <row r="17" spans="1:8" customFormat="1" x14ac:dyDescent="0.3">
      <c r="A17" s="5"/>
      <c r="B17" s="5"/>
      <c r="C17" s="5"/>
      <c r="D17" s="5"/>
      <c r="E17" s="5"/>
      <c r="F17" s="5"/>
    </row>
    <row r="18" spans="1:8" x14ac:dyDescent="0.3">
      <c r="B18" s="177"/>
      <c r="C18" s="177"/>
      <c r="D18" s="177"/>
      <c r="E18" s="42" t="s">
        <v>10</v>
      </c>
      <c r="F18" s="42" t="s">
        <v>11</v>
      </c>
      <c r="G18" s="43"/>
      <c r="H18"/>
    </row>
    <row r="19" spans="1:8" x14ac:dyDescent="0.3">
      <c r="B19"/>
      <c r="C19"/>
      <c r="D19"/>
      <c r="E19" s="44">
        <f>F19*0.95</f>
        <v>31996731.5</v>
      </c>
      <c r="F19" s="45">
        <v>33680770</v>
      </c>
      <c r="G19" s="46"/>
      <c r="H19"/>
    </row>
    <row r="20" spans="1:8" ht="50.25" x14ac:dyDescent="0.35">
      <c r="B20" s="47" t="s">
        <v>12</v>
      </c>
      <c r="C20" s="48" t="s">
        <v>13</v>
      </c>
      <c r="D20" s="49">
        <v>33.409999999999997</v>
      </c>
      <c r="E20" s="50"/>
      <c r="F20" s="16" t="s">
        <v>15</v>
      </c>
      <c r="G20" s="51">
        <f>MAX(C24:C25)</f>
        <v>78034977820</v>
      </c>
      <c r="H20" s="52"/>
    </row>
    <row r="21" spans="1:8" ht="18.75" x14ac:dyDescent="0.3">
      <c r="B21" s="178" t="s">
        <v>30</v>
      </c>
      <c r="C21" s="178"/>
      <c r="D21" s="178"/>
      <c r="E21" s="53"/>
      <c r="F21" s="20" t="s">
        <v>16</v>
      </c>
      <c r="G21" s="54">
        <f>AVERAGE(C24:C25)</f>
        <v>58189896817.5</v>
      </c>
      <c r="H21" s="55"/>
    </row>
    <row r="22" spans="1:8" ht="21" x14ac:dyDescent="0.35">
      <c r="B22" s="48"/>
      <c r="C22" s="49"/>
      <c r="D22" s="49"/>
      <c r="E22" s="53" t="s">
        <v>31</v>
      </c>
      <c r="F22" s="24" t="s">
        <v>20</v>
      </c>
      <c r="G22" s="56">
        <f>(G20+G21)/2</f>
        <v>68112437318.75</v>
      </c>
    </row>
    <row r="23" spans="1:8" ht="21" x14ac:dyDescent="0.35">
      <c r="B23" s="48"/>
      <c r="C23" s="49" t="s">
        <v>32</v>
      </c>
      <c r="D23" s="22" t="s">
        <v>18</v>
      </c>
      <c r="E23" s="23" t="s">
        <v>19</v>
      </c>
      <c r="F23" s="52"/>
      <c r="G23"/>
      <c r="H23"/>
    </row>
    <row r="24" spans="1:8" x14ac:dyDescent="0.3">
      <c r="B24" s="26" t="s">
        <v>136</v>
      </c>
      <c r="C24" s="58">
        <v>78034977820</v>
      </c>
      <c r="D24" s="59">
        <f>ROUND(IF(C24&lt;=G22,D20*(1-(G22-C24)/G22),D20*(1+(G22-C24)/G22)),2)</f>
        <v>28.54</v>
      </c>
      <c r="E24" s="29">
        <f>_xlfn.RANK.EQ(D24,D24:D25)</f>
        <v>1</v>
      </c>
      <c r="F24" s="60"/>
      <c r="G24"/>
      <c r="H24" s="61"/>
    </row>
    <row r="25" spans="1:8" x14ac:dyDescent="0.3">
      <c r="B25" s="26" t="s">
        <v>137</v>
      </c>
      <c r="C25" s="58">
        <v>38344815815</v>
      </c>
      <c r="D25" s="59">
        <f>ROUND(IF(C25&lt;=G22,D20*(1-(G22-C25)/G22),D20*(1+(G22-C25)/G22)),2)</f>
        <v>18.809999999999999</v>
      </c>
      <c r="E25" s="29">
        <f>_xlfn.RANK.EQ(D25,D24:D25)</f>
        <v>2</v>
      </c>
      <c r="F25" s="60"/>
      <c r="G25"/>
      <c r="H25"/>
    </row>
    <row r="28" spans="1:8" ht="21" x14ac:dyDescent="0.35">
      <c r="B28" s="179" t="str">
        <f>+D9</f>
        <v>Paradero tipo 2: Totem SITP</v>
      </c>
      <c r="C28" s="179"/>
      <c r="D28" s="179"/>
      <c r="E28" s="179"/>
      <c r="F28" s="179"/>
      <c r="G28" s="179"/>
    </row>
    <row r="29" spans="1:8" x14ac:dyDescent="0.3">
      <c r="B29"/>
      <c r="C29"/>
      <c r="D29"/>
      <c r="E29" s="44">
        <f>F29*0.95</f>
        <v>31996731.5</v>
      </c>
      <c r="F29" s="45">
        <v>33680770</v>
      </c>
      <c r="G29" s="46"/>
      <c r="H29"/>
    </row>
    <row r="30" spans="1:8" ht="50.25" x14ac:dyDescent="0.35">
      <c r="B30" s="47" t="s">
        <v>12</v>
      </c>
      <c r="C30" s="48" t="s">
        <v>13</v>
      </c>
      <c r="D30" s="62">
        <v>7.92</v>
      </c>
      <c r="E30" s="50"/>
      <c r="F30" s="16" t="s">
        <v>15</v>
      </c>
      <c r="G30" s="51">
        <f>MAX(C34:C35)</f>
        <v>18446661954</v>
      </c>
      <c r="H30" s="52"/>
    </row>
    <row r="31" spans="1:8" ht="18.75" x14ac:dyDescent="0.3">
      <c r="B31" s="178" t="s">
        <v>30</v>
      </c>
      <c r="C31" s="178"/>
      <c r="D31" s="178"/>
      <c r="E31" s="53"/>
      <c r="F31" s="20" t="s">
        <v>16</v>
      </c>
      <c r="G31" s="54">
        <f>AVERAGE(C34:C35)</f>
        <v>12150423600</v>
      </c>
      <c r="H31" s="55"/>
    </row>
    <row r="32" spans="1:8" ht="21" x14ac:dyDescent="0.35">
      <c r="B32" s="48"/>
      <c r="C32" s="49"/>
      <c r="D32" s="49"/>
      <c r="E32" s="53" t="s">
        <v>31</v>
      </c>
      <c r="F32" s="24" t="s">
        <v>20</v>
      </c>
      <c r="G32" s="56">
        <f>(G30+G31)/2</f>
        <v>15298542777</v>
      </c>
    </row>
    <row r="33" spans="2:8" ht="21" x14ac:dyDescent="0.35">
      <c r="B33" s="48"/>
      <c r="C33" s="49" t="s">
        <v>32</v>
      </c>
      <c r="D33" s="22" t="s">
        <v>18</v>
      </c>
      <c r="E33" s="23" t="s">
        <v>19</v>
      </c>
      <c r="F33" s="52"/>
      <c r="G33"/>
      <c r="H33"/>
    </row>
    <row r="34" spans="2:8" x14ac:dyDescent="0.3">
      <c r="B34" s="26" t="s">
        <v>136</v>
      </c>
      <c r="C34" s="58">
        <v>18446661954</v>
      </c>
      <c r="D34" s="59">
        <f>ROUND(IF(C34&lt;=G32,D30*(1-(G32-C34)/G32),D30*(1+(G32-C34)/G32)),2)</f>
        <v>6.29</v>
      </c>
      <c r="E34" s="29">
        <f>_xlfn.RANK.EQ(D34,D34:D35)</f>
        <v>1</v>
      </c>
      <c r="F34" s="60"/>
      <c r="G34"/>
      <c r="H34" s="61"/>
    </row>
    <row r="35" spans="2:8" x14ac:dyDescent="0.3">
      <c r="B35" s="26" t="s">
        <v>137</v>
      </c>
      <c r="C35" s="58">
        <v>5854185246</v>
      </c>
      <c r="D35" s="59">
        <f>ROUND(IF(C35&lt;=G32,D30*(1-(G32-C35)/G32),D30*(1+(G32-C35)/G32)),2)</f>
        <v>3.03</v>
      </c>
      <c r="E35" s="29">
        <f>_xlfn.RANK.EQ(D35,D34:D35)</f>
        <v>2</v>
      </c>
      <c r="F35" s="60"/>
      <c r="G35"/>
      <c r="H35"/>
    </row>
    <row r="38" spans="2:8" ht="21" x14ac:dyDescent="0.35">
      <c r="B38" s="179" t="str">
        <f>+D10</f>
        <v>Panel publicitario</v>
      </c>
      <c r="C38" s="179"/>
      <c r="D38" s="179"/>
      <c r="E38" s="179"/>
      <c r="F38" s="179"/>
      <c r="G38" s="179"/>
    </row>
    <row r="39" spans="2:8" x14ac:dyDescent="0.3">
      <c r="B39" s="177"/>
      <c r="C39" s="177"/>
      <c r="D39" s="177"/>
      <c r="E39" s="42" t="s">
        <v>10</v>
      </c>
      <c r="F39" s="42" t="s">
        <v>11</v>
      </c>
      <c r="G39" s="43"/>
      <c r="H39"/>
    </row>
    <row r="40" spans="2:8" x14ac:dyDescent="0.3">
      <c r="B40"/>
      <c r="C40"/>
      <c r="D40"/>
      <c r="E40" s="44">
        <f>F40*0.95</f>
        <v>31996731.5</v>
      </c>
      <c r="F40" s="45">
        <v>33680770</v>
      </c>
      <c r="G40" s="46"/>
      <c r="H40"/>
    </row>
    <row r="41" spans="2:8" ht="50.25" x14ac:dyDescent="0.35">
      <c r="B41" s="47" t="s">
        <v>12</v>
      </c>
      <c r="C41" s="48" t="s">
        <v>13</v>
      </c>
      <c r="D41" s="62">
        <v>4.6100000000000003</v>
      </c>
      <c r="E41" s="50"/>
      <c r="F41" s="16" t="s">
        <v>15</v>
      </c>
      <c r="G41" s="51">
        <f>MAX(C45:C46)</f>
        <v>11055633355</v>
      </c>
      <c r="H41" s="52"/>
    </row>
    <row r="42" spans="2:8" ht="18.75" x14ac:dyDescent="0.3">
      <c r="B42" s="178" t="s">
        <v>30</v>
      </c>
      <c r="C42" s="178"/>
      <c r="D42" s="178"/>
      <c r="E42" s="53"/>
      <c r="F42" s="20" t="s">
        <v>16</v>
      </c>
      <c r="G42" s="54">
        <f>AVERAGE(C45:C46)</f>
        <v>10906566677.5</v>
      </c>
      <c r="H42" s="55"/>
    </row>
    <row r="43" spans="2:8" ht="21" x14ac:dyDescent="0.35">
      <c r="B43" s="48"/>
      <c r="C43" s="49"/>
      <c r="D43" s="49"/>
      <c r="E43" s="53" t="s">
        <v>31</v>
      </c>
      <c r="F43" s="24" t="s">
        <v>20</v>
      </c>
      <c r="G43" s="56">
        <f>(G41+G42)/2</f>
        <v>10981100016.25</v>
      </c>
    </row>
    <row r="44" spans="2:8" ht="21" x14ac:dyDescent="0.35">
      <c r="B44" s="48"/>
      <c r="C44" s="49" t="s">
        <v>32</v>
      </c>
      <c r="D44" s="22" t="s">
        <v>18</v>
      </c>
      <c r="E44" s="23" t="s">
        <v>19</v>
      </c>
      <c r="F44" s="52"/>
      <c r="G44"/>
      <c r="H44"/>
    </row>
    <row r="45" spans="2:8" x14ac:dyDescent="0.3">
      <c r="B45" s="26" t="s">
        <v>136</v>
      </c>
      <c r="C45" s="58">
        <v>11055633355</v>
      </c>
      <c r="D45" s="59">
        <f>ROUND(IF(C45&lt;=G43,D41*(1-(G43-C45)/G43),D41*(1+(G43-C45)/G43)),2)</f>
        <v>4.58</v>
      </c>
      <c r="E45" s="29">
        <f>_xlfn.RANK.EQ(D45,D45:D46)</f>
        <v>1</v>
      </c>
      <c r="F45" s="60"/>
      <c r="G45"/>
      <c r="H45" s="61"/>
    </row>
    <row r="46" spans="2:8" x14ac:dyDescent="0.3">
      <c r="B46" s="26" t="s">
        <v>137</v>
      </c>
      <c r="C46" s="58">
        <v>10757500000</v>
      </c>
      <c r="D46" s="59">
        <f>ROUND(IF(C46&lt;=G43,D41*(1-(G43-C46)/G43),D41*(1+(G43-C46)/G43)),2)</f>
        <v>4.5199999999999996</v>
      </c>
      <c r="E46" s="29">
        <f>_xlfn.RANK.EQ(D46,D45:D46)</f>
        <v>2</v>
      </c>
      <c r="F46" s="60"/>
      <c r="G46"/>
      <c r="H46"/>
    </row>
    <row r="48" spans="2:8" ht="21" x14ac:dyDescent="0.35">
      <c r="B48" s="179" t="str">
        <f>+D11</f>
        <v>Paradero tipo 3 con bandera</v>
      </c>
      <c r="C48" s="179"/>
      <c r="D48" s="179"/>
      <c r="E48" s="179"/>
      <c r="F48" s="179"/>
      <c r="G48" s="179"/>
    </row>
    <row r="49" spans="2:8" x14ac:dyDescent="0.3">
      <c r="B49" s="177"/>
      <c r="C49" s="177"/>
      <c r="D49" s="177"/>
      <c r="E49" s="42" t="s">
        <v>10</v>
      </c>
      <c r="F49" s="42" t="s">
        <v>11</v>
      </c>
      <c r="G49" s="43"/>
    </row>
    <row r="50" spans="2:8" x14ac:dyDescent="0.3">
      <c r="B50" s="177"/>
      <c r="C50" s="177"/>
      <c r="D50" s="177"/>
      <c r="E50" s="42" t="s">
        <v>10</v>
      </c>
      <c r="F50" s="42" t="s">
        <v>11</v>
      </c>
      <c r="G50" s="43"/>
      <c r="H50"/>
    </row>
    <row r="51" spans="2:8" x14ac:dyDescent="0.3">
      <c r="B51"/>
      <c r="C51"/>
      <c r="D51"/>
      <c r="E51" s="44">
        <f>F51*0.95</f>
        <v>31996731.5</v>
      </c>
      <c r="F51" s="45">
        <v>33680770</v>
      </c>
      <c r="G51" s="46"/>
      <c r="H51"/>
    </row>
    <row r="52" spans="2:8" ht="50.25" x14ac:dyDescent="0.35">
      <c r="B52" s="47" t="s">
        <v>12</v>
      </c>
      <c r="C52" s="48" t="s">
        <v>13</v>
      </c>
      <c r="D52" s="62">
        <v>0.84</v>
      </c>
      <c r="E52" s="50"/>
      <c r="F52" s="16" t="s">
        <v>15</v>
      </c>
      <c r="G52" s="51">
        <f>MAX(C56:C57)</f>
        <v>3179135065</v>
      </c>
      <c r="H52" s="52"/>
    </row>
    <row r="53" spans="2:8" ht="18.75" x14ac:dyDescent="0.3">
      <c r="B53" s="178" t="s">
        <v>30</v>
      </c>
      <c r="C53" s="178"/>
      <c r="D53" s="178"/>
      <c r="E53" s="53"/>
      <c r="F53" s="20" t="s">
        <v>16</v>
      </c>
      <c r="G53" s="54">
        <f>AVERAGE(C56:C57)</f>
        <v>2419161157.5</v>
      </c>
      <c r="H53" s="55"/>
    </row>
    <row r="54" spans="2:8" ht="21" x14ac:dyDescent="0.35">
      <c r="B54" s="48"/>
      <c r="C54" s="49"/>
      <c r="D54" s="49"/>
      <c r="E54" s="53" t="s">
        <v>31</v>
      </c>
      <c r="F54" s="24" t="s">
        <v>20</v>
      </c>
      <c r="G54" s="56">
        <f>(G52+G53)/2</f>
        <v>2799148111.25</v>
      </c>
    </row>
    <row r="55" spans="2:8" ht="21" x14ac:dyDescent="0.35">
      <c r="B55" s="48"/>
      <c r="C55" s="49" t="s">
        <v>32</v>
      </c>
      <c r="D55" s="22" t="s">
        <v>18</v>
      </c>
      <c r="E55" s="23" t="s">
        <v>19</v>
      </c>
      <c r="F55" s="52"/>
      <c r="G55"/>
      <c r="H55"/>
    </row>
    <row r="56" spans="2:8" x14ac:dyDescent="0.3">
      <c r="B56" s="26" t="s">
        <v>136</v>
      </c>
      <c r="C56" s="58">
        <v>3179135065</v>
      </c>
      <c r="D56" s="59">
        <f>ROUND(IF(C56&lt;=G54,D52*(1-(G54-C56)/G54),D52*(1+(G54-C56)/G54)),2)</f>
        <v>0.73</v>
      </c>
      <c r="E56" s="29">
        <f>_xlfn.RANK.EQ(D56,D56:D57)</f>
        <v>1</v>
      </c>
      <c r="F56" s="60"/>
      <c r="G56"/>
      <c r="H56" s="61"/>
    </row>
    <row r="57" spans="2:8" x14ac:dyDescent="0.3">
      <c r="B57" s="26" t="s">
        <v>137</v>
      </c>
      <c r="C57" s="58">
        <v>1659187250</v>
      </c>
      <c r="D57" s="59">
        <f>ROUND(IF(C57&lt;=G54,D52*(1-(G54-C57)/G54),D52*(1+(G54-C57)/G54)),2)</f>
        <v>0.5</v>
      </c>
      <c r="E57" s="29">
        <f>_xlfn.RANK.EQ(D57,D56:D57)</f>
        <v>2</v>
      </c>
      <c r="F57" s="60"/>
      <c r="G57"/>
      <c r="H57"/>
    </row>
    <row r="60" spans="2:8" ht="21" x14ac:dyDescent="0.35">
      <c r="B60" s="179" t="str">
        <f>+D12</f>
        <v>Panel informativo interactivo estaciones</v>
      </c>
      <c r="C60" s="179"/>
      <c r="D60" s="179"/>
      <c r="E60" s="179"/>
      <c r="F60" s="179"/>
      <c r="G60" s="179"/>
    </row>
    <row r="61" spans="2:8" x14ac:dyDescent="0.3">
      <c r="B61" s="177"/>
      <c r="C61" s="177"/>
      <c r="D61" s="177"/>
      <c r="E61" s="42" t="s">
        <v>10</v>
      </c>
      <c r="F61" s="42" t="s">
        <v>11</v>
      </c>
      <c r="G61" s="43"/>
    </row>
    <row r="62" spans="2:8" x14ac:dyDescent="0.3">
      <c r="B62"/>
      <c r="C62"/>
      <c r="D62"/>
      <c r="E62" s="63">
        <f>F62*0.95</f>
        <v>31996731.5</v>
      </c>
      <c r="F62" s="64">
        <v>33680770</v>
      </c>
      <c r="G62"/>
    </row>
    <row r="63" spans="2:8" x14ac:dyDescent="0.3">
      <c r="B63"/>
      <c r="C63"/>
      <c r="D63"/>
      <c r="E63" s="44">
        <f>F63*0.95</f>
        <v>31996731.5</v>
      </c>
      <c r="F63" s="45">
        <v>33680770</v>
      </c>
      <c r="G63" s="46"/>
      <c r="H63"/>
    </row>
    <row r="64" spans="2:8" ht="50.25" x14ac:dyDescent="0.35">
      <c r="B64" s="47" t="s">
        <v>12</v>
      </c>
      <c r="C64" s="48" t="s">
        <v>13</v>
      </c>
      <c r="D64" s="62">
        <v>3.22</v>
      </c>
      <c r="E64" s="50"/>
      <c r="F64" s="16" t="s">
        <v>15</v>
      </c>
      <c r="G64" s="51">
        <f>MAX(C68:C69)</f>
        <v>12376911324</v>
      </c>
      <c r="H64" s="52"/>
    </row>
    <row r="65" spans="2:8" ht="18.75" x14ac:dyDescent="0.3">
      <c r="B65" s="178" t="s">
        <v>30</v>
      </c>
      <c r="C65" s="178"/>
      <c r="D65" s="178"/>
      <c r="E65" s="53"/>
      <c r="F65" s="20" t="s">
        <v>16</v>
      </c>
      <c r="G65" s="54">
        <f>AVERAGE(C68:C69)</f>
        <v>8051172936</v>
      </c>
      <c r="H65" s="55"/>
    </row>
    <row r="66" spans="2:8" ht="21" x14ac:dyDescent="0.35">
      <c r="B66" s="48"/>
      <c r="C66" s="49"/>
      <c r="D66" s="49"/>
      <c r="E66" s="53" t="s">
        <v>31</v>
      </c>
      <c r="F66" s="24" t="s">
        <v>20</v>
      </c>
      <c r="G66" s="56">
        <f>(G64+G65)/2</f>
        <v>10214042130</v>
      </c>
    </row>
    <row r="67" spans="2:8" ht="21" x14ac:dyDescent="0.35">
      <c r="B67" s="48"/>
      <c r="C67" s="49" t="s">
        <v>32</v>
      </c>
      <c r="D67" s="22" t="s">
        <v>18</v>
      </c>
      <c r="E67" s="23" t="s">
        <v>19</v>
      </c>
      <c r="F67" s="52"/>
      <c r="G67"/>
      <c r="H67"/>
    </row>
    <row r="68" spans="2:8" x14ac:dyDescent="0.3">
      <c r="B68" s="26" t="s">
        <v>136</v>
      </c>
      <c r="C68" s="58">
        <v>12376911324</v>
      </c>
      <c r="D68" s="59">
        <f>ROUND(IF(C68&lt;=G66,D64*(1-(G66-C68)/G66),D64*(1+(G66-C68)/G66)),2)</f>
        <v>2.54</v>
      </c>
      <c r="E68" s="29">
        <f>_xlfn.RANK.EQ(D68,D68:D69)</f>
        <v>1</v>
      </c>
      <c r="F68" s="60"/>
      <c r="G68"/>
      <c r="H68" s="61"/>
    </row>
    <row r="69" spans="2:8" x14ac:dyDescent="0.3">
      <c r="B69" s="26" t="s">
        <v>137</v>
      </c>
      <c r="C69" s="58">
        <v>3725434548</v>
      </c>
      <c r="D69" s="59">
        <f>ROUND(IF(C69&lt;=G66,D64*(1-(G66-C69)/G66),D64*(1+(G66-C69)/G66)),2)</f>
        <v>1.17</v>
      </c>
      <c r="E69" s="29">
        <f>_xlfn.RANK.EQ(D69,D68:D69)</f>
        <v>2</v>
      </c>
      <c r="F69" s="60"/>
      <c r="G69"/>
      <c r="H69"/>
    </row>
  </sheetData>
  <sheetProtection algorithmName="SHA-512" hashValue="Yx2N0KQ66mh7gYxIsmOLrKnSDlCKdOF/UBHbz/xrf/GbGcW++9d4EXUGbbakrvbQUVyszO41Sf+s36oDerhVRA==" saltValue="8cKQz0N7IWfQMVcfHc7XFw==" spinCount="100000" sheet="1" formatCells="0" formatColumns="0" formatRows="0" insertColumns="0" insertRows="0" insertHyperlinks="0" deleteColumns="0" deleteRows="0" sort="0" autoFilter="0" pivotTables="0"/>
  <mergeCells count="17">
    <mergeCell ref="B49:D49"/>
    <mergeCell ref="B4:I4"/>
    <mergeCell ref="D6:F6"/>
    <mergeCell ref="B16:G16"/>
    <mergeCell ref="B18:D18"/>
    <mergeCell ref="B21:D21"/>
    <mergeCell ref="B28:G28"/>
    <mergeCell ref="B31:D31"/>
    <mergeCell ref="B38:G38"/>
    <mergeCell ref="B39:D39"/>
    <mergeCell ref="B42:D42"/>
    <mergeCell ref="B48:G48"/>
    <mergeCell ref="B50:D50"/>
    <mergeCell ref="B53:D53"/>
    <mergeCell ref="B60:G60"/>
    <mergeCell ref="B61:D61"/>
    <mergeCell ref="B65:D65"/>
  </mergeCells>
  <conditionalFormatting sqref="E24:E2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">
      <colorScale>
        <cfvo type="min"/>
        <cfvo type="max"/>
        <color rgb="FFFCFCFF"/>
        <color rgb="FF63BE7B"/>
      </colorScale>
    </cfRule>
  </conditionalFormatting>
  <conditionalFormatting sqref="E34:E35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">
      <colorScale>
        <cfvo type="min"/>
        <cfvo type="max"/>
        <color rgb="FFFCFCFF"/>
        <color rgb="FF63BE7B"/>
      </colorScale>
    </cfRule>
  </conditionalFormatting>
  <conditionalFormatting sqref="E45:E46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">
      <colorScale>
        <cfvo type="min"/>
        <cfvo type="max"/>
        <color rgb="FFFCFCFF"/>
        <color rgb="FF63BE7B"/>
      </colorScale>
    </cfRule>
  </conditionalFormatting>
  <conditionalFormatting sqref="E56:E57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">
      <colorScale>
        <cfvo type="min"/>
        <cfvo type="max"/>
        <color rgb="FFFCFCFF"/>
        <color rgb="FF63BE7B"/>
      </colorScale>
    </cfRule>
  </conditionalFormatting>
  <conditionalFormatting sqref="E68:E69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0">
      <colorScale>
        <cfvo type="min"/>
        <cfvo type="max"/>
        <color rgb="FFFCFCFF"/>
        <color rgb="FF63BE7B"/>
      </colorScale>
    </cfRule>
  </conditionalFormatting>
  <pageMargins left="0.75" right="0.75" top="1" bottom="1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0D0EC-DDDB-448D-AF45-CBC402C9117C}">
  <dimension ref="A1:J8"/>
  <sheetViews>
    <sheetView workbookViewId="0">
      <selection sqref="A1:J1"/>
    </sheetView>
  </sheetViews>
  <sheetFormatPr baseColWidth="10" defaultColWidth="9" defaultRowHeight="15.75" x14ac:dyDescent="0.25"/>
  <cols>
    <col min="1" max="1" width="34.375" bestFit="1" customWidth="1"/>
    <col min="3" max="3" width="19.875" customWidth="1"/>
    <col min="4" max="4" width="19.25" style="82" bestFit="1" customWidth="1"/>
    <col min="5" max="5" width="19.25" bestFit="1" customWidth="1"/>
    <col min="6" max="6" width="18.875" bestFit="1" customWidth="1"/>
    <col min="7" max="7" width="19.875" customWidth="1"/>
    <col min="8" max="8" width="18.125" customWidth="1"/>
    <col min="9" max="9" width="23.625" customWidth="1"/>
    <col min="10" max="10" width="18.25" bestFit="1" customWidth="1"/>
  </cols>
  <sheetData>
    <row r="1" spans="1:10" ht="16.5" thickBot="1" x14ac:dyDescent="0.3">
      <c r="A1" s="183" t="s">
        <v>33</v>
      </c>
      <c r="B1" s="184"/>
      <c r="C1" s="184"/>
      <c r="D1" s="184"/>
      <c r="E1" s="184"/>
      <c r="F1" s="184"/>
      <c r="G1" s="184"/>
      <c r="H1" s="184"/>
      <c r="I1" s="184"/>
      <c r="J1" s="185"/>
    </row>
    <row r="2" spans="1:10" ht="47.25" x14ac:dyDescent="0.25">
      <c r="A2" s="65"/>
      <c r="B2" s="66" t="s">
        <v>34</v>
      </c>
      <c r="C2" s="67" t="s">
        <v>140</v>
      </c>
      <c r="D2" s="68" t="s">
        <v>144</v>
      </c>
      <c r="E2" s="69" t="s">
        <v>35</v>
      </c>
      <c r="F2" s="66" t="s">
        <v>36</v>
      </c>
      <c r="G2" s="67" t="s">
        <v>143</v>
      </c>
      <c r="H2" s="68" t="s">
        <v>141</v>
      </c>
      <c r="I2" s="69" t="s">
        <v>35</v>
      </c>
      <c r="J2" s="66" t="s">
        <v>36</v>
      </c>
    </row>
    <row r="3" spans="1:10" x14ac:dyDescent="0.25">
      <c r="A3" s="70" t="s">
        <v>25</v>
      </c>
      <c r="B3" s="71">
        <v>1655</v>
      </c>
      <c r="C3" s="72">
        <v>47151044</v>
      </c>
      <c r="D3" s="73">
        <v>78034978207</v>
      </c>
      <c r="E3" s="73">
        <f>B3*C3</f>
        <v>78034977820</v>
      </c>
      <c r="F3" s="74">
        <f>E3-D3</f>
        <v>-387</v>
      </c>
      <c r="G3" s="72">
        <v>23169073</v>
      </c>
      <c r="H3" s="73">
        <v>38344814988</v>
      </c>
      <c r="I3" s="73">
        <f>B3*G3</f>
        <v>38344815815</v>
      </c>
      <c r="J3" s="74">
        <f>I3-H3</f>
        <v>827</v>
      </c>
    </row>
    <row r="4" spans="1:10" x14ac:dyDescent="0.25">
      <c r="A4" s="70" t="s">
        <v>142</v>
      </c>
      <c r="B4" s="71">
        <v>714</v>
      </c>
      <c r="C4" s="72">
        <v>25835661</v>
      </c>
      <c r="D4" s="73">
        <v>18446661709</v>
      </c>
      <c r="E4" s="73">
        <f>B4*C4</f>
        <v>18446661954</v>
      </c>
      <c r="F4" s="74">
        <f>E4-D4</f>
        <v>245</v>
      </c>
      <c r="G4" s="72">
        <v>8199139</v>
      </c>
      <c r="H4" s="73">
        <v>5854185246</v>
      </c>
      <c r="I4" s="73">
        <f>B4*G4</f>
        <v>5854185246</v>
      </c>
      <c r="J4" s="74">
        <f>I4-H4</f>
        <v>0</v>
      </c>
    </row>
    <row r="5" spans="1:10" x14ac:dyDescent="0.25">
      <c r="A5" s="70" t="s">
        <v>27</v>
      </c>
      <c r="B5" s="71">
        <v>1655</v>
      </c>
      <c r="C5" s="72">
        <v>6680141</v>
      </c>
      <c r="D5" s="73">
        <v>280565929</v>
      </c>
      <c r="E5" s="73">
        <f>B5*C5</f>
        <v>11055633355</v>
      </c>
      <c r="F5" s="74">
        <f>E5-D5</f>
        <v>10775067426</v>
      </c>
      <c r="G5" s="72">
        <v>6500000</v>
      </c>
      <c r="H5" s="73">
        <v>273000000</v>
      </c>
      <c r="I5" s="73">
        <f>B5*G5</f>
        <v>10757500000</v>
      </c>
      <c r="J5" s="74">
        <f>I5-H5</f>
        <v>10484500000</v>
      </c>
    </row>
    <row r="6" spans="1:10" x14ac:dyDescent="0.25">
      <c r="A6" s="70" t="s">
        <v>28</v>
      </c>
      <c r="B6" s="71">
        <v>1297</v>
      </c>
      <c r="C6" s="72">
        <v>2451145</v>
      </c>
      <c r="D6" s="73">
        <v>3179135506</v>
      </c>
      <c r="E6" s="73">
        <f>B6*C6</f>
        <v>3179135065</v>
      </c>
      <c r="F6" s="74">
        <f>E6-D6</f>
        <v>-441</v>
      </c>
      <c r="G6" s="72">
        <v>1279250</v>
      </c>
      <c r="H6" s="73">
        <v>1659187250</v>
      </c>
      <c r="I6" s="73">
        <f>B6*G6</f>
        <v>1659187250</v>
      </c>
      <c r="J6" s="74">
        <f>I6-H6</f>
        <v>0</v>
      </c>
    </row>
    <row r="7" spans="1:10" ht="16.5" thickBot="1" x14ac:dyDescent="0.3">
      <c r="A7" s="75" t="s">
        <v>29</v>
      </c>
      <c r="B7" s="76">
        <v>372</v>
      </c>
      <c r="C7" s="77">
        <v>33271267</v>
      </c>
      <c r="D7" s="78">
        <v>12376911277</v>
      </c>
      <c r="E7" s="78">
        <f>B7*C7</f>
        <v>12376911324</v>
      </c>
      <c r="F7" s="79">
        <f>E7-D7</f>
        <v>47</v>
      </c>
      <c r="G7" s="77">
        <v>10014609</v>
      </c>
      <c r="H7" s="78">
        <v>3725434362</v>
      </c>
      <c r="I7" s="78">
        <f>B7*G7</f>
        <v>3725434548</v>
      </c>
      <c r="J7" s="79">
        <f>I7-H7</f>
        <v>186</v>
      </c>
    </row>
    <row r="8" spans="1:10" x14ac:dyDescent="0.25">
      <c r="D8" s="80">
        <f>SUM(D3:D7)</f>
        <v>112318252628</v>
      </c>
      <c r="E8" s="80">
        <f>SUM(E3:E7)</f>
        <v>123093319518</v>
      </c>
      <c r="H8" s="81">
        <f>SUM(H3:H7)</f>
        <v>49856621846</v>
      </c>
      <c r="I8" s="81">
        <f>SUM(I3:I7)</f>
        <v>60341122859</v>
      </c>
    </row>
  </sheetData>
  <sheetProtection algorithmName="SHA-512" hashValue="PR5xZ8uU/XzugxBkQlOhGxg62yGgSIP0XyFMpf5LrJQOKrkwoxoE2uDXrq9rpgJPFAvCn14TKC9tL1Pb8bb/3w==" saltValue="kFAsTIETq4WNl43OZIMt6w==" spinCount="100000" sheet="1" formatCells="0" formatColumns="0" formatRows="0" insertColumns="0" insertRows="0" insertHyperlinks="0" deleteColumns="0" deleteRows="0" sort="0" autoFilter="0" pivotTables="0"/>
  <mergeCells count="1">
    <mergeCell ref="A1:J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25339-E8F3-4CA2-BFFD-3414D9E0C6D4}">
  <sheetPr>
    <tabColor theme="5" tint="-0.249977111117893"/>
  </sheetPr>
  <dimension ref="A2:I80"/>
  <sheetViews>
    <sheetView showGridLines="0" zoomScale="70" zoomScaleNormal="70" workbookViewId="0"/>
  </sheetViews>
  <sheetFormatPr baseColWidth="10" defaultColWidth="11" defaultRowHeight="16.5" x14ac:dyDescent="0.3"/>
  <cols>
    <col min="1" max="1" width="22.375" style="5" customWidth="1"/>
    <col min="2" max="2" width="21" style="5" customWidth="1"/>
    <col min="3" max="3" width="15.375" style="5" customWidth="1"/>
    <col min="4" max="4" width="25.875" style="5" customWidth="1"/>
    <col min="5" max="5" width="18.875" style="5" customWidth="1"/>
    <col min="6" max="6" width="17.375" style="5" customWidth="1"/>
    <col min="7" max="7" width="18.375" style="5" customWidth="1"/>
    <col min="8" max="8" width="16" style="5" customWidth="1"/>
    <col min="9" max="9" width="36" style="5" customWidth="1"/>
    <col min="10" max="16384" width="11" style="5"/>
  </cols>
  <sheetData>
    <row r="2" spans="1:9" x14ac:dyDescent="0.3">
      <c r="B2" s="8"/>
      <c r="D2" s="6"/>
      <c r="E2" s="6"/>
      <c r="F2" s="7"/>
      <c r="G2" s="31"/>
    </row>
    <row r="3" spans="1:9" x14ac:dyDescent="0.3">
      <c r="B3" s="8"/>
      <c r="D3" s="6"/>
      <c r="E3" s="6"/>
      <c r="F3" s="7"/>
      <c r="G3" s="7"/>
    </row>
    <row r="4" spans="1:9" ht="23.25" x14ac:dyDescent="0.3">
      <c r="B4" s="174" t="s">
        <v>37</v>
      </c>
      <c r="C4" s="175"/>
      <c r="D4" s="175"/>
      <c r="E4" s="175"/>
      <c r="F4" s="175"/>
      <c r="G4" s="175"/>
      <c r="H4" s="175"/>
      <c r="I4" s="175"/>
    </row>
    <row r="5" spans="1:9" ht="17.25" thickBot="1" x14ac:dyDescent="0.35">
      <c r="B5" s="8"/>
      <c r="D5" s="6"/>
      <c r="E5" s="6"/>
      <c r="F5" s="7"/>
      <c r="G5" s="7"/>
    </row>
    <row r="6" spans="1:9" x14ac:dyDescent="0.3">
      <c r="D6" s="186" t="s">
        <v>22</v>
      </c>
      <c r="E6" s="187"/>
      <c r="F6" s="188"/>
    </row>
    <row r="7" spans="1:9" ht="45" x14ac:dyDescent="0.3">
      <c r="D7" s="83" t="s">
        <v>23</v>
      </c>
      <c r="E7" s="84"/>
      <c r="F7" s="85" t="s">
        <v>24</v>
      </c>
    </row>
    <row r="8" spans="1:9" ht="36" x14ac:dyDescent="0.35">
      <c r="D8" s="86" t="s">
        <v>25</v>
      </c>
      <c r="E8" s="87"/>
      <c r="F8" s="88">
        <v>13.63</v>
      </c>
    </row>
    <row r="9" spans="1:9" ht="36" x14ac:dyDescent="0.35">
      <c r="D9" s="86" t="s">
        <v>26</v>
      </c>
      <c r="E9" s="87"/>
      <c r="F9" s="88">
        <v>2.74</v>
      </c>
    </row>
    <row r="10" spans="1:9" ht="18" x14ac:dyDescent="0.35">
      <c r="D10" s="86" t="s">
        <v>27</v>
      </c>
      <c r="E10" s="87"/>
      <c r="F10" s="88">
        <v>11.99</v>
      </c>
    </row>
    <row r="11" spans="1:9" ht="36" x14ac:dyDescent="0.35">
      <c r="D11" s="86" t="s">
        <v>28</v>
      </c>
      <c r="E11" s="87"/>
      <c r="F11" s="88">
        <v>14.59</v>
      </c>
    </row>
    <row r="12" spans="1:9" ht="36" x14ac:dyDescent="0.35">
      <c r="D12" s="86" t="s">
        <v>29</v>
      </c>
      <c r="E12" s="87"/>
      <c r="F12" s="88">
        <v>1.43</v>
      </c>
    </row>
    <row r="13" spans="1:9" ht="18" x14ac:dyDescent="0.35">
      <c r="D13" s="89" t="s">
        <v>38</v>
      </c>
      <c r="E13" s="87"/>
      <c r="F13" s="88">
        <v>5.62</v>
      </c>
    </row>
    <row r="14" spans="1:9" customFormat="1" ht="17.25" thickBot="1" x14ac:dyDescent="0.35">
      <c r="A14" s="5"/>
      <c r="B14" s="5"/>
      <c r="C14" s="5"/>
      <c r="D14" s="90"/>
      <c r="E14" s="91" t="s">
        <v>39</v>
      </c>
      <c r="F14" s="92">
        <f>+SUM(F8:F13)</f>
        <v>50</v>
      </c>
    </row>
    <row r="16" spans="1:9" ht="21" x14ac:dyDescent="0.35">
      <c r="B16" s="179" t="str">
        <f>+D8</f>
        <v>Paradero tipo 1: con módulo</v>
      </c>
      <c r="C16" s="179"/>
      <c r="D16" s="179"/>
      <c r="E16" s="179"/>
      <c r="F16" s="179"/>
      <c r="G16" s="179"/>
    </row>
    <row r="17" spans="2:8" x14ac:dyDescent="0.3">
      <c r="B17" s="177"/>
      <c r="C17" s="177"/>
      <c r="D17" s="177"/>
      <c r="E17" s="42" t="s">
        <v>10</v>
      </c>
      <c r="F17" s="42" t="s">
        <v>11</v>
      </c>
      <c r="G17" s="43"/>
    </row>
    <row r="18" spans="2:8" x14ac:dyDescent="0.3">
      <c r="B18"/>
      <c r="C18"/>
      <c r="D18"/>
      <c r="E18" s="63">
        <f>F18*0.95</f>
        <v>31996731.5</v>
      </c>
      <c r="F18" s="64">
        <v>33680770</v>
      </c>
      <c r="G18"/>
    </row>
    <row r="19" spans="2:8" x14ac:dyDescent="0.3">
      <c r="B19"/>
      <c r="C19"/>
      <c r="D19"/>
      <c r="E19" s="44">
        <f>F19*0.95</f>
        <v>31996731.5</v>
      </c>
      <c r="F19" s="45">
        <v>33680770</v>
      </c>
      <c r="G19" s="46"/>
      <c r="H19"/>
    </row>
    <row r="20" spans="2:8" ht="50.25" x14ac:dyDescent="0.35">
      <c r="B20" s="47" t="s">
        <v>12</v>
      </c>
      <c r="C20" s="48" t="s">
        <v>13</v>
      </c>
      <c r="D20" s="62">
        <v>13.63</v>
      </c>
      <c r="E20" s="50"/>
      <c r="F20" s="16" t="s">
        <v>15</v>
      </c>
      <c r="G20" s="51">
        <f>MAX(C24:C25)</f>
        <v>114190</v>
      </c>
      <c r="H20" s="52"/>
    </row>
    <row r="21" spans="2:8" ht="18.75" x14ac:dyDescent="0.3">
      <c r="B21" s="178" t="s">
        <v>30</v>
      </c>
      <c r="C21" s="178"/>
      <c r="D21" s="178"/>
      <c r="E21" s="53"/>
      <c r="F21" s="20" t="s">
        <v>16</v>
      </c>
      <c r="G21" s="54">
        <f>AVERAGE(C24:C25)</f>
        <v>72845</v>
      </c>
      <c r="H21" s="55"/>
    </row>
    <row r="22" spans="2:8" ht="21" x14ac:dyDescent="0.35">
      <c r="B22" s="48"/>
      <c r="C22" s="49"/>
      <c r="D22" s="49"/>
      <c r="E22" s="53" t="s">
        <v>31</v>
      </c>
      <c r="F22" s="24" t="s">
        <v>20</v>
      </c>
      <c r="G22" s="56">
        <f>(G20+G21)/2</f>
        <v>93517.5</v>
      </c>
    </row>
    <row r="23" spans="2:8" ht="21" x14ac:dyDescent="0.35">
      <c r="B23" s="48"/>
      <c r="C23" s="49" t="s">
        <v>32</v>
      </c>
      <c r="D23" s="22" t="s">
        <v>18</v>
      </c>
      <c r="E23" s="23" t="s">
        <v>19</v>
      </c>
      <c r="F23" s="52"/>
      <c r="G23"/>
      <c r="H23"/>
    </row>
    <row r="24" spans="2:8" x14ac:dyDescent="0.3">
      <c r="B24" s="26" t="s">
        <v>136</v>
      </c>
      <c r="C24" s="58">
        <v>114190</v>
      </c>
      <c r="D24" s="59">
        <f>ROUND(IF(C24&lt;=G22,D20*(1-(G22-C24)/G22),D20*(1+(G22-C24)/G22)),2)</f>
        <v>10.62</v>
      </c>
      <c r="E24" s="29">
        <f>_xlfn.RANK.EQ(D24,D24:D25)</f>
        <v>1</v>
      </c>
      <c r="F24" s="60"/>
      <c r="G24"/>
      <c r="H24" s="61"/>
    </row>
    <row r="25" spans="2:8" x14ac:dyDescent="0.3">
      <c r="B25" s="26" t="s">
        <v>137</v>
      </c>
      <c r="C25" s="58">
        <v>31500</v>
      </c>
      <c r="D25" s="59">
        <f>ROUND(IF(C25&lt;=G22,D20*(1-(G22-C25)/G22),D20*(1+(G22-C25)/G22)),2)</f>
        <v>4.59</v>
      </c>
      <c r="E25" s="29">
        <f>_xlfn.RANK.EQ(D25,D24:D25)</f>
        <v>2</v>
      </c>
      <c r="F25" s="60"/>
      <c r="G25"/>
      <c r="H25"/>
    </row>
    <row r="28" spans="2:8" ht="21" x14ac:dyDescent="0.35">
      <c r="B28" s="179" t="str">
        <f>+D9</f>
        <v>Paradero tipo 2: Totem SITP</v>
      </c>
      <c r="C28" s="179"/>
      <c r="D28" s="179"/>
      <c r="E28" s="179"/>
      <c r="F28" s="179"/>
      <c r="G28" s="179"/>
    </row>
    <row r="29" spans="2:8" x14ac:dyDescent="0.3">
      <c r="B29" s="177"/>
      <c r="C29" s="177"/>
      <c r="D29" s="177"/>
      <c r="E29" s="42" t="s">
        <v>10</v>
      </c>
      <c r="F29" s="42" t="s">
        <v>11</v>
      </c>
      <c r="G29" s="43"/>
    </row>
    <row r="30" spans="2:8" x14ac:dyDescent="0.3">
      <c r="B30"/>
      <c r="C30"/>
      <c r="D30"/>
      <c r="E30" s="63">
        <f>F30*0.95</f>
        <v>31996731.5</v>
      </c>
      <c r="F30" s="64">
        <v>33680770</v>
      </c>
      <c r="G30"/>
    </row>
    <row r="31" spans="2:8" x14ac:dyDescent="0.3">
      <c r="B31"/>
      <c r="C31"/>
      <c r="D31"/>
      <c r="E31" s="44">
        <f>F31*0.95</f>
        <v>31996731.5</v>
      </c>
      <c r="F31" s="45">
        <v>33680770</v>
      </c>
      <c r="G31" s="46"/>
      <c r="H31"/>
    </row>
    <row r="32" spans="2:8" ht="50.25" x14ac:dyDescent="0.35">
      <c r="B32" s="47" t="s">
        <v>12</v>
      </c>
      <c r="C32" s="48" t="s">
        <v>13</v>
      </c>
      <c r="D32" s="62">
        <v>2.74</v>
      </c>
      <c r="E32" s="50"/>
      <c r="F32" s="16" t="s">
        <v>15</v>
      </c>
      <c r="G32" s="51">
        <f>MAX(C36:C37)</f>
        <v>112484</v>
      </c>
      <c r="H32" s="52"/>
    </row>
    <row r="33" spans="2:8" ht="18.75" x14ac:dyDescent="0.3">
      <c r="B33" s="178" t="s">
        <v>30</v>
      </c>
      <c r="C33" s="178"/>
      <c r="D33" s="178"/>
      <c r="E33" s="53"/>
      <c r="F33" s="20" t="s">
        <v>16</v>
      </c>
      <c r="G33" s="54">
        <f>AVERAGE(C36:C37)</f>
        <v>66242</v>
      </c>
      <c r="H33" s="55"/>
    </row>
    <row r="34" spans="2:8" ht="21" x14ac:dyDescent="0.35">
      <c r="B34" s="48"/>
      <c r="C34" s="49"/>
      <c r="D34" s="49"/>
      <c r="E34" s="53" t="s">
        <v>31</v>
      </c>
      <c r="F34" s="24" t="s">
        <v>20</v>
      </c>
      <c r="G34" s="56">
        <f>(G32+G33)/2</f>
        <v>89363</v>
      </c>
    </row>
    <row r="35" spans="2:8" ht="21" x14ac:dyDescent="0.35">
      <c r="B35" s="48"/>
      <c r="C35" s="49" t="s">
        <v>32</v>
      </c>
      <c r="D35" s="22" t="s">
        <v>18</v>
      </c>
      <c r="E35" s="23" t="s">
        <v>19</v>
      </c>
      <c r="F35" s="52"/>
      <c r="G35"/>
      <c r="H35"/>
    </row>
    <row r="36" spans="2:8" x14ac:dyDescent="0.3">
      <c r="B36" s="26" t="s">
        <v>136</v>
      </c>
      <c r="C36" s="58">
        <v>112484</v>
      </c>
      <c r="D36" s="59">
        <f>ROUND(IF(C36&lt;=G34,D32*(1-(G34-C36)/G34),D32*(1+(G34-C36)/G34)),2)</f>
        <v>2.0299999999999998</v>
      </c>
      <c r="E36" s="29">
        <f>_xlfn.RANK.EQ(D36,D36:D37)</f>
        <v>1</v>
      </c>
      <c r="F36" s="60"/>
      <c r="G36"/>
      <c r="H36" s="61"/>
    </row>
    <row r="37" spans="2:8" x14ac:dyDescent="0.3">
      <c r="B37" s="26" t="s">
        <v>137</v>
      </c>
      <c r="C37" s="58">
        <v>20000</v>
      </c>
      <c r="D37" s="59">
        <f>ROUND(IF(C37&lt;=G34,D32*(1-(G34-C37)/G34),D32*(1+(G34-C37)/G34)),2)</f>
        <v>0.61</v>
      </c>
      <c r="E37" s="29">
        <f>_xlfn.RANK.EQ(D37,D36:D37)</f>
        <v>2</v>
      </c>
      <c r="F37" s="60"/>
      <c r="G37"/>
      <c r="H37"/>
    </row>
    <row r="40" spans="2:8" ht="21" x14ac:dyDescent="0.35">
      <c r="B40" s="179" t="str">
        <f>+D10</f>
        <v>Panel publicitario</v>
      </c>
      <c r="C40" s="179"/>
      <c r="D40" s="179"/>
      <c r="E40" s="179"/>
      <c r="F40" s="179"/>
      <c r="G40" s="179"/>
    </row>
    <row r="41" spans="2:8" x14ac:dyDescent="0.3">
      <c r="B41" s="177"/>
      <c r="C41" s="177"/>
      <c r="D41" s="177"/>
      <c r="E41" s="42" t="s">
        <v>10</v>
      </c>
      <c r="F41" s="42" t="s">
        <v>11</v>
      </c>
      <c r="G41" s="43"/>
    </row>
    <row r="42" spans="2:8" x14ac:dyDescent="0.3">
      <c r="B42"/>
      <c r="C42"/>
      <c r="D42"/>
      <c r="E42" s="44">
        <f>F42*0.95</f>
        <v>31996731.5</v>
      </c>
      <c r="F42" s="45">
        <v>33680770</v>
      </c>
      <c r="G42" s="46"/>
      <c r="H42"/>
    </row>
    <row r="43" spans="2:8" ht="50.25" x14ac:dyDescent="0.35">
      <c r="B43" s="47" t="s">
        <v>12</v>
      </c>
      <c r="C43" s="48" t="s">
        <v>13</v>
      </c>
      <c r="D43" s="62">
        <v>11.99</v>
      </c>
      <c r="E43" s="50"/>
      <c r="F43" s="16" t="s">
        <v>15</v>
      </c>
      <c r="G43" s="51">
        <f>MAX(C47:C48)</f>
        <v>34240</v>
      </c>
      <c r="H43" s="52"/>
    </row>
    <row r="44" spans="2:8" ht="18.75" x14ac:dyDescent="0.3">
      <c r="B44" s="178" t="s">
        <v>30</v>
      </c>
      <c r="C44" s="178"/>
      <c r="D44" s="178"/>
      <c r="E44" s="53"/>
      <c r="F44" s="20" t="s">
        <v>16</v>
      </c>
      <c r="G44" s="54">
        <f>AVERAGE(C47:C48)</f>
        <v>27120</v>
      </c>
      <c r="H44" s="55"/>
    </row>
    <row r="45" spans="2:8" ht="21" x14ac:dyDescent="0.35">
      <c r="B45" s="48"/>
      <c r="C45" s="49"/>
      <c r="D45" s="49"/>
      <c r="E45" s="53" t="s">
        <v>31</v>
      </c>
      <c r="F45" s="24" t="s">
        <v>20</v>
      </c>
      <c r="G45" s="56">
        <f>(G43+G44)/2</f>
        <v>30680</v>
      </c>
    </row>
    <row r="46" spans="2:8" ht="21" x14ac:dyDescent="0.35">
      <c r="B46" s="48"/>
      <c r="C46" s="49" t="s">
        <v>32</v>
      </c>
      <c r="D46" s="22" t="s">
        <v>18</v>
      </c>
      <c r="E46" s="23" t="s">
        <v>19</v>
      </c>
      <c r="F46" s="52"/>
      <c r="G46"/>
      <c r="H46"/>
    </row>
    <row r="47" spans="2:8" x14ac:dyDescent="0.3">
      <c r="B47" s="26" t="s">
        <v>136</v>
      </c>
      <c r="C47" s="58">
        <v>34240</v>
      </c>
      <c r="D47" s="59">
        <f>ROUND(IF(C47&lt;=G45,D43*(1-(G45-C47)/G45),D43*(1+(G45-C47)/G45)),2)</f>
        <v>10.6</v>
      </c>
      <c r="E47" s="29">
        <f>_xlfn.RANK.EQ(D47,D47:D48)</f>
        <v>1</v>
      </c>
      <c r="F47" s="60"/>
      <c r="G47"/>
      <c r="H47" s="61"/>
    </row>
    <row r="48" spans="2:8" x14ac:dyDescent="0.3">
      <c r="B48" s="26" t="s">
        <v>137</v>
      </c>
      <c r="C48" s="58">
        <v>20000</v>
      </c>
      <c r="D48" s="59">
        <f>ROUND(IF(C48&lt;=G45,D43*(1-(G45-C48)/G45),D43*(1+(G45-C48)/G45)),2)</f>
        <v>7.82</v>
      </c>
      <c r="E48" s="29">
        <f>_xlfn.RANK.EQ(D48,D47:D48)</f>
        <v>2</v>
      </c>
      <c r="F48" s="60"/>
      <c r="G48"/>
      <c r="H48"/>
    </row>
    <row r="50" spans="2:8" ht="21" x14ac:dyDescent="0.35">
      <c r="B50" s="179" t="str">
        <f>+D11</f>
        <v>Paradero tipo 3 con bandera</v>
      </c>
      <c r="C50" s="179"/>
      <c r="D50" s="179"/>
      <c r="E50" s="179"/>
      <c r="F50" s="179"/>
      <c r="G50" s="179"/>
    </row>
    <row r="51" spans="2:8" x14ac:dyDescent="0.3">
      <c r="B51" s="177"/>
      <c r="C51" s="177"/>
      <c r="D51" s="177"/>
      <c r="E51" s="42" t="s">
        <v>10</v>
      </c>
      <c r="F51" s="42" t="s">
        <v>11</v>
      </c>
      <c r="G51" s="43"/>
    </row>
    <row r="52" spans="2:8" x14ac:dyDescent="0.3">
      <c r="B52"/>
      <c r="C52"/>
      <c r="D52"/>
      <c r="E52" s="44">
        <f>F52*0.95</f>
        <v>31996731.5</v>
      </c>
      <c r="F52" s="45">
        <v>33680770</v>
      </c>
      <c r="G52" s="46"/>
      <c r="H52"/>
    </row>
    <row r="53" spans="2:8" ht="50.25" x14ac:dyDescent="0.35">
      <c r="B53" s="47" t="s">
        <v>12</v>
      </c>
      <c r="C53" s="48" t="s">
        <v>13</v>
      </c>
      <c r="D53" s="62">
        <v>14.59</v>
      </c>
      <c r="E53" s="50"/>
      <c r="F53" s="16" t="s">
        <v>15</v>
      </c>
      <c r="G53" s="51">
        <f>MAX(C57:C58)</f>
        <v>20000</v>
      </c>
      <c r="H53" s="52"/>
    </row>
    <row r="54" spans="2:8" ht="18.75" x14ac:dyDescent="0.3">
      <c r="B54" s="178" t="s">
        <v>30</v>
      </c>
      <c r="C54" s="178"/>
      <c r="D54" s="178"/>
      <c r="E54" s="53"/>
      <c r="F54" s="20" t="s">
        <v>16</v>
      </c>
      <c r="G54" s="54">
        <f>AVERAGE(C57:C58)</f>
        <v>18137.5</v>
      </c>
      <c r="H54" s="55"/>
    </row>
    <row r="55" spans="2:8" ht="21" x14ac:dyDescent="0.35">
      <c r="B55" s="48"/>
      <c r="C55" s="49"/>
      <c r="D55" s="49"/>
      <c r="E55" s="53" t="s">
        <v>31</v>
      </c>
      <c r="F55" s="24" t="s">
        <v>20</v>
      </c>
      <c r="G55" s="56">
        <f>(G53+G54)/2</f>
        <v>19068.75</v>
      </c>
    </row>
    <row r="56" spans="2:8" ht="21" x14ac:dyDescent="0.35">
      <c r="B56" s="48"/>
      <c r="C56" s="49" t="s">
        <v>32</v>
      </c>
      <c r="D56" s="22" t="s">
        <v>18</v>
      </c>
      <c r="E56" s="23" t="s">
        <v>19</v>
      </c>
      <c r="F56" s="52"/>
      <c r="G56"/>
      <c r="H56"/>
    </row>
    <row r="57" spans="2:8" x14ac:dyDescent="0.3">
      <c r="B57" s="26" t="s">
        <v>136</v>
      </c>
      <c r="C57" s="58">
        <v>16275</v>
      </c>
      <c r="D57" s="59">
        <f>ROUND(IF(C57&lt;=G55,D53*(1-(G55-C57)/G55),D53*(1+(G55-C57)/G55)),2)</f>
        <v>12.45</v>
      </c>
      <c r="E57" s="29">
        <f>_xlfn.RANK.EQ(D57,D57:D58)</f>
        <v>2</v>
      </c>
      <c r="F57" s="60"/>
      <c r="G57"/>
      <c r="H57" s="61"/>
    </row>
    <row r="58" spans="2:8" x14ac:dyDescent="0.3">
      <c r="B58" s="26" t="s">
        <v>137</v>
      </c>
      <c r="C58" s="58">
        <v>20000</v>
      </c>
      <c r="D58" s="59">
        <f>ROUND(IF(C58&lt;=G55,D53*(1-(G55-C58)/G55),D53*(1+(G55-C58)/G55)),2)</f>
        <v>13.88</v>
      </c>
      <c r="E58" s="29">
        <f>_xlfn.RANK.EQ(D58,D57:D58)</f>
        <v>1</v>
      </c>
      <c r="F58" s="60"/>
      <c r="G58"/>
      <c r="H58"/>
    </row>
    <row r="61" spans="2:8" ht="21" x14ac:dyDescent="0.35">
      <c r="B61" s="179" t="str">
        <f>+D12</f>
        <v>Panel informativo interactivo estaciones</v>
      </c>
      <c r="C61" s="179"/>
      <c r="D61" s="179"/>
      <c r="E61" s="179"/>
      <c r="F61" s="179"/>
      <c r="G61" s="179"/>
    </row>
    <row r="62" spans="2:8" x14ac:dyDescent="0.3">
      <c r="B62" s="177"/>
      <c r="C62" s="177"/>
      <c r="D62" s="177"/>
      <c r="E62" s="42" t="s">
        <v>10</v>
      </c>
      <c r="F62" s="42" t="s">
        <v>11</v>
      </c>
      <c r="G62" s="43"/>
    </row>
    <row r="63" spans="2:8" x14ac:dyDescent="0.3">
      <c r="B63"/>
      <c r="C63"/>
      <c r="D63"/>
      <c r="E63" s="44">
        <f>F63*0.95</f>
        <v>31996731.5</v>
      </c>
      <c r="F63" s="45">
        <v>33680770</v>
      </c>
      <c r="G63" s="46"/>
      <c r="H63"/>
    </row>
    <row r="64" spans="2:8" ht="50.25" x14ac:dyDescent="0.35">
      <c r="B64" s="47" t="s">
        <v>12</v>
      </c>
      <c r="C64" s="48" t="s">
        <v>13</v>
      </c>
      <c r="D64" s="62">
        <v>1.43</v>
      </c>
      <c r="E64" s="50"/>
      <c r="F64" s="16" t="s">
        <v>15</v>
      </c>
      <c r="G64" s="51">
        <f>MAX(C68:C69)</f>
        <v>118959</v>
      </c>
      <c r="H64" s="52"/>
    </row>
    <row r="65" spans="2:8" ht="18.75" x14ac:dyDescent="0.3">
      <c r="B65" s="178" t="s">
        <v>30</v>
      </c>
      <c r="C65" s="178"/>
      <c r="D65" s="178"/>
      <c r="E65" s="53"/>
      <c r="F65" s="20" t="s">
        <v>16</v>
      </c>
      <c r="G65" s="54">
        <f>AVERAGE(C68:C69)</f>
        <v>69479.5</v>
      </c>
      <c r="H65" s="55"/>
    </row>
    <row r="66" spans="2:8" ht="21" x14ac:dyDescent="0.35">
      <c r="B66" s="48"/>
      <c r="C66" s="49"/>
      <c r="D66" s="49"/>
      <c r="E66" s="53" t="s">
        <v>31</v>
      </c>
      <c r="F66" s="24" t="s">
        <v>20</v>
      </c>
      <c r="G66" s="56">
        <f>(G64+G65)/2</f>
        <v>94219.25</v>
      </c>
    </row>
    <row r="67" spans="2:8" ht="21" x14ac:dyDescent="0.35">
      <c r="B67" s="48"/>
      <c r="C67" s="49" t="s">
        <v>32</v>
      </c>
      <c r="D67" s="22" t="s">
        <v>18</v>
      </c>
      <c r="E67" s="23" t="s">
        <v>19</v>
      </c>
      <c r="F67" s="52"/>
      <c r="G67"/>
      <c r="H67"/>
    </row>
    <row r="68" spans="2:8" x14ac:dyDescent="0.3">
      <c r="B68" s="26" t="s">
        <v>136</v>
      </c>
      <c r="C68" s="58">
        <v>118959</v>
      </c>
      <c r="D68" s="59">
        <f>ROUND(IF(C68&lt;=G66,D64*(1-(G66-C68)/G66),D64*(1+(G66-C68)/G66)),2)</f>
        <v>1.05</v>
      </c>
      <c r="E68" s="29">
        <f>_xlfn.RANK.EQ(D68,D68:D69)</f>
        <v>1</v>
      </c>
      <c r="F68" s="60"/>
      <c r="G68"/>
      <c r="H68" s="61"/>
    </row>
    <row r="69" spans="2:8" x14ac:dyDescent="0.3">
      <c r="B69" s="26" t="s">
        <v>137</v>
      </c>
      <c r="C69" s="58">
        <v>20000</v>
      </c>
      <c r="D69" s="59">
        <f>ROUND(IF(C69&lt;=G66,D64*(1-(G66-C69)/G66),D64*(1+(G66-C69)/G66)),2)</f>
        <v>0.3</v>
      </c>
      <c r="E69" s="29">
        <f>_xlfn.RANK.EQ(D69,D68:D69)</f>
        <v>2</v>
      </c>
      <c r="F69" s="60"/>
      <c r="G69"/>
      <c r="H69"/>
    </row>
    <row r="72" spans="2:8" ht="21" x14ac:dyDescent="0.35">
      <c r="B72" s="179" t="str">
        <f>+D13</f>
        <v>Bancas existentes</v>
      </c>
      <c r="C72" s="179"/>
      <c r="D72" s="179"/>
      <c r="E72" s="179"/>
      <c r="F72" s="179"/>
      <c r="G72" s="179"/>
    </row>
    <row r="73" spans="2:8" x14ac:dyDescent="0.3">
      <c r="B73" s="177"/>
      <c r="C73" s="177"/>
      <c r="D73" s="177"/>
      <c r="E73" s="42" t="s">
        <v>10</v>
      </c>
      <c r="F73" s="42" t="s">
        <v>11</v>
      </c>
      <c r="G73" s="43"/>
    </row>
    <row r="74" spans="2:8" x14ac:dyDescent="0.3">
      <c r="B74"/>
      <c r="C74"/>
      <c r="D74"/>
      <c r="E74" s="44">
        <f>F74*0.95</f>
        <v>31996731.5</v>
      </c>
      <c r="F74" s="45">
        <v>33680770</v>
      </c>
      <c r="G74" s="46"/>
      <c r="H74"/>
    </row>
    <row r="75" spans="2:8" ht="50.25" x14ac:dyDescent="0.35">
      <c r="B75" s="47" t="s">
        <v>12</v>
      </c>
      <c r="C75" s="48" t="s">
        <v>13</v>
      </c>
      <c r="D75" s="62">
        <v>5.62</v>
      </c>
      <c r="E75" s="50"/>
      <c r="F75" s="16" t="s">
        <v>15</v>
      </c>
      <c r="G75" s="51">
        <f>MAX(C79:C80)</f>
        <v>15000</v>
      </c>
      <c r="H75" s="52"/>
    </row>
    <row r="76" spans="2:8" ht="18.75" x14ac:dyDescent="0.3">
      <c r="B76" s="178" t="s">
        <v>30</v>
      </c>
      <c r="C76" s="178"/>
      <c r="D76" s="178"/>
      <c r="E76" s="53"/>
      <c r="F76" s="20" t="s">
        <v>16</v>
      </c>
      <c r="G76" s="54">
        <f>AVERAGE(C79:C80)</f>
        <v>14180.5</v>
      </c>
      <c r="H76" s="55"/>
    </row>
    <row r="77" spans="2:8" ht="21" x14ac:dyDescent="0.35">
      <c r="B77" s="48"/>
      <c r="C77" s="49"/>
      <c r="D77" s="49"/>
      <c r="E77" s="53" t="s">
        <v>31</v>
      </c>
      <c r="F77" s="24" t="s">
        <v>20</v>
      </c>
      <c r="G77" s="56">
        <f>(G75+G76)/2</f>
        <v>14590.25</v>
      </c>
    </row>
    <row r="78" spans="2:8" ht="21" x14ac:dyDescent="0.35">
      <c r="B78" s="48"/>
      <c r="C78" s="49" t="s">
        <v>32</v>
      </c>
      <c r="D78" s="22" t="s">
        <v>18</v>
      </c>
      <c r="E78" s="23" t="s">
        <v>19</v>
      </c>
      <c r="F78" s="52"/>
      <c r="G78"/>
      <c r="H78"/>
    </row>
    <row r="79" spans="2:8" x14ac:dyDescent="0.3">
      <c r="B79" s="26" t="s">
        <v>136</v>
      </c>
      <c r="C79" s="58">
        <v>13361</v>
      </c>
      <c r="D79" s="59">
        <f>ROUND(IF(C79&lt;=G77,D75*(1-(G77-C79)/G77),D75*(1+(G77-C79)/G77)),2)</f>
        <v>5.15</v>
      </c>
      <c r="E79" s="29">
        <f>_xlfn.RANK.EQ(D79,D79:D80)</f>
        <v>2</v>
      </c>
      <c r="F79" s="60"/>
      <c r="G79"/>
      <c r="H79" s="61"/>
    </row>
    <row r="80" spans="2:8" x14ac:dyDescent="0.3">
      <c r="B80" s="26" t="s">
        <v>137</v>
      </c>
      <c r="C80" s="58">
        <v>15000</v>
      </c>
      <c r="D80" s="59">
        <f>ROUND(IF(C80&lt;=G77,D75*(1-(G77-C80)/G77),D75*(1+(G77-C80)/G77)),2)</f>
        <v>5.46</v>
      </c>
      <c r="E80" s="29">
        <f>_xlfn.RANK.EQ(D80,D79:D80)</f>
        <v>1</v>
      </c>
      <c r="F80" s="60"/>
      <c r="G80"/>
      <c r="H80"/>
    </row>
  </sheetData>
  <sheetProtection algorithmName="SHA-512" hashValue="prW927icfcHDCgQ9OdfGpvJOOBXZHnFg1ksPCM96ldMR/3VbIZEx7al2ibS5XpicyFv8trmtgr92px+vGzDtAg==" saltValue="RAfeeOzTmfHYC+k9TPlsZA==" spinCount="100000" sheet="1" formatCells="0" formatColumns="0" formatRows="0" insertColumns="0" insertRows="0" insertHyperlinks="0" deleteColumns="0" deleteRows="0" sort="0" autoFilter="0" pivotTables="0"/>
  <mergeCells count="20">
    <mergeCell ref="B50:G50"/>
    <mergeCell ref="B4:I4"/>
    <mergeCell ref="D6:F6"/>
    <mergeCell ref="B16:G16"/>
    <mergeCell ref="B17:D17"/>
    <mergeCell ref="B21:D21"/>
    <mergeCell ref="B28:G28"/>
    <mergeCell ref="B29:D29"/>
    <mergeCell ref="B33:D33"/>
    <mergeCell ref="B40:G40"/>
    <mergeCell ref="B41:D41"/>
    <mergeCell ref="B44:D44"/>
    <mergeCell ref="B73:D73"/>
    <mergeCell ref="B76:D76"/>
    <mergeCell ref="B51:D51"/>
    <mergeCell ref="B54:D54"/>
    <mergeCell ref="B61:G61"/>
    <mergeCell ref="B62:D62"/>
    <mergeCell ref="B65:D65"/>
    <mergeCell ref="B72:G72"/>
  </mergeCells>
  <conditionalFormatting sqref="E24:E2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">
      <colorScale>
        <cfvo type="min"/>
        <cfvo type="max"/>
        <color rgb="FFFCFCFF"/>
        <color rgb="FF63BE7B"/>
      </colorScale>
    </cfRule>
  </conditionalFormatting>
  <conditionalFormatting sqref="E36:E37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">
      <colorScale>
        <cfvo type="min"/>
        <cfvo type="max"/>
        <color rgb="FFFCFCFF"/>
        <color rgb="FF63BE7B"/>
      </colorScale>
    </cfRule>
  </conditionalFormatting>
  <conditionalFormatting sqref="E47:E48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">
      <colorScale>
        <cfvo type="min"/>
        <cfvo type="max"/>
        <color rgb="FFFCFCFF"/>
        <color rgb="FF63BE7B"/>
      </colorScale>
    </cfRule>
  </conditionalFormatting>
  <conditionalFormatting sqref="E57:E58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">
      <colorScale>
        <cfvo type="min"/>
        <cfvo type="max"/>
        <color rgb="FFFCFCFF"/>
        <color rgb="FF63BE7B"/>
      </colorScale>
    </cfRule>
  </conditionalFormatting>
  <conditionalFormatting sqref="E68:E69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0">
      <colorScale>
        <cfvo type="min"/>
        <cfvo type="max"/>
        <color rgb="FFFCFCFF"/>
        <color rgb="FF63BE7B"/>
      </colorScale>
    </cfRule>
  </conditionalFormatting>
  <conditionalFormatting sqref="E79:E80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2">
      <colorScale>
        <cfvo type="min"/>
        <cfvo type="max"/>
        <color rgb="FFFCFCFF"/>
        <color rgb="FF63BE7B"/>
      </colorScale>
    </cfRule>
  </conditionalFormatting>
  <pageMargins left="0.75" right="0.75" top="1" bottom="1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A263F-BE85-434F-B402-7EEDB5FC5038}">
  <sheetPr>
    <tabColor theme="5" tint="-0.249977111117893"/>
  </sheetPr>
  <dimension ref="A2:I72"/>
  <sheetViews>
    <sheetView showGridLines="0" zoomScale="70" zoomScaleNormal="70" workbookViewId="0"/>
  </sheetViews>
  <sheetFormatPr baseColWidth="10" defaultColWidth="11" defaultRowHeight="16.5" x14ac:dyDescent="0.3"/>
  <cols>
    <col min="1" max="1" width="22.375" style="5" customWidth="1"/>
    <col min="2" max="2" width="21" style="5" customWidth="1"/>
    <col min="3" max="3" width="15.375" style="5" customWidth="1"/>
    <col min="4" max="4" width="25.875" style="5" customWidth="1"/>
    <col min="5" max="5" width="18.875" style="5" customWidth="1"/>
    <col min="6" max="6" width="17.375" style="5" customWidth="1"/>
    <col min="7" max="7" width="18.375" style="5" customWidth="1"/>
    <col min="8" max="8" width="16" style="5" customWidth="1"/>
    <col min="9" max="9" width="36" style="5" customWidth="1"/>
    <col min="10" max="16384" width="11" style="5"/>
  </cols>
  <sheetData>
    <row r="2" spans="1:9" x14ac:dyDescent="0.3">
      <c r="B2" s="8"/>
      <c r="D2" s="6"/>
      <c r="E2" s="6"/>
      <c r="F2" s="7"/>
      <c r="G2" s="31"/>
    </row>
    <row r="3" spans="1:9" x14ac:dyDescent="0.3">
      <c r="B3" s="8"/>
      <c r="D3" s="6"/>
      <c r="E3" s="6"/>
      <c r="F3" s="7"/>
      <c r="G3" s="7"/>
    </row>
    <row r="4" spans="1:9" ht="23.25" x14ac:dyDescent="0.3">
      <c r="B4" s="174" t="s">
        <v>40</v>
      </c>
      <c r="C4" s="175"/>
      <c r="D4" s="175"/>
      <c r="E4" s="175"/>
      <c r="F4" s="175"/>
      <c r="G4" s="175"/>
      <c r="H4" s="175"/>
      <c r="I4" s="175"/>
    </row>
    <row r="5" spans="1:9" ht="17.25" thickBot="1" x14ac:dyDescent="0.35">
      <c r="B5" s="8"/>
      <c r="D5" s="6"/>
      <c r="E5" s="6"/>
      <c r="F5" s="7"/>
      <c r="G5" s="7"/>
    </row>
    <row r="6" spans="1:9" x14ac:dyDescent="0.3">
      <c r="D6" s="186" t="s">
        <v>22</v>
      </c>
      <c r="E6" s="187"/>
      <c r="F6" s="188"/>
    </row>
    <row r="7" spans="1:9" ht="45" x14ac:dyDescent="0.3">
      <c r="D7" s="83" t="s">
        <v>41</v>
      </c>
      <c r="E7" s="84" t="s">
        <v>42</v>
      </c>
      <c r="F7" s="85" t="s">
        <v>43</v>
      </c>
    </row>
    <row r="8" spans="1:9" ht="36" x14ac:dyDescent="0.35">
      <c r="D8" s="86" t="s">
        <v>44</v>
      </c>
      <c r="E8" s="87"/>
      <c r="F8" s="88">
        <v>74.7</v>
      </c>
      <c r="H8" s="93"/>
    </row>
    <row r="9" spans="1:9" ht="18" x14ac:dyDescent="0.35">
      <c r="D9" s="86" t="s">
        <v>27</v>
      </c>
      <c r="E9" s="87"/>
      <c r="F9" s="88">
        <v>1.42</v>
      </c>
      <c r="H9" s="94"/>
    </row>
    <row r="10" spans="1:9" ht="18" x14ac:dyDescent="0.35">
      <c r="D10" s="86" t="s">
        <v>45</v>
      </c>
      <c r="E10" s="87"/>
      <c r="F10" s="88">
        <v>4.08</v>
      </c>
      <c r="H10" s="95"/>
    </row>
    <row r="11" spans="1:9" ht="36" x14ac:dyDescent="0.35">
      <c r="D11" s="86" t="s">
        <v>46</v>
      </c>
      <c r="E11" s="87"/>
      <c r="F11" s="88">
        <v>18.71</v>
      </c>
      <c r="H11" s="94"/>
    </row>
    <row r="12" spans="1:9" ht="36" x14ac:dyDescent="0.35">
      <c r="D12" s="86" t="s">
        <v>29</v>
      </c>
      <c r="E12" s="87"/>
      <c r="F12" s="88">
        <v>1.0900000000000001</v>
      </c>
      <c r="H12" s="94"/>
    </row>
    <row r="13" spans="1:9" customFormat="1" ht="17.25" thickBot="1" x14ac:dyDescent="0.35">
      <c r="A13" s="5"/>
      <c r="B13" s="5"/>
      <c r="C13" s="5"/>
      <c r="D13" s="90"/>
      <c r="E13" s="91" t="s">
        <v>39</v>
      </c>
      <c r="F13" s="92">
        <f>+SUM(F8:F12)</f>
        <v>100</v>
      </c>
    </row>
    <row r="15" spans="1:9" ht="21" x14ac:dyDescent="0.35">
      <c r="B15" s="179" t="str">
        <f>+D8</f>
        <v>Paradero tipo 1 con módulo</v>
      </c>
      <c r="C15" s="179"/>
      <c r="D15" s="179"/>
      <c r="E15" s="179"/>
      <c r="F15" s="179"/>
      <c r="G15" s="179"/>
    </row>
    <row r="16" spans="1:9" x14ac:dyDescent="0.3">
      <c r="B16" s="177"/>
      <c r="C16" s="177"/>
      <c r="D16" s="177"/>
      <c r="E16" s="42" t="s">
        <v>10</v>
      </c>
      <c r="F16" s="42" t="s">
        <v>11</v>
      </c>
      <c r="G16" s="43"/>
    </row>
    <row r="17" spans="2:8" x14ac:dyDescent="0.3">
      <c r="B17" s="177"/>
      <c r="C17" s="177"/>
      <c r="D17" s="177"/>
      <c r="E17" s="42" t="s">
        <v>10</v>
      </c>
      <c r="F17" s="42" t="s">
        <v>11</v>
      </c>
      <c r="G17" s="43"/>
      <c r="H17"/>
    </row>
    <row r="18" spans="2:8" x14ac:dyDescent="0.3">
      <c r="B18"/>
      <c r="C18"/>
      <c r="D18"/>
      <c r="E18" s="44">
        <f>F18*0.95</f>
        <v>31996731.5</v>
      </c>
      <c r="F18" s="45">
        <v>33680770</v>
      </c>
      <c r="G18" s="46"/>
      <c r="H18"/>
    </row>
    <row r="19" spans="2:8" ht="50.25" x14ac:dyDescent="0.35">
      <c r="B19" s="47" t="s">
        <v>47</v>
      </c>
      <c r="C19" s="48" t="s">
        <v>13</v>
      </c>
      <c r="D19" s="62">
        <v>74.7</v>
      </c>
      <c r="E19" s="50"/>
      <c r="F19" s="16" t="s">
        <v>15</v>
      </c>
      <c r="G19" s="51">
        <f>MAX(C23:C24)</f>
        <v>20143478</v>
      </c>
      <c r="H19" s="52"/>
    </row>
    <row r="20" spans="2:8" ht="18.75" x14ac:dyDescent="0.3">
      <c r="B20" s="178" t="s">
        <v>30</v>
      </c>
      <c r="C20" s="178"/>
      <c r="D20" s="178"/>
      <c r="E20" s="53"/>
      <c r="F20" s="20" t="s">
        <v>16</v>
      </c>
      <c r="G20" s="54">
        <f>AVERAGE(C23:C24)</f>
        <v>10564239</v>
      </c>
      <c r="H20" s="55"/>
    </row>
    <row r="21" spans="2:8" ht="21" x14ac:dyDescent="0.35">
      <c r="B21" s="48"/>
      <c r="C21" s="49"/>
      <c r="D21" s="49"/>
      <c r="E21" s="53" t="s">
        <v>31</v>
      </c>
      <c r="F21" s="24" t="s">
        <v>20</v>
      </c>
      <c r="G21" s="56">
        <f>(G19+G20)/2</f>
        <v>15353858.5</v>
      </c>
    </row>
    <row r="22" spans="2:8" ht="21" x14ac:dyDescent="0.35">
      <c r="B22" s="48"/>
      <c r="C22" s="49" t="s">
        <v>32</v>
      </c>
      <c r="D22" s="22" t="s">
        <v>18</v>
      </c>
      <c r="E22" s="23" t="s">
        <v>19</v>
      </c>
      <c r="F22" s="52"/>
      <c r="G22"/>
      <c r="H22"/>
    </row>
    <row r="23" spans="2:8" x14ac:dyDescent="0.3">
      <c r="B23" s="26" t="s">
        <v>136</v>
      </c>
      <c r="C23" s="58">
        <v>20143478</v>
      </c>
      <c r="D23" s="59">
        <f>ROUND(IF(C23&lt;=G21,D19*(1-(G21-C23)/G21),D19*(1+(G21-C23)/G21)),2)</f>
        <v>51.4</v>
      </c>
      <c r="E23" s="29">
        <f>_xlfn.RANK.EQ(D23,D23:D24)</f>
        <v>1</v>
      </c>
      <c r="F23" s="60"/>
      <c r="G23"/>
      <c r="H23" s="61"/>
    </row>
    <row r="24" spans="2:8" x14ac:dyDescent="0.3">
      <c r="B24" s="26" t="s">
        <v>137</v>
      </c>
      <c r="C24" s="58">
        <v>985000</v>
      </c>
      <c r="D24" s="59">
        <f>ROUND(IF(C24&lt;=G21,D19*(1-(G21-C24)/G21),D19*(1+(G21-C24)/G21)),2)</f>
        <v>4.79</v>
      </c>
      <c r="E24" s="29">
        <f>_xlfn.RANK.EQ(D24,D23:D24)</f>
        <v>2</v>
      </c>
      <c r="F24" s="60"/>
      <c r="G24"/>
      <c r="H24"/>
    </row>
    <row r="27" spans="2:8" ht="21" x14ac:dyDescent="0.35">
      <c r="B27" s="179" t="str">
        <f>+D9</f>
        <v>Panel publicitario</v>
      </c>
      <c r="C27" s="179"/>
      <c r="D27" s="179"/>
      <c r="E27" s="179"/>
      <c r="F27" s="179"/>
      <c r="G27" s="179"/>
    </row>
    <row r="28" spans="2:8" x14ac:dyDescent="0.3">
      <c r="B28" s="177"/>
      <c r="C28" s="177"/>
      <c r="D28" s="177"/>
      <c r="E28" s="42" t="s">
        <v>10</v>
      </c>
      <c r="F28" s="42" t="s">
        <v>11</v>
      </c>
      <c r="G28" s="43"/>
    </row>
    <row r="29" spans="2:8" x14ac:dyDescent="0.3">
      <c r="B29" s="177"/>
      <c r="C29" s="177"/>
      <c r="D29" s="177"/>
      <c r="E29" s="42" t="s">
        <v>10</v>
      </c>
      <c r="F29" s="42" t="s">
        <v>11</v>
      </c>
      <c r="G29" s="43"/>
      <c r="H29"/>
    </row>
    <row r="30" spans="2:8" x14ac:dyDescent="0.3">
      <c r="B30"/>
      <c r="C30"/>
      <c r="D30"/>
      <c r="E30" s="44">
        <f>F30*0.95</f>
        <v>31996731.5</v>
      </c>
      <c r="F30" s="45">
        <v>33680770</v>
      </c>
      <c r="G30" s="46"/>
      <c r="H30"/>
    </row>
    <row r="31" spans="2:8" ht="50.25" x14ac:dyDescent="0.35">
      <c r="B31" s="47" t="s">
        <v>47</v>
      </c>
      <c r="C31" s="48" t="s">
        <v>13</v>
      </c>
      <c r="D31" s="62">
        <v>1.42</v>
      </c>
      <c r="E31" s="50"/>
      <c r="F31" s="16" t="s">
        <v>15</v>
      </c>
      <c r="G31" s="51">
        <f>MAX(C35:C36)</f>
        <v>4127317</v>
      </c>
      <c r="H31" s="52"/>
    </row>
    <row r="32" spans="2:8" ht="18.75" x14ac:dyDescent="0.3">
      <c r="B32" s="178" t="s">
        <v>30</v>
      </c>
      <c r="C32" s="178"/>
      <c r="D32" s="178"/>
      <c r="E32" s="53"/>
      <c r="F32" s="20" t="s">
        <v>16</v>
      </c>
      <c r="G32" s="54">
        <f>AVERAGE(C35:C36)</f>
        <v>2408898.5</v>
      </c>
      <c r="H32" s="55"/>
    </row>
    <row r="33" spans="2:8" ht="21" x14ac:dyDescent="0.35">
      <c r="B33" s="48"/>
      <c r="C33" s="49"/>
      <c r="D33" s="49"/>
      <c r="E33" s="53" t="s">
        <v>31</v>
      </c>
      <c r="F33" s="24" t="s">
        <v>20</v>
      </c>
      <c r="G33" s="56">
        <f>(G31+G32)/2</f>
        <v>3268107.75</v>
      </c>
    </row>
    <row r="34" spans="2:8" ht="21" x14ac:dyDescent="0.35">
      <c r="B34" s="48"/>
      <c r="C34" s="49" t="s">
        <v>32</v>
      </c>
      <c r="D34" s="22" t="s">
        <v>18</v>
      </c>
      <c r="E34" s="23" t="s">
        <v>19</v>
      </c>
      <c r="F34" s="52"/>
      <c r="G34"/>
      <c r="H34"/>
    </row>
    <row r="35" spans="2:8" x14ac:dyDescent="0.3">
      <c r="B35" s="26" t="s">
        <v>136</v>
      </c>
      <c r="C35" s="58">
        <v>4127317</v>
      </c>
      <c r="D35" s="59">
        <f>ROUND(IF(C35&lt;=G33,D31*(1-(G33-C35)/G33),D31*(1+(G33-C35)/G33)),2)</f>
        <v>1.05</v>
      </c>
      <c r="E35" s="29">
        <f>_xlfn.RANK.EQ(D35,D35:D36)</f>
        <v>1</v>
      </c>
      <c r="F35" s="60"/>
      <c r="G35"/>
      <c r="H35" s="61"/>
    </row>
    <row r="36" spans="2:8" x14ac:dyDescent="0.3">
      <c r="B36" s="26" t="s">
        <v>137</v>
      </c>
      <c r="C36" s="58">
        <v>690480</v>
      </c>
      <c r="D36" s="59">
        <f>ROUND(IF(C36&lt;=G33,D31*(1-(G33-C36)/G33),D31*(1+(G33-C36)/G33)),2)</f>
        <v>0.3</v>
      </c>
      <c r="E36" s="29">
        <f>_xlfn.RANK.EQ(D36,D35:D36)</f>
        <v>2</v>
      </c>
      <c r="F36" s="60"/>
      <c r="G36"/>
      <c r="H36"/>
    </row>
    <row r="39" spans="2:8" ht="21" x14ac:dyDescent="0.35">
      <c r="B39" s="179" t="str">
        <f>+D10</f>
        <v>Paradero tipo 3 con bandera</v>
      </c>
      <c r="C39" s="179"/>
      <c r="D39" s="179"/>
      <c r="E39" s="179"/>
      <c r="F39" s="179"/>
      <c r="G39" s="179"/>
    </row>
    <row r="40" spans="2:8" x14ac:dyDescent="0.3">
      <c r="B40" s="177"/>
      <c r="C40" s="177"/>
      <c r="D40" s="177"/>
      <c r="E40" s="42" t="s">
        <v>10</v>
      </c>
      <c r="F40" s="42" t="s">
        <v>11</v>
      </c>
      <c r="G40" s="43"/>
    </row>
    <row r="41" spans="2:8" x14ac:dyDescent="0.3">
      <c r="B41"/>
      <c r="C41"/>
      <c r="D41"/>
      <c r="E41" s="44">
        <f>F41*0.95</f>
        <v>31996731.5</v>
      </c>
      <c r="F41" s="45">
        <v>33680770</v>
      </c>
      <c r="G41" s="46"/>
      <c r="H41"/>
    </row>
    <row r="42" spans="2:8" ht="50.25" x14ac:dyDescent="0.35">
      <c r="B42" s="47" t="s">
        <v>47</v>
      </c>
      <c r="C42" s="48" t="s">
        <v>13</v>
      </c>
      <c r="D42" s="62">
        <v>4.08</v>
      </c>
      <c r="E42" s="50"/>
      <c r="F42" s="16" t="s">
        <v>15</v>
      </c>
      <c r="G42" s="51">
        <f>MAX(C46:C47)</f>
        <v>12095528</v>
      </c>
      <c r="H42" s="52"/>
    </row>
    <row r="43" spans="2:8" ht="18.75" x14ac:dyDescent="0.3">
      <c r="B43" s="178" t="s">
        <v>30</v>
      </c>
      <c r="C43" s="178"/>
      <c r="D43" s="178"/>
      <c r="E43" s="53"/>
      <c r="F43" s="20" t="s">
        <v>16</v>
      </c>
      <c r="G43" s="54">
        <f>AVERAGE(C46:C47)</f>
        <v>6133441.5</v>
      </c>
      <c r="H43" s="55"/>
    </row>
    <row r="44" spans="2:8" ht="21" x14ac:dyDescent="0.35">
      <c r="B44" s="48"/>
      <c r="C44" s="49"/>
      <c r="D44" s="49"/>
      <c r="E44" s="53" t="s">
        <v>31</v>
      </c>
      <c r="F44" s="24" t="s">
        <v>20</v>
      </c>
      <c r="G44" s="56">
        <f>(G42+G43)/2</f>
        <v>9114484.75</v>
      </c>
    </row>
    <row r="45" spans="2:8" ht="21" x14ac:dyDescent="0.35">
      <c r="B45" s="48"/>
      <c r="C45" s="49" t="s">
        <v>32</v>
      </c>
      <c r="D45" s="22" t="s">
        <v>18</v>
      </c>
      <c r="E45" s="23" t="s">
        <v>19</v>
      </c>
      <c r="F45" s="52"/>
      <c r="G45"/>
      <c r="H45"/>
    </row>
    <row r="46" spans="2:8" x14ac:dyDescent="0.3">
      <c r="B46" s="26" t="s">
        <v>136</v>
      </c>
      <c r="C46" s="58">
        <v>12095528</v>
      </c>
      <c r="D46" s="59">
        <f>ROUND(IF(C46&lt;=G44,D42*(1-(G44-C46)/G44),D42*(1+(G44-C46)/G44)),2)</f>
        <v>2.75</v>
      </c>
      <c r="E46" s="29">
        <f>_xlfn.RANK.EQ(D46,D46:D47)</f>
        <v>1</v>
      </c>
      <c r="F46" s="60"/>
      <c r="G46"/>
      <c r="H46" s="61"/>
    </row>
    <row r="47" spans="2:8" x14ac:dyDescent="0.3">
      <c r="B47" s="26" t="s">
        <v>137</v>
      </c>
      <c r="C47" s="58">
        <v>171355</v>
      </c>
      <c r="D47" s="59">
        <f>ROUND(IF(C47&lt;=G44,D42*(1-(G44-C47)/G44),D42*(1+(G44-C47)/G44)),2)</f>
        <v>0.08</v>
      </c>
      <c r="E47" s="29">
        <f>_xlfn.RANK.EQ(D47,D46:D47)</f>
        <v>2</v>
      </c>
      <c r="F47" s="60"/>
      <c r="G47"/>
      <c r="H47"/>
    </row>
    <row r="49" spans="2:8" ht="21" x14ac:dyDescent="0.35">
      <c r="B49" s="179" t="str">
        <f>+D11</f>
        <v>Paradero tipo 2 con tótem</v>
      </c>
      <c r="C49" s="179"/>
      <c r="D49" s="179"/>
      <c r="E49" s="179"/>
      <c r="F49" s="179"/>
      <c r="G49" s="179"/>
    </row>
    <row r="50" spans="2:8" x14ac:dyDescent="0.3">
      <c r="B50" s="177"/>
      <c r="C50" s="177"/>
      <c r="D50" s="177"/>
      <c r="E50" s="42" t="s">
        <v>10</v>
      </c>
      <c r="F50" s="42" t="s">
        <v>11</v>
      </c>
      <c r="G50" s="43"/>
    </row>
    <row r="51" spans="2:8" x14ac:dyDescent="0.3">
      <c r="B51"/>
      <c r="C51"/>
      <c r="D51"/>
      <c r="E51" s="44">
        <f>F51*0.95</f>
        <v>31996731.5</v>
      </c>
      <c r="F51" s="45">
        <v>33680770</v>
      </c>
      <c r="G51" s="46"/>
      <c r="H51"/>
    </row>
    <row r="52" spans="2:8" ht="50.25" x14ac:dyDescent="0.35">
      <c r="B52" s="47" t="s">
        <v>47</v>
      </c>
      <c r="C52" s="48" t="s">
        <v>13</v>
      </c>
      <c r="D52" s="62">
        <v>18.71</v>
      </c>
      <c r="E52" s="50"/>
      <c r="F52" s="16" t="s">
        <v>15</v>
      </c>
      <c r="G52" s="51">
        <f>MAX(C56:C57)</f>
        <v>19367995</v>
      </c>
      <c r="H52" s="52"/>
    </row>
    <row r="53" spans="2:8" ht="18.75" x14ac:dyDescent="0.3">
      <c r="B53" s="178" t="s">
        <v>30</v>
      </c>
      <c r="C53" s="178"/>
      <c r="D53" s="178"/>
      <c r="E53" s="53"/>
      <c r="F53" s="20" t="s">
        <v>16</v>
      </c>
      <c r="G53" s="54">
        <f>AVERAGE(C56:C57)</f>
        <v>9944742</v>
      </c>
      <c r="H53" s="55"/>
    </row>
    <row r="54" spans="2:8" ht="21" x14ac:dyDescent="0.35">
      <c r="B54" s="48"/>
      <c r="C54" s="49"/>
      <c r="D54" s="49"/>
      <c r="E54" s="53" t="s">
        <v>31</v>
      </c>
      <c r="F54" s="24" t="s">
        <v>20</v>
      </c>
      <c r="G54" s="56">
        <f>(G52+G53)/2</f>
        <v>14656368.5</v>
      </c>
    </row>
    <row r="55" spans="2:8" ht="21" x14ac:dyDescent="0.35">
      <c r="B55" s="48"/>
      <c r="C55" s="49" t="s">
        <v>32</v>
      </c>
      <c r="D55" s="22" t="s">
        <v>18</v>
      </c>
      <c r="E55" s="23" t="s">
        <v>19</v>
      </c>
      <c r="F55" s="52"/>
      <c r="G55"/>
      <c r="H55"/>
    </row>
    <row r="56" spans="2:8" x14ac:dyDescent="0.3">
      <c r="B56" s="26" t="s">
        <v>136</v>
      </c>
      <c r="C56" s="58">
        <v>19367995</v>
      </c>
      <c r="D56" s="59">
        <f>ROUND(IF(C56&lt;=G54,D52*(1-(G54-C56)/G54),D52*(1+(G54-C56)/G54)),2)</f>
        <v>12.7</v>
      </c>
      <c r="E56" s="29">
        <f ca="1">_xlfn.RANK.EQ(D56,D56:D60)</f>
        <v>1</v>
      </c>
      <c r="F56" s="60"/>
      <c r="G56"/>
      <c r="H56" s="61"/>
    </row>
    <row r="57" spans="2:8" x14ac:dyDescent="0.3">
      <c r="B57" s="26" t="s">
        <v>137</v>
      </c>
      <c r="C57" s="58">
        <v>521489</v>
      </c>
      <c r="D57" s="59">
        <f>ROUND(IF(C57&lt;=G54,D52*(1-(G54-C57)/G54),D52*(1+(G54-C57)/G54)),2)</f>
        <v>0.67</v>
      </c>
      <c r="E57" s="29">
        <f ca="1">_xlfn.RANK.EQ(D57,D56:D60)</f>
        <v>2</v>
      </c>
      <c r="F57" s="60"/>
      <c r="G57"/>
      <c r="H57"/>
    </row>
    <row r="58" spans="2:8" hidden="1" x14ac:dyDescent="0.3">
      <c r="B58" s="57" t="e">
        <f>+#REF!</f>
        <v>#REF!</v>
      </c>
      <c r="C58" s="58">
        <f ca="1">RANDBETWEEN($E$18,$F$18)</f>
        <v>32185047</v>
      </c>
      <c r="D58" s="59">
        <f ca="1">ROUND(IF(C58&lt;=G54,D52*(1-(G54-C58)/G54),D52*(1+(G54-C58)/G54)),2)</f>
        <v>-3.67</v>
      </c>
      <c r="E58" s="29">
        <f ca="1">_xlfn.RANK.EQ(D58,D56:D60)</f>
        <v>3</v>
      </c>
      <c r="F58" s="60"/>
      <c r="G58"/>
      <c r="H58"/>
    </row>
    <row r="59" spans="2:8" hidden="1" x14ac:dyDescent="0.3">
      <c r="B59" s="57" t="e">
        <f>+#REF!</f>
        <v>#REF!</v>
      </c>
      <c r="C59" s="58">
        <f ca="1">RANDBETWEEN($E$18,$F$18)</f>
        <v>33127941</v>
      </c>
      <c r="D59" s="59">
        <f ca="1">ROUND(IF(C59&lt;=G54,D52*(1-(G54-C59)/G54),D52*(1+(G54-C59)/G54)),2)</f>
        <v>-4.87</v>
      </c>
      <c r="E59" s="29">
        <f ca="1">_xlfn.RANK.EQ(D59,D56:D60)</f>
        <v>5</v>
      </c>
      <c r="F59" s="60"/>
      <c r="G59"/>
      <c r="H59"/>
    </row>
    <row r="60" spans="2:8" hidden="1" x14ac:dyDescent="0.3">
      <c r="B60" s="57" t="e">
        <f>+#REF!</f>
        <v>#REF!</v>
      </c>
      <c r="C60" s="58">
        <f ca="1">RANDBETWEEN($E$18,$F$18)</f>
        <v>32295323</v>
      </c>
      <c r="D60" s="59">
        <f ca="1">ROUND(IF(C60&lt;=G54,D52*(1-(G54-C60)/G54),D52*(1+(G54-C60)/G54)),2)</f>
        <v>-3.81</v>
      </c>
      <c r="E60" s="29">
        <f ca="1">_xlfn.RANK.EQ(D60,D56:D60)</f>
        <v>4</v>
      </c>
      <c r="F60" s="60"/>
      <c r="G60"/>
      <c r="H60"/>
    </row>
    <row r="63" spans="2:8" ht="21" x14ac:dyDescent="0.35">
      <c r="B63" s="179" t="str">
        <f>+D12</f>
        <v>Panel informativo interactivo estaciones</v>
      </c>
      <c r="C63" s="179"/>
      <c r="D63" s="179"/>
      <c r="E63" s="179"/>
      <c r="F63" s="179"/>
      <c r="G63" s="179"/>
    </row>
    <row r="64" spans="2:8" x14ac:dyDescent="0.3">
      <c r="B64" s="177"/>
      <c r="C64" s="177"/>
      <c r="D64" s="177"/>
      <c r="E64" s="42" t="s">
        <v>10</v>
      </c>
      <c r="F64" s="42" t="s">
        <v>11</v>
      </c>
      <c r="G64" s="43"/>
    </row>
    <row r="65" spans="2:8" x14ac:dyDescent="0.3">
      <c r="B65"/>
      <c r="C65"/>
      <c r="D65"/>
      <c r="E65" s="63">
        <f>F65*0.95</f>
        <v>31996731.5</v>
      </c>
      <c r="F65" s="64">
        <v>33680770</v>
      </c>
      <c r="G65"/>
    </row>
    <row r="66" spans="2:8" x14ac:dyDescent="0.3">
      <c r="B66"/>
      <c r="C66"/>
      <c r="D66"/>
      <c r="E66" s="44">
        <f>F66*0.95</f>
        <v>31996731.5</v>
      </c>
      <c r="F66" s="45">
        <v>33680770</v>
      </c>
      <c r="G66" s="46"/>
      <c r="H66"/>
    </row>
    <row r="67" spans="2:8" ht="50.25" x14ac:dyDescent="0.35">
      <c r="B67" s="47" t="s">
        <v>47</v>
      </c>
      <c r="C67" s="48" t="s">
        <v>13</v>
      </c>
      <c r="D67" s="62">
        <v>1.0900000000000001</v>
      </c>
      <c r="E67" s="50"/>
      <c r="F67" s="16" t="s">
        <v>15</v>
      </c>
      <c r="G67" s="51">
        <f>MAX(C71:C72)</f>
        <v>9125317</v>
      </c>
      <c r="H67" s="52"/>
    </row>
    <row r="68" spans="2:8" ht="18.75" x14ac:dyDescent="0.3">
      <c r="B68" s="178" t="s">
        <v>30</v>
      </c>
      <c r="C68" s="178"/>
      <c r="D68" s="178"/>
      <c r="E68" s="53"/>
      <c r="F68" s="20" t="s">
        <v>16</v>
      </c>
      <c r="G68" s="54">
        <f>AVERAGE(C71:C72)</f>
        <v>4898658.5</v>
      </c>
      <c r="H68" s="55"/>
    </row>
    <row r="69" spans="2:8" ht="21" x14ac:dyDescent="0.35">
      <c r="B69" s="48"/>
      <c r="C69" s="49"/>
      <c r="D69" s="49"/>
      <c r="E69" s="53" t="s">
        <v>31</v>
      </c>
      <c r="F69" s="24" t="s">
        <v>20</v>
      </c>
      <c r="G69" s="56">
        <f>(G67+G68)/2</f>
        <v>7011987.75</v>
      </c>
    </row>
    <row r="70" spans="2:8" ht="21" x14ac:dyDescent="0.35">
      <c r="B70" s="48"/>
      <c r="C70" s="49" t="s">
        <v>32</v>
      </c>
      <c r="D70" s="22" t="s">
        <v>18</v>
      </c>
      <c r="E70" s="23" t="s">
        <v>19</v>
      </c>
      <c r="F70" s="52"/>
      <c r="G70"/>
      <c r="H70"/>
    </row>
    <row r="71" spans="2:8" x14ac:dyDescent="0.3">
      <c r="B71" s="26" t="s">
        <v>136</v>
      </c>
      <c r="C71" s="58">
        <v>9125317</v>
      </c>
      <c r="D71" s="59">
        <f>ROUND(IF(C71&lt;=G69,D67*(1-(G69-C71)/G69),D67*(1+(G69-C71)/G69)),2)</f>
        <v>0.76</v>
      </c>
      <c r="E71" s="29">
        <f>_xlfn.RANK.EQ(D71,D71:D72)</f>
        <v>1</v>
      </c>
      <c r="F71" s="60"/>
      <c r="G71"/>
      <c r="H71" s="61"/>
    </row>
    <row r="72" spans="2:8" x14ac:dyDescent="0.3">
      <c r="B72" s="26" t="s">
        <v>137</v>
      </c>
      <c r="C72" s="58">
        <v>672000</v>
      </c>
      <c r="D72" s="59">
        <f>ROUND(IF(C72&lt;=G69,D67*(1-(G69-C72)/G69),D67*(1+(G69-C72)/G69)),2)</f>
        <v>0.1</v>
      </c>
      <c r="E72" s="29">
        <f>_xlfn.RANK.EQ(D72,D71:D72)</f>
        <v>2</v>
      </c>
      <c r="F72" s="60"/>
      <c r="G72"/>
      <c r="H72"/>
    </row>
  </sheetData>
  <sheetProtection algorithmName="SHA-512" hashValue="q0VcR/v3iAgdtJ/0gS/PCnVDRsRrmII9YMHVv6GjJLZI+t4dRMoCWeMt3HfZC4z1wF7uj6b916M49oILw9i2Yw==" saltValue="ZJ6OP42M5gbNn1Do+zZH9A==" spinCount="100000" sheet="1" formatCells="0" formatColumns="0" formatRows="0" insertColumns="0" insertRows="0" insertHyperlinks="0" deleteColumns="0" deleteRows="0" sort="0" autoFilter="0" pivotTables="0"/>
  <mergeCells count="19">
    <mergeCell ref="B40:D40"/>
    <mergeCell ref="B4:I4"/>
    <mergeCell ref="D6:F6"/>
    <mergeCell ref="B15:G15"/>
    <mergeCell ref="B16:D16"/>
    <mergeCell ref="B17:D17"/>
    <mergeCell ref="B20:D20"/>
    <mergeCell ref="B27:G27"/>
    <mergeCell ref="B28:D28"/>
    <mergeCell ref="B29:D29"/>
    <mergeCell ref="B32:D32"/>
    <mergeCell ref="B39:G39"/>
    <mergeCell ref="B68:D68"/>
    <mergeCell ref="B43:D43"/>
    <mergeCell ref="B49:G49"/>
    <mergeCell ref="B50:D50"/>
    <mergeCell ref="B53:D53"/>
    <mergeCell ref="B63:G63"/>
    <mergeCell ref="B64:D64"/>
  </mergeCells>
  <conditionalFormatting sqref="E56:E6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">
      <colorScale>
        <cfvo type="min"/>
        <cfvo type="max"/>
        <color rgb="FFFCFCFF"/>
        <color rgb="FF63BE7B"/>
      </colorScale>
    </cfRule>
  </conditionalFormatting>
  <conditionalFormatting sqref="E23:E24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">
      <colorScale>
        <cfvo type="min"/>
        <cfvo type="max"/>
        <color rgb="FFFCFCFF"/>
        <color rgb="FF63BE7B"/>
      </colorScale>
    </cfRule>
  </conditionalFormatting>
  <conditionalFormatting sqref="E35:E36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">
      <colorScale>
        <cfvo type="min"/>
        <cfvo type="max"/>
        <color rgb="FFFCFCFF"/>
        <color rgb="FF63BE7B"/>
      </colorScale>
    </cfRule>
  </conditionalFormatting>
  <conditionalFormatting sqref="E46:E47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">
      <colorScale>
        <cfvo type="min"/>
        <cfvo type="max"/>
        <color rgb="FFFCFCFF"/>
        <color rgb="FF63BE7B"/>
      </colorScale>
    </cfRule>
  </conditionalFormatting>
  <conditionalFormatting sqref="E71:E72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0">
      <colorScale>
        <cfvo type="min"/>
        <cfvo type="max"/>
        <color rgb="FFFCFCFF"/>
        <color rgb="FF63BE7B"/>
      </colorScale>
    </cfRule>
  </conditionalFormatting>
  <pageMargins left="0.75" right="0.75" top="1" bottom="1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12DC9-7DAC-4501-ADE8-DEDF54EBB234}">
  <sheetPr>
    <tabColor rgb="FF00B0F0"/>
  </sheetPr>
  <dimension ref="B3:I80"/>
  <sheetViews>
    <sheetView showGridLines="0" topLeftCell="A67" workbookViewId="0"/>
  </sheetViews>
  <sheetFormatPr baseColWidth="10" defaultColWidth="11" defaultRowHeight="15.75" x14ac:dyDescent="0.25"/>
  <cols>
    <col min="3" max="3" width="11.625" bestFit="1" customWidth="1"/>
    <col min="4" max="4" width="20.875" customWidth="1"/>
    <col min="5" max="5" width="25.75" customWidth="1"/>
    <col min="6" max="6" width="38.75" customWidth="1"/>
    <col min="7" max="7" width="32.875" customWidth="1"/>
  </cols>
  <sheetData>
    <row r="3" spans="2:9" ht="18" x14ac:dyDescent="0.25">
      <c r="B3" s="198" t="s">
        <v>48</v>
      </c>
      <c r="C3" s="199"/>
      <c r="D3" s="199"/>
      <c r="E3" s="199"/>
      <c r="F3" s="199"/>
      <c r="G3" s="199"/>
      <c r="H3" s="199"/>
      <c r="I3" s="199"/>
    </row>
    <row r="5" spans="2:9" x14ac:dyDescent="0.25">
      <c r="D5" s="47" t="s">
        <v>49</v>
      </c>
      <c r="E5" s="47" t="s">
        <v>50</v>
      </c>
    </row>
    <row r="6" spans="2:9" x14ac:dyDescent="0.25">
      <c r="D6" s="96">
        <v>2145000000</v>
      </c>
      <c r="E6" s="47">
        <v>78</v>
      </c>
    </row>
    <row r="7" spans="2:9" x14ac:dyDescent="0.25">
      <c r="D7" s="96">
        <v>2486000000</v>
      </c>
      <c r="E7" s="47">
        <v>90</v>
      </c>
    </row>
    <row r="8" spans="2:9" x14ac:dyDescent="0.25">
      <c r="D8" s="96">
        <v>2827000000</v>
      </c>
      <c r="E8" s="47">
        <v>103</v>
      </c>
    </row>
    <row r="9" spans="2:9" x14ac:dyDescent="0.25">
      <c r="D9" s="96">
        <v>3168000000</v>
      </c>
      <c r="E9" s="47">
        <v>115</v>
      </c>
    </row>
    <row r="10" spans="2:9" x14ac:dyDescent="0.25">
      <c r="D10" s="96">
        <v>3509000000</v>
      </c>
      <c r="E10" s="47">
        <v>128</v>
      </c>
    </row>
    <row r="11" spans="2:9" x14ac:dyDescent="0.25">
      <c r="D11" s="96">
        <v>3850000000</v>
      </c>
      <c r="E11" s="47">
        <v>140</v>
      </c>
    </row>
    <row r="12" spans="2:9" x14ac:dyDescent="0.25">
      <c r="D12" s="97"/>
    </row>
    <row r="15" spans="2:9" s="98" customFormat="1" ht="31.5" x14ac:dyDescent="0.25">
      <c r="D15" s="99" t="s">
        <v>51</v>
      </c>
      <c r="E15" s="100" t="s">
        <v>52</v>
      </c>
      <c r="F15" s="100" t="s">
        <v>53</v>
      </c>
      <c r="G15" s="101" t="s">
        <v>54</v>
      </c>
    </row>
    <row r="16" spans="2:9" ht="141.75" x14ac:dyDescent="0.25">
      <c r="D16" s="147" t="s">
        <v>136</v>
      </c>
      <c r="E16" s="103">
        <v>3850000000</v>
      </c>
      <c r="F16" s="102">
        <v>140</v>
      </c>
      <c r="G16" s="104" t="s">
        <v>55</v>
      </c>
    </row>
    <row r="17" spans="2:9" ht="157.5" x14ac:dyDescent="0.25">
      <c r="D17" s="147" t="s">
        <v>137</v>
      </c>
      <c r="E17" s="103">
        <v>3850000000</v>
      </c>
      <c r="F17" s="102">
        <v>140</v>
      </c>
      <c r="G17" s="104" t="s">
        <v>56</v>
      </c>
    </row>
    <row r="24" spans="2:9" ht="18" x14ac:dyDescent="0.25">
      <c r="B24" s="198" t="s">
        <v>57</v>
      </c>
      <c r="C24" s="199"/>
      <c r="D24" s="199"/>
      <c r="E24" s="199"/>
      <c r="F24" s="199"/>
      <c r="G24" s="199"/>
      <c r="H24" s="199"/>
      <c r="I24" s="199"/>
    </row>
    <row r="26" spans="2:9" x14ac:dyDescent="0.25">
      <c r="D26" s="105" t="s">
        <v>58</v>
      </c>
      <c r="E26" s="105" t="s">
        <v>59</v>
      </c>
    </row>
    <row r="27" spans="2:9" x14ac:dyDescent="0.25">
      <c r="D27" s="106" t="s">
        <v>60</v>
      </c>
      <c r="E27" s="106" t="s">
        <v>61</v>
      </c>
    </row>
    <row r="28" spans="2:9" x14ac:dyDescent="0.25">
      <c r="D28" s="106" t="s">
        <v>62</v>
      </c>
      <c r="E28" s="106" t="s">
        <v>63</v>
      </c>
    </row>
    <row r="29" spans="2:9" x14ac:dyDescent="0.25">
      <c r="D29" s="106" t="s">
        <v>64</v>
      </c>
      <c r="E29" s="106" t="s">
        <v>65</v>
      </c>
    </row>
    <row r="30" spans="2:9" x14ac:dyDescent="0.25">
      <c r="D30" s="106" t="s">
        <v>66</v>
      </c>
      <c r="E30" s="106" t="s">
        <v>67</v>
      </c>
    </row>
    <row r="31" spans="2:9" x14ac:dyDescent="0.25">
      <c r="D31" s="106" t="s">
        <v>68</v>
      </c>
      <c r="E31" s="106" t="s">
        <v>69</v>
      </c>
    </row>
    <row r="32" spans="2:9" x14ac:dyDescent="0.25">
      <c r="D32" s="106" t="s">
        <v>70</v>
      </c>
      <c r="E32" s="106" t="s">
        <v>71</v>
      </c>
    </row>
    <row r="33" spans="2:9" x14ac:dyDescent="0.25">
      <c r="D33" s="106" t="s">
        <v>72</v>
      </c>
      <c r="E33" s="106" t="s">
        <v>73</v>
      </c>
    </row>
    <row r="35" spans="2:9" ht="31.5" x14ac:dyDescent="0.25">
      <c r="D35" s="99" t="s">
        <v>51</v>
      </c>
      <c r="E35" s="100" t="s">
        <v>52</v>
      </c>
      <c r="F35" s="100" t="s">
        <v>53</v>
      </c>
      <c r="G35" s="101" t="s">
        <v>54</v>
      </c>
    </row>
    <row r="36" spans="2:9" ht="126" x14ac:dyDescent="0.25">
      <c r="D36" s="147" t="s">
        <v>136</v>
      </c>
      <c r="E36" s="107">
        <v>350</v>
      </c>
      <c r="F36" s="107">
        <v>100</v>
      </c>
      <c r="G36" s="104" t="s">
        <v>74</v>
      </c>
    </row>
    <row r="37" spans="2:9" ht="126" x14ac:dyDescent="0.25">
      <c r="D37" s="147" t="s">
        <v>137</v>
      </c>
      <c r="E37" s="107">
        <v>350</v>
      </c>
      <c r="F37" s="107">
        <v>100</v>
      </c>
      <c r="G37" s="104" t="s">
        <v>75</v>
      </c>
    </row>
    <row r="42" spans="2:9" ht="18" x14ac:dyDescent="0.25">
      <c r="B42" s="198" t="s">
        <v>76</v>
      </c>
      <c r="C42" s="199"/>
      <c r="D42" s="199"/>
      <c r="E42" s="199"/>
      <c r="F42" s="199"/>
      <c r="G42" s="199"/>
      <c r="H42" s="199"/>
      <c r="I42" s="199"/>
    </row>
    <row r="43" spans="2:9" ht="16.5" thickBot="1" x14ac:dyDescent="0.3"/>
    <row r="44" spans="2:9" ht="16.5" thickBot="1" x14ac:dyDescent="0.3">
      <c r="D44" s="204" t="s">
        <v>77</v>
      </c>
      <c r="E44" s="205"/>
      <c r="F44" s="206"/>
    </row>
    <row r="45" spans="2:9" ht="16.5" thickBot="1" x14ac:dyDescent="0.3">
      <c r="D45" s="108" t="s">
        <v>78</v>
      </c>
      <c r="E45" s="109" t="s">
        <v>79</v>
      </c>
      <c r="F45" s="109" t="s">
        <v>80</v>
      </c>
    </row>
    <row r="46" spans="2:9" ht="150.75" thickBot="1" x14ac:dyDescent="0.3">
      <c r="D46" s="110" t="s">
        <v>81</v>
      </c>
      <c r="E46" s="111" t="s">
        <v>82</v>
      </c>
      <c r="F46" s="112" t="s">
        <v>83</v>
      </c>
    </row>
    <row r="47" spans="2:9" ht="150.75" thickBot="1" x14ac:dyDescent="0.3">
      <c r="D47" s="113" t="s">
        <v>84</v>
      </c>
      <c r="E47" s="111" t="s">
        <v>85</v>
      </c>
      <c r="F47" s="112" t="s">
        <v>86</v>
      </c>
    </row>
    <row r="48" spans="2:9" ht="65.25" customHeight="1" thickBot="1" x14ac:dyDescent="0.3">
      <c r="D48" s="207" t="s">
        <v>87</v>
      </c>
      <c r="E48" s="208"/>
      <c r="F48" s="114" t="s">
        <v>88</v>
      </c>
    </row>
    <row r="49" spans="4:7" ht="16.5" thickBot="1" x14ac:dyDescent="0.3">
      <c r="D49" s="200" t="s">
        <v>89</v>
      </c>
      <c r="E49" s="201"/>
      <c r="F49" s="112" t="s">
        <v>90</v>
      </c>
    </row>
    <row r="50" spans="4:7" ht="16.5" thickBot="1" x14ac:dyDescent="0.3">
      <c r="D50" s="200" t="s">
        <v>91</v>
      </c>
      <c r="E50" s="201"/>
      <c r="F50" s="112" t="s">
        <v>92</v>
      </c>
    </row>
    <row r="51" spans="4:7" ht="16.5" thickBot="1" x14ac:dyDescent="0.3">
      <c r="D51" s="200" t="s">
        <v>93</v>
      </c>
      <c r="E51" s="201"/>
      <c r="F51" s="112" t="s">
        <v>94</v>
      </c>
    </row>
    <row r="52" spans="4:7" ht="16.5" thickBot="1" x14ac:dyDescent="0.3">
      <c r="D52" s="200" t="s">
        <v>95</v>
      </c>
      <c r="E52" s="201"/>
      <c r="F52" s="112" t="s">
        <v>96</v>
      </c>
    </row>
    <row r="53" spans="4:7" ht="16.5" thickBot="1" x14ac:dyDescent="0.3">
      <c r="D53" s="200" t="s">
        <v>97</v>
      </c>
      <c r="E53" s="201"/>
      <c r="F53" s="112" t="s">
        <v>98</v>
      </c>
    </row>
    <row r="54" spans="4:7" ht="16.5" thickBot="1" x14ac:dyDescent="0.3">
      <c r="D54" s="200" t="s">
        <v>99</v>
      </c>
      <c r="E54" s="201"/>
      <c r="F54" s="112" t="s">
        <v>100</v>
      </c>
    </row>
    <row r="55" spans="4:7" ht="16.5" thickBot="1" x14ac:dyDescent="0.3">
      <c r="D55" s="202">
        <v>1</v>
      </c>
      <c r="E55" s="203"/>
      <c r="F55" s="112" t="s">
        <v>101</v>
      </c>
    </row>
    <row r="56" spans="4:7" ht="62.25" customHeight="1" thickBot="1" x14ac:dyDescent="0.3">
      <c r="D56" s="189" t="s">
        <v>102</v>
      </c>
      <c r="E56" s="190"/>
      <c r="F56" s="191"/>
    </row>
    <row r="57" spans="4:7" ht="73.5" customHeight="1" x14ac:dyDescent="0.25">
      <c r="D57" s="192" t="s">
        <v>103</v>
      </c>
      <c r="E57" s="193"/>
      <c r="F57" s="194"/>
    </row>
    <row r="58" spans="4:7" ht="69.75" customHeight="1" thickBot="1" x14ac:dyDescent="0.3">
      <c r="D58" s="195" t="s">
        <v>104</v>
      </c>
      <c r="E58" s="196"/>
      <c r="F58" s="197"/>
    </row>
    <row r="60" spans="4:7" ht="31.5" x14ac:dyDescent="0.25">
      <c r="D60" s="99" t="s">
        <v>51</v>
      </c>
      <c r="E60" s="100" t="s">
        <v>105</v>
      </c>
      <c r="F60" s="100" t="s">
        <v>59</v>
      </c>
      <c r="G60" s="101" t="s">
        <v>54</v>
      </c>
    </row>
    <row r="61" spans="4:7" ht="173.25" x14ac:dyDescent="0.25">
      <c r="D61" s="147" t="s">
        <v>136</v>
      </c>
      <c r="E61" s="115" t="s">
        <v>106</v>
      </c>
      <c r="F61" s="102">
        <v>150</v>
      </c>
      <c r="G61" s="116" t="s">
        <v>107</v>
      </c>
    </row>
    <row r="62" spans="4:7" ht="189" x14ac:dyDescent="0.25">
      <c r="D62" s="147" t="s">
        <v>137</v>
      </c>
      <c r="E62" s="115" t="s">
        <v>106</v>
      </c>
      <c r="F62" s="102">
        <v>150</v>
      </c>
      <c r="G62" s="116" t="s">
        <v>108</v>
      </c>
    </row>
    <row r="68" spans="2:9" ht="18" x14ac:dyDescent="0.25">
      <c r="B68" s="198" t="s">
        <v>109</v>
      </c>
      <c r="C68" s="199"/>
      <c r="D68" s="199"/>
      <c r="E68" s="199"/>
      <c r="F68" s="199"/>
      <c r="G68" s="199"/>
      <c r="H68" s="199"/>
      <c r="I68" s="199"/>
    </row>
    <row r="70" spans="2:9" ht="60" x14ac:dyDescent="0.25">
      <c r="D70" s="105" t="s">
        <v>110</v>
      </c>
      <c r="E70" s="105" t="s">
        <v>111</v>
      </c>
    </row>
    <row r="71" spans="2:9" x14ac:dyDescent="0.25">
      <c r="D71" s="106" t="s">
        <v>112</v>
      </c>
      <c r="E71" s="106">
        <v>1</v>
      </c>
    </row>
    <row r="72" spans="2:9" x14ac:dyDescent="0.25">
      <c r="D72" s="106" t="s">
        <v>113</v>
      </c>
      <c r="E72" s="106">
        <v>2</v>
      </c>
    </row>
    <row r="73" spans="2:9" x14ac:dyDescent="0.25">
      <c r="D73" s="106" t="s">
        <v>114</v>
      </c>
      <c r="E73" s="106">
        <v>3</v>
      </c>
    </row>
    <row r="74" spans="2:9" x14ac:dyDescent="0.25">
      <c r="D74" s="106" t="s">
        <v>115</v>
      </c>
      <c r="E74" s="106">
        <v>4</v>
      </c>
    </row>
    <row r="75" spans="2:9" x14ac:dyDescent="0.25">
      <c r="D75" s="106" t="s">
        <v>116</v>
      </c>
      <c r="E75" s="106">
        <v>5</v>
      </c>
    </row>
    <row r="78" spans="2:9" ht="31.5" x14ac:dyDescent="0.25">
      <c r="D78" s="99" t="s">
        <v>51</v>
      </c>
      <c r="E78" s="99" t="s">
        <v>117</v>
      </c>
      <c r="F78" s="101" t="s">
        <v>54</v>
      </c>
    </row>
    <row r="79" spans="2:9" ht="173.25" x14ac:dyDescent="0.25">
      <c r="D79" s="147" t="s">
        <v>136</v>
      </c>
      <c r="E79" s="117">
        <v>10</v>
      </c>
      <c r="F79" s="118" t="s">
        <v>118</v>
      </c>
    </row>
    <row r="80" spans="2:9" ht="145.5" customHeight="1" x14ac:dyDescent="0.25">
      <c r="D80" s="147" t="s">
        <v>137</v>
      </c>
      <c r="E80" s="119">
        <v>10</v>
      </c>
      <c r="F80" s="118" t="s">
        <v>119</v>
      </c>
    </row>
  </sheetData>
  <sheetProtection algorithmName="SHA-512" hashValue="8I+LYlEksPIw46rP9zROFgRUO7aHeYPu+qzffe2heIcfjiAA3xRIfaXSq2AAFfstf3Is9hKzULgfOcGAEh/Yzg==" saltValue="L2isGa1hI1oRUIvjGxLmWQ==" spinCount="100000" sheet="1" formatCells="0" formatColumns="0" formatRows="0" insertColumns="0" insertRows="0" insertHyperlinks="0" deleteColumns="0" deleteRows="0" sort="0" autoFilter="0" pivotTables="0"/>
  <mergeCells count="16">
    <mergeCell ref="D49:E49"/>
    <mergeCell ref="B3:I3"/>
    <mergeCell ref="B24:I24"/>
    <mergeCell ref="B42:I42"/>
    <mergeCell ref="D44:F44"/>
    <mergeCell ref="D48:E48"/>
    <mergeCell ref="D56:F56"/>
    <mergeCell ref="D57:F57"/>
    <mergeCell ref="D58:F58"/>
    <mergeCell ref="B68:I68"/>
    <mergeCell ref="D50:E50"/>
    <mergeCell ref="D51:E51"/>
    <mergeCell ref="D52:E52"/>
    <mergeCell ref="D53:E53"/>
    <mergeCell ref="D54:E54"/>
    <mergeCell ref="D55:E5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49201-4B77-4952-9835-578CEE8732B5}">
  <sheetPr>
    <tabColor rgb="FFFF0000"/>
  </sheetPr>
  <dimension ref="A1:X7"/>
  <sheetViews>
    <sheetView topLeftCell="H1" workbookViewId="0"/>
  </sheetViews>
  <sheetFormatPr baseColWidth="10" defaultColWidth="9" defaultRowHeight="15.75" x14ac:dyDescent="0.25"/>
  <cols>
    <col min="1" max="1" width="16.125" bestFit="1" customWidth="1"/>
    <col min="2" max="23" width="14.125" customWidth="1"/>
  </cols>
  <sheetData>
    <row r="1" spans="1:24" ht="16.5" thickBot="1" x14ac:dyDescent="0.3"/>
    <row r="2" spans="1:24" ht="17.25" thickBot="1" x14ac:dyDescent="0.35">
      <c r="B2" s="209" t="s">
        <v>120</v>
      </c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1"/>
      <c r="S2" s="212" t="s">
        <v>121</v>
      </c>
      <c r="T2" s="215" t="s">
        <v>122</v>
      </c>
      <c r="U2" s="218" t="s">
        <v>123</v>
      </c>
      <c r="V2" s="221" t="s">
        <v>124</v>
      </c>
      <c r="W2" s="224" t="s">
        <v>39</v>
      </c>
    </row>
    <row r="3" spans="1:24" ht="16.5" x14ac:dyDescent="0.3">
      <c r="B3" s="227" t="s">
        <v>125</v>
      </c>
      <c r="C3" s="228" t="s">
        <v>126</v>
      </c>
      <c r="D3" s="229"/>
      <c r="E3" s="229"/>
      <c r="F3" s="229"/>
      <c r="G3" s="230"/>
      <c r="H3" s="228" t="s">
        <v>127</v>
      </c>
      <c r="I3" s="229"/>
      <c r="J3" s="229"/>
      <c r="K3" s="229"/>
      <c r="L3" s="229"/>
      <c r="M3" s="230"/>
      <c r="N3" s="228" t="s">
        <v>128</v>
      </c>
      <c r="O3" s="229"/>
      <c r="P3" s="229"/>
      <c r="Q3" s="229"/>
      <c r="R3" s="230"/>
      <c r="S3" s="213"/>
      <c r="T3" s="216"/>
      <c r="U3" s="219"/>
      <c r="V3" s="222"/>
      <c r="W3" s="225"/>
    </row>
    <row r="4" spans="1:24" s="120" customFormat="1" ht="60" x14ac:dyDescent="0.3">
      <c r="B4" s="227"/>
      <c r="C4" s="121" t="s">
        <v>44</v>
      </c>
      <c r="D4" s="122" t="s">
        <v>129</v>
      </c>
      <c r="E4" s="122" t="s">
        <v>27</v>
      </c>
      <c r="F4" s="123" t="s">
        <v>130</v>
      </c>
      <c r="G4" s="124" t="s">
        <v>29</v>
      </c>
      <c r="H4" s="121" t="s">
        <v>44</v>
      </c>
      <c r="I4" s="122" t="s">
        <v>129</v>
      </c>
      <c r="J4" s="122" t="s">
        <v>27</v>
      </c>
      <c r="K4" s="123" t="s">
        <v>28</v>
      </c>
      <c r="L4" s="122" t="s">
        <v>29</v>
      </c>
      <c r="M4" s="124" t="s">
        <v>38</v>
      </c>
      <c r="N4" s="121" t="s">
        <v>131</v>
      </c>
      <c r="O4" s="122" t="s">
        <v>27</v>
      </c>
      <c r="P4" s="123" t="s">
        <v>132</v>
      </c>
      <c r="Q4" s="122" t="s">
        <v>46</v>
      </c>
      <c r="R4" s="124" t="s">
        <v>29</v>
      </c>
      <c r="S4" s="214"/>
      <c r="T4" s="217"/>
      <c r="U4" s="220"/>
      <c r="V4" s="223"/>
      <c r="W4" s="226"/>
    </row>
    <row r="5" spans="1:24" s="52" customFormat="1" x14ac:dyDescent="0.25">
      <c r="A5" s="125" t="s">
        <v>133</v>
      </c>
      <c r="B5" s="126">
        <v>400</v>
      </c>
      <c r="C5" s="127">
        <v>33.409999999999997</v>
      </c>
      <c r="D5" s="128">
        <v>7.92</v>
      </c>
      <c r="E5" s="128">
        <v>4.6100000000000003</v>
      </c>
      <c r="F5" s="128">
        <v>0.84</v>
      </c>
      <c r="G5" s="129">
        <v>3.22</v>
      </c>
      <c r="H5" s="127">
        <v>13.63</v>
      </c>
      <c r="I5" s="128">
        <v>2.74</v>
      </c>
      <c r="J5" s="128">
        <v>11.99</v>
      </c>
      <c r="K5" s="128">
        <v>14.59</v>
      </c>
      <c r="L5" s="128">
        <v>1.43</v>
      </c>
      <c r="M5" s="129">
        <v>5.62</v>
      </c>
      <c r="N5" s="127">
        <v>74.7</v>
      </c>
      <c r="O5" s="128">
        <v>1.42</v>
      </c>
      <c r="P5" s="128">
        <v>4.08</v>
      </c>
      <c r="Q5" s="128">
        <v>18.71</v>
      </c>
      <c r="R5" s="129">
        <v>1.0900000000000001</v>
      </c>
      <c r="S5" s="130">
        <v>140</v>
      </c>
      <c r="T5" s="130">
        <v>100</v>
      </c>
      <c r="U5" s="130">
        <v>150</v>
      </c>
      <c r="V5" s="131">
        <v>10</v>
      </c>
      <c r="W5" s="144">
        <f>SUM(B5:V5)</f>
        <v>1000.0000000000001</v>
      </c>
    </row>
    <row r="6" spans="1:24" ht="30" x14ac:dyDescent="0.3">
      <c r="A6" s="132" t="s">
        <v>134</v>
      </c>
      <c r="B6" s="133">
        <f>'PuntajePrecio por Ventas Brutas'!E9</f>
        <v>377.22</v>
      </c>
      <c r="C6" s="134">
        <f>'Puntaje Precio por tipología'!D24</f>
        <v>28.54</v>
      </c>
      <c r="D6" s="135">
        <f>'Puntaje Precio por tipología'!D34</f>
        <v>6.29</v>
      </c>
      <c r="E6" s="135">
        <f>'Puntaje Precio por tipología'!D45</f>
        <v>4.58</v>
      </c>
      <c r="F6" s="135">
        <f>'Puntaje Precio por tipología'!D56</f>
        <v>0.73</v>
      </c>
      <c r="G6" s="136">
        <f>'Puntaje Precio por tipología'!D68</f>
        <v>2.54</v>
      </c>
      <c r="H6" s="134">
        <f>'Puntaje Precio por Mantenimient'!D24</f>
        <v>10.62</v>
      </c>
      <c r="I6" s="135">
        <f>'Puntaje Precio por Mantenimient'!D36</f>
        <v>2.0299999999999998</v>
      </c>
      <c r="J6" s="135">
        <f>'Puntaje Precio por Mantenimient'!D47</f>
        <v>10.6</v>
      </c>
      <c r="K6" s="135">
        <f>'Puntaje Precio por Mantenimient'!D57</f>
        <v>12.45</v>
      </c>
      <c r="L6" s="135">
        <f>'Puntaje Precio por Mantenimient'!D68</f>
        <v>1.05</v>
      </c>
      <c r="M6" s="136">
        <f>'Puntaje Precio por Mantenimient'!D79</f>
        <v>5.15</v>
      </c>
      <c r="N6" s="134">
        <f>'Puntaje Precio por Traslados'!D23</f>
        <v>51.4</v>
      </c>
      <c r="O6" s="135">
        <f>'Puntaje Precio por Traslados'!D35</f>
        <v>1.05</v>
      </c>
      <c r="P6" s="135">
        <f>'Puntaje Precio por Traslados'!D46</f>
        <v>2.75</v>
      </c>
      <c r="Q6" s="135">
        <f>'Puntaje Precio por Traslados'!D56</f>
        <v>12.7</v>
      </c>
      <c r="R6" s="136">
        <f>'Puntaje Precio por Traslados'!D71</f>
        <v>0.76</v>
      </c>
      <c r="S6" s="131">
        <f>'Puntaje adicionales'!F16</f>
        <v>140</v>
      </c>
      <c r="T6" s="131">
        <f>'Puntaje adicionales'!F36</f>
        <v>100</v>
      </c>
      <c r="U6" s="131">
        <f>'Puntaje adicionales'!F61</f>
        <v>150</v>
      </c>
      <c r="V6" s="131">
        <f>'Puntaje adicionales'!E79</f>
        <v>10</v>
      </c>
      <c r="W6" s="145">
        <f>SUM(B6:V6)</f>
        <v>930.46</v>
      </c>
      <c r="X6" s="137"/>
    </row>
    <row r="7" spans="1:24" ht="30.75" thickBot="1" x14ac:dyDescent="0.35">
      <c r="A7" s="138" t="s">
        <v>135</v>
      </c>
      <c r="B7" s="139">
        <f>'PuntajePrecio por Ventas Brutas'!E10</f>
        <v>331.67</v>
      </c>
      <c r="C7" s="140">
        <f>'Puntaje Precio por tipología'!D25</f>
        <v>18.809999999999999</v>
      </c>
      <c r="D7" s="141">
        <f>'Puntaje Precio por tipología'!D35</f>
        <v>3.03</v>
      </c>
      <c r="E7" s="141">
        <f>'Puntaje Precio por tipología'!D46</f>
        <v>4.5199999999999996</v>
      </c>
      <c r="F7" s="141">
        <f>'Puntaje Precio por tipología'!D57</f>
        <v>0.5</v>
      </c>
      <c r="G7" s="142">
        <f>'Puntaje Precio por tipología'!D69</f>
        <v>1.17</v>
      </c>
      <c r="H7" s="140">
        <f>'Puntaje Precio por Mantenimient'!D25</f>
        <v>4.59</v>
      </c>
      <c r="I7" s="141">
        <f>'Puntaje Precio por Mantenimient'!D37</f>
        <v>0.61</v>
      </c>
      <c r="J7" s="141">
        <f>'Puntaje Precio por Mantenimient'!D48</f>
        <v>7.82</v>
      </c>
      <c r="K7" s="141">
        <f>'Puntaje Precio por Mantenimient'!D58</f>
        <v>13.88</v>
      </c>
      <c r="L7" s="141">
        <f>'Puntaje Precio por Mantenimient'!D69</f>
        <v>0.3</v>
      </c>
      <c r="M7" s="142">
        <f>'Puntaje Precio por Mantenimient'!D80</f>
        <v>5.46</v>
      </c>
      <c r="N7" s="140">
        <f>'Puntaje Precio por Traslados'!D24</f>
        <v>4.79</v>
      </c>
      <c r="O7" s="141">
        <f>'Puntaje Precio por Traslados'!D36</f>
        <v>0.3</v>
      </c>
      <c r="P7" s="141">
        <f>'Puntaje Precio por Traslados'!D47</f>
        <v>0.08</v>
      </c>
      <c r="Q7" s="141">
        <f>'Puntaje Precio por Traslados'!D57</f>
        <v>0.67</v>
      </c>
      <c r="R7" s="142">
        <f>'Puntaje Precio por Traslados'!D72</f>
        <v>0.1</v>
      </c>
      <c r="S7" s="143">
        <f>'Puntaje adicionales'!F17</f>
        <v>140</v>
      </c>
      <c r="T7" s="143">
        <f>'Puntaje adicionales'!F37</f>
        <v>100</v>
      </c>
      <c r="U7" s="143">
        <f>'Puntaje adicionales'!F62</f>
        <v>150</v>
      </c>
      <c r="V7" s="143">
        <f>'Puntaje adicionales'!E80</f>
        <v>10</v>
      </c>
      <c r="W7" s="146">
        <f>SUM(B7:V7)</f>
        <v>798.3</v>
      </c>
    </row>
  </sheetData>
  <sheetProtection algorithmName="SHA-512" hashValue="Up62qh1T4nIptzcLqaG4J8pwy68JdYt4CFqHdWmW3QZQ87bzr0RAJx9DrpsVA5szTkNlM6fsyZHzTVQNchIqyQ==" saltValue="ywEzbKbY2h9PX/JpulYMew==" spinCount="100000" sheet="1" formatCells="0" formatColumns="0" formatRows="0" insertColumns="0" insertRows="0" insertHyperlinks="0" deleteColumns="0" deleteRows="0" sort="0" autoFilter="0" pivotTables="0"/>
  <mergeCells count="10">
    <mergeCell ref="W2:W4"/>
    <mergeCell ref="B3:B4"/>
    <mergeCell ref="C3:G3"/>
    <mergeCell ref="H3:M3"/>
    <mergeCell ref="N3:R3"/>
    <mergeCell ref="B2:R2"/>
    <mergeCell ref="S2:S4"/>
    <mergeCell ref="T2:T4"/>
    <mergeCell ref="U2:U4"/>
    <mergeCell ref="V2:V4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CCA828B396B23419F9079B135720D81" ma:contentTypeVersion="13" ma:contentTypeDescription="Crear nuevo documento." ma:contentTypeScope="" ma:versionID="8884f270e050a780942ac4789f9195b1">
  <xsd:schema xmlns:xsd="http://www.w3.org/2001/XMLSchema" xmlns:xs="http://www.w3.org/2001/XMLSchema" xmlns:p="http://schemas.microsoft.com/office/2006/metadata/properties" xmlns:ns3="a01b42c6-b6c5-4632-980d-392ae6a6478c" xmlns:ns4="92d6106b-b3db-43de-9d05-4322905f5535" targetNamespace="http://schemas.microsoft.com/office/2006/metadata/properties" ma:root="true" ma:fieldsID="edb62cd8425e08441a28b35457d8b9bd" ns3:_="" ns4:_="">
    <xsd:import namespace="a01b42c6-b6c5-4632-980d-392ae6a6478c"/>
    <xsd:import namespace="92d6106b-b3db-43de-9d05-4322905f553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1b42c6-b6c5-4632-980d-392ae6a6478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6106b-b3db-43de-9d05-4322905f55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0244A6-089D-49A8-B758-D2CA7FAF78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1b42c6-b6c5-4632-980d-392ae6a6478c"/>
    <ds:schemaRef ds:uri="92d6106b-b3db-43de-9d05-4322905f55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8B33F3-4338-4808-99F4-1E2A87FEDEA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9B4CF8C-5F71-48EC-A92C-4ADA1328C1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Puntaje definitivo</vt:lpstr>
      <vt:lpstr>TRM</vt:lpstr>
      <vt:lpstr>PuntajePrecio por Ventas Brutas</vt:lpstr>
      <vt:lpstr>Puntaje Precio por tipología</vt:lpstr>
      <vt:lpstr>Calculos precios por tipologia</vt:lpstr>
      <vt:lpstr>Puntaje Precio por Mantenimient</vt:lpstr>
      <vt:lpstr>Puntaje Precio por Traslados</vt:lpstr>
      <vt:lpstr>Puntaje adicionales</vt:lpstr>
      <vt:lpstr>Puntaje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2019-12-16T20:06:13Z</dcterms:created>
  <dcterms:modified xsi:type="dcterms:W3CDTF">2019-12-17T21:25:32Z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0x0101008CCA828B396B23419F9079B135720D81</vt:lpwstr>
  </property>
</Properties>
</file>