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EsteLibro"/>
  <mc:AlternateContent xmlns:mc="http://schemas.openxmlformats.org/markup-compatibility/2006">
    <mc:Choice Requires="x15">
      <x15ac:absPath xmlns:x15ac="http://schemas.microsoft.com/office/spreadsheetml/2010/11/ac" url="https://invias-my.sharepoint.com/personal/jgarizao_invias_gov_co/Documents/01. Procesos/2024/PROCESOS DE SELECCION DT-MAG 2024/SA-MC-DT-MAG-001-2024/4. EVALUACION/Informe final/"/>
    </mc:Choice>
  </mc:AlternateContent>
  <xr:revisionPtr revIDLastSave="0" documentId="8_{EA4A1DDA-623E-4237-B9EA-6C413114CFBD}" xr6:coauthVersionLast="47" xr6:coauthVersionMax="47" xr10:uidLastSave="{00000000-0000-0000-0000-000000000000}"/>
  <bookViews>
    <workbookView xWindow="-120" yWindow="-120" windowWidth="29040" windowHeight="15720" tabRatio="909" firstSheet="1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OPCIONAL" sheetId="23" r:id="rId11"/>
    <sheet name="PO" sheetId="7" state="hidden" r:id="rId12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Financiera'!$B$1:$AB$12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" i="5" l="1"/>
  <c r="P26" i="5"/>
  <c r="P14" i="5" l="1"/>
  <c r="P19" i="5"/>
  <c r="Q19" i="5" s="1"/>
  <c r="B24" i="17"/>
  <c r="B30" i="5"/>
  <c r="B29" i="5"/>
  <c r="B28" i="5"/>
  <c r="B27" i="5"/>
  <c r="B26" i="5"/>
  <c r="B25" i="5"/>
  <c r="B24" i="5"/>
  <c r="B23" i="5"/>
  <c r="B33" i="18"/>
  <c r="B32" i="18"/>
  <c r="G31" i="18"/>
  <c r="E31" i="18"/>
  <c r="D31" i="18"/>
  <c r="B31" i="18"/>
  <c r="C31" i="18" s="1"/>
  <c r="B30" i="18"/>
  <c r="B29" i="18"/>
  <c r="G28" i="18"/>
  <c r="E28" i="18"/>
  <c r="D28" i="18"/>
  <c r="B28" i="18"/>
  <c r="C28" i="18" s="1"/>
  <c r="F28" i="18" s="1"/>
  <c r="B27" i="18"/>
  <c r="B26" i="18"/>
  <c r="G25" i="18"/>
  <c r="E25" i="18"/>
  <c r="D25" i="18"/>
  <c r="B25" i="18"/>
  <c r="C25" i="18" s="1"/>
  <c r="F25" i="18" s="1"/>
  <c r="B33" i="16"/>
  <c r="C33" i="16" s="1"/>
  <c r="E33" i="16" s="1"/>
  <c r="B32" i="16"/>
  <c r="C32" i="16" s="1"/>
  <c r="E32" i="16" s="1"/>
  <c r="C31" i="16"/>
  <c r="E31" i="16" s="1"/>
  <c r="B31" i="16"/>
  <c r="B30" i="16"/>
  <c r="C30" i="16" s="1"/>
  <c r="E30" i="16" s="1"/>
  <c r="B29" i="16"/>
  <c r="C29" i="16" s="1"/>
  <c r="E29" i="16" s="1"/>
  <c r="B28" i="16"/>
  <c r="C28" i="16" s="1"/>
  <c r="E28" i="16" s="1"/>
  <c r="C27" i="16"/>
  <c r="E27" i="16" s="1"/>
  <c r="B27" i="16"/>
  <c r="B26" i="16"/>
  <c r="C26" i="16" s="1"/>
  <c r="E26" i="16" s="1"/>
  <c r="B25" i="16"/>
  <c r="C25" i="16" s="1"/>
  <c r="E25" i="16" s="1"/>
  <c r="B24" i="16"/>
  <c r="C24" i="16" s="1"/>
  <c r="E24" i="16" s="1"/>
  <c r="B23" i="16"/>
  <c r="C23" i="16" s="1"/>
  <c r="E23" i="16" s="1"/>
  <c r="B22" i="16"/>
  <c r="C22" i="16" s="1"/>
  <c r="E22" i="16" s="1"/>
  <c r="F30" i="17"/>
  <c r="F29" i="17"/>
  <c r="F27" i="17"/>
  <c r="F26" i="17"/>
  <c r="G24" i="17"/>
  <c r="F24" i="17"/>
  <c r="F31" i="18" l="1"/>
  <c r="C33" i="18"/>
  <c r="C32" i="18"/>
  <c r="D32" i="18" s="1"/>
  <c r="C30" i="18"/>
  <c r="D30" i="18" s="1"/>
  <c r="C29" i="18"/>
  <c r="C27" i="18"/>
  <c r="D27" i="18" s="1"/>
  <c r="C26" i="18"/>
  <c r="D26" i="18" s="1"/>
  <c r="G14" i="17"/>
  <c r="F22" i="17"/>
  <c r="F21" i="17"/>
  <c r="F19" i="17"/>
  <c r="G19" i="17" s="1"/>
  <c r="F17" i="17"/>
  <c r="F16" i="17"/>
  <c r="F14" i="17"/>
  <c r="B30" i="17"/>
  <c r="D30" i="17" s="1"/>
  <c r="G30" i="17" s="1"/>
  <c r="B29" i="17"/>
  <c r="C29" i="17" s="1"/>
  <c r="B28" i="17"/>
  <c r="C28" i="17" s="1"/>
  <c r="B27" i="17"/>
  <c r="D27" i="17" s="1"/>
  <c r="G27" i="17" s="1"/>
  <c r="B26" i="17"/>
  <c r="D26" i="17" s="1"/>
  <c r="G26" i="17" s="1"/>
  <c r="B25" i="17"/>
  <c r="D25" i="17" s="1"/>
  <c r="B23" i="17"/>
  <c r="D23" i="17" s="1"/>
  <c r="B22" i="17"/>
  <c r="C22" i="17" s="1"/>
  <c r="D24" i="17"/>
  <c r="B21" i="17"/>
  <c r="C21" i="17" s="1"/>
  <c r="B20" i="17"/>
  <c r="C20" i="17" s="1"/>
  <c r="C31" i="19"/>
  <c r="B31" i="19"/>
  <c r="B30" i="19"/>
  <c r="C30" i="19" s="1"/>
  <c r="B29" i="19"/>
  <c r="C29" i="19" s="1"/>
  <c r="B28" i="19"/>
  <c r="C28" i="19" s="1"/>
  <c r="B27" i="19"/>
  <c r="C27" i="19"/>
  <c r="B26" i="19"/>
  <c r="C26" i="19"/>
  <c r="D25" i="19"/>
  <c r="C25" i="19"/>
  <c r="B25" i="19"/>
  <c r="B24" i="19"/>
  <c r="C23" i="19"/>
  <c r="B23" i="19"/>
  <c r="B22" i="19"/>
  <c r="B21" i="19"/>
  <c r="C21" i="19"/>
  <c r="C22" i="19"/>
  <c r="C24" i="19"/>
  <c r="B33" i="20"/>
  <c r="C33" i="20" s="1"/>
  <c r="B32" i="20"/>
  <c r="C32" i="20" s="1"/>
  <c r="B31" i="20"/>
  <c r="C31" i="20" s="1"/>
  <c r="B30" i="20"/>
  <c r="C30" i="20" s="1"/>
  <c r="B29" i="20"/>
  <c r="C29" i="20" s="1"/>
  <c r="B28" i="20"/>
  <c r="C28" i="20" s="1"/>
  <c r="B27" i="20"/>
  <c r="C27" i="20" s="1"/>
  <c r="B26" i="20"/>
  <c r="C26" i="20" s="1"/>
  <c r="B25" i="20"/>
  <c r="C25" i="20" s="1"/>
  <c r="B24" i="18"/>
  <c r="B23" i="18"/>
  <c r="E22" i="18"/>
  <c r="D22" i="18"/>
  <c r="B22" i="18"/>
  <c r="C22" i="18" s="1"/>
  <c r="L22" i="5"/>
  <c r="M22" i="5" s="1"/>
  <c r="E22" i="5"/>
  <c r="H22" i="5" s="1"/>
  <c r="B22" i="5"/>
  <c r="D22" i="5" s="1"/>
  <c r="L21" i="5"/>
  <c r="M21" i="5" s="1"/>
  <c r="E21" i="5"/>
  <c r="G21" i="5" s="1"/>
  <c r="C21" i="5"/>
  <c r="B21" i="5"/>
  <c r="N20" i="5"/>
  <c r="O20" i="5" s="1"/>
  <c r="E20" i="5"/>
  <c r="H20" i="5" s="1"/>
  <c r="B20" i="5"/>
  <c r="D20" i="5" s="1"/>
  <c r="B24" i="20"/>
  <c r="C24" i="20" s="1"/>
  <c r="B23" i="20"/>
  <c r="C23" i="20" s="1"/>
  <c r="B22" i="20"/>
  <c r="C22" i="20" s="1"/>
  <c r="L19" i="5"/>
  <c r="M19" i="5" s="1"/>
  <c r="N18" i="5"/>
  <c r="O18" i="5" s="1"/>
  <c r="E19" i="5"/>
  <c r="F19" i="5" s="1"/>
  <c r="E18" i="5"/>
  <c r="F18" i="5" s="1"/>
  <c r="B19" i="5"/>
  <c r="C19" i="5" s="1"/>
  <c r="B18" i="5"/>
  <c r="C18" i="5" s="1"/>
  <c r="B21" i="20"/>
  <c r="C21" i="20" s="1"/>
  <c r="B20" i="20"/>
  <c r="C20" i="20" s="1"/>
  <c r="B19" i="20"/>
  <c r="C19" i="20" s="1"/>
  <c r="B20" i="19"/>
  <c r="C20" i="19" s="1"/>
  <c r="B19" i="19"/>
  <c r="C19" i="19" s="1"/>
  <c r="B21" i="18"/>
  <c r="C21" i="18" s="1"/>
  <c r="B20" i="18"/>
  <c r="C20" i="18" s="1"/>
  <c r="B19" i="18"/>
  <c r="C19" i="18" s="1"/>
  <c r="B21" i="16"/>
  <c r="C21" i="16" s="1"/>
  <c r="B20" i="16"/>
  <c r="C20" i="16" s="1"/>
  <c r="B19" i="16"/>
  <c r="C19" i="16" s="1"/>
  <c r="B19" i="17"/>
  <c r="C19" i="17" s="1"/>
  <c r="B18" i="17"/>
  <c r="C18" i="17" s="1"/>
  <c r="L17" i="5"/>
  <c r="M17" i="5" s="1"/>
  <c r="L16" i="5"/>
  <c r="M16" i="5" s="1"/>
  <c r="N15" i="5"/>
  <c r="O15" i="5" s="1"/>
  <c r="E17" i="5"/>
  <c r="E16" i="5"/>
  <c r="E15" i="5"/>
  <c r="B17" i="5"/>
  <c r="C17" i="5" s="1"/>
  <c r="B16" i="5"/>
  <c r="C16" i="5" s="1"/>
  <c r="B15" i="5"/>
  <c r="C15" i="5" s="1"/>
  <c r="B18" i="20"/>
  <c r="C18" i="20" s="1"/>
  <c r="B17" i="20"/>
  <c r="C17" i="20" s="1"/>
  <c r="B16" i="20"/>
  <c r="C16" i="20" s="1"/>
  <c r="B18" i="19"/>
  <c r="C18" i="19" s="1"/>
  <c r="B17" i="19"/>
  <c r="C17" i="19" s="1"/>
  <c r="B16" i="19"/>
  <c r="C16" i="19" s="1"/>
  <c r="B18" i="18"/>
  <c r="C18" i="18" s="1"/>
  <c r="B17" i="18"/>
  <c r="C17" i="18" s="1"/>
  <c r="B16" i="18"/>
  <c r="C16" i="18" s="1"/>
  <c r="B18" i="16"/>
  <c r="C18" i="16" s="1"/>
  <c r="B17" i="16"/>
  <c r="C17" i="16" s="1"/>
  <c r="B16" i="16"/>
  <c r="C16" i="16" s="1"/>
  <c r="B17" i="17"/>
  <c r="C17" i="17" s="1"/>
  <c r="B16" i="17"/>
  <c r="C16" i="17" s="1"/>
  <c r="B15" i="17"/>
  <c r="C15" i="17" s="1"/>
  <c r="B13" i="17"/>
  <c r="AD33" i="4"/>
  <c r="AA33" i="4"/>
  <c r="R33" i="4"/>
  <c r="Q33" i="4"/>
  <c r="AI33" i="4" s="1"/>
  <c r="P33" i="4"/>
  <c r="N33" i="4"/>
  <c r="J33" i="4"/>
  <c r="I33" i="4"/>
  <c r="B33" i="4"/>
  <c r="AE33" i="4" s="1"/>
  <c r="AD32" i="4"/>
  <c r="R32" i="4"/>
  <c r="Q32" i="4"/>
  <c r="P32" i="4"/>
  <c r="N32" i="4"/>
  <c r="J32" i="4"/>
  <c r="I32" i="4"/>
  <c r="B32" i="4"/>
  <c r="AE32" i="4" s="1"/>
  <c r="Q31" i="4"/>
  <c r="N31" i="4"/>
  <c r="L31" i="4"/>
  <c r="K31" i="4"/>
  <c r="Z31" i="4" s="1"/>
  <c r="H31" i="4"/>
  <c r="G31" i="4"/>
  <c r="F31" i="4"/>
  <c r="AD31" i="4" s="1"/>
  <c r="E31" i="4"/>
  <c r="D31" i="4"/>
  <c r="AD30" i="4"/>
  <c r="R30" i="4"/>
  <c r="Q30" i="4"/>
  <c r="AI30" i="4" s="1"/>
  <c r="P30" i="4"/>
  <c r="N30" i="4"/>
  <c r="J30" i="4"/>
  <c r="I30" i="4"/>
  <c r="B30" i="4"/>
  <c r="AD29" i="4"/>
  <c r="R29" i="4"/>
  <c r="Q29" i="4"/>
  <c r="P29" i="4"/>
  <c r="N29" i="4"/>
  <c r="J29" i="4"/>
  <c r="J28" i="4" s="1"/>
  <c r="I29" i="4"/>
  <c r="B29" i="4"/>
  <c r="AE29" i="4" s="1"/>
  <c r="Q28" i="4"/>
  <c r="N28" i="4"/>
  <c r="L28" i="4"/>
  <c r="K28" i="4"/>
  <c r="H28" i="4"/>
  <c r="G28" i="4"/>
  <c r="F28" i="4"/>
  <c r="AD28" i="4" s="1"/>
  <c r="E28" i="4"/>
  <c r="D28" i="4"/>
  <c r="AD27" i="4"/>
  <c r="AA27" i="4"/>
  <c r="V27" i="4"/>
  <c r="R27" i="4"/>
  <c r="Q27" i="4"/>
  <c r="AI27" i="4" s="1"/>
  <c r="P27" i="4"/>
  <c r="N27" i="4"/>
  <c r="J27" i="4"/>
  <c r="I27" i="4"/>
  <c r="B27" i="4"/>
  <c r="AE27" i="4" s="1"/>
  <c r="AD26" i="4"/>
  <c r="AA26" i="4"/>
  <c r="V26" i="4"/>
  <c r="R26" i="4"/>
  <c r="Q26" i="4"/>
  <c r="AG26" i="4" s="1"/>
  <c r="P26" i="4"/>
  <c r="N26" i="4"/>
  <c r="J26" i="4"/>
  <c r="I26" i="4"/>
  <c r="B26" i="4"/>
  <c r="Q25" i="4"/>
  <c r="N25" i="4"/>
  <c r="L25" i="4"/>
  <c r="K25" i="4"/>
  <c r="H25" i="4"/>
  <c r="G25" i="4"/>
  <c r="F25" i="4"/>
  <c r="AD25" i="4" s="1"/>
  <c r="E25" i="4"/>
  <c r="D25" i="4"/>
  <c r="AD24" i="4"/>
  <c r="AA24" i="4"/>
  <c r="V24" i="4"/>
  <c r="R24" i="4"/>
  <c r="Q24" i="4"/>
  <c r="AI24" i="4" s="1"/>
  <c r="P24" i="4"/>
  <c r="N24" i="4"/>
  <c r="J24" i="4"/>
  <c r="I24" i="4"/>
  <c r="B24" i="4"/>
  <c r="AE24" i="4" s="1"/>
  <c r="AD23" i="4"/>
  <c r="R23" i="4"/>
  <c r="Q23" i="4"/>
  <c r="P23" i="4"/>
  <c r="N23" i="4"/>
  <c r="J23" i="4"/>
  <c r="I23" i="4"/>
  <c r="B23" i="4"/>
  <c r="AE23" i="4" s="1"/>
  <c r="Q22" i="4"/>
  <c r="N22" i="4"/>
  <c r="L22" i="4"/>
  <c r="K22" i="4"/>
  <c r="H22" i="4"/>
  <c r="G22" i="4"/>
  <c r="F22" i="4"/>
  <c r="AD22" i="4" s="1"/>
  <c r="E22" i="4"/>
  <c r="D22" i="4"/>
  <c r="AD21" i="4"/>
  <c r="AA21" i="4"/>
  <c r="V21" i="4"/>
  <c r="R21" i="4"/>
  <c r="Q21" i="4"/>
  <c r="AI21" i="4" s="1"/>
  <c r="P21" i="4"/>
  <c r="N21" i="4"/>
  <c r="J21" i="4"/>
  <c r="I21" i="4"/>
  <c r="B21" i="4"/>
  <c r="AE21" i="4" s="1"/>
  <c r="AD20" i="4"/>
  <c r="R20" i="4"/>
  <c r="Q20" i="4"/>
  <c r="AI20" i="4" s="1"/>
  <c r="P20" i="4"/>
  <c r="N20" i="4"/>
  <c r="J20" i="4"/>
  <c r="I20" i="4"/>
  <c r="B20" i="4"/>
  <c r="AE20" i="4" s="1"/>
  <c r="Q19" i="4"/>
  <c r="N19" i="4"/>
  <c r="L19" i="4"/>
  <c r="K19" i="4"/>
  <c r="H19" i="4"/>
  <c r="G19" i="4"/>
  <c r="F19" i="4"/>
  <c r="AD19" i="4" s="1"/>
  <c r="E19" i="4"/>
  <c r="D19" i="4"/>
  <c r="AD18" i="4"/>
  <c r="AA18" i="4"/>
  <c r="V18" i="4"/>
  <c r="R18" i="4"/>
  <c r="Q18" i="4"/>
  <c r="AI18" i="4" s="1"/>
  <c r="P18" i="4"/>
  <c r="N18" i="4"/>
  <c r="J18" i="4"/>
  <c r="I18" i="4"/>
  <c r="B18" i="4"/>
  <c r="AD17" i="4"/>
  <c r="R17" i="4"/>
  <c r="Q17" i="4"/>
  <c r="P17" i="4"/>
  <c r="N17" i="4"/>
  <c r="J17" i="4"/>
  <c r="I17" i="4"/>
  <c r="B17" i="4"/>
  <c r="Q16" i="4"/>
  <c r="N16" i="4"/>
  <c r="L16" i="4"/>
  <c r="K16" i="4"/>
  <c r="H16" i="4"/>
  <c r="G16" i="4"/>
  <c r="F16" i="4"/>
  <c r="E16" i="4"/>
  <c r="D16" i="4"/>
  <c r="N13" i="4"/>
  <c r="L13" i="4"/>
  <c r="K13" i="4"/>
  <c r="H13" i="4"/>
  <c r="G13" i="4"/>
  <c r="F13" i="4"/>
  <c r="E13" i="4"/>
  <c r="D13" i="4"/>
  <c r="Y31" i="4"/>
  <c r="Y28" i="4" s="1"/>
  <c r="D2" i="6"/>
  <c r="L85" i="5"/>
  <c r="M85" i="5" s="1"/>
  <c r="E85" i="5"/>
  <c r="H85" i="5" s="1"/>
  <c r="I85" i="5" s="1"/>
  <c r="B85" i="5"/>
  <c r="L84" i="5"/>
  <c r="M84" i="5" s="1"/>
  <c r="E84" i="5"/>
  <c r="H84" i="5" s="1"/>
  <c r="I84" i="5" s="1"/>
  <c r="B84" i="5"/>
  <c r="L83" i="5"/>
  <c r="M83" i="5" s="1"/>
  <c r="E83" i="5"/>
  <c r="H83" i="5" s="1"/>
  <c r="I83" i="5" s="1"/>
  <c r="B83" i="5"/>
  <c r="L82" i="5"/>
  <c r="M82" i="5" s="1"/>
  <c r="E82" i="5"/>
  <c r="F82" i="5" s="1"/>
  <c r="B82" i="5"/>
  <c r="L81" i="5"/>
  <c r="M81" i="5" s="1"/>
  <c r="E81" i="5"/>
  <c r="F81" i="5" s="1"/>
  <c r="B81" i="5"/>
  <c r="L80" i="5"/>
  <c r="M80" i="5" s="1"/>
  <c r="E80" i="5"/>
  <c r="F80" i="5" s="1"/>
  <c r="B80" i="5"/>
  <c r="L79" i="5"/>
  <c r="M79" i="5" s="1"/>
  <c r="E79" i="5"/>
  <c r="H79" i="5" s="1"/>
  <c r="I79" i="5" s="1"/>
  <c r="B79" i="5"/>
  <c r="L78" i="5"/>
  <c r="M78" i="5" s="1"/>
  <c r="E78" i="5"/>
  <c r="F78" i="5" s="1"/>
  <c r="B78" i="5"/>
  <c r="L77" i="5"/>
  <c r="M77" i="5" s="1"/>
  <c r="E77" i="5"/>
  <c r="H77" i="5" s="1"/>
  <c r="I77" i="5" s="1"/>
  <c r="B77" i="5"/>
  <c r="N76" i="5"/>
  <c r="O76" i="5" s="1"/>
  <c r="E76" i="5"/>
  <c r="H76" i="5" s="1"/>
  <c r="L74" i="5"/>
  <c r="M74" i="5" s="1"/>
  <c r="E74" i="5"/>
  <c r="H74" i="5" s="1"/>
  <c r="I74" i="5" s="1"/>
  <c r="L73" i="5"/>
  <c r="M73" i="5" s="1"/>
  <c r="E73" i="5"/>
  <c r="G73" i="5" s="1"/>
  <c r="L72" i="5"/>
  <c r="M72" i="5" s="1"/>
  <c r="E72" i="5"/>
  <c r="H72" i="5" s="1"/>
  <c r="I72" i="5" s="1"/>
  <c r="L71" i="5"/>
  <c r="M71" i="5" s="1"/>
  <c r="E71" i="5"/>
  <c r="H71" i="5" s="1"/>
  <c r="I71" i="5" s="1"/>
  <c r="L70" i="5"/>
  <c r="M70" i="5" s="1"/>
  <c r="E70" i="5"/>
  <c r="H70" i="5" s="1"/>
  <c r="I70" i="5" s="1"/>
  <c r="L69" i="5"/>
  <c r="M69" i="5" s="1"/>
  <c r="E69" i="5"/>
  <c r="G69" i="5" s="1"/>
  <c r="L68" i="5"/>
  <c r="M68" i="5" s="1"/>
  <c r="E68" i="5"/>
  <c r="G68" i="5" s="1"/>
  <c r="L67" i="5"/>
  <c r="M67" i="5" s="1"/>
  <c r="E67" i="5"/>
  <c r="H67" i="5" s="1"/>
  <c r="I67" i="5" s="1"/>
  <c r="L66" i="5"/>
  <c r="M66" i="5" s="1"/>
  <c r="E66" i="5"/>
  <c r="H66" i="5" s="1"/>
  <c r="I66" i="5" s="1"/>
  <c r="N65" i="5"/>
  <c r="O65" i="5" s="1"/>
  <c r="E65" i="5"/>
  <c r="H65" i="5" s="1"/>
  <c r="L63" i="5"/>
  <c r="M63" i="5" s="1"/>
  <c r="E63" i="5"/>
  <c r="G63" i="5" s="1"/>
  <c r="L62" i="5"/>
  <c r="M62" i="5" s="1"/>
  <c r="E62" i="5"/>
  <c r="H62" i="5" s="1"/>
  <c r="I62" i="5" s="1"/>
  <c r="L61" i="5"/>
  <c r="M61" i="5" s="1"/>
  <c r="E61" i="5"/>
  <c r="H61" i="5" s="1"/>
  <c r="I61" i="5" s="1"/>
  <c r="L60" i="5"/>
  <c r="M60" i="5" s="1"/>
  <c r="E60" i="5"/>
  <c r="H60" i="5" s="1"/>
  <c r="I60" i="5" s="1"/>
  <c r="L59" i="5"/>
  <c r="M59" i="5" s="1"/>
  <c r="E59" i="5"/>
  <c r="F59" i="5" s="1"/>
  <c r="L58" i="5"/>
  <c r="M58" i="5" s="1"/>
  <c r="E58" i="5"/>
  <c r="F58" i="5" s="1"/>
  <c r="L57" i="5"/>
  <c r="M57" i="5" s="1"/>
  <c r="E57" i="5"/>
  <c r="G57" i="5" s="1"/>
  <c r="L56" i="5"/>
  <c r="M56" i="5" s="1"/>
  <c r="E56" i="5"/>
  <c r="H56" i="5" s="1"/>
  <c r="I56" i="5" s="1"/>
  <c r="L55" i="5"/>
  <c r="M55" i="5" s="1"/>
  <c r="E55" i="5"/>
  <c r="F55" i="5" s="1"/>
  <c r="B55" i="5"/>
  <c r="N54" i="5"/>
  <c r="O54" i="5" s="1"/>
  <c r="E54" i="5"/>
  <c r="F54" i="5" s="1"/>
  <c r="L52" i="5"/>
  <c r="M52" i="5" s="1"/>
  <c r="E52" i="5"/>
  <c r="H52" i="5" s="1"/>
  <c r="I52" i="5" s="1"/>
  <c r="L51" i="5"/>
  <c r="M51" i="5" s="1"/>
  <c r="E51" i="5"/>
  <c r="H51" i="5" s="1"/>
  <c r="I51" i="5" s="1"/>
  <c r="L50" i="5"/>
  <c r="M50" i="5" s="1"/>
  <c r="E50" i="5"/>
  <c r="G50" i="5" s="1"/>
  <c r="L49" i="5"/>
  <c r="M49" i="5" s="1"/>
  <c r="E49" i="5"/>
  <c r="H49" i="5" s="1"/>
  <c r="I49" i="5" s="1"/>
  <c r="L48" i="5"/>
  <c r="M48" i="5" s="1"/>
  <c r="E48" i="5"/>
  <c r="F48" i="5" s="1"/>
  <c r="L47" i="5"/>
  <c r="M47" i="5" s="1"/>
  <c r="E47" i="5"/>
  <c r="H47" i="5" s="1"/>
  <c r="I47" i="5" s="1"/>
  <c r="L46" i="5"/>
  <c r="M46" i="5" s="1"/>
  <c r="E46" i="5"/>
  <c r="G46" i="5" s="1"/>
  <c r="L45" i="5"/>
  <c r="M45" i="5" s="1"/>
  <c r="E45" i="5"/>
  <c r="H45" i="5" s="1"/>
  <c r="I45" i="5" s="1"/>
  <c r="L44" i="5"/>
  <c r="M44" i="5" s="1"/>
  <c r="E44" i="5"/>
  <c r="G44" i="5" s="1"/>
  <c r="N43" i="5"/>
  <c r="O43" i="5" s="1"/>
  <c r="E43" i="5"/>
  <c r="H43" i="5" s="1"/>
  <c r="L41" i="5"/>
  <c r="M41" i="5" s="1"/>
  <c r="E41" i="5"/>
  <c r="H41" i="5" s="1"/>
  <c r="I41" i="5" s="1"/>
  <c r="L40" i="5"/>
  <c r="M40" i="5" s="1"/>
  <c r="E40" i="5"/>
  <c r="H40" i="5" s="1"/>
  <c r="I40" i="5" s="1"/>
  <c r="L39" i="5"/>
  <c r="M39" i="5" s="1"/>
  <c r="E39" i="5"/>
  <c r="F39" i="5" s="1"/>
  <c r="L38" i="5"/>
  <c r="M38" i="5" s="1"/>
  <c r="E38" i="5"/>
  <c r="G38" i="5" s="1"/>
  <c r="L37" i="5"/>
  <c r="M37" i="5" s="1"/>
  <c r="E37" i="5"/>
  <c r="F37" i="5" s="1"/>
  <c r="L36" i="5"/>
  <c r="M36" i="5" s="1"/>
  <c r="E36" i="5"/>
  <c r="F36" i="5" s="1"/>
  <c r="L35" i="5"/>
  <c r="M35" i="5" s="1"/>
  <c r="E35" i="5"/>
  <c r="H35" i="5" s="1"/>
  <c r="I35" i="5" s="1"/>
  <c r="L34" i="5"/>
  <c r="M34" i="5" s="1"/>
  <c r="E34" i="5"/>
  <c r="F34" i="5" s="1"/>
  <c r="L33" i="5"/>
  <c r="M33" i="5" s="1"/>
  <c r="E33" i="5"/>
  <c r="G33" i="5" s="1"/>
  <c r="N32" i="5"/>
  <c r="O32" i="5" s="1"/>
  <c r="E32" i="5"/>
  <c r="F32" i="5" s="1"/>
  <c r="L30" i="5"/>
  <c r="M30" i="5" s="1"/>
  <c r="F30" i="5"/>
  <c r="L29" i="5"/>
  <c r="M29" i="5" s="1"/>
  <c r="H29" i="5"/>
  <c r="N28" i="5"/>
  <c r="O28" i="5" s="1"/>
  <c r="F28" i="5"/>
  <c r="L27" i="5"/>
  <c r="M27" i="5" s="1"/>
  <c r="G27" i="5"/>
  <c r="L26" i="5"/>
  <c r="M26" i="5" s="1"/>
  <c r="H26" i="5"/>
  <c r="N25" i="5"/>
  <c r="O25" i="5" s="1"/>
  <c r="F25" i="5"/>
  <c r="L24" i="5"/>
  <c r="M24" i="5" s="1"/>
  <c r="H24" i="5"/>
  <c r="N23" i="5"/>
  <c r="O23" i="5" s="1"/>
  <c r="H23" i="5"/>
  <c r="B50" i="5"/>
  <c r="F21" i="5" l="1"/>
  <c r="N21" i="5"/>
  <c r="D21" i="5"/>
  <c r="C22" i="5"/>
  <c r="C20" i="5"/>
  <c r="H21" i="5"/>
  <c r="I21" i="5" s="1"/>
  <c r="D33" i="18"/>
  <c r="E33" i="18"/>
  <c r="E32" i="18"/>
  <c r="D29" i="18"/>
  <c r="E30" i="18"/>
  <c r="E29" i="18"/>
  <c r="E27" i="18"/>
  <c r="F27" i="18" s="1"/>
  <c r="E26" i="18"/>
  <c r="D22" i="17"/>
  <c r="G22" i="17" s="1"/>
  <c r="D21" i="17"/>
  <c r="G21" i="17" s="1"/>
  <c r="C26" i="17"/>
  <c r="H26" i="17" s="1"/>
  <c r="K26" i="5" s="1"/>
  <c r="D28" i="17"/>
  <c r="H28" i="17" s="1"/>
  <c r="D29" i="17"/>
  <c r="G29" i="17" s="1"/>
  <c r="C30" i="17"/>
  <c r="H30" i="17" s="1"/>
  <c r="K30" i="5" s="1"/>
  <c r="D20" i="17"/>
  <c r="H20" i="17" s="1"/>
  <c r="C25" i="17"/>
  <c r="C27" i="17"/>
  <c r="H27" i="17" s="1"/>
  <c r="K27" i="5" s="1"/>
  <c r="C23" i="17"/>
  <c r="C24" i="17"/>
  <c r="V33" i="4"/>
  <c r="I31" i="4"/>
  <c r="R31" i="4" s="1"/>
  <c r="J31" i="4"/>
  <c r="W31" i="4"/>
  <c r="AA32" i="4"/>
  <c r="U31" i="4"/>
  <c r="V31" i="4" s="1"/>
  <c r="V30" i="4"/>
  <c r="AA30" i="4"/>
  <c r="U28" i="4"/>
  <c r="V28" i="4" s="1"/>
  <c r="AE30" i="4"/>
  <c r="V29" i="4"/>
  <c r="Z28" i="4"/>
  <c r="AA29" i="4" s="1"/>
  <c r="W28" i="4"/>
  <c r="X29" i="4" s="1"/>
  <c r="F22" i="18"/>
  <c r="AE26" i="4"/>
  <c r="G22" i="18"/>
  <c r="C24" i="18"/>
  <c r="E24" i="18" s="1"/>
  <c r="C23" i="18"/>
  <c r="P17" i="5"/>
  <c r="F22" i="5"/>
  <c r="I22" i="5" s="1"/>
  <c r="N22" i="5"/>
  <c r="G22" i="5"/>
  <c r="F20" i="5"/>
  <c r="P22" i="5"/>
  <c r="G20" i="5"/>
  <c r="P16" i="5"/>
  <c r="AE18" i="4"/>
  <c r="AE17" i="4"/>
  <c r="X32" i="4"/>
  <c r="X33" i="4"/>
  <c r="W22" i="4"/>
  <c r="X24" i="4" s="1"/>
  <c r="AG30" i="4"/>
  <c r="AJ30" i="4" s="1"/>
  <c r="AG24" i="4"/>
  <c r="AJ24" i="4" s="1"/>
  <c r="I28" i="4"/>
  <c r="R28" i="4" s="1"/>
  <c r="S28" i="4" s="1"/>
  <c r="S23" i="4"/>
  <c r="X31" i="4"/>
  <c r="AH31" i="4"/>
  <c r="AI32" i="4" s="1"/>
  <c r="AF31" i="4"/>
  <c r="AG32" i="4" s="1"/>
  <c r="I22" i="4"/>
  <c r="R22" i="4" s="1"/>
  <c r="S22" i="4" s="1"/>
  <c r="U25" i="4"/>
  <c r="V25" i="4" s="1"/>
  <c r="S32" i="4"/>
  <c r="AG33" i="4"/>
  <c r="AJ33" i="4" s="1"/>
  <c r="U19" i="4"/>
  <c r="J22" i="4"/>
  <c r="AF22" i="4" s="1"/>
  <c r="AG23" i="4" s="1"/>
  <c r="I25" i="4"/>
  <c r="R25" i="4" s="1"/>
  <c r="S25" i="4" s="1"/>
  <c r="S31" i="4"/>
  <c r="S33" i="4"/>
  <c r="W19" i="4"/>
  <c r="X20" i="4" s="1"/>
  <c r="J25" i="4"/>
  <c r="AF25" i="4" s="1"/>
  <c r="W25" i="4"/>
  <c r="AF28" i="4"/>
  <c r="AG29" i="4" s="1"/>
  <c r="I19" i="4"/>
  <c r="R19" i="4" s="1"/>
  <c r="S19" i="4" s="1"/>
  <c r="Y25" i="4"/>
  <c r="Y22" i="4" s="1"/>
  <c r="Y19" i="4" s="1"/>
  <c r="Y16" i="4" s="1"/>
  <c r="U13" i="4"/>
  <c r="U16" i="4"/>
  <c r="V16" i="4" s="1"/>
  <c r="J19" i="4"/>
  <c r="AF19" i="4" s="1"/>
  <c r="AH25" i="4"/>
  <c r="AH28" i="4"/>
  <c r="AI29" i="4" s="1"/>
  <c r="S30" i="4"/>
  <c r="AH22" i="4"/>
  <c r="AI23" i="4" s="1"/>
  <c r="Z22" i="4"/>
  <c r="AA23" i="4" s="1"/>
  <c r="Z25" i="4"/>
  <c r="S26" i="4"/>
  <c r="AI26" i="4"/>
  <c r="AJ26" i="4" s="1"/>
  <c r="AG27" i="4"/>
  <c r="AJ27" i="4" s="1"/>
  <c r="G43" i="5"/>
  <c r="S27" i="4"/>
  <c r="U22" i="4"/>
  <c r="V22" i="4" s="1"/>
  <c r="X21" i="4"/>
  <c r="H36" i="5"/>
  <c r="I36" i="5" s="1"/>
  <c r="W16" i="4"/>
  <c r="X17" i="4" s="1"/>
  <c r="AH13" i="4"/>
  <c r="Z16" i="4"/>
  <c r="AA17" i="4" s="1"/>
  <c r="S24" i="4"/>
  <c r="G56" i="5"/>
  <c r="H34" i="5"/>
  <c r="I34" i="5" s="1"/>
  <c r="G60" i="5"/>
  <c r="I16" i="4"/>
  <c r="R16" i="4" s="1"/>
  <c r="S16" i="4" s="1"/>
  <c r="AH19" i="4"/>
  <c r="G34" i="5"/>
  <c r="F26" i="5"/>
  <c r="I26" i="5" s="1"/>
  <c r="H80" i="5"/>
  <c r="I80" i="5" s="1"/>
  <c r="J16" i="4"/>
  <c r="AF16" i="4" s="1"/>
  <c r="AG17" i="4" s="1"/>
  <c r="AG20" i="4"/>
  <c r="AJ20" i="4" s="1"/>
  <c r="G26" i="5"/>
  <c r="Z19" i="4"/>
  <c r="AA20" i="4" s="1"/>
  <c r="AG21" i="4"/>
  <c r="AJ21" i="4" s="1"/>
  <c r="AD16" i="4"/>
  <c r="F43" i="5"/>
  <c r="S21" i="4"/>
  <c r="W13" i="4"/>
  <c r="H28" i="5"/>
  <c r="H54" i="5"/>
  <c r="I54" i="5" s="1"/>
  <c r="H63" i="5"/>
  <c r="I63" i="5" s="1"/>
  <c r="F76" i="5"/>
  <c r="H38" i="5"/>
  <c r="I38" i="5" s="1"/>
  <c r="H25" i="5"/>
  <c r="H81" i="5"/>
  <c r="I81" i="5" s="1"/>
  <c r="Z13" i="4"/>
  <c r="AH16" i="4"/>
  <c r="AI17" i="4" s="1"/>
  <c r="G58" i="5"/>
  <c r="G65" i="5"/>
  <c r="S17" i="4"/>
  <c r="AG18" i="4"/>
  <c r="AJ18" i="4" s="1"/>
  <c r="H58" i="5"/>
  <c r="I58" i="5" s="1"/>
  <c r="S18" i="4"/>
  <c r="G36" i="5"/>
  <c r="G54" i="5"/>
  <c r="F56" i="5"/>
  <c r="G80" i="5"/>
  <c r="H46" i="5"/>
  <c r="I46" i="5" s="1"/>
  <c r="F49" i="5"/>
  <c r="F51" i="5"/>
  <c r="H59" i="5"/>
  <c r="I59" i="5" s="1"/>
  <c r="F71" i="5"/>
  <c r="H73" i="5"/>
  <c r="I73" i="5" s="1"/>
  <c r="F24" i="5"/>
  <c r="G30" i="5"/>
  <c r="G32" i="5"/>
  <c r="G49" i="5"/>
  <c r="G71" i="5"/>
  <c r="F77" i="5"/>
  <c r="H82" i="5"/>
  <c r="I82" i="5" s="1"/>
  <c r="G24" i="5"/>
  <c r="H30" i="5"/>
  <c r="H32" i="5"/>
  <c r="I32" i="5" s="1"/>
  <c r="F66" i="5"/>
  <c r="F69" i="5"/>
  <c r="G77" i="5"/>
  <c r="F79" i="5"/>
  <c r="G25" i="5"/>
  <c r="G35" i="5"/>
  <c r="G47" i="5"/>
  <c r="G55" i="5"/>
  <c r="F60" i="5"/>
  <c r="H69" i="5"/>
  <c r="I69" i="5" s="1"/>
  <c r="G81" i="5"/>
  <c r="G82" i="5"/>
  <c r="H44" i="5"/>
  <c r="I44" i="5" s="1"/>
  <c r="M43" i="5"/>
  <c r="G48" i="5"/>
  <c r="G66" i="5"/>
  <c r="H68" i="5"/>
  <c r="I68" i="5" s="1"/>
  <c r="F70" i="5"/>
  <c r="G74" i="5"/>
  <c r="G78" i="5"/>
  <c r="G79" i="5"/>
  <c r="F84" i="5"/>
  <c r="G23" i="5"/>
  <c r="F27" i="5"/>
  <c r="F38" i="5"/>
  <c r="H48" i="5"/>
  <c r="I48" i="5" s="1"/>
  <c r="G70" i="5"/>
  <c r="H78" i="5"/>
  <c r="I78" i="5" s="1"/>
  <c r="F23" i="5"/>
  <c r="H27" i="5"/>
  <c r="H33" i="5"/>
  <c r="I33" i="5" s="1"/>
  <c r="F35" i="5"/>
  <c r="F45" i="5"/>
  <c r="F47" i="5"/>
  <c r="H55" i="5"/>
  <c r="I55" i="5" s="1"/>
  <c r="H57" i="5"/>
  <c r="I57" i="5" s="1"/>
  <c r="G59" i="5"/>
  <c r="F65" i="5"/>
  <c r="G37" i="5"/>
  <c r="F44" i="5"/>
  <c r="G76" i="5"/>
  <c r="I76" i="5" s="1"/>
  <c r="G28" i="5"/>
  <c r="H37" i="5"/>
  <c r="I37" i="5" s="1"/>
  <c r="B72" i="5"/>
  <c r="B74" i="5"/>
  <c r="B71" i="5"/>
  <c r="B70" i="5"/>
  <c r="B73" i="5"/>
  <c r="B67" i="5"/>
  <c r="B69" i="5"/>
  <c r="B66" i="5"/>
  <c r="B58" i="5"/>
  <c r="B60" i="5"/>
  <c r="B57" i="5"/>
  <c r="B62" i="5"/>
  <c r="B59" i="5"/>
  <c r="B63" i="5"/>
  <c r="B61" i="5"/>
  <c r="B46" i="5"/>
  <c r="B49" i="5"/>
  <c r="B44" i="5"/>
  <c r="B48" i="5"/>
  <c r="B51" i="5"/>
  <c r="B47" i="5"/>
  <c r="B52" i="5"/>
  <c r="B41" i="5"/>
  <c r="B36" i="5"/>
  <c r="B35" i="5"/>
  <c r="B33" i="5"/>
  <c r="B39" i="5"/>
  <c r="B34" i="5"/>
  <c r="B38" i="5"/>
  <c r="B37" i="5"/>
  <c r="B40" i="5"/>
  <c r="I65" i="5"/>
  <c r="I43" i="5"/>
  <c r="M76" i="5"/>
  <c r="F83" i="5"/>
  <c r="G83" i="5"/>
  <c r="G84" i="5"/>
  <c r="F85" i="5"/>
  <c r="G85" i="5"/>
  <c r="M65" i="5"/>
  <c r="F72" i="5"/>
  <c r="G72" i="5"/>
  <c r="F73" i="5"/>
  <c r="F74" i="5"/>
  <c r="G67" i="5"/>
  <c r="F68" i="5"/>
  <c r="F67" i="5"/>
  <c r="M54" i="5"/>
  <c r="F61" i="5"/>
  <c r="G61" i="5"/>
  <c r="F62" i="5"/>
  <c r="G62" i="5"/>
  <c r="F63" i="5"/>
  <c r="F57" i="5"/>
  <c r="F50" i="5"/>
  <c r="H50" i="5"/>
  <c r="I50" i="5" s="1"/>
  <c r="G51" i="5"/>
  <c r="F52" i="5"/>
  <c r="G52" i="5"/>
  <c r="G45" i="5"/>
  <c r="F46" i="5"/>
  <c r="M32" i="5"/>
  <c r="G39" i="5"/>
  <c r="F40" i="5"/>
  <c r="H39" i="5"/>
  <c r="I39" i="5" s="1"/>
  <c r="G40" i="5"/>
  <c r="F41" i="5"/>
  <c r="F33" i="5"/>
  <c r="G41" i="5"/>
  <c r="M28" i="5"/>
  <c r="F29" i="5"/>
  <c r="I29" i="5" s="1"/>
  <c r="G29" i="5"/>
  <c r="M25" i="5"/>
  <c r="M23" i="5"/>
  <c r="R15" i="4"/>
  <c r="R14" i="4"/>
  <c r="F28" i="17" l="1"/>
  <c r="V19" i="4"/>
  <c r="V20" i="4"/>
  <c r="S20" i="4"/>
  <c r="H22" i="17"/>
  <c r="K22" i="5" s="1"/>
  <c r="H29" i="17"/>
  <c r="K29" i="5" s="1"/>
  <c r="I30" i="5"/>
  <c r="I28" i="5"/>
  <c r="I25" i="5"/>
  <c r="I27" i="5"/>
  <c r="I20" i="5"/>
  <c r="I24" i="5"/>
  <c r="I23" i="5"/>
  <c r="F33" i="18"/>
  <c r="G33" i="18" s="1"/>
  <c r="F32" i="18"/>
  <c r="G32" i="18" s="1"/>
  <c r="F30" i="18"/>
  <c r="G30" i="18" s="1"/>
  <c r="F29" i="18"/>
  <c r="G29" i="18" s="1"/>
  <c r="G27" i="18"/>
  <c r="F26" i="18"/>
  <c r="G26" i="18" s="1"/>
  <c r="F25" i="17"/>
  <c r="H25" i="17"/>
  <c r="H24" i="17"/>
  <c r="K24" i="5" s="1"/>
  <c r="H23" i="17"/>
  <c r="F23" i="17"/>
  <c r="H21" i="17"/>
  <c r="K21" i="5" s="1"/>
  <c r="F20" i="17"/>
  <c r="AJ32" i="4"/>
  <c r="AB33" i="4"/>
  <c r="V32" i="4"/>
  <c r="AB32" i="4"/>
  <c r="X30" i="4"/>
  <c r="X28" i="4"/>
  <c r="S29" i="4"/>
  <c r="AB29" i="4" s="1"/>
  <c r="D23" i="18"/>
  <c r="D24" i="18"/>
  <c r="E23" i="18"/>
  <c r="AJ23" i="4"/>
  <c r="V23" i="4"/>
  <c r="X22" i="4"/>
  <c r="X23" i="4"/>
  <c r="AJ17" i="4"/>
  <c r="V17" i="4"/>
  <c r="AB17" i="4" s="1"/>
  <c r="X16" i="4"/>
  <c r="X19" i="4"/>
  <c r="AB21" i="4"/>
  <c r="AB30" i="4"/>
  <c r="X18" i="4"/>
  <c r="AB18" i="4" s="1"/>
  <c r="AJ29" i="4"/>
  <c r="X26" i="4"/>
  <c r="AB26" i="4" s="1"/>
  <c r="X27" i="4"/>
  <c r="AB27" i="4" s="1"/>
  <c r="X25" i="4"/>
  <c r="AB20" i="4"/>
  <c r="AB24" i="4"/>
  <c r="B68" i="5"/>
  <c r="B45" i="5"/>
  <c r="B56" i="5"/>
  <c r="AA15" i="4"/>
  <c r="F23" i="18" l="1"/>
  <c r="G23" i="18" s="1"/>
  <c r="F24" i="18"/>
  <c r="G24" i="18" s="1"/>
  <c r="AB23" i="4"/>
  <c r="V15" i="4"/>
  <c r="B1" i="23" l="1"/>
  <c r="B14" i="4" l="1"/>
  <c r="AD13" i="4" l="1"/>
  <c r="B15" i="4"/>
  <c r="AD15" i="4" l="1"/>
  <c r="AE15" i="4" s="1"/>
  <c r="AD14" i="4"/>
  <c r="AE14" i="4" s="1"/>
  <c r="T12" i="4" l="1"/>
  <c r="J2" i="6" l="1"/>
  <c r="H2" i="6" l="1"/>
  <c r="Q13" i="4" l="1"/>
  <c r="P14" i="4"/>
  <c r="V13" i="4" l="1"/>
  <c r="X13" i="4"/>
  <c r="Q15" i="4"/>
  <c r="P15" i="4"/>
  <c r="N15" i="4"/>
  <c r="Q14" i="4"/>
  <c r="N14" i="4"/>
  <c r="S14" i="4" l="1"/>
  <c r="AA14" i="4"/>
  <c r="V14" i="4"/>
  <c r="AI15" i="4"/>
  <c r="AG15" i="4"/>
  <c r="S15" i="4"/>
  <c r="X15" i="4"/>
  <c r="AG14" i="4"/>
  <c r="AI14" i="4"/>
  <c r="X14" i="4"/>
  <c r="P31" i="4" l="1"/>
  <c r="P28" i="4" s="1"/>
  <c r="P25" i="4" s="1"/>
  <c r="P22" i="4" s="1"/>
  <c r="P19" i="4" s="1"/>
  <c r="P16" i="4" s="1"/>
  <c r="P13" i="4" s="1"/>
  <c r="AB15" i="4"/>
  <c r="AB14" i="4"/>
  <c r="Y13" i="4"/>
  <c r="I15" i="4"/>
  <c r="J15" i="4"/>
  <c r="I14" i="4"/>
  <c r="I13" i="4" s="1"/>
  <c r="R13" i="4" s="1"/>
  <c r="S13" i="4" s="1"/>
  <c r="J14" i="4"/>
  <c r="J13" i="4" l="1"/>
  <c r="AF13" i="4" s="1"/>
  <c r="AJ15" i="4" l="1"/>
  <c r="AJ14" i="4"/>
  <c r="D39" i="5" l="1"/>
  <c r="D41" i="5"/>
  <c r="D84" i="5"/>
  <c r="D72" i="5"/>
  <c r="D26" i="5"/>
  <c r="C28" i="5"/>
  <c r="D82" i="5"/>
  <c r="D55" i="5"/>
  <c r="D74" i="5"/>
  <c r="D79" i="5"/>
  <c r="C46" i="5"/>
  <c r="D85" i="5"/>
  <c r="D40" i="5"/>
  <c r="D77" i="5"/>
  <c r="D68" i="5"/>
  <c r="C50" i="5"/>
  <c r="C37" i="5"/>
  <c r="D27" i="5"/>
  <c r="C35" i="5"/>
  <c r="D58" i="5"/>
  <c r="C80" i="5"/>
  <c r="D70" i="5"/>
  <c r="C40" i="5"/>
  <c r="D30" i="5"/>
  <c r="D36" i="5"/>
  <c r="C33" i="5"/>
  <c r="C70" i="5"/>
  <c r="D51" i="5"/>
  <c r="D45" i="5"/>
  <c r="C24" i="5"/>
  <c r="D35" i="5"/>
  <c r="C47" i="5"/>
  <c r="C69" i="5"/>
  <c r="C44" i="5"/>
  <c r="C38" i="5"/>
  <c r="C81" i="5"/>
  <c r="D73" i="5"/>
  <c r="C45" i="5"/>
  <c r="D47" i="5"/>
  <c r="D61" i="5"/>
  <c r="D69" i="5"/>
  <c r="C67" i="5"/>
  <c r="C59" i="5"/>
  <c r="C63" i="5"/>
  <c r="D66" i="5"/>
  <c r="C51" i="5"/>
  <c r="D59" i="5"/>
  <c r="C71" i="5"/>
  <c r="C84" i="5"/>
  <c r="D62" i="5"/>
  <c r="C36" i="5"/>
  <c r="C85" i="5"/>
  <c r="C74" i="5"/>
  <c r="C79" i="5"/>
  <c r="C27" i="5"/>
  <c r="D46" i="5"/>
  <c r="D38" i="5"/>
  <c r="D60" i="5"/>
  <c r="C72" i="5"/>
  <c r="C78" i="5"/>
  <c r="C29" i="5"/>
  <c r="C34" i="5"/>
  <c r="C56" i="5"/>
  <c r="C39" i="5"/>
  <c r="C26" i="5"/>
  <c r="C68" i="5"/>
  <c r="D56" i="5"/>
  <c r="D78" i="5"/>
  <c r="C61" i="5"/>
  <c r="D24" i="5"/>
  <c r="C60" i="5"/>
  <c r="C77" i="5"/>
  <c r="D67" i="5"/>
  <c r="C62" i="5"/>
  <c r="D44" i="5"/>
  <c r="D48" i="5"/>
  <c r="D34" i="5"/>
  <c r="D57" i="5"/>
  <c r="C41" i="5"/>
  <c r="C57" i="5"/>
  <c r="D50" i="5"/>
  <c r="D63" i="5"/>
  <c r="C49" i="5"/>
  <c r="C48" i="5"/>
  <c r="D81" i="5"/>
  <c r="C82" i="5"/>
  <c r="C52" i="5"/>
  <c r="D33" i="5"/>
  <c r="C58" i="5"/>
  <c r="C30" i="5"/>
  <c r="D37" i="5"/>
  <c r="D83" i="5"/>
  <c r="D71" i="5"/>
  <c r="C83" i="5"/>
  <c r="C73" i="5"/>
  <c r="D52" i="5"/>
  <c r="D29" i="5"/>
  <c r="D80" i="5"/>
  <c r="C55" i="5"/>
  <c r="C66" i="5"/>
  <c r="D49" i="5"/>
  <c r="D76" i="5"/>
  <c r="C43" i="5"/>
  <c r="C25" i="5"/>
  <c r="C23" i="5"/>
  <c r="D28" i="5"/>
  <c r="D32" i="5"/>
  <c r="C65" i="5"/>
  <c r="C32" i="5"/>
  <c r="D25" i="5"/>
  <c r="D23" i="5"/>
  <c r="D43" i="5"/>
  <c r="D54" i="5"/>
  <c r="D65" i="5"/>
  <c r="C76" i="5"/>
  <c r="C54" i="5"/>
  <c r="E14" i="5"/>
  <c r="H16" i="5"/>
  <c r="F15" i="5" l="1"/>
  <c r="H15" i="5"/>
  <c r="F14" i="5"/>
  <c r="H14" i="5"/>
  <c r="G16" i="5"/>
  <c r="G15" i="5"/>
  <c r="G14" i="5"/>
  <c r="T31" i="4" l="1"/>
  <c r="B13" i="20"/>
  <c r="C13" i="20" s="1"/>
  <c r="B7" i="20"/>
  <c r="AG31" i="4" l="1"/>
  <c r="AA31" i="4"/>
  <c r="AB31" i="4" s="1"/>
  <c r="AI31" i="4"/>
  <c r="T28" i="4"/>
  <c r="B13" i="19"/>
  <c r="C13" i="19" s="1"/>
  <c r="B7" i="19"/>
  <c r="AA28" i="4" l="1"/>
  <c r="AB28" i="4" s="1"/>
  <c r="AG28" i="4"/>
  <c r="AI28" i="4"/>
  <c r="T25" i="4"/>
  <c r="AJ31" i="4"/>
  <c r="B13" i="18"/>
  <c r="C13" i="18" s="1"/>
  <c r="B4" i="18"/>
  <c r="AJ28" i="4" l="1"/>
  <c r="AI25" i="4"/>
  <c r="AG25" i="4"/>
  <c r="AA25" i="4"/>
  <c r="AB25" i="4" s="1"/>
  <c r="T22" i="4"/>
  <c r="C13" i="17"/>
  <c r="B6" i="17"/>
  <c r="AJ25" i="4" l="1"/>
  <c r="AI22" i="4"/>
  <c r="T19" i="4"/>
  <c r="AG22" i="4"/>
  <c r="AA22" i="4"/>
  <c r="AB22" i="4" s="1"/>
  <c r="D13" i="17"/>
  <c r="B7" i="16"/>
  <c r="B6" i="5"/>
  <c r="AJ22" i="4" l="1"/>
  <c r="T16" i="4"/>
  <c r="AG19" i="4"/>
  <c r="AA19" i="4"/>
  <c r="AB19" i="4" s="1"/>
  <c r="AI19" i="4"/>
  <c r="G13" i="17"/>
  <c r="B13" i="16"/>
  <c r="C13" i="16" s="1"/>
  <c r="AJ19" i="4" l="1"/>
  <c r="AA16" i="4"/>
  <c r="AB16" i="4" s="1"/>
  <c r="T13" i="4"/>
  <c r="AG16" i="4"/>
  <c r="AI16" i="4"/>
  <c r="H17" i="5"/>
  <c r="H18" i="5"/>
  <c r="H19" i="5"/>
  <c r="E13" i="5"/>
  <c r="AJ16" i="4" l="1"/>
  <c r="AG13" i="4"/>
  <c r="AI13" i="4"/>
  <c r="AA13" i="4"/>
  <c r="AB13" i="4" s="1"/>
  <c r="F13" i="5"/>
  <c r="H13" i="5"/>
  <c r="G19" i="5"/>
  <c r="G17" i="5"/>
  <c r="F16" i="5"/>
  <c r="G18" i="5"/>
  <c r="F17" i="5"/>
  <c r="G13" i="5"/>
  <c r="I15" i="5"/>
  <c r="I14" i="5"/>
  <c r="AJ13" i="4" l="1"/>
  <c r="B14" i="20"/>
  <c r="I13" i="5"/>
  <c r="B14" i="18"/>
  <c r="B14" i="19"/>
  <c r="B14" i="16"/>
  <c r="B14" i="17"/>
  <c r="C14" i="19" l="1"/>
  <c r="C14" i="17"/>
  <c r="C14" i="20"/>
  <c r="E13" i="18"/>
  <c r="C14" i="18"/>
  <c r="D14" i="18" s="1"/>
  <c r="E13" i="16"/>
  <c r="C14" i="16"/>
  <c r="E14" i="16" s="1"/>
  <c r="D13" i="18"/>
  <c r="D14" i="17"/>
  <c r="H13" i="17"/>
  <c r="E14" i="18" l="1"/>
  <c r="F14" i="18" s="1"/>
  <c r="G14" i="18" s="1"/>
  <c r="F13" i="18"/>
  <c r="G13" i="18" s="1"/>
  <c r="H14" i="17" l="1"/>
  <c r="K14" i="5" s="1"/>
  <c r="M20" i="5" l="1"/>
  <c r="M18" i="5" s="1"/>
  <c r="M15" i="5" s="1"/>
  <c r="L14" i="5"/>
  <c r="M14" i="5" s="1"/>
  <c r="B13" i="5"/>
  <c r="C13" i="5" s="1"/>
  <c r="B14" i="5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C14" i="5"/>
  <c r="U24" i="1"/>
  <c r="M17" i="1"/>
  <c r="M14" i="1"/>
  <c r="U23" i="1"/>
  <c r="M30" i="1"/>
  <c r="D13" i="5"/>
  <c r="T8" i="1"/>
  <c r="B34" i="20"/>
  <c r="C34" i="20" s="1"/>
  <c r="J14" i="5"/>
  <c r="B15" i="19"/>
  <c r="B15" i="20"/>
  <c r="N14" i="5"/>
  <c r="O14" i="5"/>
  <c r="D14" i="5"/>
  <c r="B15" i="18"/>
  <c r="B15" i="16"/>
  <c r="M13" i="5"/>
  <c r="V8" i="1"/>
  <c r="M8" i="1"/>
  <c r="U29" i="1"/>
  <c r="M28" i="1"/>
  <c r="U13" i="1"/>
  <c r="U26" i="1"/>
  <c r="N13" i="5"/>
  <c r="O13" i="5" s="1"/>
  <c r="J21" i="5" l="1"/>
  <c r="J22" i="5"/>
  <c r="O22" i="5"/>
  <c r="O21" i="5"/>
  <c r="J19" i="5"/>
  <c r="J17" i="5"/>
  <c r="J16" i="5"/>
  <c r="J77" i="5"/>
  <c r="J49" i="5"/>
  <c r="J67" i="5"/>
  <c r="J37" i="5"/>
  <c r="J71" i="5"/>
  <c r="J82" i="5"/>
  <c r="J61" i="5"/>
  <c r="J41" i="5"/>
  <c r="J45" i="5"/>
  <c r="J48" i="5"/>
  <c r="J33" i="5"/>
  <c r="J36" i="5"/>
  <c r="J35" i="5"/>
  <c r="J83" i="5"/>
  <c r="J70" i="5"/>
  <c r="J38" i="5"/>
  <c r="J84" i="5"/>
  <c r="J72" i="5"/>
  <c r="J60" i="5"/>
  <c r="J40" i="5"/>
  <c r="J80" i="5"/>
  <c r="J27" i="5"/>
  <c r="J34" i="5"/>
  <c r="J59" i="5"/>
  <c r="J51" i="5"/>
  <c r="J57" i="5"/>
  <c r="J78" i="5"/>
  <c r="J63" i="5"/>
  <c r="J73" i="5"/>
  <c r="J26" i="5"/>
  <c r="J47" i="5"/>
  <c r="J58" i="5"/>
  <c r="J85" i="5"/>
  <c r="J46" i="5"/>
  <c r="J30" i="5"/>
  <c r="J66" i="5"/>
  <c r="J39" i="5"/>
  <c r="J56" i="5"/>
  <c r="J81" i="5"/>
  <c r="J79" i="5"/>
  <c r="J74" i="5"/>
  <c r="J44" i="5"/>
  <c r="J24" i="5"/>
  <c r="J69" i="5"/>
  <c r="J29" i="5"/>
  <c r="J55" i="5"/>
  <c r="J50" i="5"/>
  <c r="J68" i="5"/>
  <c r="J62" i="5"/>
  <c r="J52" i="5"/>
  <c r="P68" i="5"/>
  <c r="P57" i="5"/>
  <c r="P48" i="5"/>
  <c r="P61" i="5"/>
  <c r="P50" i="5"/>
  <c r="P30" i="5"/>
  <c r="P63" i="5"/>
  <c r="P35" i="5"/>
  <c r="P39" i="5"/>
  <c r="P24" i="5"/>
  <c r="P33" i="5"/>
  <c r="P66" i="5"/>
  <c r="P77" i="5"/>
  <c r="P37" i="5"/>
  <c r="P36" i="5"/>
  <c r="P60" i="5"/>
  <c r="P44" i="5"/>
  <c r="P46" i="5"/>
  <c r="P27" i="5"/>
  <c r="P80" i="5"/>
  <c r="P38" i="5"/>
  <c r="P51" i="5"/>
  <c r="P34" i="5"/>
  <c r="P29" i="5"/>
  <c r="P40" i="5"/>
  <c r="P74" i="5"/>
  <c r="P55" i="5"/>
  <c r="P85" i="5"/>
  <c r="P49" i="5"/>
  <c r="P73" i="5"/>
  <c r="P69" i="5"/>
  <c r="P52" i="5"/>
  <c r="P72" i="5"/>
  <c r="P67" i="5"/>
  <c r="P83" i="5"/>
  <c r="P45" i="5"/>
  <c r="P62" i="5"/>
  <c r="P82" i="5"/>
  <c r="P58" i="5"/>
  <c r="P70" i="5"/>
  <c r="P47" i="5"/>
  <c r="P78" i="5"/>
  <c r="P41" i="5"/>
  <c r="P79" i="5"/>
  <c r="P81" i="5"/>
  <c r="P59" i="5"/>
  <c r="P71" i="5"/>
  <c r="P56" i="5"/>
  <c r="P84" i="5"/>
  <c r="C15" i="16"/>
  <c r="E15" i="16" s="1"/>
  <c r="C15" i="19"/>
  <c r="C15" i="18"/>
  <c r="D15" i="18" s="1"/>
  <c r="C15" i="20"/>
  <c r="E19" i="16"/>
  <c r="E16" i="16"/>
  <c r="E21" i="16"/>
  <c r="D17" i="17"/>
  <c r="G17" i="17" s="1"/>
  <c r="E17" i="16"/>
  <c r="N16" i="5" s="1"/>
  <c r="E18" i="16"/>
  <c r="N17" i="5" s="1"/>
  <c r="E20" i="16"/>
  <c r="N19" i="5" s="1"/>
  <c r="D18" i="17"/>
  <c r="D19" i="17"/>
  <c r="D17" i="5"/>
  <c r="D16" i="5"/>
  <c r="D16" i="17"/>
  <c r="G16" i="17" s="1"/>
  <c r="Q14" i="5"/>
  <c r="Q13" i="5" s="1"/>
  <c r="D19" i="5"/>
  <c r="E16" i="18"/>
  <c r="D16" i="18"/>
  <c r="E19" i="18"/>
  <c r="D19" i="18"/>
  <c r="E20" i="18"/>
  <c r="D20" i="18"/>
  <c r="D17" i="18"/>
  <c r="E17" i="18"/>
  <c r="E18" i="18"/>
  <c r="D18" i="18"/>
  <c r="D21" i="18"/>
  <c r="E21" i="18"/>
  <c r="D15" i="5"/>
  <c r="D18" i="5"/>
  <c r="I18" i="5"/>
  <c r="I16" i="5"/>
  <c r="I17" i="5"/>
  <c r="I19" i="5"/>
  <c r="Q21" i="5" l="1"/>
  <c r="Q22" i="5"/>
  <c r="N83" i="5"/>
  <c r="N85" i="5"/>
  <c r="N47" i="5"/>
  <c r="N72" i="5"/>
  <c r="N24" i="5"/>
  <c r="N57" i="5"/>
  <c r="N78" i="5"/>
  <c r="N67" i="5"/>
  <c r="N63" i="5"/>
  <c r="N80" i="5"/>
  <c r="N69" i="5"/>
  <c r="N74" i="5"/>
  <c r="N62" i="5"/>
  <c r="N39" i="5"/>
  <c r="N50" i="5"/>
  <c r="N82" i="5"/>
  <c r="N45" i="5"/>
  <c r="N81" i="5"/>
  <c r="N35" i="5"/>
  <c r="N68" i="5"/>
  <c r="N40" i="5"/>
  <c r="N48" i="5"/>
  <c r="N56" i="5"/>
  <c r="N79" i="5"/>
  <c r="N26" i="5"/>
  <c r="N46" i="5"/>
  <c r="N34" i="5"/>
  <c r="N41" i="5"/>
  <c r="N38" i="5"/>
  <c r="N60" i="5"/>
  <c r="N71" i="5"/>
  <c r="N55" i="5"/>
  <c r="N37" i="5"/>
  <c r="N29" i="5"/>
  <c r="N66" i="5"/>
  <c r="N61" i="5"/>
  <c r="N49" i="5"/>
  <c r="N27" i="5"/>
  <c r="N70" i="5"/>
  <c r="N52" i="5"/>
  <c r="N44" i="5"/>
  <c r="N77" i="5"/>
  <c r="N51" i="5"/>
  <c r="N73" i="5"/>
  <c r="N33" i="5"/>
  <c r="N30" i="5"/>
  <c r="N36" i="5"/>
  <c r="N84" i="5"/>
  <c r="N59" i="5"/>
  <c r="N58" i="5"/>
  <c r="H19" i="17"/>
  <c r="K19" i="5" s="1"/>
  <c r="D15" i="17"/>
  <c r="E15" i="18"/>
  <c r="F15" i="18" s="1"/>
  <c r="G15" i="18" s="1"/>
  <c r="H18" i="17"/>
  <c r="F18" i="17"/>
  <c r="H16" i="17"/>
  <c r="K16" i="5" s="1"/>
  <c r="G21" i="18"/>
  <c r="F16" i="18"/>
  <c r="G16" i="18" s="1"/>
  <c r="F18" i="18"/>
  <c r="G18" i="18" s="1"/>
  <c r="O17" i="5" s="1"/>
  <c r="F19" i="18"/>
  <c r="G19" i="18" s="1"/>
  <c r="F20" i="18"/>
  <c r="G20" i="18" s="1"/>
  <c r="O19" i="5" s="1"/>
  <c r="F21" i="18"/>
  <c r="F17" i="18"/>
  <c r="G17" i="18" s="1"/>
  <c r="O16" i="5" s="1"/>
  <c r="F13" i="17"/>
  <c r="Q20" i="5" l="1"/>
  <c r="Q18" i="5"/>
  <c r="Q16" i="5"/>
  <c r="H17" i="17"/>
  <c r="O74" i="5"/>
  <c r="O35" i="5"/>
  <c r="O41" i="5"/>
  <c r="O85" i="5"/>
  <c r="O30" i="5"/>
  <c r="O45" i="5"/>
  <c r="O37" i="5"/>
  <c r="O38" i="5"/>
  <c r="O34" i="5"/>
  <c r="O36" i="5"/>
  <c r="O69" i="5"/>
  <c r="O26" i="5"/>
  <c r="Q26" i="5" s="1"/>
  <c r="O58" i="5"/>
  <c r="O48" i="5"/>
  <c r="O79" i="5"/>
  <c r="O51" i="5"/>
  <c r="O67" i="5"/>
  <c r="O24" i="5"/>
  <c r="O29" i="5"/>
  <c r="O81" i="5"/>
  <c r="O49" i="5"/>
  <c r="O73" i="5"/>
  <c r="O63" i="5"/>
  <c r="O39" i="5"/>
  <c r="O27" i="5"/>
  <c r="O33" i="5"/>
  <c r="O80" i="5"/>
  <c r="O68" i="5"/>
  <c r="O77" i="5"/>
  <c r="O57" i="5"/>
  <c r="O44" i="5"/>
  <c r="O84" i="5"/>
  <c r="O83" i="5"/>
  <c r="O70" i="5"/>
  <c r="O72" i="5"/>
  <c r="O47" i="5"/>
  <c r="O78" i="5"/>
  <c r="O55" i="5"/>
  <c r="O50" i="5"/>
  <c r="O40" i="5"/>
  <c r="O52" i="5"/>
  <c r="O66" i="5"/>
  <c r="O59" i="5"/>
  <c r="O82" i="5"/>
  <c r="O60" i="5"/>
  <c r="O61" i="5"/>
  <c r="O62" i="5"/>
  <c r="O56" i="5"/>
  <c r="O71" i="5"/>
  <c r="O46" i="5"/>
  <c r="F15" i="17"/>
  <c r="K17" i="5" l="1"/>
  <c r="Q17" i="5" s="1"/>
  <c r="Q15" i="5" s="1"/>
  <c r="K80" i="5"/>
  <c r="K36" i="5"/>
  <c r="K72" i="5"/>
  <c r="Q72" i="5" s="1"/>
  <c r="K82" i="5"/>
  <c r="Q82" i="5" s="1"/>
  <c r="K45" i="5"/>
  <c r="Q45" i="5" s="1"/>
  <c r="K68" i="5"/>
  <c r="Q68" i="5" s="1"/>
  <c r="K52" i="5"/>
  <c r="Q52" i="5" s="1"/>
  <c r="K57" i="5"/>
  <c r="Q57" i="5" s="1"/>
  <c r="K70" i="5"/>
  <c r="Q70" i="5" s="1"/>
  <c r="Q29" i="5"/>
  <c r="K73" i="5"/>
  <c r="Q73" i="5" s="1"/>
  <c r="K37" i="5"/>
  <c r="Q37" i="5" s="1"/>
  <c r="K35" i="5"/>
  <c r="Q35" i="5" s="1"/>
  <c r="K79" i="5"/>
  <c r="Q79" i="5" s="1"/>
  <c r="K62" i="5"/>
  <c r="Q62" i="5" s="1"/>
  <c r="K50" i="5"/>
  <c r="Q50" i="5" s="1"/>
  <c r="K61" i="5"/>
  <c r="Q61" i="5" s="1"/>
  <c r="K51" i="5"/>
  <c r="Q51" i="5" s="1"/>
  <c r="K38" i="5"/>
  <c r="Q38" i="5" s="1"/>
  <c r="Q27" i="5"/>
  <c r="K81" i="5"/>
  <c r="Q81" i="5" s="1"/>
  <c r="K66" i="5"/>
  <c r="Q66" i="5" s="1"/>
  <c r="K44" i="5"/>
  <c r="Q44" i="5" s="1"/>
  <c r="K85" i="5"/>
  <c r="Q85" i="5" s="1"/>
  <c r="K39" i="5"/>
  <c r="Q39" i="5" s="1"/>
  <c r="K83" i="5"/>
  <c r="Q83" i="5" s="1"/>
  <c r="Q30" i="5"/>
  <c r="K58" i="5"/>
  <c r="K60" i="5"/>
  <c r="Q60" i="5" s="1"/>
  <c r="K41" i="5"/>
  <c r="Q41" i="5" s="1"/>
  <c r="K34" i="5"/>
  <c r="Q34" i="5" s="1"/>
  <c r="K71" i="5"/>
  <c r="Q71" i="5" s="1"/>
  <c r="K77" i="5"/>
  <c r="Q77" i="5" s="1"/>
  <c r="K69" i="5"/>
  <c r="K59" i="5"/>
  <c r="Q59" i="5" s="1"/>
  <c r="K55" i="5"/>
  <c r="Q55" i="5" s="1"/>
  <c r="K46" i="5"/>
  <c r="Q46" i="5" s="1"/>
  <c r="K48" i="5"/>
  <c r="Q48" i="5" s="1"/>
  <c r="K49" i="5"/>
  <c r="Q49" i="5" s="1"/>
  <c r="K84" i="5"/>
  <c r="Q84" i="5" s="1"/>
  <c r="K67" i="5"/>
  <c r="Q67" i="5" s="1"/>
  <c r="K63" i="5"/>
  <c r="Q63" i="5" s="1"/>
  <c r="K78" i="5"/>
  <c r="Q78" i="5" s="1"/>
  <c r="Q24" i="5"/>
  <c r="Q23" i="5" s="1"/>
  <c r="K33" i="5"/>
  <c r="Q33" i="5" s="1"/>
  <c r="K40" i="5"/>
  <c r="Q40" i="5" s="1"/>
  <c r="K74" i="5"/>
  <c r="Q74" i="5" s="1"/>
  <c r="K47" i="5"/>
  <c r="K56" i="5"/>
  <c r="Q56" i="5" s="1"/>
  <c r="H15" i="17"/>
  <c r="Q25" i="5" l="1"/>
  <c r="Q32" i="5"/>
  <c r="Q76" i="5"/>
  <c r="Q43" i="5"/>
  <c r="Q28" i="5"/>
  <c r="Q65" i="5"/>
  <c r="Q54" i="5"/>
  <c r="R66" i="5" l="1"/>
  <c r="R69" i="5"/>
  <c r="R68" i="5"/>
  <c r="R74" i="5"/>
  <c r="R70" i="5"/>
  <c r="R72" i="5"/>
  <c r="R73" i="5"/>
  <c r="R67" i="5"/>
  <c r="R65" i="5"/>
  <c r="R71" i="5"/>
  <c r="R28" i="5"/>
  <c r="R45" i="5"/>
  <c r="R43" i="5"/>
  <c r="R51" i="5"/>
  <c r="R44" i="5"/>
  <c r="R49" i="5"/>
  <c r="R46" i="5"/>
  <c r="R47" i="5"/>
  <c r="R50" i="5"/>
  <c r="R52" i="5"/>
  <c r="R48" i="5"/>
  <c r="R84" i="5"/>
  <c r="R77" i="5"/>
  <c r="R80" i="5"/>
  <c r="R85" i="5"/>
  <c r="R82" i="5"/>
  <c r="R83" i="5"/>
  <c r="R76" i="5"/>
  <c r="R79" i="5"/>
  <c r="R78" i="5"/>
  <c r="R81" i="5"/>
  <c r="R40" i="5"/>
  <c r="R36" i="5"/>
  <c r="R39" i="5"/>
  <c r="R41" i="5"/>
  <c r="R35" i="5"/>
  <c r="R38" i="5"/>
  <c r="R34" i="5"/>
  <c r="R37" i="5"/>
  <c r="R33" i="5"/>
  <c r="R32" i="5"/>
  <c r="R23" i="5"/>
  <c r="R62" i="5"/>
  <c r="R59" i="5"/>
  <c r="R61" i="5"/>
  <c r="R58" i="5"/>
  <c r="R55" i="5"/>
  <c r="R63" i="5"/>
  <c r="R57" i="5"/>
  <c r="R54" i="5"/>
  <c r="R60" i="5"/>
  <c r="R56" i="5"/>
  <c r="R25" i="5"/>
  <c r="R22" i="5" l="1"/>
  <c r="R21" i="5"/>
  <c r="R19" i="5"/>
  <c r="R13" i="5"/>
  <c r="R15" i="5"/>
</calcChain>
</file>

<file path=xl/sharedStrings.xml><?xml version="1.0" encoding="utf-8"?>
<sst xmlns="http://schemas.openxmlformats.org/spreadsheetml/2006/main" count="377" uniqueCount="287">
  <si>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</si>
  <si>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</si>
  <si>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</si>
  <si>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</si>
  <si>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</si>
  <si>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</si>
  <si>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</si>
  <si>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</si>
  <si>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</si>
  <si>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</si>
  <si>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</si>
  <si>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</si>
  <si>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</si>
  <si>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</si>
  <si>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</si>
  <si>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</si>
  <si>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</si>
  <si>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</si>
  <si>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</si>
  <si>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</si>
  <si>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</si>
  <si>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</si>
  <si>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</si>
  <si>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</si>
  <si>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</si>
  <si>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</si>
  <si>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</si>
  <si>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</si>
  <si>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</si>
  <si>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</si>
  <si>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</si>
  <si>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</si>
  <si>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</si>
  <si>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</si>
  <si>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</si>
  <si>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</si>
  <si>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</si>
  <si>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</si>
  <si>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</si>
  <si>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</si>
  <si>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</si>
  <si>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</si>
  <si>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</si>
  <si>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</si>
  <si>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</si>
  <si>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</si>
  <si>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</si>
  <si>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</si>
  <si>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</si>
  <si>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</si>
  <si>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</si>
  <si>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</si>
  <si>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</si>
  <si>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</si>
  <si>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</si>
  <si>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</si>
  <si>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</si>
  <si>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</si>
  <si>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</si>
  <si>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</si>
  <si>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</si>
  <si>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</si>
  <si>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</si>
  <si>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</si>
  <si>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</si>
  <si>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</si>
  <si>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</si>
  <si>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</si>
  <si>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</si>
  <si>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</si>
  <si>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</si>
  <si>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</si>
  <si>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</si>
  <si>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</si>
  <si>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</si>
  <si>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</si>
  <si>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</si>
  <si>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</si>
  <si>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</si>
  <si>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</si>
  <si>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</si>
  <si>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</si>
  <si>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</si>
  <si>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</si>
  <si>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</si>
  <si>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</si>
  <si>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</si>
  <si>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</si>
  <si>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</si>
  <si>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</si>
  <si>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</si>
  <si>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</si>
  <si>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</si>
  <si>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</si>
  <si>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</si>
  <si>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</si>
  <si>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</si>
  <si>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</si>
  <si>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</si>
  <si>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</si>
  <si>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</si>
  <si>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</si>
  <si>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</si>
  <si>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</si>
  <si>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</si>
  <si>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</si>
  <si>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</si>
  <si>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</si>
  <si>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</si>
  <si>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</si>
  <si>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</si>
  <si>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</si>
  <si>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</si>
  <si>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</si>
  <si>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</si>
  <si>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</si>
  <si>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</si>
  <si>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</si>
  <si>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</si>
  <si>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</si>
  <si>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</si>
  <si>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</si>
  <si>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</si>
  <si>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</si>
  <si>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</si>
  <si>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</si>
  <si>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</si>
  <si>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</si>
  <si>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</si>
  <si>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</si>
  <si>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</si>
  <si>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</si>
  <si>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</si>
  <si>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</si>
  <si>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</si>
  <si>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</si>
  <si>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</si>
  <si>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</si>
  <si>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</si>
  <si>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</si>
  <si>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</si>
  <si>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</si>
  <si>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</si>
  <si>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</si>
  <si>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</si>
  <si>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</si>
  <si>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</si>
  <si>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</si>
  <si>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</si>
  <si>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</si>
  <si>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</si>
  <si>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</si>
  <si>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</si>
  <si>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</si>
  <si>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</si>
  <si>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</si>
  <si>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</si>
  <si>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</si>
  <si>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</si>
  <si>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</si>
  <si>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</si>
  <si>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</si>
  <si>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</si>
  <si>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</si>
  <si>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</si>
  <si>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</si>
  <si>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</si>
  <si>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</si>
  <si>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CALIDAD DE MIPYME EN SMMLV</t>
  </si>
  <si>
    <t>HABIL  / NO HABIL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</si>
  <si>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</si>
  <si>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</si>
  <si>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</si>
  <si>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</si>
  <si>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</si>
  <si>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</si>
  <si>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</si>
  <si>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</si>
  <si>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</si>
  <si>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</si>
  <si>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</si>
  <si>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</si>
  <si>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</si>
  <si>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</si>
  <si>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</si>
  <si>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</si>
  <si>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</si>
  <si>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</si>
  <si>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</si>
  <si>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</si>
  <si>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</si>
  <si>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</si>
  <si>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</si>
  <si>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</si>
  <si>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</si>
  <si>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</si>
  <si>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</si>
  <si>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</si>
  <si>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</si>
  <si>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</si>
  <si>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</si>
  <si>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</si>
  <si>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</si>
  <si>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</si>
  <si>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</si>
  <si>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</si>
  <si>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</si>
  <si>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</si>
  <si>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</si>
  <si>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</si>
  <si>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</si>
  <si>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</si>
  <si>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</si>
  <si>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</si>
  <si>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</si>
  <si>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</si>
  <si>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</si>
  <si>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</si>
  <si>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</si>
  <si>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</si>
  <si>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</si>
  <si>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</si>
  <si>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</si>
  <si>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</si>
  <si>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</si>
  <si>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</si>
  <si>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% Requerido de Capital de Trabajo Demandado</t>
  </si>
  <si>
    <t>VALOR PRESUPUESTO OFICIAL (PO)</t>
  </si>
  <si>
    <t>Fórmula: CT=AC-PC&gt;=(%M*PO)</t>
  </si>
  <si>
    <t>%M*PO</t>
  </si>
  <si>
    <t>PLAZO MOD</t>
  </si>
  <si>
    <t>MIPYME
→Req. Min. Solvencia: &gt; =</t>
  </si>
  <si>
    <t>OTRO
→Req. Min. Solvencia: &gt; =</t>
  </si>
  <si>
    <t>MIPYME
→Req. Min.  Endeudamiento: &lt; =</t>
  </si>
  <si>
    <t>OTRO
→Req. Min. Endeudamiento: &lt; =</t>
  </si>
  <si>
    <t>CORRESPONDE A UNA MIPYME</t>
  </si>
  <si>
    <t>MIPYME
→Req.Min.Cobertura
Interes: &gt; =</t>
  </si>
  <si>
    <t>OTRO
→Req. Min. Cobertura
 Intereses: &gt; =</t>
  </si>
  <si>
    <t>Fórmula: Razón Cobertura Intereses = UO/GI &gt;=X</t>
  </si>
  <si>
    <t>MIPYME
Req. Min. ROE: &gt; =</t>
  </si>
  <si>
    <t>OTRO
Req. Min. ROE: &gt; =</t>
  </si>
  <si>
    <t>Fórmula:                        ROE=UO/Act.Tot.&gt;=X</t>
  </si>
  <si>
    <t>Fórmula: Liquidez=AC/PC&gt;=X</t>
  </si>
  <si>
    <t>Fórmula: Endeudamiento = Pas.T/Act.Tot. &lt;= X%</t>
  </si>
  <si>
    <t>MIPYME
Req. Min. ROA: &gt; =</t>
  </si>
  <si>
    <t>OTRO
Req. Min. ROA: &gt; =</t>
  </si>
  <si>
    <t>Fórmula:                        ROE=UO/Pat.ROE&gt;=X%</t>
  </si>
  <si>
    <t xml:space="preserve"> </t>
  </si>
  <si>
    <t>500&lt;=ACTIVOS&lt;=30000</t>
  </si>
  <si>
    <t>No.</t>
  </si>
  <si>
    <t>AÑO DE EVALUACION DE LOS ACTIVOS</t>
  </si>
  <si>
    <t>CUMPLE / NO CUMPLE</t>
  </si>
  <si>
    <t>NOMBRE DEL PROPONENTE</t>
  </si>
  <si>
    <t>CAP. FINANCIERA</t>
  </si>
  <si>
    <t>CAP. ORGANIZACIÓN</t>
  </si>
  <si>
    <t>CAP. RESIDUAL</t>
  </si>
  <si>
    <t>SMMLV 2023</t>
  </si>
  <si>
    <t>SI</t>
  </si>
  <si>
    <t xml:space="preserve">dictamen </t>
  </si>
  <si>
    <t>debe 5c traer los dos en formato y firmado por los contadores - Karim Perea Perea certificado ante contador -</t>
  </si>
  <si>
    <t>5b - mas fechas</t>
  </si>
  <si>
    <t>5a - año mal 5b- fecha 2023</t>
  </si>
  <si>
    <t xml:space="preserve">5a con valores que no corresponde y formato q no es </t>
  </si>
  <si>
    <t xml:space="preserve">5c mal </t>
  </si>
  <si>
    <t xml:space="preserve">5c mal - falt dictmen </t>
  </si>
  <si>
    <t xml:space="preserve">falta dictamen </t>
  </si>
  <si>
    <t>DIRECCIÓN TERRITORIAL MAGDALENA</t>
  </si>
  <si>
    <t>PROCESO No. SA-MC-DT-MAG-001-2024</t>
  </si>
  <si>
    <t>GRUPO MORIAH</t>
  </si>
  <si>
    <t>CONSORCIO VIAS F&amp;M 2030</t>
  </si>
  <si>
    <t>FUNDACION OCEANIA 2030</t>
  </si>
  <si>
    <t>MAVICON CONSTRUCCION E INGENIERIA SAS</t>
  </si>
  <si>
    <t>INGEPRO CONSTRUCTORA SAS</t>
  </si>
  <si>
    <t>UNION TEMPORAL OBRAS 2024 S &amp; C</t>
  </si>
  <si>
    <t>SEÑALES LTDA</t>
  </si>
  <si>
    <t>INFRAESTRUCTURA CAR Y CIA SAS</t>
  </si>
  <si>
    <t>S &amp; S INGENIERIA CIVIL SAS</t>
  </si>
  <si>
    <t>S&amp;S INGENIERIA CIVIL SAS|</t>
  </si>
  <si>
    <t>CONSORCIO FFMM</t>
  </si>
  <si>
    <t>INGENIECOL SAS</t>
  </si>
  <si>
    <t>FF CONSTRUCCIONES Y CONSULTORIA SAS</t>
  </si>
  <si>
    <t>CONSORCIO OBRAS Y PROGRESO 23</t>
  </si>
  <si>
    <t>ANTONIO OCHOA CERA</t>
  </si>
  <si>
    <t>ING CONSTRUCCIONES SAS</t>
  </si>
  <si>
    <t>PRESUPUESTO OFICIAL ESTIMADO (POE) EN COP
(C)</t>
  </si>
  <si>
    <t>VALOR TOTAL DE LOS CONTRATOS EJECUTADOS
EN COP
(B)</t>
  </si>
  <si>
    <t xml:space="preserve">CAPACIDAD RESIDUAL DE CONTRATACIÓN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</si>
</sst>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b/>
      <u val="double"/>
      <sz val="12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4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92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4" fillId="0" borderId="6" xfId="1" applyFont="1" applyFill="1" applyBorder="1" applyAlignment="1">
      <alignment horizontal="center" vertical="center" wrapText="1"/>
    </xf>
    <xf numFmtId="0" fontId="23" fillId="5" borderId="21" xfId="4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0" fontId="23" fillId="5" borderId="15" xfId="3" applyNumberFormat="1" applyFont="1" applyFill="1" applyBorder="1" applyAlignment="1">
      <alignment horizontal="center" vertical="center" wrapText="1"/>
    </xf>
    <xf numFmtId="169" fontId="23" fillId="5" borderId="15" xfId="3" applyNumberFormat="1" applyFont="1" applyFill="1" applyBorder="1" applyAlignment="1">
      <alignment horizontal="center" vertical="center" wrapText="1"/>
    </xf>
    <xf numFmtId="171" fontId="23" fillId="5" borderId="15" xfId="1" applyNumberFormat="1" applyFont="1" applyFill="1" applyBorder="1" applyAlignment="1">
      <alignment horizontal="center" vertical="center" wrapText="1"/>
    </xf>
    <xf numFmtId="0" fontId="24" fillId="4" borderId="14" xfId="4" applyFont="1" applyFill="1" applyBorder="1" applyAlignment="1">
      <alignment horizontal="center" vertical="center" wrapText="1"/>
    </xf>
    <xf numFmtId="169" fontId="23" fillId="5" borderId="41" xfId="1" applyFont="1" applyFill="1" applyBorder="1" applyAlignment="1">
      <alignment horizontal="center" vertical="center" wrapText="1"/>
    </xf>
    <xf numFmtId="169" fontId="24" fillId="0" borderId="44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169" fontId="5" fillId="7" borderId="0" xfId="0" applyNumberFormat="1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169" fontId="4" fillId="7" borderId="0" xfId="1" applyFont="1" applyFill="1" applyAlignment="1">
      <alignment horizontal="center" vertical="center"/>
    </xf>
    <xf numFmtId="9" fontId="4" fillId="7" borderId="0" xfId="6" applyFont="1" applyFill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3" fillId="7" borderId="48" xfId="0" applyFont="1" applyFill="1" applyBorder="1" applyAlignment="1">
      <alignment horizontal="center" vertical="center"/>
    </xf>
    <xf numFmtId="2" fontId="0" fillId="7" borderId="48" xfId="0" applyNumberFormat="1" applyFill="1" applyBorder="1" applyAlignment="1">
      <alignment horizontal="center" vertical="center"/>
    </xf>
    <xf numFmtId="2" fontId="0" fillId="7" borderId="46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7" fontId="5" fillId="7" borderId="0" xfId="0" applyNumberFormat="1" applyFont="1" applyFill="1" applyAlignment="1">
      <alignment horizontal="center" vertical="center"/>
    </xf>
    <xf numFmtId="3" fontId="23" fillId="5" borderId="15" xfId="1" applyNumberFormat="1" applyFont="1" applyFill="1" applyBorder="1" applyAlignment="1">
      <alignment horizontal="center" vertical="center" wrapText="1"/>
    </xf>
    <xf numFmtId="3" fontId="23" fillId="5" borderId="16" xfId="1" applyNumberFormat="1" applyFont="1" applyFill="1" applyBorder="1" applyAlignment="1">
      <alignment horizontal="center" vertical="center" wrapText="1"/>
    </xf>
    <xf numFmtId="169" fontId="23" fillId="5" borderId="16" xfId="1" applyFont="1" applyFill="1" applyBorder="1" applyAlignment="1">
      <alignment horizontal="center" vertical="center" wrapText="1"/>
    </xf>
    <xf numFmtId="169" fontId="23" fillId="4" borderId="17" xfId="1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/>
    </xf>
    <xf numFmtId="4" fontId="33" fillId="5" borderId="41" xfId="1" applyNumberFormat="1" applyFont="1" applyFill="1" applyBorder="1" applyAlignment="1">
      <alignment horizontal="center" vertical="center" wrapText="1"/>
    </xf>
    <xf numFmtId="4" fontId="23" fillId="5" borderId="15" xfId="1" applyNumberFormat="1" applyFont="1" applyFill="1" applyBorder="1" applyAlignment="1">
      <alignment horizontal="center" vertical="center" wrapText="1"/>
    </xf>
    <xf numFmtId="4" fontId="23" fillId="4" borderId="44" xfId="1" applyNumberFormat="1" applyFont="1" applyFill="1" applyBorder="1" applyAlignment="1">
      <alignment horizontal="center" vertical="center" wrapText="1"/>
    </xf>
    <xf numFmtId="4" fontId="23" fillId="4" borderId="7" xfId="1" applyNumberFormat="1" applyFont="1" applyFill="1" applyBorder="1" applyAlignment="1">
      <alignment horizontal="center" vertical="center" wrapText="1"/>
    </xf>
    <xf numFmtId="4" fontId="23" fillId="4" borderId="17" xfId="1" applyNumberFormat="1" applyFont="1" applyFill="1" applyBorder="1" applyAlignment="1">
      <alignment horizontal="center" vertical="center" wrapText="1"/>
    </xf>
    <xf numFmtId="168" fontId="23" fillId="4" borderId="17" xfId="2" applyFont="1" applyFill="1" applyBorder="1" applyAlignment="1">
      <alignment horizontal="center" vertical="center" wrapText="1"/>
    </xf>
    <xf numFmtId="0" fontId="21" fillId="6" borderId="39" xfId="0" applyFont="1" applyFill="1" applyBorder="1" applyAlignment="1">
      <alignment horizontal="center" vertical="center" wrapText="1"/>
    </xf>
    <xf numFmtId="0" fontId="3" fillId="0" borderId="0" xfId="0" applyFont="1"/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0" fontId="0" fillId="0" borderId="0" xfId="0" applyAlignment="1">
      <alignment horizontal="center"/>
    </xf>
    <xf numFmtId="9" fontId="17" fillId="7" borderId="33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horizontal="center" vertical="center"/>
    </xf>
    <xf numFmtId="0" fontId="5" fillId="7" borderId="20" xfId="0" applyFont="1" applyFill="1" applyBorder="1"/>
    <xf numFmtId="0" fontId="5" fillId="7" borderId="34" xfId="0" applyFont="1" applyFill="1" applyBorder="1"/>
    <xf numFmtId="172" fontId="5" fillId="7" borderId="20" xfId="6" applyNumberFormat="1" applyFont="1" applyFill="1" applyBorder="1"/>
    <xf numFmtId="0" fontId="22" fillId="0" borderId="0" xfId="0" applyFont="1" applyAlignment="1">
      <alignment horizontal="center" vertical="center" wrapText="1"/>
    </xf>
    <xf numFmtId="168" fontId="17" fillId="11" borderId="15" xfId="2" applyFont="1" applyFill="1" applyBorder="1" applyAlignment="1">
      <alignment vertical="center" wrapText="1"/>
    </xf>
    <xf numFmtId="168" fontId="17" fillId="11" borderId="44" xfId="2" applyFont="1" applyFill="1" applyBorder="1" applyAlignment="1">
      <alignment vertical="center" wrapText="1"/>
    </xf>
    <xf numFmtId="168" fontId="17" fillId="11" borderId="12" xfId="2" applyFont="1" applyFill="1" applyBorder="1" applyAlignment="1">
      <alignment vertical="center" wrapText="1"/>
    </xf>
    <xf numFmtId="168" fontId="17" fillId="11" borderId="43" xfId="2" applyFont="1" applyFill="1" applyBorder="1" applyAlignment="1">
      <alignment vertical="center" wrapText="1"/>
    </xf>
    <xf numFmtId="174" fontId="17" fillId="11" borderId="38" xfId="0" applyNumberFormat="1" applyFont="1" applyFill="1" applyBorder="1" applyAlignment="1">
      <alignment horizontal="center" vertical="center" wrapText="1"/>
    </xf>
    <xf numFmtId="174" fontId="17" fillId="11" borderId="37" xfId="0" applyNumberFormat="1" applyFont="1" applyFill="1" applyBorder="1" applyAlignment="1">
      <alignment horizontal="center" vertical="center" wrapText="1"/>
    </xf>
    <xf numFmtId="174" fontId="17" fillId="11" borderId="52" xfId="0" applyNumberFormat="1" applyFont="1" applyFill="1" applyBorder="1" applyAlignment="1">
      <alignment horizontal="center" vertical="center" wrapText="1"/>
    </xf>
    <xf numFmtId="0" fontId="17" fillId="11" borderId="53" xfId="0" applyFont="1" applyFill="1" applyBorder="1" applyAlignment="1">
      <alignment vertical="center" wrapText="1"/>
    </xf>
    <xf numFmtId="0" fontId="7" fillId="13" borderId="4" xfId="0" applyFont="1" applyFill="1" applyBorder="1" applyAlignment="1">
      <alignment horizontal="center" vertical="center"/>
    </xf>
    <xf numFmtId="9" fontId="35" fillId="7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69" fontId="25" fillId="7" borderId="23" xfId="1" applyFont="1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168" fontId="0" fillId="7" borderId="23" xfId="2" applyFont="1" applyFill="1" applyBorder="1" applyAlignment="1">
      <alignment horizontal="center" vertical="center" wrapText="1"/>
    </xf>
    <xf numFmtId="169" fontId="0" fillId="7" borderId="23" xfId="1" applyFont="1" applyFill="1" applyBorder="1" applyAlignment="1">
      <alignment horizontal="center" vertical="center" wrapText="1"/>
    </xf>
    <xf numFmtId="10" fontId="0" fillId="7" borderId="23" xfId="6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8" fillId="7" borderId="0" xfId="0" applyFont="1" applyFill="1" applyAlignment="1">
      <alignment horizontal="center" vertical="center" wrapText="1"/>
    </xf>
    <xf numFmtId="0" fontId="24" fillId="4" borderId="26" xfId="4" applyFont="1" applyFill="1" applyBorder="1" applyAlignment="1">
      <alignment horizontal="center" vertical="center" wrapText="1"/>
    </xf>
    <xf numFmtId="169" fontId="24" fillId="0" borderId="24" xfId="1" applyFont="1" applyFill="1" applyBorder="1" applyAlignment="1">
      <alignment horizontal="center" vertical="center" wrapText="1"/>
    </xf>
    <xf numFmtId="168" fontId="23" fillId="4" borderId="27" xfId="2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15" borderId="49" xfId="0" applyFont="1" applyFill="1" applyBorder="1" applyAlignment="1">
      <alignment horizontal="center" vertical="center" wrapText="1"/>
    </xf>
    <xf numFmtId="0" fontId="4" fillId="15" borderId="50" xfId="0" applyFont="1" applyFill="1" applyBorder="1" applyAlignment="1">
      <alignment horizontal="center" vertical="center" wrapText="1"/>
    </xf>
    <xf numFmtId="0" fontId="4" fillId="15" borderId="51" xfId="0" applyFont="1" applyFill="1" applyBorder="1" applyAlignment="1">
      <alignment horizontal="center" vertical="center" wrapText="1"/>
    </xf>
    <xf numFmtId="0" fontId="4" fillId="15" borderId="18" xfId="0" applyFont="1" applyFill="1" applyBorder="1" applyAlignment="1">
      <alignment horizontal="center" vertical="center" wrapText="1"/>
    </xf>
    <xf numFmtId="0" fontId="4" fillId="15" borderId="33" xfId="0" applyFont="1" applyFill="1" applyBorder="1" applyAlignment="1">
      <alignment horizontal="center" vertical="center"/>
    </xf>
    <xf numFmtId="0" fontId="4" fillId="15" borderId="18" xfId="0" applyFont="1" applyFill="1" applyBorder="1" applyAlignment="1">
      <alignment horizontal="center" vertical="center"/>
    </xf>
    <xf numFmtId="0" fontId="4" fillId="15" borderId="34" xfId="0" applyFont="1" applyFill="1" applyBorder="1" applyAlignment="1">
      <alignment horizontal="center" vertical="center"/>
    </xf>
    <xf numFmtId="0" fontId="17" fillId="15" borderId="20" xfId="0" applyFont="1" applyFill="1" applyBorder="1" applyAlignment="1">
      <alignment horizontal="center" vertical="center"/>
    </xf>
    <xf numFmtId="0" fontId="17" fillId="15" borderId="20" xfId="0" quotePrefix="1" applyFont="1" applyFill="1" applyBorder="1" applyAlignment="1">
      <alignment horizontal="center" vertical="center"/>
    </xf>
    <xf numFmtId="167" fontId="17" fillId="15" borderId="20" xfId="0" applyNumberFormat="1" applyFont="1" applyFill="1" applyBorder="1" applyAlignment="1">
      <alignment horizontal="center" vertical="center" wrapText="1"/>
    </xf>
    <xf numFmtId="2" fontId="19" fillId="15" borderId="55" xfId="1" applyNumberFormat="1" applyFont="1" applyFill="1" applyBorder="1" applyAlignment="1">
      <alignment horizontal="center" vertical="center" wrapText="1"/>
    </xf>
    <xf numFmtId="2" fontId="19" fillId="15" borderId="57" xfId="1" applyNumberFormat="1" applyFont="1" applyFill="1" applyBorder="1" applyAlignment="1">
      <alignment horizontal="center" vertical="center" wrapText="1"/>
    </xf>
    <xf numFmtId="9" fontId="19" fillId="15" borderId="55" xfId="6" applyFont="1" applyFill="1" applyBorder="1" applyAlignment="1">
      <alignment horizontal="center" vertical="center"/>
    </xf>
    <xf numFmtId="9" fontId="19" fillId="15" borderId="57" xfId="6" applyFont="1" applyFill="1" applyBorder="1" applyAlignment="1">
      <alignment horizontal="center" vertical="center"/>
    </xf>
    <xf numFmtId="170" fontId="19" fillId="15" borderId="55" xfId="1" applyNumberFormat="1" applyFont="1" applyFill="1" applyBorder="1" applyAlignment="1">
      <alignment horizontal="center" vertical="center"/>
    </xf>
    <xf numFmtId="170" fontId="19" fillId="15" borderId="57" xfId="1" applyNumberFormat="1" applyFont="1" applyFill="1" applyBorder="1" applyAlignment="1">
      <alignment horizontal="center" vertical="center"/>
    </xf>
    <xf numFmtId="9" fontId="19" fillId="15" borderId="17" xfId="6" applyFont="1" applyFill="1" applyBorder="1" applyAlignment="1">
      <alignment horizontal="center" vertical="center"/>
    </xf>
    <xf numFmtId="9" fontId="19" fillId="15" borderId="13" xfId="6" applyFont="1" applyFill="1" applyBorder="1" applyAlignment="1">
      <alignment horizontal="center" vertical="center"/>
    </xf>
    <xf numFmtId="172" fontId="17" fillId="16" borderId="44" xfId="6" quotePrefix="1" applyNumberFormat="1" applyFont="1" applyFill="1" applyBorder="1" applyAlignment="1">
      <alignment horizontal="center" vertical="center" wrapText="1"/>
    </xf>
    <xf numFmtId="172" fontId="17" fillId="16" borderId="12" xfId="6" quotePrefix="1" applyNumberFormat="1" applyFont="1" applyFill="1" applyBorder="1" applyAlignment="1">
      <alignment horizontal="center" vertical="center" wrapText="1"/>
    </xf>
    <xf numFmtId="172" fontId="17" fillId="16" borderId="43" xfId="6" applyNumberFormat="1" applyFont="1" applyFill="1" applyBorder="1" applyAlignment="1">
      <alignment horizontal="center" vertical="center"/>
    </xf>
    <xf numFmtId="172" fontId="17" fillId="16" borderId="37" xfId="6" quotePrefix="1" applyNumberFormat="1" applyFont="1" applyFill="1" applyBorder="1" applyAlignment="1">
      <alignment horizontal="center" vertical="center" wrapText="1"/>
    </xf>
    <xf numFmtId="172" fontId="17" fillId="16" borderId="52" xfId="6" quotePrefix="1" applyNumberFormat="1" applyFont="1" applyFill="1" applyBorder="1" applyAlignment="1">
      <alignment horizontal="center" vertical="center" wrapText="1"/>
    </xf>
    <xf numFmtId="172" fontId="17" fillId="16" borderId="18" xfId="6" applyNumberFormat="1" applyFont="1" applyFill="1" applyBorder="1" applyAlignment="1">
      <alignment horizontal="center" vertical="center"/>
    </xf>
    <xf numFmtId="0" fontId="17" fillId="16" borderId="40" xfId="0" applyFont="1" applyFill="1" applyBorder="1" applyAlignment="1">
      <alignment horizontal="center" vertical="center"/>
    </xf>
    <xf numFmtId="0" fontId="17" fillId="16" borderId="34" xfId="0" applyFont="1" applyFill="1" applyBorder="1" applyAlignment="1">
      <alignment horizontal="center" vertical="center"/>
    </xf>
    <xf numFmtId="0" fontId="17" fillId="16" borderId="8" xfId="0" applyFont="1" applyFill="1" applyBorder="1" applyAlignment="1">
      <alignment horizontal="center" vertical="center"/>
    </xf>
    <xf numFmtId="0" fontId="17" fillId="16" borderId="19" xfId="0" applyFont="1" applyFill="1" applyBorder="1" applyAlignment="1">
      <alignment horizontal="center" vertical="center"/>
    </xf>
    <xf numFmtId="0" fontId="19" fillId="16" borderId="56" xfId="0" quotePrefix="1" applyFont="1" applyFill="1" applyBorder="1" applyAlignment="1">
      <alignment horizontal="center" vertical="center" wrapText="1"/>
    </xf>
    <xf numFmtId="0" fontId="19" fillId="16" borderId="54" xfId="0" quotePrefix="1" applyFont="1" applyFill="1" applyBorder="1" applyAlignment="1">
      <alignment horizontal="center" vertical="center" wrapText="1"/>
    </xf>
    <xf numFmtId="0" fontId="17" fillId="16" borderId="54" xfId="0" quotePrefix="1" applyFont="1" applyFill="1" applyBorder="1" applyAlignment="1">
      <alignment horizontal="center" vertical="center" wrapText="1"/>
    </xf>
    <xf numFmtId="0" fontId="17" fillId="16" borderId="56" xfId="0" quotePrefix="1" applyFont="1" applyFill="1" applyBorder="1" applyAlignment="1">
      <alignment horizontal="center" vertical="center" wrapText="1"/>
    </xf>
    <xf numFmtId="169" fontId="17" fillId="16" borderId="10" xfId="1" applyFont="1" applyFill="1" applyBorder="1" applyAlignment="1">
      <alignment horizontal="center" vertical="center" wrapText="1"/>
    </xf>
    <xf numFmtId="0" fontId="19" fillId="15" borderId="43" xfId="3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10" fontId="23" fillId="0" borderId="44" xfId="3" applyNumberFormat="1" applyFont="1" applyBorder="1" applyAlignment="1">
      <alignment horizontal="center" vertical="center" wrapText="1"/>
    </xf>
    <xf numFmtId="169" fontId="23" fillId="0" borderId="44" xfId="3" applyNumberFormat="1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>
      <alignment horizontal="center" vertical="center" wrapText="1"/>
    </xf>
    <xf numFmtId="4" fontId="23" fillId="0" borderId="17" xfId="1" applyNumberFormat="1" applyFont="1" applyFill="1" applyBorder="1" applyAlignment="1">
      <alignment horizontal="center" vertical="center" wrapText="1"/>
    </xf>
    <xf numFmtId="10" fontId="23" fillId="0" borderId="24" xfId="3" applyNumberFormat="1" applyFont="1" applyBorder="1" applyAlignment="1">
      <alignment horizontal="center" vertical="center" wrapText="1"/>
    </xf>
    <xf numFmtId="169" fontId="23" fillId="0" borderId="24" xfId="3" applyNumberFormat="1" applyFont="1" applyBorder="1" applyAlignment="1">
      <alignment horizontal="center" vertical="center" wrapText="1"/>
    </xf>
    <xf numFmtId="0" fontId="19" fillId="15" borderId="15" xfId="3" applyFont="1" applyFill="1" applyBorder="1" applyAlignment="1">
      <alignment horizontal="center" vertical="center" wrapText="1"/>
    </xf>
    <xf numFmtId="0" fontId="19" fillId="15" borderId="16" xfId="3" applyFont="1" applyFill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3" fontId="23" fillId="0" borderId="44" xfId="1" applyNumberFormat="1" applyFont="1" applyFill="1" applyBorder="1" applyAlignment="1">
      <alignment horizontal="center" vertical="center" wrapText="1"/>
    </xf>
    <xf numFmtId="0" fontId="24" fillId="0" borderId="26" xfId="4" applyFont="1" applyBorder="1" applyAlignment="1">
      <alignment horizontal="center" vertical="center" wrapText="1"/>
    </xf>
    <xf numFmtId="3" fontId="23" fillId="0" borderId="24" xfId="1" applyNumberFormat="1" applyFont="1" applyFill="1" applyBorder="1" applyAlignment="1">
      <alignment horizontal="center" vertical="center" wrapText="1"/>
    </xf>
    <xf numFmtId="4" fontId="19" fillId="15" borderId="15" xfId="3" applyNumberFormat="1" applyFont="1" applyFill="1" applyBorder="1" applyAlignment="1">
      <alignment horizontal="center" vertical="center" wrapText="1"/>
    </xf>
    <xf numFmtId="0" fontId="19" fillId="15" borderId="41" xfId="3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0" fontId="23" fillId="0" borderId="6" xfId="3" applyNumberFormat="1" applyFont="1" applyBorder="1" applyAlignment="1">
      <alignment horizontal="center" vertical="center" wrapText="1"/>
    </xf>
    <xf numFmtId="171" fontId="23" fillId="0" borderId="44" xfId="1" applyNumberFormat="1" applyFont="1" applyFill="1" applyBorder="1" applyAlignment="1">
      <alignment horizontal="center" vertical="center" wrapText="1"/>
    </xf>
    <xf numFmtId="169" fontId="23" fillId="0" borderId="44" xfId="1" applyFont="1" applyFill="1" applyBorder="1" applyAlignment="1">
      <alignment horizontal="center" vertical="center" wrapText="1"/>
    </xf>
    <xf numFmtId="168" fontId="23" fillId="0" borderId="6" xfId="2" applyFont="1" applyFill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168" fontId="23" fillId="0" borderId="44" xfId="2" applyFont="1" applyFill="1" applyBorder="1" applyAlignment="1">
      <alignment horizontal="center" vertical="center" wrapText="1"/>
    </xf>
    <xf numFmtId="169" fontId="23" fillId="0" borderId="7" xfId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3" fontId="23" fillId="0" borderId="6" xfId="1" applyNumberFormat="1" applyFont="1" applyFill="1" applyBorder="1" applyAlignment="1">
      <alignment horizontal="center" vertical="center" wrapText="1"/>
    </xf>
    <xf numFmtId="171" fontId="23" fillId="0" borderId="24" xfId="1" applyNumberFormat="1" applyFont="1" applyFill="1" applyBorder="1" applyAlignment="1">
      <alignment horizontal="center" vertical="center" wrapText="1"/>
    </xf>
    <xf numFmtId="169" fontId="23" fillId="0" borderId="24" xfId="1" applyFont="1" applyFill="1" applyBorder="1" applyAlignment="1">
      <alignment horizontal="center" vertical="center" wrapText="1"/>
    </xf>
    <xf numFmtId="168" fontId="23" fillId="0" borderId="24" xfId="2" applyFont="1" applyFill="1" applyBorder="1" applyAlignment="1">
      <alignment horizontal="center" vertical="center" wrapText="1"/>
    </xf>
    <xf numFmtId="4" fontId="23" fillId="0" borderId="24" xfId="1" applyNumberFormat="1" applyFont="1" applyFill="1" applyBorder="1" applyAlignment="1">
      <alignment horizontal="center" vertical="center" wrapText="1"/>
    </xf>
    <xf numFmtId="169" fontId="23" fillId="0" borderId="59" xfId="1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4" fillId="15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center"/>
    </xf>
    <xf numFmtId="0" fontId="19" fillId="17" borderId="15" xfId="3" applyFont="1" applyFill="1" applyBorder="1" applyAlignment="1">
      <alignment horizontal="center" vertical="center" wrapText="1"/>
    </xf>
    <xf numFmtId="0" fontId="19" fillId="17" borderId="41" xfId="3" applyFont="1" applyFill="1" applyBorder="1" applyAlignment="1">
      <alignment horizontal="center" vertical="center" wrapText="1"/>
    </xf>
    <xf numFmtId="0" fontId="35" fillId="17" borderId="18" xfId="0" applyFont="1" applyFill="1" applyBorder="1" applyAlignment="1">
      <alignment horizontal="center" vertical="center" wrapText="1"/>
    </xf>
    <xf numFmtId="9" fontId="17" fillId="0" borderId="20" xfId="0" applyNumberFormat="1" applyFont="1" applyBorder="1" applyAlignment="1">
      <alignment vertical="center"/>
    </xf>
    <xf numFmtId="0" fontId="38" fillId="5" borderId="35" xfId="0" applyFont="1" applyFill="1" applyBorder="1" applyAlignment="1">
      <alignment horizontal="center" vertical="center" wrapText="1"/>
    </xf>
    <xf numFmtId="0" fontId="39" fillId="5" borderId="22" xfId="0" applyFont="1" applyFill="1" applyBorder="1" applyAlignment="1">
      <alignment horizontal="center" vertical="center" wrapText="1"/>
    </xf>
    <xf numFmtId="9" fontId="39" fillId="5" borderId="22" xfId="6" applyFont="1" applyFill="1" applyBorder="1" applyAlignment="1">
      <alignment horizontal="center" vertical="center" wrapText="1"/>
    </xf>
    <xf numFmtId="169" fontId="38" fillId="5" borderId="22" xfId="1" applyFont="1" applyFill="1" applyBorder="1" applyAlignment="1">
      <alignment horizontal="center" vertical="center" wrapText="1"/>
    </xf>
    <xf numFmtId="173" fontId="38" fillId="5" borderId="22" xfId="1" applyNumberFormat="1" applyFont="1" applyFill="1" applyBorder="1" applyAlignment="1">
      <alignment horizontal="center" vertical="center" wrapText="1"/>
    </xf>
    <xf numFmtId="1" fontId="40" fillId="16" borderId="22" xfId="1" applyNumberFormat="1" applyFont="1" applyFill="1" applyBorder="1" applyAlignment="1">
      <alignment horizontal="center" vertical="center"/>
    </xf>
    <xf numFmtId="170" fontId="40" fillId="0" borderId="22" xfId="1" applyNumberFormat="1" applyFont="1" applyFill="1" applyBorder="1" applyAlignment="1">
      <alignment horizontal="center" vertical="center"/>
    </xf>
    <xf numFmtId="171" fontId="40" fillId="8" borderId="22" xfId="1" applyNumberFormat="1" applyFont="1" applyFill="1" applyBorder="1" applyAlignment="1">
      <alignment horizontal="center" vertical="center"/>
    </xf>
    <xf numFmtId="171" fontId="40" fillId="5" borderId="22" xfId="1" applyNumberFormat="1" applyFont="1" applyFill="1" applyBorder="1" applyAlignment="1">
      <alignment horizontal="center" vertical="center"/>
    </xf>
    <xf numFmtId="169" fontId="37" fillId="5" borderId="22" xfId="1" applyFont="1" applyFill="1" applyBorder="1" applyAlignment="1">
      <alignment horizontal="center" vertical="center"/>
    </xf>
    <xf numFmtId="0" fontId="38" fillId="12" borderId="22" xfId="0" applyFont="1" applyFill="1" applyBorder="1" applyAlignment="1">
      <alignment horizontal="center" vertical="center" wrapText="1"/>
    </xf>
    <xf numFmtId="0" fontId="41" fillId="12" borderId="22" xfId="0" applyFont="1" applyFill="1" applyBorder="1" applyAlignment="1">
      <alignment horizontal="center" vertical="center" wrapText="1"/>
    </xf>
    <xf numFmtId="172" fontId="38" fillId="5" borderId="22" xfId="6" applyNumberFormat="1" applyFont="1" applyFill="1" applyBorder="1" applyAlignment="1">
      <alignment horizontal="center" vertical="center" wrapText="1"/>
    </xf>
    <xf numFmtId="169" fontId="38" fillId="9" borderId="22" xfId="1" applyFont="1" applyFill="1" applyBorder="1" applyAlignment="1">
      <alignment horizontal="center" vertical="center" wrapText="1"/>
    </xf>
    <xf numFmtId="0" fontId="38" fillId="17" borderId="22" xfId="0" applyFont="1" applyFill="1" applyBorder="1" applyAlignment="1">
      <alignment horizontal="center" vertical="center" wrapText="1"/>
    </xf>
    <xf numFmtId="171" fontId="37" fillId="9" borderId="58" xfId="1" applyNumberFormat="1" applyFont="1" applyFill="1" applyBorder="1" applyAlignment="1">
      <alignment horizontal="center"/>
    </xf>
    <xf numFmtId="4" fontId="37" fillId="9" borderId="58" xfId="0" applyNumberFormat="1" applyFont="1" applyFill="1" applyBorder="1"/>
    <xf numFmtId="0" fontId="42" fillId="9" borderId="39" xfId="0" applyFont="1" applyFill="1" applyBorder="1" applyAlignment="1">
      <alignment horizontal="center" vertical="center"/>
    </xf>
    <xf numFmtId="9" fontId="38" fillId="5" borderId="35" xfId="6" applyFont="1" applyFill="1" applyBorder="1" applyAlignment="1">
      <alignment horizontal="center" vertical="center" wrapText="1"/>
    </xf>
    <xf numFmtId="9" fontId="38" fillId="5" borderId="22" xfId="6" applyFont="1" applyFill="1" applyBorder="1" applyAlignment="1">
      <alignment horizontal="center" vertical="center" wrapText="1"/>
    </xf>
    <xf numFmtId="0" fontId="38" fillId="17" borderId="39" xfId="0" applyFont="1" applyFill="1" applyBorder="1" applyAlignment="1">
      <alignment horizontal="center" vertical="center" wrapText="1"/>
    </xf>
    <xf numFmtId="0" fontId="43" fillId="4" borderId="14" xfId="0" applyFont="1" applyFill="1" applyBorder="1" applyAlignment="1">
      <alignment horizontal="center" vertical="center" wrapText="1"/>
    </xf>
    <xf numFmtId="0" fontId="44" fillId="4" borderId="44" xfId="0" applyFont="1" applyFill="1" applyBorder="1" applyAlignment="1">
      <alignment horizontal="center" vertical="center" wrapText="1"/>
    </xf>
    <xf numFmtId="9" fontId="44" fillId="4" borderId="44" xfId="6" applyFont="1" applyFill="1" applyBorder="1" applyAlignment="1">
      <alignment horizontal="center" vertical="center" wrapText="1"/>
    </xf>
    <xf numFmtId="169" fontId="43" fillId="4" borderId="44" xfId="1" applyFont="1" applyFill="1" applyBorder="1" applyAlignment="1">
      <alignment horizontal="center" vertical="center" wrapText="1"/>
    </xf>
    <xf numFmtId="1" fontId="40" fillId="16" borderId="44" xfId="1" applyNumberFormat="1" applyFont="1" applyFill="1" applyBorder="1" applyAlignment="1">
      <alignment horizontal="center" vertical="center"/>
    </xf>
    <xf numFmtId="170" fontId="40" fillId="0" borderId="44" xfId="1" applyNumberFormat="1" applyFont="1" applyFill="1" applyBorder="1" applyAlignment="1">
      <alignment horizontal="center" vertical="center"/>
    </xf>
    <xf numFmtId="167" fontId="40" fillId="0" borderId="44" xfId="1" applyNumberFormat="1" applyFont="1" applyFill="1" applyBorder="1" applyAlignment="1">
      <alignment horizontal="center" vertical="center" wrapText="1"/>
    </xf>
    <xf numFmtId="169" fontId="37" fillId="0" borderId="44" xfId="1" applyFont="1" applyFill="1" applyBorder="1" applyAlignment="1">
      <alignment horizontal="center" vertical="center"/>
    </xf>
    <xf numFmtId="169" fontId="38" fillId="0" borderId="44" xfId="1" applyFont="1" applyFill="1" applyBorder="1" applyAlignment="1">
      <alignment horizontal="center" vertical="center" wrapText="1"/>
    </xf>
    <xf numFmtId="0" fontId="38" fillId="12" borderId="44" xfId="0" applyFont="1" applyFill="1" applyBorder="1" applyAlignment="1">
      <alignment horizontal="center" vertical="center" wrapText="1"/>
    </xf>
    <xf numFmtId="0" fontId="41" fillId="12" borderId="44" xfId="0" applyFont="1" applyFill="1" applyBorder="1" applyAlignment="1">
      <alignment horizontal="center" vertical="center" wrapText="1"/>
    </xf>
    <xf numFmtId="172" fontId="38" fillId="0" borderId="44" xfId="6" applyNumberFormat="1" applyFont="1" applyFill="1" applyBorder="1" applyAlignment="1">
      <alignment horizontal="center" vertical="center" wrapText="1"/>
    </xf>
    <xf numFmtId="167" fontId="40" fillId="4" borderId="44" xfId="1" applyNumberFormat="1" applyFont="1" applyFill="1" applyBorder="1" applyAlignment="1">
      <alignment horizontal="center" vertical="center" wrapText="1"/>
    </xf>
    <xf numFmtId="0" fontId="38" fillId="17" borderId="44" xfId="0" applyFont="1" applyFill="1" applyBorder="1" applyAlignment="1">
      <alignment horizontal="center" vertical="center" wrapText="1"/>
    </xf>
    <xf numFmtId="171" fontId="37" fillId="14" borderId="44" xfId="1" applyNumberFormat="1" applyFont="1" applyFill="1" applyBorder="1" applyAlignment="1">
      <alignment horizontal="center"/>
    </xf>
    <xf numFmtId="169" fontId="37" fillId="14" borderId="44" xfId="1" applyFont="1" applyFill="1" applyBorder="1" applyAlignment="1">
      <alignment horizontal="center" vertical="center"/>
    </xf>
    <xf numFmtId="0" fontId="42" fillId="9" borderId="44" xfId="0" applyFont="1" applyFill="1" applyBorder="1" applyAlignment="1">
      <alignment horizontal="center" vertical="center"/>
    </xf>
    <xf numFmtId="9" fontId="38" fillId="0" borderId="44" xfId="6" applyFont="1" applyFill="1" applyBorder="1" applyAlignment="1">
      <alignment horizontal="center" vertical="center" wrapText="1"/>
    </xf>
    <xf numFmtId="0" fontId="38" fillId="17" borderId="17" xfId="0" applyFont="1" applyFill="1" applyBorder="1" applyAlignment="1">
      <alignment horizontal="center" vertical="center" wrapText="1"/>
    </xf>
    <xf numFmtId="0" fontId="44" fillId="4" borderId="44" xfId="6" applyNumberFormat="1" applyFont="1" applyFill="1" applyBorder="1" applyAlignment="1">
      <alignment horizontal="center" vertical="center" wrapText="1"/>
    </xf>
    <xf numFmtId="168" fontId="45" fillId="4" borderId="17" xfId="2" applyFont="1" applyFill="1" applyBorder="1" applyAlignment="1">
      <alignment horizontal="center" vertical="center" wrapText="1"/>
    </xf>
    <xf numFmtId="169" fontId="45" fillId="0" borderId="44" xfId="3" applyNumberFormat="1" applyFont="1" applyBorder="1" applyAlignment="1">
      <alignment horizontal="center" vertical="center" wrapText="1"/>
    </xf>
    <xf numFmtId="3" fontId="45" fillId="0" borderId="44" xfId="1" applyNumberFormat="1" applyFont="1" applyFill="1" applyBorder="1" applyAlignment="1">
      <alignment horizontal="center" vertical="center" wrapText="1"/>
    </xf>
    <xf numFmtId="169" fontId="45" fillId="4" borderId="17" xfId="1" applyFont="1" applyFill="1" applyBorder="1" applyAlignment="1">
      <alignment horizontal="center" vertical="center" wrapText="1"/>
    </xf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3" fillId="7" borderId="0" xfId="0" applyFont="1" applyFill="1"/>
    <xf numFmtId="0" fontId="3" fillId="18" borderId="0" xfId="0" applyFont="1" applyFill="1"/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/>
    </xf>
    <xf numFmtId="0" fontId="4" fillId="15" borderId="34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7" fillId="4" borderId="0" xfId="0" applyFont="1" applyFill="1"/>
    <xf numFmtId="0" fontId="29" fillId="4" borderId="0" xfId="0" applyFont="1" applyFill="1" applyAlignment="1">
      <alignment horizontal="left"/>
    </xf>
    <xf numFmtId="0" fontId="30" fillId="4" borderId="0" xfId="0" applyFont="1" applyFill="1" applyAlignment="1">
      <alignment horizontal="left"/>
    </xf>
    <xf numFmtId="167" fontId="17" fillId="16" borderId="32" xfId="0" applyNumberFormat="1" applyFont="1" applyFill="1" applyBorder="1" applyAlignment="1">
      <alignment horizontal="center" vertical="center" wrapText="1"/>
    </xf>
    <xf numFmtId="0" fontId="17" fillId="16" borderId="19" xfId="0" applyFont="1" applyFill="1" applyBorder="1" applyAlignment="1">
      <alignment horizontal="center" vertical="center" textRotation="90"/>
    </xf>
    <xf numFmtId="0" fontId="17" fillId="16" borderId="32" xfId="0" applyFont="1" applyFill="1" applyBorder="1" applyAlignment="1">
      <alignment horizontal="center" vertical="center" textRotation="90"/>
    </xf>
    <xf numFmtId="0" fontId="17" fillId="16" borderId="31" xfId="0" applyFont="1" applyFill="1" applyBorder="1" applyAlignment="1">
      <alignment horizontal="center" vertical="center" textRotation="90"/>
    </xf>
    <xf numFmtId="0" fontId="17" fillId="16" borderId="8" xfId="0" applyFont="1" applyFill="1" applyBorder="1" applyAlignment="1">
      <alignment horizontal="center" vertical="center" textRotation="90"/>
    </xf>
    <xf numFmtId="0" fontId="17" fillId="16" borderId="10" xfId="0" applyFont="1" applyFill="1" applyBorder="1" applyAlignment="1">
      <alignment horizontal="center" vertical="center" textRotation="90"/>
    </xf>
    <xf numFmtId="0" fontId="17" fillId="16" borderId="9" xfId="0" applyFont="1" applyFill="1" applyBorder="1" applyAlignment="1">
      <alignment horizontal="center" vertical="center" textRotation="90"/>
    </xf>
    <xf numFmtId="9" fontId="17" fillId="16" borderId="10" xfId="6" applyFont="1" applyFill="1" applyBorder="1" applyAlignment="1">
      <alignment horizontal="center" vertical="center" wrapText="1"/>
    </xf>
    <xf numFmtId="169" fontId="17" fillId="16" borderId="32" xfId="1" applyFont="1" applyFill="1" applyBorder="1" applyAlignment="1">
      <alignment horizontal="center" vertical="center" wrapText="1"/>
    </xf>
    <xf numFmtId="9" fontId="17" fillId="16" borderId="19" xfId="6" applyFont="1" applyFill="1" applyBorder="1" applyAlignment="1">
      <alignment horizontal="center" vertical="center" wrapText="1"/>
    </xf>
    <xf numFmtId="9" fontId="17" fillId="16" borderId="32" xfId="6" applyFont="1" applyFill="1" applyBorder="1" applyAlignment="1">
      <alignment horizontal="center" vertical="center" wrapText="1"/>
    </xf>
    <xf numFmtId="0" fontId="18" fillId="15" borderId="33" xfId="0" applyFont="1" applyFill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8" fillId="15" borderId="34" xfId="0" applyFont="1" applyFill="1" applyBorder="1" applyAlignment="1">
      <alignment horizontal="center" vertical="center" wrapText="1"/>
    </xf>
    <xf numFmtId="167" fontId="17" fillId="15" borderId="33" xfId="0" applyNumberFormat="1" applyFont="1" applyFill="1" applyBorder="1" applyAlignment="1">
      <alignment horizontal="center" vertical="center" wrapText="1"/>
    </xf>
    <xf numFmtId="167" fontId="17" fillId="15" borderId="34" xfId="0" applyNumberFormat="1" applyFont="1" applyFill="1" applyBorder="1" applyAlignment="1">
      <alignment horizontal="center" vertical="center" wrapText="1"/>
    </xf>
    <xf numFmtId="0" fontId="17" fillId="15" borderId="33" xfId="0" applyFont="1" applyFill="1" applyBorder="1" applyAlignment="1">
      <alignment horizontal="center" vertical="center"/>
    </xf>
    <xf numFmtId="0" fontId="17" fillId="15" borderId="2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19" fillId="16" borderId="19" xfId="0" applyFont="1" applyFill="1" applyBorder="1" applyAlignment="1">
      <alignment horizontal="center" vertical="center" textRotation="90" wrapText="1"/>
    </xf>
    <xf numFmtId="0" fontId="19" fillId="16" borderId="32" xfId="0" applyFont="1" applyFill="1" applyBorder="1" applyAlignment="1">
      <alignment horizontal="center" vertical="center" textRotation="90" wrapText="1"/>
    </xf>
    <xf numFmtId="0" fontId="0" fillId="16" borderId="32" xfId="0" applyFill="1" applyBorder="1" applyAlignment="1">
      <alignment textRotation="90"/>
    </xf>
    <xf numFmtId="0" fontId="35" fillId="17" borderId="32" xfId="0" applyFont="1" applyFill="1" applyBorder="1" applyAlignment="1">
      <alignment horizontal="center" vertical="center" wrapText="1"/>
    </xf>
    <xf numFmtId="0" fontId="35" fillId="17" borderId="31" xfId="0" applyFont="1" applyFill="1" applyBorder="1" applyAlignment="1">
      <alignment horizontal="center" vertical="center" wrapText="1"/>
    </xf>
    <xf numFmtId="0" fontId="19" fillId="16" borderId="28" xfId="0" quotePrefix="1" applyFont="1" applyFill="1" applyBorder="1" applyAlignment="1">
      <alignment horizontal="center" vertical="center" wrapText="1"/>
    </xf>
    <xf numFmtId="0" fontId="19" fillId="16" borderId="30" xfId="0" quotePrefix="1" applyFont="1" applyFill="1" applyBorder="1" applyAlignment="1">
      <alignment horizontal="center" vertical="center" wrapText="1"/>
    </xf>
    <xf numFmtId="0" fontId="17" fillId="16" borderId="19" xfId="0" applyFont="1" applyFill="1" applyBorder="1" applyAlignment="1">
      <alignment horizontal="center" vertical="center" wrapText="1"/>
    </xf>
    <xf numFmtId="0" fontId="17" fillId="16" borderId="32" xfId="0" applyFont="1" applyFill="1" applyBorder="1" applyAlignment="1">
      <alignment horizontal="center" vertical="center" wrapText="1"/>
    </xf>
    <xf numFmtId="167" fontId="17" fillId="16" borderId="19" xfId="0" applyNumberFormat="1" applyFont="1" applyFill="1" applyBorder="1" applyAlignment="1">
      <alignment horizontal="center" vertical="center" wrapText="1"/>
    </xf>
    <xf numFmtId="167" fontId="17" fillId="16" borderId="31" xfId="0" applyNumberFormat="1" applyFont="1" applyFill="1" applyBorder="1" applyAlignment="1">
      <alignment horizontal="center" vertical="center" wrapText="1"/>
    </xf>
    <xf numFmtId="0" fontId="17" fillId="16" borderId="32" xfId="0" quotePrefix="1" applyFont="1" applyFill="1" applyBorder="1" applyAlignment="1">
      <alignment horizontal="center" vertical="center" wrapText="1"/>
    </xf>
    <xf numFmtId="167" fontId="7" fillId="16" borderId="19" xfId="0" applyNumberFormat="1" applyFont="1" applyFill="1" applyBorder="1" applyAlignment="1">
      <alignment horizontal="center" vertical="center" textRotation="90" wrapText="1"/>
    </xf>
    <xf numFmtId="167" fontId="7" fillId="16" borderId="32" xfId="0" applyNumberFormat="1" applyFont="1" applyFill="1" applyBorder="1" applyAlignment="1">
      <alignment horizontal="center" vertical="center" textRotation="90" wrapText="1"/>
    </xf>
    <xf numFmtId="167" fontId="7" fillId="16" borderId="31" xfId="0" applyNumberFormat="1" applyFont="1" applyFill="1" applyBorder="1" applyAlignment="1">
      <alignment horizontal="center" vertical="center" textRotation="90" wrapText="1"/>
    </xf>
    <xf numFmtId="0" fontId="19" fillId="16" borderId="5" xfId="0" quotePrefix="1" applyFont="1" applyFill="1" applyBorder="1" applyAlignment="1">
      <alignment horizontal="center" vertical="center" wrapText="1"/>
    </xf>
    <xf numFmtId="0" fontId="19" fillId="16" borderId="8" xfId="0" quotePrefix="1" applyFont="1" applyFill="1" applyBorder="1" applyAlignment="1">
      <alignment horizontal="center" vertical="center" wrapText="1"/>
    </xf>
    <xf numFmtId="169" fontId="19" fillId="15" borderId="10" xfId="1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 wrapText="1"/>
    </xf>
    <xf numFmtId="0" fontId="17" fillId="16" borderId="2" xfId="0" quotePrefix="1" applyFont="1" applyFill="1" applyBorder="1" applyAlignment="1">
      <alignment horizontal="center" vertical="center" wrapText="1"/>
    </xf>
    <xf numFmtId="0" fontId="17" fillId="16" borderId="3" xfId="0" quotePrefix="1" applyFont="1" applyFill="1" applyBorder="1" applyAlignment="1">
      <alignment horizontal="center" vertical="center" wrapText="1"/>
    </xf>
    <xf numFmtId="167" fontId="17" fillId="15" borderId="5" xfId="0" applyNumberFormat="1" applyFont="1" applyFill="1" applyBorder="1" applyAlignment="1">
      <alignment horizontal="center" vertical="center" wrapText="1"/>
    </xf>
    <xf numFmtId="167" fontId="17" fillId="15" borderId="8" xfId="0" applyNumberFormat="1" applyFont="1" applyFill="1" applyBorder="1" applyAlignment="1">
      <alignment horizontal="center" vertical="center" wrapText="1"/>
    </xf>
    <xf numFmtId="0" fontId="19" fillId="16" borderId="15" xfId="0" quotePrefix="1" applyFont="1" applyFill="1" applyBorder="1" applyAlignment="1">
      <alignment horizontal="center" vertical="center" wrapText="1"/>
    </xf>
    <xf numFmtId="0" fontId="19" fillId="16" borderId="16" xfId="0" quotePrefix="1" applyFont="1" applyFill="1" applyBorder="1" applyAlignment="1">
      <alignment horizontal="center" vertical="center" wrapText="1"/>
    </xf>
    <xf numFmtId="0" fontId="19" fillId="16" borderId="38" xfId="0" quotePrefix="1" applyFont="1" applyFill="1" applyBorder="1" applyAlignment="1">
      <alignment horizontal="center" vertical="center" wrapText="1"/>
    </xf>
    <xf numFmtId="0" fontId="17" fillId="11" borderId="45" xfId="0" applyFont="1" applyFill="1" applyBorder="1" applyAlignment="1">
      <alignment horizontal="center" vertical="center" textRotation="90" wrapText="1"/>
    </xf>
    <xf numFmtId="0" fontId="17" fillId="11" borderId="46" xfId="0" applyFont="1" applyFill="1" applyBorder="1" applyAlignment="1">
      <alignment horizontal="center" vertical="center" textRotation="90" wrapText="1"/>
    </xf>
    <xf numFmtId="0" fontId="17" fillId="11" borderId="47" xfId="0" applyFont="1" applyFill="1" applyBorder="1" applyAlignment="1">
      <alignment horizontal="center" vertical="center" textRotation="90" wrapText="1"/>
    </xf>
    <xf numFmtId="0" fontId="17" fillId="10" borderId="35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" vertical="center" wrapText="1"/>
    </xf>
    <xf numFmtId="0" fontId="17" fillId="10" borderId="39" xfId="0" applyFont="1" applyFill="1" applyBorder="1" applyAlignment="1">
      <alignment horizontal="center" vertical="center" wrapText="1"/>
    </xf>
    <xf numFmtId="0" fontId="19" fillId="15" borderId="41" xfId="3" applyFont="1" applyFill="1" applyBorder="1" applyAlignment="1">
      <alignment horizontal="center" vertical="center" wrapText="1"/>
    </xf>
    <xf numFmtId="0" fontId="19" fillId="15" borderId="30" xfId="3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9" fillId="15" borderId="35" xfId="4" applyFont="1" applyFill="1" applyBorder="1" applyAlignment="1">
      <alignment horizontal="center" vertical="center" textRotation="90" wrapText="1"/>
    </xf>
    <xf numFmtId="0" fontId="19" fillId="15" borderId="42" xfId="4" applyFont="1" applyFill="1" applyBorder="1" applyAlignment="1">
      <alignment horizontal="center" vertical="center" textRotation="90" wrapText="1"/>
    </xf>
    <xf numFmtId="9" fontId="17" fillId="15" borderId="22" xfId="6" applyFont="1" applyFill="1" applyBorder="1" applyAlignment="1">
      <alignment horizontal="center" vertical="center" wrapText="1"/>
    </xf>
    <xf numFmtId="9" fontId="17" fillId="15" borderId="43" xfId="6" applyFont="1" applyFill="1" applyBorder="1" applyAlignment="1">
      <alignment horizontal="center" vertical="center" wrapText="1"/>
    </xf>
    <xf numFmtId="4" fontId="19" fillId="15" borderId="22" xfId="3" applyNumberFormat="1" applyFont="1" applyFill="1" applyBorder="1" applyAlignment="1">
      <alignment horizontal="center" vertical="center" wrapText="1"/>
    </xf>
    <xf numFmtId="4" fontId="19" fillId="15" borderId="43" xfId="3" applyNumberFormat="1" applyFont="1" applyFill="1" applyBorder="1" applyAlignment="1">
      <alignment horizontal="center" vertical="center" wrapText="1"/>
    </xf>
    <xf numFmtId="0" fontId="19" fillId="15" borderId="22" xfId="3" applyFont="1" applyFill="1" applyBorder="1" applyAlignment="1">
      <alignment horizontal="center" vertical="center" wrapText="1"/>
    </xf>
    <xf numFmtId="0" fontId="19" fillId="15" borderId="43" xfId="3" applyFont="1" applyFill="1" applyBorder="1" applyAlignment="1">
      <alignment horizontal="center" vertical="center" wrapText="1"/>
    </xf>
    <xf numFmtId="0" fontId="19" fillId="15" borderId="39" xfId="3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0" fontId="24" fillId="4" borderId="20" xfId="4" applyFont="1" applyFill="1" applyBorder="1" applyAlignment="1">
      <alignment horizontal="center" vertical="center" wrapText="1"/>
    </xf>
    <xf numFmtId="0" fontId="24" fillId="4" borderId="34" xfId="4" applyFont="1" applyFill="1" applyBorder="1" applyAlignment="1">
      <alignment horizontal="center" vertical="center" wrapText="1"/>
    </xf>
    <xf numFmtId="0" fontId="19" fillId="15" borderId="24" xfId="3" applyFont="1" applyFill="1" applyBorder="1" applyAlignment="1">
      <alignment horizontal="center" vertical="center" wrapText="1"/>
    </xf>
    <xf numFmtId="0" fontId="19" fillId="15" borderId="36" xfId="4" applyFont="1" applyFill="1" applyBorder="1" applyAlignment="1">
      <alignment horizontal="center" vertical="center" textRotation="90" wrapText="1"/>
    </xf>
    <xf numFmtId="9" fontId="17" fillId="15" borderId="25" xfId="6" applyFont="1" applyFill="1" applyBorder="1" applyAlignment="1">
      <alignment horizontal="center" vertical="center" wrapText="1"/>
    </xf>
    <xf numFmtId="4" fontId="19" fillId="15" borderId="24" xfId="3" applyNumberFormat="1" applyFont="1" applyFill="1" applyBorder="1" applyAlignment="1">
      <alignment horizontal="center" vertical="center" wrapText="1"/>
    </xf>
    <xf numFmtId="171" fontId="17" fillId="15" borderId="22" xfId="1" applyNumberFormat="1" applyFont="1" applyFill="1" applyBorder="1" applyAlignment="1">
      <alignment horizontal="center" vertical="center" textRotation="90"/>
    </xf>
    <xf numFmtId="171" fontId="17" fillId="15" borderId="25" xfId="1" applyNumberFormat="1" applyFont="1" applyFill="1" applyBorder="1" applyAlignment="1">
      <alignment horizontal="center" vertical="center" textRotation="90"/>
    </xf>
    <xf numFmtId="171" fontId="17" fillId="15" borderId="43" xfId="1" applyNumberFormat="1" applyFont="1" applyFill="1" applyBorder="1" applyAlignment="1">
      <alignment horizontal="center" vertical="center" textRotation="90"/>
    </xf>
    <xf numFmtId="0" fontId="17" fillId="15" borderId="22" xfId="0" applyFont="1" applyFill="1" applyBorder="1" applyAlignment="1">
      <alignment horizontal="center" vertical="center" textRotation="90" wrapText="1"/>
    </xf>
    <xf numFmtId="0" fontId="17" fillId="15" borderId="25" xfId="0" applyFont="1" applyFill="1" applyBorder="1" applyAlignment="1">
      <alignment horizontal="center" vertical="center" textRotation="90" wrapText="1"/>
    </xf>
    <xf numFmtId="0" fontId="17" fillId="15" borderId="43" xfId="0" applyFont="1" applyFill="1" applyBorder="1" applyAlignment="1">
      <alignment horizontal="center" vertical="center" textRotation="90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0" xfId="3" applyFont="1" applyFill="1" applyBorder="1" applyAlignment="1">
      <alignment horizontal="center" vertical="center" wrapText="1"/>
    </xf>
    <xf numFmtId="0" fontId="17" fillId="15" borderId="19" xfId="0" applyFont="1" applyFill="1" applyBorder="1" applyAlignment="1">
      <alignment horizontal="center" vertical="center" textRotation="90"/>
    </xf>
    <xf numFmtId="0" fontId="17" fillId="15" borderId="32" xfId="0" applyFont="1" applyFill="1" applyBorder="1" applyAlignment="1">
      <alignment horizontal="center" vertical="center" textRotation="90"/>
    </xf>
    <xf numFmtId="0" fontId="17" fillId="15" borderId="31" xfId="0" applyFont="1" applyFill="1" applyBorder="1" applyAlignment="1">
      <alignment horizontal="center" vertical="center" textRotation="90"/>
    </xf>
    <xf numFmtId="167" fontId="17" fillId="15" borderId="19" xfId="0" applyNumberFormat="1" applyFont="1" applyFill="1" applyBorder="1" applyAlignment="1">
      <alignment horizontal="center" vertical="center" wrapText="1"/>
    </xf>
    <xf numFmtId="167" fontId="17" fillId="15" borderId="32" xfId="0" applyNumberFormat="1" applyFont="1" applyFill="1" applyBorder="1" applyAlignment="1">
      <alignment horizontal="center" vertical="center" wrapText="1"/>
    </xf>
    <xf numFmtId="167" fontId="17" fillId="15" borderId="31" xfId="0" applyNumberFormat="1" applyFont="1" applyFill="1" applyBorder="1" applyAlignment="1">
      <alignment horizontal="center" vertical="center" wrapText="1"/>
    </xf>
    <xf numFmtId="0" fontId="19" fillId="17" borderId="24" xfId="3" applyFont="1" applyFill="1" applyBorder="1" applyAlignment="1">
      <alignment horizontal="center" vertical="center" wrapText="1"/>
    </xf>
    <xf numFmtId="0" fontId="19" fillId="17" borderId="43" xfId="3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310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50B4C8"/>
        </patternFill>
      </fill>
      <alignment horizontal="center" vertical="center" textRotation="0" wrapText="0" indent="0" justifyLastLine="0" shrinkToFit="0" readingOrder="0"/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309"/>
      <tableStyleElement type="headerRow" dxfId="308"/>
      <tableStyleElement type="firstRowStripe" dxfId="307"/>
      <tableStyleElement type="secondRowStripe" dxfId="306"/>
    </tableStyle>
    <tableStyle name="Estilo de tabla dinámica 1" table="0" count="1" xr9:uid="{00000000-0011-0000-FFFF-FFFF01000000}">
      <tableStyleElement type="headerRow" dxfId="305"/>
    </tableStyle>
  </tableStyles>
  <colors>
    <mruColors>
      <color rgb="FFFFC8FF"/>
      <color rgb="FF50B4C8"/>
      <color rgb="FFE1EBFA"/>
      <color rgb="FF508228"/>
      <color rgb="FFD28660"/>
      <color rgb="FFF0DCC8"/>
      <color rgb="FFE903CE"/>
      <color rgb="FFE26B0A"/>
      <color rgb="FFFFEBFF"/>
      <color rgb="FFF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0</xdr:row>
      <xdr:rowOff>66675</xdr:rowOff>
    </xdr:from>
    <xdr:to>
      <xdr:col>7</xdr:col>
      <xdr:colOff>752475</xdr:colOff>
      <xdr:row>0</xdr:row>
      <xdr:rowOff>337386</xdr:rowOff>
    </xdr:to>
    <xdr:sp macro="[0]!RESUMEN" textlink="">
      <xdr:nvSpPr>
        <xdr:cNvPr id="14" name="FIG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 bwMode="auto">
        <a:xfrm>
          <a:off x="5848350" y="66675"/>
          <a:ext cx="714375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RESUMEN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2:F4" totalsRowShown="0" headerRowDxfId="1">
  <autoFilter ref="B2:F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o."/>
    <tableColumn id="2" xr3:uid="{00000000-0010-0000-0000-000002000000}" name="NOMBRE DEL PROPONENTE"/>
    <tableColumn id="3" xr3:uid="{00000000-0010-0000-0000-000003000000}" name="CAP. FINANCIERA"/>
    <tableColumn id="4" xr3:uid="{00000000-0010-0000-0000-000004000000}" name="CAP. ORGANIZACIÓN"/>
    <tableColumn id="5" xr3:uid="{00000000-0010-0000-0000-000005000000}" name="CAP. RESIDUAL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activeCell="E34" sqref="E34"/>
      <selection pane="topRight" activeCell="E34" sqref="E34"/>
      <selection pane="bottomLeft" activeCell="E34" sqref="E34"/>
      <selection pane="bottomRight" activeCell="I8" sqref="I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285" t="s">
        <v>4</v>
      </c>
      <c r="C4" s="286"/>
      <c r="D4" s="289" t="s">
        <v>5</v>
      </c>
      <c r="E4" s="291" t="s">
        <v>107</v>
      </c>
      <c r="F4" s="292"/>
      <c r="G4" s="292"/>
      <c r="H4" s="292"/>
      <c r="I4" s="292"/>
      <c r="J4" s="292"/>
      <c r="K4" s="292"/>
      <c r="L4" s="292"/>
      <c r="M4" s="292"/>
      <c r="N4" s="292"/>
      <c r="O4" s="293"/>
      <c r="P4" s="282" t="s">
        <v>111</v>
      </c>
      <c r="Q4" s="283"/>
      <c r="R4" s="283"/>
      <c r="S4" s="284"/>
      <c r="T4" s="282" t="s">
        <v>112</v>
      </c>
      <c r="U4" s="283"/>
      <c r="V4" s="283"/>
      <c r="W4" s="284"/>
    </row>
    <row r="5" spans="2:32" ht="39" thickBot="1" x14ac:dyDescent="0.25">
      <c r="B5" s="287"/>
      <c r="C5" s="288"/>
      <c r="D5" s="290"/>
      <c r="E5" s="30" t="s">
        <v>96</v>
      </c>
      <c r="F5" s="31" t="s">
        <v>97</v>
      </c>
      <c r="G5" s="31" t="s">
        <v>98</v>
      </c>
      <c r="H5" s="31" t="s">
        <v>99</v>
      </c>
      <c r="I5" s="31" t="s">
        <v>100</v>
      </c>
      <c r="J5" s="31" t="s">
        <v>101</v>
      </c>
      <c r="K5" s="31" t="s">
        <v>102</v>
      </c>
      <c r="L5" s="31" t="s">
        <v>103</v>
      </c>
      <c r="M5" s="31" t="s">
        <v>104</v>
      </c>
      <c r="N5" s="31" t="s">
        <v>105</v>
      </c>
      <c r="O5" s="32" t="s">
        <v>106</v>
      </c>
      <c r="P5" s="33" t="s">
        <v>108</v>
      </c>
      <c r="Q5" s="34" t="s">
        <v>102</v>
      </c>
      <c r="R5" s="34" t="s">
        <v>109</v>
      </c>
      <c r="S5" s="35" t="s">
        <v>110</v>
      </c>
      <c r="T5" s="33" t="s">
        <v>108</v>
      </c>
      <c r="U5" s="34" t="s">
        <v>102</v>
      </c>
      <c r="V5" s="34" t="s">
        <v>109</v>
      </c>
      <c r="W5" s="35" t="s">
        <v>110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294">
        <v>1</v>
      </c>
      <c r="C7" s="46"/>
      <c r="D7" s="65" t="s">
        <v>122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295"/>
      <c r="C8" s="63">
        <v>1.1000000000000001</v>
      </c>
      <c r="D8" s="57" t="s">
        <v>123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295"/>
      <c r="C9" s="63">
        <v>1.2</v>
      </c>
      <c r="D9" s="57" t="s">
        <v>124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295"/>
      <c r="C10" s="63">
        <v>1.3</v>
      </c>
      <c r="D10" s="57" t="s">
        <v>125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295"/>
      <c r="C11" s="63">
        <v>1.4</v>
      </c>
      <c r="D11" s="57" t="s">
        <v>126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295"/>
      <c r="C12" s="63">
        <v>1.5</v>
      </c>
      <c r="D12" s="57" t="s">
        <v>127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295"/>
      <c r="C13" s="63">
        <v>1.6</v>
      </c>
      <c r="D13" s="57" t="s">
        <v>128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129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295">
        <v>3</v>
      </c>
      <c r="C15" s="63"/>
      <c r="D15" s="59" t="s">
        <v>130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295"/>
      <c r="C16" s="63">
        <v>3.1</v>
      </c>
      <c r="D16" s="57" t="s">
        <v>131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295"/>
      <c r="C17" s="63">
        <v>3.2</v>
      </c>
      <c r="D17" s="57" t="s">
        <v>132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295"/>
      <c r="C18" s="63">
        <v>3.3</v>
      </c>
      <c r="D18" s="57" t="s">
        <v>133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295"/>
      <c r="C19" s="63">
        <v>3.4</v>
      </c>
      <c r="D19" s="57" t="s">
        <v>134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295"/>
      <c r="C20" s="63">
        <v>3.5</v>
      </c>
      <c r="D20" s="57" t="s">
        <v>135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295"/>
      <c r="C21" s="63">
        <v>3.6</v>
      </c>
      <c r="D21" s="57" t="s">
        <v>136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295">
        <v>4</v>
      </c>
      <c r="C22" s="63"/>
      <c r="D22" s="59" t="s">
        <v>137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295"/>
      <c r="C23" s="63">
        <v>4.0999999999999996</v>
      </c>
      <c r="D23" s="57" t="s">
        <v>138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295"/>
      <c r="C24" s="63">
        <v>4.2</v>
      </c>
      <c r="D24" s="57" t="s">
        <v>139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295"/>
      <c r="C25" s="63">
        <v>4.3</v>
      </c>
      <c r="D25" s="57" t="s">
        <v>140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295"/>
      <c r="C26" s="63">
        <v>4.4000000000000004</v>
      </c>
      <c r="D26" s="57" t="s">
        <v>141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295">
        <v>5</v>
      </c>
      <c r="C27" s="63"/>
      <c r="D27" s="59" t="s">
        <v>142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295"/>
      <c r="C28" s="63">
        <v>5.0999999999999996</v>
      </c>
      <c r="D28" s="57" t="s">
        <v>143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295"/>
      <c r="C29" s="63">
        <v>5.2</v>
      </c>
      <c r="D29" s="57" t="s">
        <v>144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295"/>
      <c r="C30" s="63">
        <v>5.3</v>
      </c>
      <c r="D30" s="57" t="s">
        <v>145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295"/>
      <c r="C31" s="63">
        <v>5.4</v>
      </c>
      <c r="D31" s="57" t="s">
        <v>146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3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280" t="s">
        <v>147</v>
      </c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9"/>
    </row>
    <row r="36" spans="2:23" x14ac:dyDescent="0.2">
      <c r="B36" s="2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9"/>
    </row>
    <row r="37" spans="2:23" x14ac:dyDescent="0.2">
      <c r="B37" s="2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9"/>
    </row>
    <row r="38" spans="2:23" x14ac:dyDescent="0.2">
      <c r="B38" s="2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0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workbookViewId="0">
      <selection activeCell="C2" sqref="C2"/>
    </sheetView>
  </sheetViews>
  <sheetFormatPr baseColWidth="10" defaultColWidth="11.42578125" defaultRowHeight="12.75" x14ac:dyDescent="0.2"/>
  <cols>
    <col min="1" max="1" width="11.42578125" style="126"/>
    <col min="2" max="2" width="21" style="126" bestFit="1" customWidth="1"/>
    <col min="3" max="3" width="16.5703125" style="126" bestFit="1" customWidth="1"/>
    <col min="4" max="4" width="21" style="126" bestFit="1" customWidth="1"/>
    <col min="5" max="5" width="4.7109375" style="126" customWidth="1"/>
    <col min="6" max="6" width="14.42578125" style="126" hidden="1" customWidth="1"/>
    <col min="7" max="7" width="4.7109375" style="124" customWidth="1"/>
    <col min="8" max="8" width="21" style="124" bestFit="1" customWidth="1"/>
    <col min="9" max="9" width="4.7109375" style="124" customWidth="1"/>
    <col min="10" max="10" width="21.42578125" style="124" customWidth="1"/>
    <col min="11" max="11" width="12.85546875" style="127" bestFit="1" customWidth="1"/>
    <col min="12" max="12" width="13.85546875" style="127" bestFit="1" customWidth="1"/>
    <col min="13" max="16384" width="11.42578125" style="124"/>
  </cols>
  <sheetData>
    <row r="1" spans="1:10" ht="43.5" customHeight="1" thickBot="1" x14ac:dyDescent="0.25">
      <c r="A1" s="160" t="s">
        <v>206</v>
      </c>
      <c r="B1" s="161">
        <v>1</v>
      </c>
      <c r="C1" s="161" t="s">
        <v>0</v>
      </c>
      <c r="D1" s="162" t="s">
        <v>178</v>
      </c>
      <c r="E1" s="123"/>
      <c r="F1" s="163" t="s">
        <v>256</v>
      </c>
      <c r="H1" s="163" t="s">
        <v>225</v>
      </c>
      <c r="J1" s="163" t="s">
        <v>226</v>
      </c>
    </row>
    <row r="2" spans="1:10" x14ac:dyDescent="0.2">
      <c r="A2" s="146">
        <v>1</v>
      </c>
      <c r="B2" s="147">
        <v>881383180</v>
      </c>
      <c r="C2" s="148">
        <v>3</v>
      </c>
      <c r="D2" s="147">
        <f>+B2*0</f>
        <v>0</v>
      </c>
      <c r="E2" s="125"/>
      <c r="F2" s="149">
        <v>1160000</v>
      </c>
      <c r="H2" s="150">
        <f>+B2*J2</f>
        <v>88138318</v>
      </c>
      <c r="J2" s="151">
        <f>IF(B2&lt;=10000000000,0.1,IF(AND(B2&gt;=10000000001,B2&lt;=20000000000),0.2,IF(B2&gt;=20000000001,0.3,0)))</f>
        <v>0.1</v>
      </c>
    </row>
    <row r="9" spans="1:10" x14ac:dyDescent="0.2">
      <c r="C9" s="276"/>
    </row>
    <row r="16" spans="1:10" x14ac:dyDescent="0.2">
      <c r="E16" s="277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2" type="noConversion"/>
  <conditionalFormatting sqref="A2:D2 F2 H2 J2">
    <cfRule type="expression" dxfId="303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zoomScale="85" zoomScaleNormal="85" workbookViewId="0">
      <selection activeCell="D7" sqref="D7"/>
    </sheetView>
  </sheetViews>
  <sheetFormatPr baseColWidth="10" defaultColWidth="11.42578125" defaultRowHeight="12.75" x14ac:dyDescent="0.2"/>
  <cols>
    <col min="1" max="2" width="11.42578125" style="83"/>
    <col min="3" max="3" width="15.28515625" style="83" bestFit="1" customWidth="1"/>
    <col min="4" max="4" width="11.42578125" style="83"/>
    <col min="5" max="5" width="4.7109375" style="83" customWidth="1"/>
    <col min="6" max="6" width="11.42578125" style="83"/>
    <col min="7" max="7" width="11.42578125" style="83" customWidth="1"/>
    <col min="8" max="8" width="11.42578125" style="83"/>
    <col min="9" max="9" width="4.7109375" style="83" customWidth="1"/>
    <col min="10" max="12" width="11.42578125" style="83"/>
    <col min="13" max="13" width="4.7109375" style="83" customWidth="1"/>
    <col min="14" max="16384" width="11.42578125" style="83"/>
  </cols>
  <sheetData>
    <row r="1" spans="2:12" ht="13.5" thickBot="1" x14ac:dyDescent="0.25"/>
    <row r="2" spans="2:12" ht="13.5" thickBot="1" x14ac:dyDescent="0.25">
      <c r="B2" s="296" t="s">
        <v>182</v>
      </c>
      <c r="C2" s="297"/>
      <c r="D2" s="298"/>
      <c r="F2" s="296" t="s">
        <v>188</v>
      </c>
      <c r="G2" s="297"/>
      <c r="H2" s="298"/>
      <c r="J2" s="296" t="s">
        <v>196</v>
      </c>
      <c r="K2" s="297"/>
      <c r="L2" s="298"/>
    </row>
    <row r="3" spans="2:12" ht="13.5" thickBot="1" x14ac:dyDescent="0.25">
      <c r="B3" s="164" t="s">
        <v>192</v>
      </c>
      <c r="C3" s="165" t="s">
        <v>194</v>
      </c>
      <c r="D3" s="166" t="s">
        <v>193</v>
      </c>
      <c r="F3" s="164" t="s">
        <v>192</v>
      </c>
      <c r="G3" s="165" t="s">
        <v>194</v>
      </c>
      <c r="H3" s="166" t="s">
        <v>193</v>
      </c>
      <c r="J3" s="164" t="s">
        <v>197</v>
      </c>
      <c r="K3" s="165" t="s">
        <v>198</v>
      </c>
      <c r="L3" s="166" t="s">
        <v>193</v>
      </c>
    </row>
    <row r="4" spans="2:12" x14ac:dyDescent="0.2">
      <c r="B4" s="99">
        <v>0</v>
      </c>
      <c r="C4" s="99">
        <v>0.5</v>
      </c>
      <c r="D4" s="99">
        <v>20</v>
      </c>
      <c r="F4" s="99">
        <v>0</v>
      </c>
      <c r="G4" s="99">
        <v>3</v>
      </c>
      <c r="H4" s="99">
        <v>60</v>
      </c>
      <c r="J4" s="99">
        <v>1</v>
      </c>
      <c r="K4" s="99">
        <v>5</v>
      </c>
      <c r="L4" s="99">
        <v>20</v>
      </c>
    </row>
    <row r="5" spans="2:12" x14ac:dyDescent="0.2">
      <c r="B5" s="100">
        <v>0.5</v>
      </c>
      <c r="C5" s="100">
        <v>0.75</v>
      </c>
      <c r="D5" s="100">
        <v>25</v>
      </c>
      <c r="F5" s="100">
        <v>3</v>
      </c>
      <c r="G5" s="100">
        <v>6</v>
      </c>
      <c r="H5" s="100">
        <v>80</v>
      </c>
      <c r="J5" s="100">
        <v>6</v>
      </c>
      <c r="K5" s="100">
        <v>10</v>
      </c>
      <c r="L5" s="100">
        <v>30</v>
      </c>
    </row>
    <row r="6" spans="2:12" ht="13.5" thickBot="1" x14ac:dyDescent="0.25">
      <c r="B6" s="100">
        <v>0.75</v>
      </c>
      <c r="C6" s="106">
        <v>1</v>
      </c>
      <c r="D6" s="100">
        <v>30</v>
      </c>
      <c r="F6" s="100">
        <v>6</v>
      </c>
      <c r="G6" s="100">
        <v>10</v>
      </c>
      <c r="H6" s="100">
        <v>100</v>
      </c>
      <c r="J6" s="101">
        <v>11</v>
      </c>
      <c r="K6" s="102" t="s">
        <v>195</v>
      </c>
      <c r="L6" s="101">
        <v>40</v>
      </c>
    </row>
    <row r="7" spans="2:12" ht="13.5" thickBot="1" x14ac:dyDescent="0.25">
      <c r="B7" s="105">
        <v>1</v>
      </c>
      <c r="C7" s="104">
        <v>1.5</v>
      </c>
      <c r="D7" s="103">
        <v>35</v>
      </c>
      <c r="F7" s="101">
        <v>10</v>
      </c>
      <c r="G7" s="102" t="s">
        <v>195</v>
      </c>
      <c r="H7" s="101">
        <v>120</v>
      </c>
      <c r="J7" s="107"/>
      <c r="K7" s="108"/>
      <c r="L7" s="107"/>
    </row>
    <row r="8" spans="2:12" ht="13.5" thickBot="1" x14ac:dyDescent="0.25">
      <c r="B8" s="101">
        <v>1.5</v>
      </c>
      <c r="C8" s="102" t="s">
        <v>195</v>
      </c>
      <c r="D8" s="101">
        <v>40</v>
      </c>
    </row>
  </sheetData>
  <mergeCells count="3">
    <mergeCell ref="B2:D2"/>
    <mergeCell ref="J2:L2"/>
    <mergeCell ref="F2:H2"/>
  </mergeCells>
  <conditionalFormatting sqref="B4:D8 F4:H7 J4:L6">
    <cfRule type="expression" dxfId="302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J33"/>
  <sheetViews>
    <sheetView zoomScale="70" zoomScaleNormal="70" zoomScaleSheetLayoutView="100" workbookViewId="0">
      <pane ySplit="5" topLeftCell="A10" activePane="bottomLeft" state="frozen"/>
      <selection pane="bottomLeft" activeCell="J21" sqref="J21"/>
    </sheetView>
  </sheetViews>
  <sheetFormatPr baseColWidth="10" defaultColWidth="11.42578125" defaultRowHeight="18" customHeight="1" x14ac:dyDescent="0.2"/>
  <cols>
    <col min="1" max="1" width="19.85546875" style="75" customWidth="1"/>
    <col min="2" max="2" width="8.85546875" style="75" bestFit="1" customWidth="1"/>
    <col min="3" max="3" width="64" style="75" customWidth="1"/>
    <col min="4" max="4" width="17.42578125" style="75" customWidth="1"/>
    <col min="5" max="5" width="25" style="75" customWidth="1"/>
    <col min="6" max="6" width="26.7109375" style="78" customWidth="1"/>
    <col min="7" max="7" width="25" style="78" bestFit="1" customWidth="1"/>
    <col min="8" max="9" width="23.140625" style="78" customWidth="1"/>
    <col min="10" max="10" width="28.7109375" style="79" customWidth="1"/>
    <col min="11" max="11" width="23" style="79" customWidth="1"/>
    <col min="12" max="12" width="20.85546875" style="79" customWidth="1"/>
    <col min="13" max="13" width="4.140625" style="80" bestFit="1" customWidth="1"/>
    <col min="14" max="14" width="8" style="80" bestFit="1" customWidth="1"/>
    <col min="15" max="15" width="8" style="80" hidden="1" customWidth="1"/>
    <col min="16" max="16" width="19.5703125" style="80" hidden="1" customWidth="1"/>
    <col min="17" max="17" width="21.7109375" style="80" bestFit="1" customWidth="1"/>
    <col min="18" max="18" width="24.85546875" style="80" customWidth="1"/>
    <col min="19" max="19" width="21.5703125" style="80" customWidth="1"/>
    <col min="20" max="20" width="11" style="80" customWidth="1"/>
    <col min="21" max="22" width="14.7109375" style="80" customWidth="1"/>
    <col min="23" max="23" width="19.7109375" style="80" customWidth="1"/>
    <col min="24" max="24" width="21.7109375" style="80" customWidth="1"/>
    <col min="25" max="25" width="20.42578125" style="80" hidden="1" customWidth="1"/>
    <col min="26" max="26" width="25.7109375" style="80" customWidth="1"/>
    <col min="27" max="27" width="14.7109375" style="80" customWidth="1"/>
    <col min="28" max="28" width="15.85546875" style="78" customWidth="1"/>
    <col min="29" max="29" width="7.85546875" style="75" hidden="1" customWidth="1"/>
    <col min="30" max="30" width="17.140625" style="75" hidden="1" customWidth="1"/>
    <col min="31" max="31" width="19.42578125" style="75" hidden="1" customWidth="1"/>
    <col min="32" max="32" width="18.5703125" style="81" customWidth="1"/>
    <col min="33" max="33" width="14.140625" style="75" bestFit="1" customWidth="1"/>
    <col min="34" max="34" width="20.85546875" style="81" customWidth="1"/>
    <col min="35" max="35" width="14.140625" style="75" bestFit="1" customWidth="1"/>
    <col min="36" max="36" width="17.28515625" style="75" customWidth="1"/>
    <col min="37" max="16384" width="11.42578125" style="75"/>
  </cols>
  <sheetData>
    <row r="1" spans="1:36" ht="18" customHeight="1" x14ac:dyDescent="0.2"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</row>
    <row r="2" spans="1:36" s="76" customFormat="1" ht="23.25" x14ac:dyDescent="0.35">
      <c r="B2" s="302" t="s">
        <v>149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2"/>
      <c r="AH2" s="302"/>
      <c r="AI2" s="302"/>
      <c r="AJ2" s="302"/>
    </row>
    <row r="3" spans="1:36" s="76" customFormat="1" x14ac:dyDescent="0.25">
      <c r="B3" s="301" t="s">
        <v>266</v>
      </c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</row>
    <row r="4" spans="1:36" ht="18" customHeight="1" x14ac:dyDescent="0.25">
      <c r="B4" s="300" t="s">
        <v>267</v>
      </c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</row>
    <row r="5" spans="1:36" ht="18" customHeight="1" x14ac:dyDescent="0.2">
      <c r="B5" s="321" t="s">
        <v>148</v>
      </c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</row>
    <row r="6" spans="1:36" ht="18" customHeight="1" thickBot="1" x14ac:dyDescent="0.25"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44"/>
      <c r="R6" s="82"/>
      <c r="S6" s="82"/>
      <c r="T6" s="82" t="s">
        <v>247</v>
      </c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</row>
    <row r="7" spans="1:36" ht="44.25" customHeight="1" thickBot="1" x14ac:dyDescent="0.25">
      <c r="B7" s="314" t="s">
        <v>151</v>
      </c>
      <c r="C7" s="315"/>
      <c r="D7" s="316"/>
      <c r="E7" s="319" t="s">
        <v>160</v>
      </c>
      <c r="F7" s="320"/>
      <c r="G7" s="320"/>
      <c r="H7" s="320"/>
      <c r="I7" s="320"/>
      <c r="J7" s="320"/>
      <c r="K7" s="167"/>
      <c r="L7" s="167"/>
      <c r="M7" s="167"/>
      <c r="N7" s="167"/>
      <c r="O7" s="167"/>
      <c r="P7" s="167"/>
      <c r="Q7" s="168"/>
      <c r="R7" s="317" t="s">
        <v>221</v>
      </c>
      <c r="S7" s="318"/>
      <c r="T7" s="334" t="s">
        <v>235</v>
      </c>
      <c r="U7" s="317" t="s">
        <v>162</v>
      </c>
      <c r="V7" s="318"/>
      <c r="W7" s="317" t="s">
        <v>150</v>
      </c>
      <c r="X7" s="318"/>
      <c r="Y7" s="169"/>
      <c r="Z7" s="317" t="s">
        <v>172</v>
      </c>
      <c r="AA7" s="318"/>
      <c r="AB7" s="229" t="s">
        <v>173</v>
      </c>
      <c r="AC7" s="351" t="s">
        <v>167</v>
      </c>
      <c r="AD7" s="352"/>
      <c r="AE7" s="353"/>
      <c r="AF7" s="343" t="s">
        <v>175</v>
      </c>
      <c r="AG7" s="344"/>
      <c r="AH7" s="317" t="s">
        <v>176</v>
      </c>
      <c r="AI7" s="318"/>
      <c r="AJ7" s="229" t="s">
        <v>174</v>
      </c>
    </row>
    <row r="8" spans="1:36" ht="33.75" customHeight="1" x14ac:dyDescent="0.2">
      <c r="B8" s="322" t="s">
        <v>157</v>
      </c>
      <c r="C8" s="310" t="s">
        <v>156</v>
      </c>
      <c r="D8" s="312" t="s">
        <v>163</v>
      </c>
      <c r="E8" s="312" t="s">
        <v>159</v>
      </c>
      <c r="F8" s="329" t="s">
        <v>154</v>
      </c>
      <c r="G8" s="329" t="s">
        <v>158</v>
      </c>
      <c r="H8" s="330" t="s">
        <v>155</v>
      </c>
      <c r="I8" s="311" t="s">
        <v>219</v>
      </c>
      <c r="J8" s="311" t="s">
        <v>220</v>
      </c>
      <c r="K8" s="192"/>
      <c r="L8" s="192"/>
      <c r="M8" s="307" t="s">
        <v>161</v>
      </c>
      <c r="N8" s="304" t="s">
        <v>223</v>
      </c>
      <c r="O8" s="304" t="s">
        <v>164</v>
      </c>
      <c r="P8" s="303" t="s">
        <v>165</v>
      </c>
      <c r="Q8" s="303" t="s">
        <v>227</v>
      </c>
      <c r="R8" s="337" t="s">
        <v>228</v>
      </c>
      <c r="S8" s="338"/>
      <c r="T8" s="335"/>
      <c r="U8" s="327" t="s">
        <v>242</v>
      </c>
      <c r="V8" s="328"/>
      <c r="W8" s="327" t="s">
        <v>243</v>
      </c>
      <c r="X8" s="328"/>
      <c r="Y8" s="331" t="s">
        <v>166</v>
      </c>
      <c r="Z8" s="327" t="s">
        <v>238</v>
      </c>
      <c r="AA8" s="328"/>
      <c r="AB8" s="325" t="s">
        <v>251</v>
      </c>
      <c r="AC8" s="348" t="s">
        <v>250</v>
      </c>
      <c r="AD8" s="140">
        <v>2019</v>
      </c>
      <c r="AE8" s="136">
        <v>828211</v>
      </c>
      <c r="AF8" s="345" t="s">
        <v>246</v>
      </c>
      <c r="AG8" s="346"/>
      <c r="AH8" s="347" t="s">
        <v>241</v>
      </c>
      <c r="AI8" s="346"/>
      <c r="AJ8" s="325" t="s">
        <v>251</v>
      </c>
    </row>
    <row r="9" spans="1:36" ht="38.1" customHeight="1" x14ac:dyDescent="0.2">
      <c r="B9" s="323"/>
      <c r="C9" s="310"/>
      <c r="D9" s="313"/>
      <c r="E9" s="313"/>
      <c r="F9" s="330"/>
      <c r="G9" s="330"/>
      <c r="H9" s="330"/>
      <c r="I9" s="311"/>
      <c r="J9" s="311"/>
      <c r="K9" s="192" t="s">
        <v>170</v>
      </c>
      <c r="L9" s="192" t="s">
        <v>171</v>
      </c>
      <c r="M9" s="308"/>
      <c r="N9" s="305"/>
      <c r="O9" s="305"/>
      <c r="P9" s="303"/>
      <c r="Q9" s="303"/>
      <c r="R9" s="341" t="s">
        <v>222</v>
      </c>
      <c r="S9" s="339" t="s">
        <v>229</v>
      </c>
      <c r="T9" s="335"/>
      <c r="U9" s="189" t="s">
        <v>231</v>
      </c>
      <c r="V9" s="170">
        <v>1.1100000000000001</v>
      </c>
      <c r="W9" s="189" t="s">
        <v>233</v>
      </c>
      <c r="X9" s="172">
        <v>0.75</v>
      </c>
      <c r="Y9" s="303"/>
      <c r="Z9" s="190" t="s">
        <v>236</v>
      </c>
      <c r="AA9" s="174">
        <v>0</v>
      </c>
      <c r="AB9" s="325"/>
      <c r="AC9" s="349"/>
      <c r="AD9" s="141">
        <v>2020</v>
      </c>
      <c r="AE9" s="137">
        <v>877803</v>
      </c>
      <c r="AF9" s="178" t="s">
        <v>239</v>
      </c>
      <c r="AG9" s="176">
        <v>0</v>
      </c>
      <c r="AH9" s="181" t="s">
        <v>244</v>
      </c>
      <c r="AI9" s="176">
        <v>0</v>
      </c>
      <c r="AJ9" s="325"/>
    </row>
    <row r="10" spans="1:36" ht="38.1" customHeight="1" thickBot="1" x14ac:dyDescent="0.25">
      <c r="B10" s="324"/>
      <c r="C10" s="310"/>
      <c r="D10" s="313"/>
      <c r="E10" s="313"/>
      <c r="F10" s="333"/>
      <c r="G10" s="330"/>
      <c r="H10" s="333"/>
      <c r="I10" s="311"/>
      <c r="J10" s="311"/>
      <c r="K10" s="192" t="s">
        <v>170</v>
      </c>
      <c r="L10" s="192" t="s">
        <v>171</v>
      </c>
      <c r="M10" s="308"/>
      <c r="N10" s="305"/>
      <c r="O10" s="305"/>
      <c r="P10" s="303"/>
      <c r="Q10" s="303"/>
      <c r="R10" s="342"/>
      <c r="S10" s="340"/>
      <c r="T10" s="335"/>
      <c r="U10" s="188" t="s">
        <v>232</v>
      </c>
      <c r="V10" s="171">
        <v>1.21</v>
      </c>
      <c r="W10" s="188" t="s">
        <v>234</v>
      </c>
      <c r="X10" s="173">
        <v>0.7</v>
      </c>
      <c r="Y10" s="303"/>
      <c r="Z10" s="191" t="s">
        <v>237</v>
      </c>
      <c r="AA10" s="175">
        <v>1</v>
      </c>
      <c r="AB10" s="325"/>
      <c r="AC10" s="349"/>
      <c r="AD10" s="142">
        <v>2021</v>
      </c>
      <c r="AE10" s="138">
        <v>908526</v>
      </c>
      <c r="AF10" s="179" t="s">
        <v>240</v>
      </c>
      <c r="AG10" s="177">
        <v>0.04</v>
      </c>
      <c r="AH10" s="182" t="s">
        <v>245</v>
      </c>
      <c r="AI10" s="177">
        <v>0.02</v>
      </c>
      <c r="AJ10" s="325"/>
    </row>
    <row r="11" spans="1:36" ht="44.25" customHeight="1" thickBot="1" x14ac:dyDescent="0.25">
      <c r="B11" s="324"/>
      <c r="C11" s="310"/>
      <c r="D11" s="313"/>
      <c r="E11" s="313"/>
      <c r="F11" s="333"/>
      <c r="G11" s="330"/>
      <c r="H11" s="333"/>
      <c r="I11" s="311"/>
      <c r="J11" s="311"/>
      <c r="K11" s="192"/>
      <c r="L11" s="192"/>
      <c r="M11" s="309"/>
      <c r="N11" s="306"/>
      <c r="O11" s="306"/>
      <c r="P11" s="303"/>
      <c r="Q11" s="303"/>
      <c r="R11" s="187" t="s">
        <v>153</v>
      </c>
      <c r="S11" s="186" t="s">
        <v>152</v>
      </c>
      <c r="T11" s="336"/>
      <c r="U11" s="187" t="s">
        <v>153</v>
      </c>
      <c r="V11" s="186" t="s">
        <v>152</v>
      </c>
      <c r="W11" s="187" t="s">
        <v>153</v>
      </c>
      <c r="X11" s="186" t="s">
        <v>152</v>
      </c>
      <c r="Y11" s="332"/>
      <c r="Z11" s="187" t="s">
        <v>153</v>
      </c>
      <c r="AA11" s="186" t="s">
        <v>152</v>
      </c>
      <c r="AB11" s="326"/>
      <c r="AC11" s="350"/>
      <c r="AD11" s="143" t="s">
        <v>168</v>
      </c>
      <c r="AE11" s="139" t="s">
        <v>248</v>
      </c>
      <c r="AF11" s="180" t="s">
        <v>153</v>
      </c>
      <c r="AG11" s="184" t="s">
        <v>152</v>
      </c>
      <c r="AH11" s="183" t="s">
        <v>153</v>
      </c>
      <c r="AI11" s="185" t="s">
        <v>152</v>
      </c>
      <c r="AJ11" s="326"/>
    </row>
    <row r="12" spans="1:36" ht="18" customHeight="1" thickBot="1" x14ac:dyDescent="0.25">
      <c r="B12" s="129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1"/>
      <c r="O12" s="130"/>
      <c r="P12" s="130"/>
      <c r="Q12" s="130"/>
      <c r="R12" s="130"/>
      <c r="S12" s="130"/>
      <c r="T12" s="145" t="str">
        <f>IF(AE14="","",IF(AND(D14&gt;=10%,AE14="MIPYME"),"SI","NO"))</f>
        <v>SI</v>
      </c>
      <c r="U12" s="130"/>
      <c r="V12" s="130"/>
      <c r="W12" s="130"/>
      <c r="X12" s="130"/>
      <c r="Y12" s="130"/>
      <c r="Z12" s="130"/>
      <c r="AA12" s="130"/>
      <c r="AB12" s="230"/>
      <c r="AC12" s="132"/>
      <c r="AD12" s="132"/>
      <c r="AE12" s="133"/>
      <c r="AF12" s="134"/>
      <c r="AG12" s="132"/>
      <c r="AH12" s="134"/>
      <c r="AI12" s="132"/>
      <c r="AJ12" s="133"/>
    </row>
    <row r="13" spans="1:36" ht="33.75" customHeight="1" x14ac:dyDescent="0.2">
      <c r="B13" s="231">
        <v>1</v>
      </c>
      <c r="C13" s="232" t="s">
        <v>268</v>
      </c>
      <c r="D13" s="233">
        <f t="shared" ref="D13:L13" si="0">IF(ISERROR(SUM(D14:D15)),"",SUM(D14:D15))</f>
        <v>1</v>
      </c>
      <c r="E13" s="234">
        <f t="shared" si="0"/>
        <v>2008082572</v>
      </c>
      <c r="F13" s="234">
        <f t="shared" si="0"/>
        <v>2536177233</v>
      </c>
      <c r="G13" s="234">
        <f t="shared" si="0"/>
        <v>685608507</v>
      </c>
      <c r="H13" s="234">
        <f t="shared" si="0"/>
        <v>762904290</v>
      </c>
      <c r="I13" s="234">
        <f t="shared" si="0"/>
        <v>1322474065</v>
      </c>
      <c r="J13" s="234">
        <f t="shared" si="0"/>
        <v>1773272943</v>
      </c>
      <c r="K13" s="234">
        <f t="shared" si="0"/>
        <v>2079262173</v>
      </c>
      <c r="L13" s="235">
        <f t="shared" si="0"/>
        <v>64987523</v>
      </c>
      <c r="M13" s="236">
        <v>1</v>
      </c>
      <c r="N13" s="237">
        <f>IF(ISERROR(VLOOKUP(M13,POA!$A$2:$C$7,3,0)),"",VLOOKUP(M13,POA!$A$2:$C$7,3,0))</f>
        <v>3</v>
      </c>
      <c r="O13" s="238"/>
      <c r="P13" s="239">
        <f>+SUM(P14:P33)</f>
        <v>0</v>
      </c>
      <c r="Q13" s="240">
        <f>IF(ISERROR(VLOOKUP(M13,POA!$A$2:$C$7,2,0)),"",VLOOKUP(M13,POA!$A$2:$C$7,2,0))</f>
        <v>881383180</v>
      </c>
      <c r="R13" s="234">
        <f>IF(M13="","",I13)</f>
        <v>1322474065</v>
      </c>
      <c r="S13" s="241" t="str">
        <f>IF(OR(M13="",Q13=""),"",IF($R13&gt;=(VLOOKUP(M13,POA!$A$2:$J$2,10,FALSE)*Q13),"CUMPLE","NO CUMPLE"))</f>
        <v>CUMPLE</v>
      </c>
      <c r="T13" s="242" t="str">
        <f>IF(M13="","",IF(COUNTIF(T14:T33,"SI")&gt;=1,"SI","NO"))</f>
        <v>SI</v>
      </c>
      <c r="U13" s="234">
        <f>IF(M13&lt;&gt;"",IF(ISERROR(SUM(E13/G13)),0,SUM(E13/G13)),"")</f>
        <v>2.9289055656364544</v>
      </c>
      <c r="V13" s="241" t="str">
        <f>IF(M13&lt;&gt;"",IF(OR(U13=0,M13="",Q13=""),"",IF(AND(T13="SI",U13&gt;=$V$9),"CUMPLE",IF(U13&gt;=$V$10,"CUMPLE","NO CUMPLE"))),"")</f>
        <v>CUMPLE</v>
      </c>
      <c r="W13" s="243">
        <f>IF(M13&lt;&gt;"",IF(ISERROR(SUM(H13/F13)),0,SUM(H13/F13)),"")</f>
        <v>0.30080874478065311</v>
      </c>
      <c r="X13" s="241" t="str">
        <f>IF(OR(W13=0,M13="",Q13=""),"",IF(AND(T13="SI",W13&lt;=$X$9),"CUMPLE",IF(W13&lt;=$X$10,"CUMPLE","NO CUMPLE")))</f>
        <v>CUMPLE</v>
      </c>
      <c r="Y13" s="239">
        <f>+SUM(Y14:Y33)</f>
        <v>0</v>
      </c>
      <c r="Z13" s="244">
        <f>IF(ISERROR(SUM(K13/L13)),0,SUM(K13/L13))</f>
        <v>31.994790338446965</v>
      </c>
      <c r="AA13" s="241" t="str">
        <f>IF(M13&lt;&gt;"",IF(OR(M13="",Q13=""),"",IF(AND(T13="SI",Z13&gt;=$AA$9),"CUMPLE",IF(Z13&gt;=$AA$10,"CUMPLE","NO CUMPLE"))),"")</f>
        <v>CUMPLE</v>
      </c>
      <c r="AB13" s="245" t="str">
        <f>IF(OR(S13="",V13="",X13="",AA13=""),"",IF(OR(S13="NO CUMPLE",V13="NO CUMPLE",X13="NO CUMPLE",AA13="NO CUMPLE",COUNTIF(AB14:AB33,"NO CUMPLE")&gt;0),"NO CUMPLE"," CUMPLE"))</f>
        <v xml:space="preserve"> CUMPLE</v>
      </c>
      <c r="AC13" s="246">
        <v>2021</v>
      </c>
      <c r="AD13" s="247">
        <f>IF(ISERROR(F13/VLOOKUP(AC13,$AD$8:$AE$10,2)),"",F13/VLOOKUP(AC13,$AD$8:$AE$10,2))</f>
        <v>2791.5296128013947</v>
      </c>
      <c r="AE13" s="248"/>
      <c r="AF13" s="249">
        <f>IF(AC13="","",IF(ISNUMBER(AC13),IF(ISERROR(SUM(K13/J13)),0,SUM(K13/J13))))</f>
        <v>1.1725561940184637</v>
      </c>
      <c r="AG13" s="241" t="str">
        <f>IF(OR(M13="",Q13=""),"",IF(AND(T13="SI",AF13&gt;=$AG$9),"CUMPLE",IF(AF13&gt;=$AG$10,"CUMPLE","NO CUMPLE")))</f>
        <v>CUMPLE</v>
      </c>
      <c r="AH13" s="250">
        <f>IF(ISERROR(SUM(K13/F13)),0,SUM(K13/F13))</f>
        <v>0.81984103711098966</v>
      </c>
      <c r="AI13" s="241" t="str">
        <f>IF(OR(M13="",Q13=""),"",IF(AND(T13="SI",AH13&gt;=$AI$9),"CUMPLE",IF(AH13&gt;=$AI$10,"CUMPLE","NO CUMPLE")))</f>
        <v>CUMPLE</v>
      </c>
      <c r="AJ13" s="251" t="str">
        <f>IF(OR(AG13="",AI13=""),"",IF(OR(AG13="NO CUMPLE",AI13="NO CUMPLE",COUNTIF(AJ14:AJ33,"NO CUMPLE")&gt;0),"NO CUMPLE","CUMPLE"))</f>
        <v>CUMPLE</v>
      </c>
    </row>
    <row r="14" spans="1:36" ht="16.5" x14ac:dyDescent="0.2">
      <c r="A14" s="77"/>
      <c r="B14" s="252">
        <f>IF(C14="","",B13+0.1)</f>
        <v>1.1000000000000001</v>
      </c>
      <c r="C14" s="253" t="s">
        <v>268</v>
      </c>
      <c r="D14" s="254">
        <v>1</v>
      </c>
      <c r="E14" s="255">
        <v>2008082572</v>
      </c>
      <c r="F14" s="255">
        <v>2536177233</v>
      </c>
      <c r="G14" s="255">
        <v>685608507</v>
      </c>
      <c r="H14" s="255">
        <v>762904290</v>
      </c>
      <c r="I14" s="255">
        <f t="shared" ref="I14:J15" si="1">IF(ISERROR(E14-G14),"",E14-G14)</f>
        <v>1322474065</v>
      </c>
      <c r="J14" s="255">
        <f t="shared" si="1"/>
        <v>1773272943</v>
      </c>
      <c r="K14" s="255">
        <v>2079262173</v>
      </c>
      <c r="L14" s="255">
        <v>64987523</v>
      </c>
      <c r="M14" s="256">
        <v>1</v>
      </c>
      <c r="N14" s="257">
        <f>IF(ISERROR(VLOOKUP(M14,POA!$A$2:$C$7,3,0)),"",VLOOKUP(M14,POA!$A$2:$C$7,3,0))</f>
        <v>3</v>
      </c>
      <c r="O14" s="258"/>
      <c r="P14" s="258" t="str">
        <f>IF(ISERROR(VLOOKUP(O14,POA!$A$2:$F$7,4,0)),"",VLOOKUP(O14,POA!$A$2:$F$7,4,0))</f>
        <v/>
      </c>
      <c r="Q14" s="259">
        <f>IF(ISERROR(VLOOKUP(M14,POA!$A$2:$C$7,2,0)),"",VLOOKUP(M14,POA!$A$2:$C$7,2,0))</f>
        <v>881383180</v>
      </c>
      <c r="R14" s="260">
        <f t="shared" ref="R14:R15" si="2">IF(M14="","",I14)</f>
        <v>1322474065</v>
      </c>
      <c r="S14" s="261" t="str">
        <f>IF(OR(M14="",Q14=""),"",IF($R13&gt;=(VLOOKUP(M14,POA!$A$2:$J$2,10,FALSE)*Q14),"CUMPLE","NO CUMPLE"))</f>
        <v>CUMPLE</v>
      </c>
      <c r="T14" s="262" t="s">
        <v>257</v>
      </c>
      <c r="U14" s="260"/>
      <c r="V14" s="261" t="str">
        <f>IF(M14&lt;&gt;"",IF(OR(U13=0,M14="",Q14=""),"",IF(AND(T13="SI",U13&gt;=$V$9),"CUMPLE",IF(U13&gt;=$V$10,"CUMPLE","NO CUMPLE"))),"")</f>
        <v>CUMPLE</v>
      </c>
      <c r="W14" s="263"/>
      <c r="X14" s="261" t="str">
        <f>IF(OR(W13=0,M14="",Q14=""),"",IF(AND(T13="SI",W13&lt;=$X$9),"CUMPLE",IF(W13&lt;=$X$10,"CUMPLE","NO CUMPLE")))</f>
        <v>CUMPLE</v>
      </c>
      <c r="Y14" s="264" t="s">
        <v>224</v>
      </c>
      <c r="Z14" s="264"/>
      <c r="AA14" s="261" t="str">
        <f>IF(M14&lt;&gt;"",IF(OR(M14="",Q14=""),"",IF(AND(T13="SI",Z13&gt;=$AA$9),"CUMPLE",IF(Z13&gt;=$AA$10,"CUMPLE","NO CUMPLE"))),"")</f>
        <v>CUMPLE</v>
      </c>
      <c r="AB14" s="265" t="str">
        <f>IF(OR(S14="",V14="",X14="",AA14=""),"",IF(S14="NO CUMPLE","NO CUMPLE",IF(V14="NO  CUMPLE","NO CUMPLE",IF(X14="NO  CUMPLE","NO  CUMPLE",IF(AA14="NO  CUMPLE","NO  CUMPLE",IF(AA14="NO  CUMPLE","NO  CUMPLE"," CUMPLE"))))))</f>
        <v xml:space="preserve"> CUMPLE</v>
      </c>
      <c r="AC14" s="266">
        <v>2021</v>
      </c>
      <c r="AD14" s="267">
        <f>IF(ISERROR(F14/VLOOKUP(AC14,$AD$8:$AE$10,2)),"",F14/VLOOKUP(AC14,$AD$8:$AE$10,2))</f>
        <v>2791.5296128013947</v>
      </c>
      <c r="AE14" s="268" t="str">
        <f t="shared" ref="AE14:AE15" si="3">IF(OR(B14="",C14=""),"",IF(AND(AD14&gt;=500,AD14&lt;=30000),"MIPYME","NO CUMPLE"))</f>
        <v>MIPYME</v>
      </c>
      <c r="AF14" s="269"/>
      <c r="AG14" s="261" t="str">
        <f>IF(OR(M14="",Q14=""),"",IF(AND(T13="SI",AF13&gt;=$AG$9),"CUMPLE",IF(AF13&gt;=$AG$10,"CUMPLE","NO CUMPLE")))</f>
        <v>CUMPLE</v>
      </c>
      <c r="AH14" s="269"/>
      <c r="AI14" s="261" t="str">
        <f>IF(OR(M14="",Q14=""),"",IF(AND(T13="SI",AH13&gt;=$AI$9),"CUMPLE",IF(AH13&gt;=$AI$10,"CUMPLE","NO CUMPLE")))</f>
        <v>CUMPLE</v>
      </c>
      <c r="AJ14" s="270" t="str">
        <f>IF(OR(AG14="",AI14=""),"",IF(AG14="NO CUMPLE","NO CUMPLE",IF(AI14="NO CUMPLE","NO CUMPLE",IF(AI14="NO CUMPLE","NO CUMPLE","CUMPLE"))))</f>
        <v>CUMPLE</v>
      </c>
    </row>
    <row r="15" spans="1:36" ht="17.25" thickBot="1" x14ac:dyDescent="0.25">
      <c r="A15" s="77"/>
      <c r="B15" s="252" t="str">
        <f t="shared" ref="B15" si="4">IF(C15="","",B14+0.1)</f>
        <v/>
      </c>
      <c r="C15" s="271"/>
      <c r="D15" s="254"/>
      <c r="E15" s="255"/>
      <c r="F15" s="255"/>
      <c r="G15" s="255"/>
      <c r="H15" s="255"/>
      <c r="I15" s="255">
        <f t="shared" si="1"/>
        <v>0</v>
      </c>
      <c r="J15" s="255">
        <f t="shared" si="1"/>
        <v>0</v>
      </c>
      <c r="K15" s="255"/>
      <c r="L15" s="255"/>
      <c r="M15" s="256"/>
      <c r="N15" s="257" t="str">
        <f>IF(ISERROR(VLOOKUP(M15,POA!$A$2:$C$7,3,0)),"",VLOOKUP(M15,POA!$A$2:$C$7,3,0))</f>
        <v/>
      </c>
      <c r="O15" s="258"/>
      <c r="P15" s="258" t="str">
        <f>IF(ISERROR(VLOOKUP(O15,POA!$A$2:$F$7,4,0)),"",VLOOKUP(O15,POA!$A$2:$F$7,4,0))</f>
        <v/>
      </c>
      <c r="Q15" s="259" t="str">
        <f>IF(ISERROR(VLOOKUP(M15,POA!$A$2:$C$7,2,0)),"",VLOOKUP(M15,POA!$A$2:$C$7,2,0))</f>
        <v/>
      </c>
      <c r="R15" s="260" t="str">
        <f t="shared" si="2"/>
        <v/>
      </c>
      <c r="S15" s="261" t="str">
        <f>IF(OR(M15="",Q15=""),"",IF($R13&gt;=(VLOOKUP(M15,POA!$A$2:$J$2,10,FALSE)*Q15),"CUMPLE","NO CUMPLE"))</f>
        <v/>
      </c>
      <c r="T15" s="262" t="s">
        <v>257</v>
      </c>
      <c r="U15" s="260"/>
      <c r="V15" s="261" t="str">
        <f>IF(M15&lt;&gt;"",IF(OR(U13=0,M15="",Q15=""),"",IF(AND(T13="SI",U13&gt;=$V$9),"CUMPLE",IF(U13&gt;=$V$10,"CUMPLE","NO CUMPLE"))),"")</f>
        <v/>
      </c>
      <c r="W15" s="263"/>
      <c r="X15" s="261" t="str">
        <f>IF(OR(W13=0,M15="",Q15=""),"",IF(AND(T13="SI",W13&lt;=$X$9),"CUMPLE",IF(W13&lt;=$X$10,"CUMPLE","NO CUMPLE")))</f>
        <v/>
      </c>
      <c r="Y15" s="264" t="s">
        <v>224</v>
      </c>
      <c r="Z15" s="264"/>
      <c r="AA15" s="261" t="str">
        <f>IF(M15&lt;&gt;"",IF(OR(M15="",Q15=""),"",IF(AND(T13="SI",Z13&gt;=$AA$9),"CUMPLE",IF(Z13&gt;=$AA$10,"CUMPLE","NO CUMPLE"))),"")</f>
        <v/>
      </c>
      <c r="AB15" s="265" t="str">
        <f>IF(OR(S15="",V15="",X15="",AA15=""),"",IF(S15="NO CUMPLE","NO CUMPLE",IF(V15="NO  CUMPLE","NO CUMPLE",IF(X15="NO  CUMPLE","NO  CUMPLE",IF(AA15="NO  CUMPLE","NO  CUMPLE",IF(AA15="NO  CUMPLE","NO  CUMPLE"," CUMPLE"))))))</f>
        <v/>
      </c>
      <c r="AC15" s="266">
        <v>2021</v>
      </c>
      <c r="AD15" s="267">
        <f t="shared" ref="AD15" si="5">IF(ISERROR(F15/VLOOKUP(AC15,$AD$8:$AE$10,2)),"",F15/VLOOKUP(AC15,$AD$8:$AE$10,2))</f>
        <v>0</v>
      </c>
      <c r="AE15" s="268" t="str">
        <f t="shared" si="3"/>
        <v/>
      </c>
      <c r="AF15" s="269"/>
      <c r="AG15" s="261" t="str">
        <f>IF(OR(M15="",Q15=""),"",IF(AND(T13="SI",AF13&gt;=$AG$9),"CUMPLE",IF(AF13&gt;=$AG$10,"CUMPLE","NO CUMPLE")))</f>
        <v/>
      </c>
      <c r="AH15" s="269"/>
      <c r="AI15" s="261" t="str">
        <f>IF(OR(M15="",Q15=""),"",IF(AND(T13="SI",AH13&gt;=$AI$9),"CUMPLE",IF(AH13&gt;=$AI$10,"CUMPLE","NO CUMPLE")))</f>
        <v/>
      </c>
      <c r="AJ15" s="270" t="str">
        <f t="shared" ref="AJ15" si="6">IF(OR(AG15="",AI15=""),"",IF(AG15="NO CUMPLE","NO CUMPLE",IF(AI15="NO CUMPLE","NO CUMPLE",IF(AI15="NO CUMPLE","NO CUMPLE","CUMPLE"))))</f>
        <v/>
      </c>
    </row>
    <row r="16" spans="1:36" ht="33.75" customHeight="1" x14ac:dyDescent="0.2">
      <c r="B16" s="231">
        <v>2</v>
      </c>
      <c r="C16" s="232" t="s">
        <v>269</v>
      </c>
      <c r="D16" s="233">
        <f t="shared" ref="D16:L16" si="7">IF(ISERROR(SUM(D17:D18)),"",SUM(D17:D18))</f>
        <v>1</v>
      </c>
      <c r="E16" s="234">
        <f t="shared" si="7"/>
        <v>80505441379</v>
      </c>
      <c r="F16" s="234">
        <f t="shared" si="7"/>
        <v>81060764289</v>
      </c>
      <c r="G16" s="234">
        <f t="shared" si="7"/>
        <v>9000033843</v>
      </c>
      <c r="H16" s="234">
        <f t="shared" si="7"/>
        <v>14284774798</v>
      </c>
      <c r="I16" s="234">
        <f t="shared" si="7"/>
        <v>71505407536</v>
      </c>
      <c r="J16" s="234">
        <f t="shared" si="7"/>
        <v>66775989491</v>
      </c>
      <c r="K16" s="234">
        <f t="shared" si="7"/>
        <v>18058695750</v>
      </c>
      <c r="L16" s="235">
        <f t="shared" si="7"/>
        <v>17495245</v>
      </c>
      <c r="M16" s="236">
        <v>1</v>
      </c>
      <c r="N16" s="237">
        <f>IF(ISERROR(VLOOKUP(M16,POA!$A$2:$C$7,3,0)),"",VLOOKUP(M16,POA!$A$2:$C$7,3,0))</f>
        <v>3</v>
      </c>
      <c r="O16" s="238"/>
      <c r="P16" s="239">
        <f>+SUM(P17:P35)</f>
        <v>0</v>
      </c>
      <c r="Q16" s="240">
        <f>IF(ISERROR(VLOOKUP(M16,POA!$A$2:$C$7,2,0)),"",VLOOKUP(M16,POA!$A$2:$C$7,2,0))</f>
        <v>881383180</v>
      </c>
      <c r="R16" s="234">
        <f>IF(M16="","",I16)</f>
        <v>71505407536</v>
      </c>
      <c r="S16" s="241" t="str">
        <f>IF(OR(M16="",Q16=""),"",IF($R16&gt;=(VLOOKUP(M16,POA!$A$2:$J$2,10,FALSE)*Q16),"CUMPLE","NO CUMPLE"))</f>
        <v>CUMPLE</v>
      </c>
      <c r="T16" s="242" t="str">
        <f>IF(M16="","",IF(COUNTIF(T17:T35,"SI")&gt;=1,"SI","NO"))</f>
        <v>SI</v>
      </c>
      <c r="U16" s="234">
        <f>IF(M16&lt;&gt;"",IF(ISERROR(SUM(E16/G16)),0,SUM(E16/G16)),"")</f>
        <v>8.9450154058715139</v>
      </c>
      <c r="V16" s="241" t="str">
        <f>IF(M16&lt;&gt;"",IF(OR(U16=0,M16="",Q16=""),"",IF(AND(T16="SI",U16&gt;=$V$9),"CUMPLE",IF(U16&gt;=$V$10,"CUMPLE","NO CUMPLE"))),"")</f>
        <v>CUMPLE</v>
      </c>
      <c r="W16" s="243">
        <f>IF(M16&lt;&gt;"",IF(ISERROR(SUM(H16/F16)),0,SUM(H16/F16)),"")</f>
        <v>0.17622304604816627</v>
      </c>
      <c r="X16" s="241" t="str">
        <f>IF(OR(W16=0,M16="",Q16=""),"",IF(AND(T16="SI",W16&lt;=$X$9),"CUMPLE",IF(W16&lt;=$X$10,"CUMPLE","NO CUMPLE")))</f>
        <v>CUMPLE</v>
      </c>
      <c r="Y16" s="239">
        <f>+SUM(Y17:Y35)</f>
        <v>0</v>
      </c>
      <c r="Z16" s="244">
        <f>IF(ISERROR(SUM(K16/L16)),0,SUM(K16/L16))</f>
        <v>1032.2059365273251</v>
      </c>
      <c r="AA16" s="241" t="str">
        <f>IF(M16&lt;&gt;"",IF(OR(M16="",Q16=""),"",IF(AND(T16="SI",Z16&gt;=$AA$9),"CUMPLE",IF(Z16&gt;=$AA$10,"CUMPLE","NO CUMPLE"))),"")</f>
        <v>CUMPLE</v>
      </c>
      <c r="AB16" s="245" t="str">
        <f>IF(OR(S16="",V16="",X16="",AA16=""),"",IF(OR(S16="NO CUMPLE",V16="NO CUMPLE",X16="NO CUMPLE",AA16="NO CUMPLE",COUNTIF(AB17:AB35,"NO CUMPLE")&gt;0),"NO CUMPLE"," CUMPLE"))</f>
        <v xml:space="preserve"> CUMPLE</v>
      </c>
      <c r="AC16" s="246">
        <v>2021</v>
      </c>
      <c r="AD16" s="247">
        <f>IF(ISERROR(F16/VLOOKUP(AC16,$AD$8:$AE$10,2)),"",F16/VLOOKUP(AC16,$AD$8:$AE$10,2))</f>
        <v>89222.283444832618</v>
      </c>
      <c r="AE16" s="248"/>
      <c r="AF16" s="249">
        <f>IF(AC16="","",IF(ISNUMBER(AC16),IF(ISERROR(SUM(K16/J16)),0,SUM(K16/J16))))</f>
        <v>0.27043696226222053</v>
      </c>
      <c r="AG16" s="241" t="str">
        <f>IF(OR(M16="",Q16=""),"",IF(AND(T16="SI",AF16&gt;=$AG$9),"CUMPLE",IF(AF16&gt;=$AG$10,"CUMPLE","NO CUMPLE")))</f>
        <v>CUMPLE</v>
      </c>
      <c r="AH16" s="250">
        <f>IF(ISERROR(SUM(K16/F16)),0,SUM(K16/F16))</f>
        <v>0.22277973700835901</v>
      </c>
      <c r="AI16" s="241" t="str">
        <f>IF(OR(M16="",Q16=""),"",IF(AND(T16="SI",AH16&gt;=$AI$9),"CUMPLE",IF(AH16&gt;=$AI$10,"CUMPLE","NO CUMPLE")))</f>
        <v>CUMPLE</v>
      </c>
      <c r="AJ16" s="251" t="str">
        <f>IF(OR(AG16="",AI16=""),"",IF(OR(AG16="NO CUMPLE",AI16="NO CUMPLE",COUNTIF(AJ17:AJ35,"NO CUMPLE")&gt;0),"NO CUMPLE","CUMPLE"))</f>
        <v>CUMPLE</v>
      </c>
    </row>
    <row r="17" spans="1:36" ht="16.5" x14ac:dyDescent="0.2">
      <c r="A17" s="77"/>
      <c r="B17" s="252">
        <f>IF(C17="","",B16+0.1)</f>
        <v>2.1</v>
      </c>
      <c r="C17" s="253" t="s">
        <v>270</v>
      </c>
      <c r="D17" s="254">
        <v>0.9</v>
      </c>
      <c r="E17" s="255">
        <v>26733548195</v>
      </c>
      <c r="F17" s="255">
        <v>27048715495</v>
      </c>
      <c r="G17" s="255">
        <v>3499837398</v>
      </c>
      <c r="H17" s="255">
        <v>3499837398</v>
      </c>
      <c r="I17" s="255">
        <f t="shared" ref="I17:I18" si="8">IF(ISERROR(E17-G17),"",E17-G17)</f>
        <v>23233710797</v>
      </c>
      <c r="J17" s="255">
        <f t="shared" ref="J17:J18" si="9">IF(ISERROR(F17-H17),"",F17-H17)</f>
        <v>23548878097</v>
      </c>
      <c r="K17" s="255">
        <v>8451535816</v>
      </c>
      <c r="L17" s="255">
        <v>11063421</v>
      </c>
      <c r="M17" s="256">
        <v>1</v>
      </c>
      <c r="N17" s="257">
        <f>IF(ISERROR(VLOOKUP(M17,POA!$A$2:$C$7,3,0)),"",VLOOKUP(M17,POA!$A$2:$C$7,3,0))</f>
        <v>3</v>
      </c>
      <c r="O17" s="258"/>
      <c r="P17" s="258" t="str">
        <f>IF(ISERROR(VLOOKUP(O17,POA!$A$2:$F$7,4,0)),"",VLOOKUP(O17,POA!$A$2:$F$7,4,0))</f>
        <v/>
      </c>
      <c r="Q17" s="259">
        <f>IF(ISERROR(VLOOKUP(M17,POA!$A$2:$C$7,2,0)),"",VLOOKUP(M17,POA!$A$2:$C$7,2,0))</f>
        <v>881383180</v>
      </c>
      <c r="R17" s="260">
        <f t="shared" ref="R17:R18" si="10">IF(M17="","",I17)</f>
        <v>23233710797</v>
      </c>
      <c r="S17" s="261" t="str">
        <f>IF(OR(M17="",Q17=""),"",IF($R16&gt;=(VLOOKUP(M17,POA!$A$2:$J$2,10,FALSE)*Q17),"CUMPLE","NO CUMPLE"))</f>
        <v>CUMPLE</v>
      </c>
      <c r="T17" s="262" t="s">
        <v>257</v>
      </c>
      <c r="U17" s="260"/>
      <c r="V17" s="261" t="str">
        <f>IF(M17&lt;&gt;"",IF(OR(U16=0,M17="",Q17=""),"",IF(AND(T16="SI",U16&gt;=$V$9),"CUMPLE",IF(U16&gt;=$V$10,"CUMPLE","NO CUMPLE"))),"")</f>
        <v>CUMPLE</v>
      </c>
      <c r="W17" s="263"/>
      <c r="X17" s="261" t="str">
        <f>IF(OR(W16=0,M17="",Q17=""),"",IF(AND(T16="SI",W16&lt;=$X$9),"CUMPLE",IF(W16&lt;=$X$10,"CUMPLE","NO CUMPLE")))</f>
        <v>CUMPLE</v>
      </c>
      <c r="Y17" s="264" t="s">
        <v>224</v>
      </c>
      <c r="Z17" s="264"/>
      <c r="AA17" s="261" t="str">
        <f>IF(M17&lt;&gt;"",IF(OR(M17="",Q17=""),"",IF(AND(T16="SI",Z16&gt;=$AA$9),"CUMPLE",IF(Z16&gt;=$AA$10,"CUMPLE","NO CUMPLE"))),"")</f>
        <v>CUMPLE</v>
      </c>
      <c r="AB17" s="265" t="str">
        <f>IF(OR(S17="",V17="",X17="",AA17=""),"",IF(S17="NO CUMPLE","NO CUMPLE",IF(V17="NO  CUMPLE","NO CUMPLE",IF(X17="NO  CUMPLE","NO  CUMPLE",IF(AA17="NO  CUMPLE","NO  CUMPLE",IF(AA17="NO  CUMPLE","NO  CUMPLE"," CUMPLE"))))))</f>
        <v xml:space="preserve"> CUMPLE</v>
      </c>
      <c r="AC17" s="266">
        <v>2021</v>
      </c>
      <c r="AD17" s="267">
        <f>IF(ISERROR(F17/VLOOKUP(AC17,$AD$8:$AE$10,2)),"",F17/VLOOKUP(AC17,$AD$8:$AE$10,2))</f>
        <v>29772.087419622552</v>
      </c>
      <c r="AE17" s="268" t="str">
        <f t="shared" ref="AE17:AE18" si="11">IF(OR(B17="",C17=""),"",IF(AND(AD17&gt;=500,AD17&lt;=30000),"MIPYME","NO CUMPLE"))</f>
        <v>MIPYME</v>
      </c>
      <c r="AF17" s="269"/>
      <c r="AG17" s="261" t="str">
        <f>IF(OR(M17="",Q17=""),"",IF(AND(T16="SI",AF16&gt;=$AG$9),"CUMPLE",IF(AF16&gt;=$AG$10,"CUMPLE","NO CUMPLE")))</f>
        <v>CUMPLE</v>
      </c>
      <c r="AH17" s="269"/>
      <c r="AI17" s="261" t="str">
        <f>IF(OR(M17="",Q17=""),"",IF(AND(T16="SI",AH16&gt;=$AI$9),"CUMPLE",IF(AH16&gt;=$AI$10,"CUMPLE","NO CUMPLE")))</f>
        <v>CUMPLE</v>
      </c>
      <c r="AJ17" s="270" t="str">
        <f>IF(OR(AG17="",AI17=""),"",IF(AG17="NO CUMPLE","NO CUMPLE",IF(AI17="NO CUMPLE","NO CUMPLE",IF(AI17="NO CUMPLE","NO CUMPLE","CUMPLE"))))</f>
        <v>CUMPLE</v>
      </c>
    </row>
    <row r="18" spans="1:36" ht="17.25" thickBot="1" x14ac:dyDescent="0.25">
      <c r="A18" s="77"/>
      <c r="B18" s="252">
        <f t="shared" ref="B18" si="12">IF(C18="","",B17+0.1)</f>
        <v>2.2000000000000002</v>
      </c>
      <c r="C18" s="271" t="s">
        <v>271</v>
      </c>
      <c r="D18" s="254">
        <v>0.1</v>
      </c>
      <c r="E18" s="255">
        <v>53771893184</v>
      </c>
      <c r="F18" s="255">
        <v>54012048794</v>
      </c>
      <c r="G18" s="255">
        <v>5500196445</v>
      </c>
      <c r="H18" s="255">
        <v>10784937400</v>
      </c>
      <c r="I18" s="255">
        <f t="shared" si="8"/>
        <v>48271696739</v>
      </c>
      <c r="J18" s="255">
        <f t="shared" si="9"/>
        <v>43227111394</v>
      </c>
      <c r="K18" s="255">
        <v>9607159934</v>
      </c>
      <c r="L18" s="255">
        <v>6431824</v>
      </c>
      <c r="M18" s="256">
        <v>1</v>
      </c>
      <c r="N18" s="257">
        <f>IF(ISERROR(VLOOKUP(M18,POA!$A$2:$C$7,3,0)),"",VLOOKUP(M18,POA!$A$2:$C$7,3,0))</f>
        <v>3</v>
      </c>
      <c r="O18" s="258"/>
      <c r="P18" s="258" t="str">
        <f>IF(ISERROR(VLOOKUP(O18,POA!$A$2:$F$7,4,0)),"",VLOOKUP(O18,POA!$A$2:$F$7,4,0))</f>
        <v/>
      </c>
      <c r="Q18" s="259">
        <f>IF(ISERROR(VLOOKUP(M18,POA!$A$2:$C$7,2,0)),"",VLOOKUP(M18,POA!$A$2:$C$7,2,0))</f>
        <v>881383180</v>
      </c>
      <c r="R18" s="260">
        <f t="shared" si="10"/>
        <v>48271696739</v>
      </c>
      <c r="S18" s="261" t="str">
        <f>IF(OR(M18="",Q18=""),"",IF($R16&gt;=(VLOOKUP(M18,POA!$A$2:$J$2,10,FALSE)*Q18),"CUMPLE","NO CUMPLE"))</f>
        <v>CUMPLE</v>
      </c>
      <c r="T18" s="262" t="s">
        <v>257</v>
      </c>
      <c r="U18" s="260"/>
      <c r="V18" s="261" t="str">
        <f>IF(M18&lt;&gt;"",IF(OR(U16=0,M18="",Q18=""),"",IF(AND(T16="SI",U16&gt;=$V$9),"CUMPLE",IF(U16&gt;=$V$10,"CUMPLE","NO CUMPLE"))),"")</f>
        <v>CUMPLE</v>
      </c>
      <c r="W18" s="263"/>
      <c r="X18" s="261" t="str">
        <f>IF(OR(W16=0,M18="",Q18=""),"",IF(AND(T16="SI",W16&lt;=$X$9),"CUMPLE",IF(W16&lt;=$X$10,"CUMPLE","NO CUMPLE")))</f>
        <v>CUMPLE</v>
      </c>
      <c r="Y18" s="264" t="s">
        <v>224</v>
      </c>
      <c r="Z18" s="264"/>
      <c r="AA18" s="261" t="str">
        <f>IF(M18&lt;&gt;"",IF(OR(M18="",Q18=""),"",IF(AND(T16="SI",Z16&gt;=$AA$9),"CUMPLE",IF(Z16&gt;=$AA$10,"CUMPLE","NO CUMPLE"))),"")</f>
        <v>CUMPLE</v>
      </c>
      <c r="AB18" s="265" t="str">
        <f>IF(OR(S18="",V18="",X18="",AA18=""),"",IF(S18="NO CUMPLE","NO CUMPLE",IF(V18="NO  CUMPLE","NO CUMPLE",IF(X18="NO  CUMPLE","NO  CUMPLE",IF(AA18="NO  CUMPLE","NO  CUMPLE",IF(AA18="NO  CUMPLE","NO  CUMPLE"," CUMPLE"))))))</f>
        <v xml:space="preserve"> CUMPLE</v>
      </c>
      <c r="AC18" s="266">
        <v>2021</v>
      </c>
      <c r="AD18" s="267">
        <f t="shared" ref="AD18" si="13">IF(ISERROR(F18/VLOOKUP(AC18,$AD$8:$AE$10,2)),"",F18/VLOOKUP(AC18,$AD$8:$AE$10,2))</f>
        <v>59450.196025210069</v>
      </c>
      <c r="AE18" s="268" t="str">
        <f t="shared" si="11"/>
        <v>NO CUMPLE</v>
      </c>
      <c r="AF18" s="269"/>
      <c r="AG18" s="261" t="str">
        <f>IF(OR(M18="",Q18=""),"",IF(AND(T16="SI",AF16&gt;=$AG$9),"CUMPLE",IF(AF16&gt;=$AG$10,"CUMPLE","NO CUMPLE")))</f>
        <v>CUMPLE</v>
      </c>
      <c r="AH18" s="269"/>
      <c r="AI18" s="261" t="str">
        <f>IF(OR(M18="",Q18=""),"",IF(AND(T16="SI",AH16&gt;=$AI$9),"CUMPLE",IF(AH16&gt;=$AI$10,"CUMPLE","NO CUMPLE")))</f>
        <v>CUMPLE</v>
      </c>
      <c r="AJ18" s="270" t="str">
        <f t="shared" ref="AJ18" si="14">IF(OR(AG18="",AI18=""),"",IF(AG18="NO CUMPLE","NO CUMPLE",IF(AI18="NO CUMPLE","NO CUMPLE",IF(AI18="NO CUMPLE","NO CUMPLE","CUMPLE"))))</f>
        <v>CUMPLE</v>
      </c>
    </row>
    <row r="19" spans="1:36" ht="33.75" customHeight="1" x14ac:dyDescent="0.2">
      <c r="B19" s="231">
        <v>3</v>
      </c>
      <c r="C19" s="232" t="s">
        <v>272</v>
      </c>
      <c r="D19" s="233">
        <f t="shared" ref="D19:L19" si="15">IF(ISERROR(SUM(D20:D21)),"",SUM(D20:D21))</f>
        <v>1</v>
      </c>
      <c r="E19" s="234">
        <f t="shared" si="15"/>
        <v>480000000</v>
      </c>
      <c r="F19" s="234">
        <f t="shared" si="15"/>
        <v>600000000</v>
      </c>
      <c r="G19" s="234">
        <f t="shared" si="15"/>
        <v>1</v>
      </c>
      <c r="H19" s="234">
        <f t="shared" si="15"/>
        <v>1</v>
      </c>
      <c r="I19" s="234">
        <f t="shared" si="15"/>
        <v>479999999</v>
      </c>
      <c r="J19" s="234">
        <f t="shared" si="15"/>
        <v>599999999</v>
      </c>
      <c r="K19" s="234">
        <f t="shared" si="15"/>
        <v>28650000</v>
      </c>
      <c r="L19" s="235">
        <f t="shared" si="15"/>
        <v>1</v>
      </c>
      <c r="M19" s="236">
        <v>1</v>
      </c>
      <c r="N19" s="237">
        <f>IF(ISERROR(VLOOKUP(M19,POA!$A$2:$C$7,3,0)),"",VLOOKUP(M19,POA!$A$2:$C$7,3,0))</f>
        <v>3</v>
      </c>
      <c r="O19" s="238"/>
      <c r="P19" s="239">
        <f>+SUM(P20:P38)</f>
        <v>0</v>
      </c>
      <c r="Q19" s="240">
        <f>IF(ISERROR(VLOOKUP(M19,POA!$A$2:$C$7,2,0)),"",VLOOKUP(M19,POA!$A$2:$C$7,2,0))</f>
        <v>881383180</v>
      </c>
      <c r="R19" s="234">
        <f>IF(M19="","",I19)</f>
        <v>479999999</v>
      </c>
      <c r="S19" s="241" t="str">
        <f>IF(OR(M19="",Q19=""),"",IF($R19&gt;=(VLOOKUP(M19,POA!$A$2:$J$2,10,FALSE)*Q19),"CUMPLE","NO CUMPLE"))</f>
        <v>CUMPLE</v>
      </c>
      <c r="T19" s="242" t="str">
        <f>IF(M19="","",IF(COUNTIF(T20:T38,"SI")&gt;=1,"SI","NO"))</f>
        <v>SI</v>
      </c>
      <c r="U19" s="234">
        <f>IF(M19&lt;&gt;"",IF(ISERROR(SUM(E19/G19)),0,SUM(E19/G19)),"")</f>
        <v>480000000</v>
      </c>
      <c r="V19" s="241" t="str">
        <f>IF(M19&lt;&gt;"",IF(OR(U19=0,M19="",Q19=""),"",IF(AND(T19="SI",U19&gt;=$V$9),"CUMPLE",IF(U19&gt;=$V$10,"CUMPLE","NO CUMPLE"))),"")</f>
        <v>CUMPLE</v>
      </c>
      <c r="W19" s="243">
        <f>IF(M19&lt;&gt;"",IF(ISERROR(SUM(H19/F19)),0,SUM(H19/F19)),"")</f>
        <v>1.6666666666666667E-9</v>
      </c>
      <c r="X19" s="241" t="str">
        <f>IF(OR(W19=0,M19="",Q19=""),"",IF(AND(T19="SI",W19&lt;=$X$9),"CUMPLE",IF(W19&lt;=$X$10,"CUMPLE","NO CUMPLE")))</f>
        <v>CUMPLE</v>
      </c>
      <c r="Y19" s="239">
        <f>+SUM(Y20:Y38)</f>
        <v>0</v>
      </c>
      <c r="Z19" s="244">
        <f>IF(ISERROR(SUM(K19/L19)),0,SUM(K19/L19))</f>
        <v>28650000</v>
      </c>
      <c r="AA19" s="241" t="str">
        <f>IF(M19&lt;&gt;"",IF(OR(M19="",Q19=""),"",IF(AND(T19="SI",Z19&gt;=$AA$9),"CUMPLE",IF(Z19&gt;=$AA$10,"CUMPLE","NO CUMPLE"))),"")</f>
        <v>CUMPLE</v>
      </c>
      <c r="AB19" s="245" t="str">
        <f>IF(OR(S19="",V19="",X19="",AA19=""),"",IF(OR(S19="NO CUMPLE",V19="NO CUMPLE",X19="NO CUMPLE",AA19="NO CUMPLE",COUNTIF(AB20:AB38,"NO CUMPLE")&gt;0),"NO CUMPLE"," CUMPLE"))</f>
        <v xml:space="preserve"> CUMPLE</v>
      </c>
      <c r="AC19" s="246">
        <v>2021</v>
      </c>
      <c r="AD19" s="247">
        <f>IF(ISERROR(F19/VLOOKUP(AC19,$AD$8:$AE$10,2)),"",F19/VLOOKUP(AC19,$AD$8:$AE$10,2))</f>
        <v>660.41037900951653</v>
      </c>
      <c r="AE19" s="248"/>
      <c r="AF19" s="249">
        <f>IF(AC19="","",IF(ISNUMBER(AC19),IF(ISERROR(SUM(K19/J19)),0,SUM(K19/J19))))</f>
        <v>4.7750000079583334E-2</v>
      </c>
      <c r="AG19" s="241" t="str">
        <f>IF(OR(M19="",Q19=""),"",IF(AND(T19="SI",AF19&gt;=$AG$9),"CUMPLE",IF(AF19&gt;=$AG$10,"CUMPLE","NO CUMPLE")))</f>
        <v>CUMPLE</v>
      </c>
      <c r="AH19" s="250">
        <f>IF(ISERROR(SUM(K19/F19)),0,SUM(K19/F19))</f>
        <v>4.7750000000000001E-2</v>
      </c>
      <c r="AI19" s="241" t="str">
        <f>IF(OR(M19="",Q19=""),"",IF(AND(T19="SI",AH19&gt;=$AI$9),"CUMPLE",IF(AH19&gt;=$AI$10,"CUMPLE","NO CUMPLE")))</f>
        <v>CUMPLE</v>
      </c>
      <c r="AJ19" s="251" t="str">
        <f>IF(OR(AG19="",AI19=""),"",IF(OR(AG19="NO CUMPLE",AI19="NO CUMPLE",COUNTIF(AJ20:AJ38,"NO CUMPLE")&gt;0),"NO CUMPLE","CUMPLE"))</f>
        <v>CUMPLE</v>
      </c>
    </row>
    <row r="20" spans="1:36" ht="16.5" x14ac:dyDescent="0.2">
      <c r="A20" s="77"/>
      <c r="B20" s="252">
        <f>IF(C20="","",B19+0.1)</f>
        <v>3.1</v>
      </c>
      <c r="C20" s="253" t="s">
        <v>272</v>
      </c>
      <c r="D20" s="254">
        <v>1</v>
      </c>
      <c r="E20" s="255">
        <v>480000000</v>
      </c>
      <c r="F20" s="255">
        <v>600000000</v>
      </c>
      <c r="G20" s="255">
        <v>1</v>
      </c>
      <c r="H20" s="255">
        <v>1</v>
      </c>
      <c r="I20" s="255">
        <f t="shared" ref="I20:I21" si="16">IF(ISERROR(E20-G20),"",E20-G20)</f>
        <v>479999999</v>
      </c>
      <c r="J20" s="255">
        <f t="shared" ref="J20:J21" si="17">IF(ISERROR(F20-H20),"",F20-H20)</f>
        <v>599999999</v>
      </c>
      <c r="K20" s="255">
        <v>28650000</v>
      </c>
      <c r="L20" s="255">
        <v>1</v>
      </c>
      <c r="M20" s="256">
        <v>1</v>
      </c>
      <c r="N20" s="257">
        <f>IF(ISERROR(VLOOKUP(M20,POA!$A$2:$C$7,3,0)),"",VLOOKUP(M20,POA!$A$2:$C$7,3,0))</f>
        <v>3</v>
      </c>
      <c r="O20" s="258"/>
      <c r="P20" s="258" t="str">
        <f>IF(ISERROR(VLOOKUP(O20,POA!$A$2:$F$7,4,0)),"",VLOOKUP(O20,POA!$A$2:$F$7,4,0))</f>
        <v/>
      </c>
      <c r="Q20" s="259">
        <f>IF(ISERROR(VLOOKUP(M20,POA!$A$2:$C$7,2,0)),"",VLOOKUP(M20,POA!$A$2:$C$7,2,0))</f>
        <v>881383180</v>
      </c>
      <c r="R20" s="260">
        <f t="shared" ref="R20:R21" si="18">IF(M20="","",I20)</f>
        <v>479999999</v>
      </c>
      <c r="S20" s="261" t="str">
        <f>IF(OR(M20="",Q20=""),"",IF($R19&gt;=(VLOOKUP(M20,POA!$A$2:$J$2,10,FALSE)*Q20),"CUMPLE","NO CUMPLE"))</f>
        <v>CUMPLE</v>
      </c>
      <c r="T20" s="262" t="s">
        <v>257</v>
      </c>
      <c r="U20" s="260"/>
      <c r="V20" s="261" t="str">
        <f>IF(M20&lt;&gt;"",IF(OR(U19=0,M20="",Q20=""),"",IF(AND(T19="SI",U19&gt;=$V$9),"CUMPLE",IF(U19&gt;=$V$10,"CUMPLE","NO CUMPLE"))),"")</f>
        <v>CUMPLE</v>
      </c>
      <c r="W20" s="263"/>
      <c r="X20" s="261" t="str">
        <f>IF(OR(W19=0,M20="",Q20=""),"",IF(AND(T19="SI",W19&lt;=$X$9),"CUMPLE",IF(W19&lt;=$X$10,"CUMPLE","NO CUMPLE")))</f>
        <v>CUMPLE</v>
      </c>
      <c r="Y20" s="264" t="s">
        <v>224</v>
      </c>
      <c r="Z20" s="264"/>
      <c r="AA20" s="261" t="str">
        <f>IF(M20&lt;&gt;"",IF(OR(M20="",Q20=""),"",IF(AND(T19="SI",Z19&gt;=$AA$9),"CUMPLE",IF(Z19&gt;=$AA$10,"CUMPLE","NO CUMPLE"))),"")</f>
        <v>CUMPLE</v>
      </c>
      <c r="AB20" s="265" t="str">
        <f>IF(OR(S20="",V20="",X20="",AA20=""),"",IF(S20="NO CUMPLE","NO CUMPLE",IF(V20="NO  CUMPLE","NO CUMPLE",IF(X20="NO  CUMPLE","NO  CUMPLE",IF(AA20="NO  CUMPLE","NO  CUMPLE",IF(AA20="NO  CUMPLE","NO  CUMPLE"," CUMPLE"))))))</f>
        <v xml:space="preserve"> CUMPLE</v>
      </c>
      <c r="AC20" s="266">
        <v>2021</v>
      </c>
      <c r="AD20" s="267">
        <f>IF(ISERROR(F20/VLOOKUP(AC20,$AD$8:$AE$10,2)),"",F20/VLOOKUP(AC20,$AD$8:$AE$10,2))</f>
        <v>660.41037900951653</v>
      </c>
      <c r="AE20" s="268" t="str">
        <f t="shared" ref="AE20:AE21" si="19">IF(OR(B20="",C20=""),"",IF(AND(AD20&gt;=500,AD20&lt;=30000),"MIPYME","NO CUMPLE"))</f>
        <v>MIPYME</v>
      </c>
      <c r="AF20" s="269"/>
      <c r="AG20" s="261" t="str">
        <f>IF(OR(M20="",Q20=""),"",IF(AND(T19="SI",AF19&gt;=$AG$9),"CUMPLE",IF(AF19&gt;=$AG$10,"CUMPLE","NO CUMPLE")))</f>
        <v>CUMPLE</v>
      </c>
      <c r="AH20" s="269"/>
      <c r="AI20" s="261" t="str">
        <f>IF(OR(M20="",Q20=""),"",IF(AND(T19="SI",AH19&gt;=$AI$9),"CUMPLE",IF(AH19&gt;=$AI$10,"CUMPLE","NO CUMPLE")))</f>
        <v>CUMPLE</v>
      </c>
      <c r="AJ20" s="270" t="str">
        <f>IF(OR(AG20="",AI20=""),"",IF(AG20="NO CUMPLE","NO CUMPLE",IF(AI20="NO CUMPLE","NO CUMPLE",IF(AI20="NO CUMPLE","NO CUMPLE","CUMPLE"))))</f>
        <v>CUMPLE</v>
      </c>
    </row>
    <row r="21" spans="1:36" ht="17.25" thickBot="1" x14ac:dyDescent="0.25">
      <c r="A21" s="77"/>
      <c r="B21" s="252" t="str">
        <f t="shared" ref="B21" si="20">IF(C21="","",B20+0.1)</f>
        <v/>
      </c>
      <c r="C21" s="271"/>
      <c r="D21" s="254"/>
      <c r="E21" s="255"/>
      <c r="F21" s="255"/>
      <c r="G21" s="255"/>
      <c r="H21" s="255"/>
      <c r="I21" s="255">
        <f t="shared" si="16"/>
        <v>0</v>
      </c>
      <c r="J21" s="255">
        <f t="shared" si="17"/>
        <v>0</v>
      </c>
      <c r="K21" s="255"/>
      <c r="L21" s="255"/>
      <c r="M21" s="256"/>
      <c r="N21" s="257" t="str">
        <f>IF(ISERROR(VLOOKUP(M21,POA!$A$2:$C$7,3,0)),"",VLOOKUP(M21,POA!$A$2:$C$7,3,0))</f>
        <v/>
      </c>
      <c r="O21" s="258"/>
      <c r="P21" s="258" t="str">
        <f>IF(ISERROR(VLOOKUP(O21,POA!$A$2:$F$7,4,0)),"",VLOOKUP(O21,POA!$A$2:$F$7,4,0))</f>
        <v/>
      </c>
      <c r="Q21" s="259" t="str">
        <f>IF(ISERROR(VLOOKUP(M21,POA!$A$2:$C$7,2,0)),"",VLOOKUP(M21,POA!$A$2:$C$7,2,0))</f>
        <v/>
      </c>
      <c r="R21" s="260" t="str">
        <f t="shared" si="18"/>
        <v/>
      </c>
      <c r="S21" s="261" t="str">
        <f>IF(OR(M21="",Q21=""),"",IF($R19&gt;=(VLOOKUP(M21,POA!$A$2:$J$2,10,FALSE)*Q21),"CUMPLE","NO CUMPLE"))</f>
        <v/>
      </c>
      <c r="T21" s="262" t="s">
        <v>257</v>
      </c>
      <c r="U21" s="260"/>
      <c r="V21" s="261" t="str">
        <f>IF(M21&lt;&gt;"",IF(OR(U19=0,M21="",Q21=""),"",IF(AND(T19="SI",U19&gt;=$V$9),"CUMPLE",IF(U19&gt;=$V$10,"CUMPLE","NO CUMPLE"))),"")</f>
        <v/>
      </c>
      <c r="W21" s="263"/>
      <c r="X21" s="261" t="str">
        <f>IF(OR(W19=0,M21="",Q21=""),"",IF(AND(T19="SI",W19&lt;=$X$9),"CUMPLE",IF(W19&lt;=$X$10,"CUMPLE","NO CUMPLE")))</f>
        <v/>
      </c>
      <c r="Y21" s="264" t="s">
        <v>224</v>
      </c>
      <c r="Z21" s="264"/>
      <c r="AA21" s="261" t="str">
        <f>IF(M21&lt;&gt;"",IF(OR(M21="",Q21=""),"",IF(AND(T19="SI",Z19&gt;=$AA$9),"CUMPLE",IF(Z19&gt;=$AA$10,"CUMPLE","NO CUMPLE"))),"")</f>
        <v/>
      </c>
      <c r="AB21" s="265" t="str">
        <f>IF(OR(S21="",V21="",X21="",AA21=""),"",IF(S21="NO CUMPLE","NO CUMPLE",IF(V21="NO  CUMPLE","NO CUMPLE",IF(X21="NO  CUMPLE","NO  CUMPLE",IF(AA21="NO  CUMPLE","NO  CUMPLE",IF(AA21="NO  CUMPLE","NO  CUMPLE"," CUMPLE"))))))</f>
        <v/>
      </c>
      <c r="AC21" s="266">
        <v>2021</v>
      </c>
      <c r="AD21" s="267">
        <f t="shared" ref="AD21" si="21">IF(ISERROR(F21/VLOOKUP(AC21,$AD$8:$AE$10,2)),"",F21/VLOOKUP(AC21,$AD$8:$AE$10,2))</f>
        <v>0</v>
      </c>
      <c r="AE21" s="268" t="str">
        <f t="shared" si="19"/>
        <v/>
      </c>
      <c r="AF21" s="269"/>
      <c r="AG21" s="261" t="str">
        <f>IF(OR(M21="",Q21=""),"",IF(AND(T19="SI",AF19&gt;=$AG$9),"CUMPLE",IF(AF19&gt;=$AG$10,"CUMPLE","NO CUMPLE")))</f>
        <v/>
      </c>
      <c r="AH21" s="269"/>
      <c r="AI21" s="261" t="str">
        <f>IF(OR(M21="",Q21=""),"",IF(AND(T19="SI",AH19&gt;=$AI$9),"CUMPLE",IF(AH19&gt;=$AI$10,"CUMPLE","NO CUMPLE")))</f>
        <v/>
      </c>
      <c r="AJ21" s="270" t="str">
        <f t="shared" ref="AJ21" si="22">IF(OR(AG21="",AI21=""),"",IF(AG21="NO CUMPLE","NO CUMPLE",IF(AI21="NO CUMPLE","NO CUMPLE",IF(AI21="NO CUMPLE","NO CUMPLE","CUMPLE"))))</f>
        <v/>
      </c>
    </row>
    <row r="22" spans="1:36" ht="33.75" customHeight="1" x14ac:dyDescent="0.2">
      <c r="B22" s="231">
        <v>4</v>
      </c>
      <c r="C22" s="232" t="s">
        <v>273</v>
      </c>
      <c r="D22" s="233">
        <f t="shared" ref="D22:L22" si="23">IF(ISERROR(SUM(D23:D24)),"",SUM(D23:D24))</f>
        <v>1</v>
      </c>
      <c r="E22" s="234">
        <f t="shared" si="23"/>
        <v>12001714787</v>
      </c>
      <c r="F22" s="234">
        <f t="shared" si="23"/>
        <v>14267070204</v>
      </c>
      <c r="G22" s="234">
        <f t="shared" si="23"/>
        <v>3137176011</v>
      </c>
      <c r="H22" s="234">
        <f t="shared" si="23"/>
        <v>7170089420</v>
      </c>
      <c r="I22" s="234">
        <f t="shared" si="23"/>
        <v>8864538776</v>
      </c>
      <c r="J22" s="234">
        <f t="shared" si="23"/>
        <v>7096980784</v>
      </c>
      <c r="K22" s="234">
        <f t="shared" si="23"/>
        <v>1978171360</v>
      </c>
      <c r="L22" s="235">
        <f t="shared" si="23"/>
        <v>347502253</v>
      </c>
      <c r="M22" s="236">
        <v>1</v>
      </c>
      <c r="N22" s="237">
        <f>IF(ISERROR(VLOOKUP(M22,POA!$A$2:$C$7,3,0)),"",VLOOKUP(M22,POA!$A$2:$C$7,3,0))</f>
        <v>3</v>
      </c>
      <c r="O22" s="238"/>
      <c r="P22" s="239">
        <f>+SUM(P23:P41)</f>
        <v>0</v>
      </c>
      <c r="Q22" s="240">
        <f>IF(ISERROR(VLOOKUP(M22,POA!$A$2:$C$7,2,0)),"",VLOOKUP(M22,POA!$A$2:$C$7,2,0))</f>
        <v>881383180</v>
      </c>
      <c r="R22" s="234">
        <f>IF(M22="","",I22)</f>
        <v>8864538776</v>
      </c>
      <c r="S22" s="241" t="str">
        <f>IF(OR(M22="",Q22=""),"",IF($R22&gt;=(VLOOKUP(M22,POA!$A$2:$J$2,10,FALSE)*Q22),"CUMPLE","NO CUMPLE"))</f>
        <v>CUMPLE</v>
      </c>
      <c r="T22" s="242" t="str">
        <f>IF(M22="","",IF(COUNTIF(T23:T41,"SI")&gt;=1,"SI","NO"))</f>
        <v>SI</v>
      </c>
      <c r="U22" s="234">
        <f>IF(M22&lt;&gt;"",IF(ISERROR(SUM(E22/G22)),0,SUM(E22/G22)),"")</f>
        <v>3.8256427898587551</v>
      </c>
      <c r="V22" s="241" t="str">
        <f>IF(M22&lt;&gt;"",IF(OR(U22=0,M22="",Q22=""),"",IF(AND(T22="SI",U22&gt;=$V$9),"CUMPLE",IF(U22&gt;=$V$10,"CUMPLE","NO CUMPLE"))),"")</f>
        <v>CUMPLE</v>
      </c>
      <c r="W22" s="243">
        <f>IF(M22&lt;&gt;"",IF(ISERROR(SUM(H22/F22)),0,SUM(H22/F22)),"")</f>
        <v>0.50256214608026195</v>
      </c>
      <c r="X22" s="241" t="str">
        <f>IF(OR(W22=0,M22="",Q22=""),"",IF(AND(T22="SI",W22&lt;=$X$9),"CUMPLE",IF(W22&lt;=$X$10,"CUMPLE","NO CUMPLE")))</f>
        <v>CUMPLE</v>
      </c>
      <c r="Y22" s="239">
        <f>+SUM(Y23:Y41)</f>
        <v>0</v>
      </c>
      <c r="Z22" s="244">
        <f>IF(ISERROR(SUM(K22/L22)),0,SUM(K22/L22))</f>
        <v>5.6925425459040113</v>
      </c>
      <c r="AA22" s="241" t="str">
        <f>IF(M22&lt;&gt;"",IF(OR(M22="",Q22=""),"",IF(AND(T22="SI",Z22&gt;=$AA$9),"CUMPLE",IF(Z22&gt;=$AA$10,"CUMPLE","NO CUMPLE"))),"")</f>
        <v>CUMPLE</v>
      </c>
      <c r="AB22" s="245" t="str">
        <f>IF(OR(S22="",V22="",X22="",AA22=""),"",IF(OR(S22="NO CUMPLE",V22="NO CUMPLE",X22="NO CUMPLE",AA22="NO CUMPLE",COUNTIF(AB23:AB41,"NO CUMPLE")&gt;0),"NO CUMPLE"," CUMPLE"))</f>
        <v xml:space="preserve"> CUMPLE</v>
      </c>
      <c r="AC22" s="246">
        <v>2021</v>
      </c>
      <c r="AD22" s="247">
        <f>IF(ISERROR(F22/VLOOKUP(AC22,$AD$8:$AE$10,2)),"",F22/VLOOKUP(AC22,$AD$8:$AE$10,2))</f>
        <v>15703.535401298366</v>
      </c>
      <c r="AE22" s="248"/>
      <c r="AF22" s="249">
        <f>IF(AC22="","",IF(ISNUMBER(AC22),IF(ISERROR(SUM(K22/J22)),0,SUM(K22/J22))))</f>
        <v>0.27873421391526765</v>
      </c>
      <c r="AG22" s="241" t="str">
        <f>IF(OR(M22="",Q22=""),"",IF(AND(T22="SI",AF22&gt;=$AG$9),"CUMPLE",IF(AF22&gt;=$AG$10,"CUMPLE","NO CUMPLE")))</f>
        <v>CUMPLE</v>
      </c>
      <c r="AH22" s="250">
        <f>IF(ISERROR(SUM(K22/F22)),0,SUM(K22/F22))</f>
        <v>0.13865294918401594</v>
      </c>
      <c r="AI22" s="241" t="str">
        <f>IF(OR(M22="",Q22=""),"",IF(AND(T22="SI",AH22&gt;=$AI$9),"CUMPLE",IF(AH22&gt;=$AI$10,"CUMPLE","NO CUMPLE")))</f>
        <v>CUMPLE</v>
      </c>
      <c r="AJ22" s="251" t="str">
        <f>IF(OR(AG22="",AI22=""),"",IF(OR(AG22="NO CUMPLE",AI22="NO CUMPLE",COUNTIF(AJ23:AJ41,"NO CUMPLE")&gt;0),"NO CUMPLE","CUMPLE"))</f>
        <v>CUMPLE</v>
      </c>
    </row>
    <row r="23" spans="1:36" ht="16.5" x14ac:dyDescent="0.2">
      <c r="A23" s="77"/>
      <c r="B23" s="252">
        <f>IF(C23="","",B22+0.1)</f>
        <v>4.0999999999999996</v>
      </c>
      <c r="C23" s="253" t="s">
        <v>274</v>
      </c>
      <c r="D23" s="254">
        <v>0.1</v>
      </c>
      <c r="E23" s="255">
        <v>11031698571</v>
      </c>
      <c r="F23" s="255">
        <v>12911230329</v>
      </c>
      <c r="G23" s="255">
        <v>3120156702</v>
      </c>
      <c r="H23" s="255">
        <v>7127608168</v>
      </c>
      <c r="I23" s="255">
        <f t="shared" ref="I23:I24" si="24">IF(ISERROR(E23-G23),"",E23-G23)</f>
        <v>7911541869</v>
      </c>
      <c r="J23" s="255">
        <f t="shared" ref="J23:J24" si="25">IF(ISERROR(F23-H23),"",F23-H23)</f>
        <v>5783622161</v>
      </c>
      <c r="K23" s="255">
        <v>1948055524</v>
      </c>
      <c r="L23" s="255">
        <v>346855607</v>
      </c>
      <c r="M23" s="256">
        <v>1</v>
      </c>
      <c r="N23" s="257">
        <f>IF(ISERROR(VLOOKUP(M23,POA!$A$2:$C$7,3,0)),"",VLOOKUP(M23,POA!$A$2:$C$7,3,0))</f>
        <v>3</v>
      </c>
      <c r="O23" s="258"/>
      <c r="P23" s="258" t="str">
        <f>IF(ISERROR(VLOOKUP(O23,POA!$A$2:$F$7,4,0)),"",VLOOKUP(O23,POA!$A$2:$F$7,4,0))</f>
        <v/>
      </c>
      <c r="Q23" s="259">
        <f>IF(ISERROR(VLOOKUP(M23,POA!$A$2:$C$7,2,0)),"",VLOOKUP(M23,POA!$A$2:$C$7,2,0))</f>
        <v>881383180</v>
      </c>
      <c r="R23" s="260">
        <f t="shared" ref="R23:R24" si="26">IF(M23="","",I23)</f>
        <v>7911541869</v>
      </c>
      <c r="S23" s="261" t="str">
        <f>IF(OR(M23="",Q23=""),"",IF($R22&gt;=(VLOOKUP(M23,POA!$A$2:$J$2,10,FALSE)*Q23),"CUMPLE","NO CUMPLE"))</f>
        <v>CUMPLE</v>
      </c>
      <c r="T23" s="262" t="s">
        <v>257</v>
      </c>
      <c r="U23" s="260"/>
      <c r="V23" s="261" t="str">
        <f>IF(M23&lt;&gt;"",IF(OR(U22=0,M23="",Q23=""),"",IF(AND(T22="SI",U22&gt;=$V$9),"CUMPLE",IF(U22&gt;=$V$10,"CUMPLE","NO CUMPLE"))),"")</f>
        <v>CUMPLE</v>
      </c>
      <c r="W23" s="263"/>
      <c r="X23" s="261" t="str">
        <f>IF(OR(W22=0,M23="",Q23=""),"",IF(AND(T22="SI",W22&lt;=$X$9),"CUMPLE",IF(W22&lt;=$X$10,"CUMPLE","NO CUMPLE")))</f>
        <v>CUMPLE</v>
      </c>
      <c r="Y23" s="264" t="s">
        <v>224</v>
      </c>
      <c r="Z23" s="264"/>
      <c r="AA23" s="261" t="str">
        <f>IF(M23&lt;&gt;"",IF(OR(M23="",Q23=""),"",IF(AND(T22="SI",Z22&gt;=$AA$9),"CUMPLE",IF(Z22&gt;=$AA$10,"CUMPLE","NO CUMPLE"))),"")</f>
        <v>CUMPLE</v>
      </c>
      <c r="AB23" s="265" t="str">
        <f>IF(OR(S23="",V23="",X23="",AA23=""),"",IF(S23="NO CUMPLE","NO CUMPLE",IF(V23="NO  CUMPLE","NO CUMPLE",IF(X23="NO  CUMPLE","NO  CUMPLE",IF(AA23="NO  CUMPLE","NO  CUMPLE",IF(AA23="NO  CUMPLE","NO  CUMPLE"," CUMPLE"))))))</f>
        <v xml:space="preserve"> CUMPLE</v>
      </c>
      <c r="AC23" s="266">
        <v>2021</v>
      </c>
      <c r="AD23" s="267">
        <f>IF(ISERROR(F23/VLOOKUP(AC23,$AD$8:$AE$10,2)),"",F23/VLOOKUP(AC23,$AD$8:$AE$10,2))</f>
        <v>14211.184191756758</v>
      </c>
      <c r="AE23" s="268" t="str">
        <f t="shared" ref="AE23:AE24" si="27">IF(OR(B23="",C23=""),"",IF(AND(AD23&gt;=500,AD23&lt;=30000),"MIPYME","NO CUMPLE"))</f>
        <v>MIPYME</v>
      </c>
      <c r="AF23" s="269"/>
      <c r="AG23" s="261" t="str">
        <f>IF(OR(M23="",Q23=""),"",IF(AND(T22="SI",AF22&gt;=$AG$9),"CUMPLE",IF(AF22&gt;=$AG$10,"CUMPLE","NO CUMPLE")))</f>
        <v>CUMPLE</v>
      </c>
      <c r="AH23" s="269"/>
      <c r="AI23" s="261" t="str">
        <f>IF(OR(M23="",Q23=""),"",IF(AND(T22="SI",AH22&gt;=$AI$9),"CUMPLE",IF(AH22&gt;=$AI$10,"CUMPLE","NO CUMPLE")))</f>
        <v>CUMPLE</v>
      </c>
      <c r="AJ23" s="270" t="str">
        <f>IF(OR(AG23="",AI23=""),"",IF(AG23="NO CUMPLE","NO CUMPLE",IF(AI23="NO CUMPLE","NO CUMPLE",IF(AI23="NO CUMPLE","NO CUMPLE","CUMPLE"))))</f>
        <v>CUMPLE</v>
      </c>
    </row>
    <row r="24" spans="1:36" ht="17.25" thickBot="1" x14ac:dyDescent="0.25">
      <c r="A24" s="77"/>
      <c r="B24" s="252">
        <f t="shared" ref="B24" si="28">IF(C24="","",B23+0.1)</f>
        <v>4.1999999999999993</v>
      </c>
      <c r="C24" s="271" t="s">
        <v>275</v>
      </c>
      <c r="D24" s="254">
        <v>0.9</v>
      </c>
      <c r="E24" s="255">
        <v>970016216</v>
      </c>
      <c r="F24" s="255">
        <v>1355839875</v>
      </c>
      <c r="G24" s="255">
        <v>17019309</v>
      </c>
      <c r="H24" s="255">
        <v>42481252</v>
      </c>
      <c r="I24" s="255">
        <f t="shared" si="24"/>
        <v>952996907</v>
      </c>
      <c r="J24" s="255">
        <f t="shared" si="25"/>
        <v>1313358623</v>
      </c>
      <c r="K24" s="255">
        <v>30115836</v>
      </c>
      <c r="L24" s="255">
        <v>646646</v>
      </c>
      <c r="M24" s="256">
        <v>1</v>
      </c>
      <c r="N24" s="257">
        <f>IF(ISERROR(VLOOKUP(M24,POA!$A$2:$C$7,3,0)),"",VLOOKUP(M24,POA!$A$2:$C$7,3,0))</f>
        <v>3</v>
      </c>
      <c r="O24" s="258"/>
      <c r="P24" s="258" t="str">
        <f>IF(ISERROR(VLOOKUP(O24,POA!$A$2:$F$7,4,0)),"",VLOOKUP(O24,POA!$A$2:$F$7,4,0))</f>
        <v/>
      </c>
      <c r="Q24" s="259">
        <f>IF(ISERROR(VLOOKUP(M24,POA!$A$2:$C$7,2,0)),"",VLOOKUP(M24,POA!$A$2:$C$7,2,0))</f>
        <v>881383180</v>
      </c>
      <c r="R24" s="260">
        <f t="shared" si="26"/>
        <v>952996907</v>
      </c>
      <c r="S24" s="261" t="str">
        <f>IF(OR(M24="",Q24=""),"",IF($R22&gt;=(VLOOKUP(M24,POA!$A$2:$J$2,10,FALSE)*Q24),"CUMPLE","NO CUMPLE"))</f>
        <v>CUMPLE</v>
      </c>
      <c r="T24" s="262" t="s">
        <v>257</v>
      </c>
      <c r="U24" s="260"/>
      <c r="V24" s="261" t="str">
        <f>IF(M24&lt;&gt;"",IF(OR(U22=0,M24="",Q24=""),"",IF(AND(T22="SI",U22&gt;=$V$9),"CUMPLE",IF(U22&gt;=$V$10,"CUMPLE","NO CUMPLE"))),"")</f>
        <v>CUMPLE</v>
      </c>
      <c r="W24" s="263"/>
      <c r="X24" s="261" t="str">
        <f>IF(OR(W22=0,M24="",Q24=""),"",IF(AND(T22="SI",W22&lt;=$X$9),"CUMPLE",IF(W22&lt;=$X$10,"CUMPLE","NO CUMPLE")))</f>
        <v>CUMPLE</v>
      </c>
      <c r="Y24" s="264" t="s">
        <v>224</v>
      </c>
      <c r="Z24" s="264"/>
      <c r="AA24" s="261" t="str">
        <f>IF(M24&lt;&gt;"",IF(OR(M24="",Q24=""),"",IF(AND(T22="SI",Z22&gt;=$AA$9),"CUMPLE",IF(Z22&gt;=$AA$10,"CUMPLE","NO CUMPLE"))),"")</f>
        <v>CUMPLE</v>
      </c>
      <c r="AB24" s="265" t="str">
        <f>IF(OR(S24="",V24="",X24="",AA24=""),"",IF(S24="NO CUMPLE","NO CUMPLE",IF(V24="NO  CUMPLE","NO CUMPLE",IF(X24="NO  CUMPLE","NO  CUMPLE",IF(AA24="NO  CUMPLE","NO  CUMPLE",IF(AA24="NO  CUMPLE","NO  CUMPLE"," CUMPLE"))))))</f>
        <v xml:space="preserve"> CUMPLE</v>
      </c>
      <c r="AC24" s="266">
        <v>2021</v>
      </c>
      <c r="AD24" s="267">
        <f t="shared" ref="AD24" si="29">IF(ISERROR(F24/VLOOKUP(AC24,$AD$8:$AE$10,2)),"",F24/VLOOKUP(AC24,$AD$8:$AE$10,2))</f>
        <v>1492.3512095416093</v>
      </c>
      <c r="AE24" s="268" t="str">
        <f t="shared" si="27"/>
        <v>MIPYME</v>
      </c>
      <c r="AF24" s="269"/>
      <c r="AG24" s="261" t="str">
        <f>IF(OR(M24="",Q24=""),"",IF(AND(T22="SI",AF22&gt;=$AG$9),"CUMPLE",IF(AF22&gt;=$AG$10,"CUMPLE","NO CUMPLE")))</f>
        <v>CUMPLE</v>
      </c>
      <c r="AH24" s="269"/>
      <c r="AI24" s="261" t="str">
        <f>IF(OR(M24="",Q24=""),"",IF(AND(T22="SI",AH22&gt;=$AI$9),"CUMPLE",IF(AH22&gt;=$AI$10,"CUMPLE","NO CUMPLE")))</f>
        <v>CUMPLE</v>
      </c>
      <c r="AJ24" s="270" t="str">
        <f t="shared" ref="AJ24" si="30">IF(OR(AG24="",AI24=""),"",IF(AG24="NO CUMPLE","NO CUMPLE",IF(AI24="NO CUMPLE","NO CUMPLE",IF(AI24="NO CUMPLE","NO CUMPLE","CUMPLE"))))</f>
        <v>CUMPLE</v>
      </c>
    </row>
    <row r="25" spans="1:36" ht="33.75" customHeight="1" x14ac:dyDescent="0.2">
      <c r="B25" s="231">
        <v>5</v>
      </c>
      <c r="C25" s="232" t="s">
        <v>276</v>
      </c>
      <c r="D25" s="233">
        <f t="shared" ref="D25:L25" si="31">IF(ISERROR(SUM(D26:D27)),"",SUM(D26:D27))</f>
        <v>1</v>
      </c>
      <c r="E25" s="234">
        <f t="shared" si="31"/>
        <v>2654972992</v>
      </c>
      <c r="F25" s="234">
        <f t="shared" si="31"/>
        <v>5028105259</v>
      </c>
      <c r="G25" s="234">
        <f t="shared" si="31"/>
        <v>1567903948</v>
      </c>
      <c r="H25" s="234">
        <f t="shared" si="31"/>
        <v>1729049040</v>
      </c>
      <c r="I25" s="234">
        <f t="shared" si="31"/>
        <v>1087069044</v>
      </c>
      <c r="J25" s="234">
        <f t="shared" si="31"/>
        <v>3299056219</v>
      </c>
      <c r="K25" s="234">
        <f t="shared" si="31"/>
        <v>795017811</v>
      </c>
      <c r="L25" s="235">
        <f t="shared" si="31"/>
        <v>26225380</v>
      </c>
      <c r="M25" s="236">
        <v>1</v>
      </c>
      <c r="N25" s="237">
        <f>IF(ISERROR(VLOOKUP(M25,POA!$A$2:$C$7,3,0)),"",VLOOKUP(M25,POA!$A$2:$C$7,3,0))</f>
        <v>3</v>
      </c>
      <c r="O25" s="238"/>
      <c r="P25" s="239">
        <f>+SUM(P26:P44)</f>
        <v>0</v>
      </c>
      <c r="Q25" s="240">
        <f>IF(ISERROR(VLOOKUP(M25,POA!$A$2:$C$7,2,0)),"",VLOOKUP(M25,POA!$A$2:$C$7,2,0))</f>
        <v>881383180</v>
      </c>
      <c r="R25" s="234">
        <f>IF(M25="","",I25)</f>
        <v>1087069044</v>
      </c>
      <c r="S25" s="241" t="str">
        <f>IF(OR(M25="",Q25=""),"",IF($R25&gt;=(VLOOKUP(M25,POA!$A$2:$J$2,10,FALSE)*Q25),"CUMPLE","NO CUMPLE"))</f>
        <v>CUMPLE</v>
      </c>
      <c r="T25" s="242" t="str">
        <f>IF(M25="","",IF(COUNTIF(T26:T44,"SI")&gt;=1,"SI","NO"))</f>
        <v>SI</v>
      </c>
      <c r="U25" s="234">
        <f>IF(M25&lt;&gt;"",IF(ISERROR(SUM(E25/G25)),0,SUM(E25/G25)),"")</f>
        <v>1.6933263006236146</v>
      </c>
      <c r="V25" s="241" t="str">
        <f>IF(M25&lt;&gt;"",IF(OR(U25=0,M25="",Q25=""),"",IF(AND(T25="SI",U25&gt;=$V$9),"CUMPLE",IF(U25&gt;=$V$10,"CUMPLE","NO CUMPLE"))),"")</f>
        <v>CUMPLE</v>
      </c>
      <c r="W25" s="243">
        <f>IF(M25&lt;&gt;"",IF(ISERROR(SUM(H25/F25)),0,SUM(H25/F25)),"")</f>
        <v>0.34387685836630177</v>
      </c>
      <c r="X25" s="241" t="str">
        <f>IF(OR(W25=0,M25="",Q25=""),"",IF(AND(T25="SI",W25&lt;=$X$9),"CUMPLE",IF(W25&lt;=$X$10,"CUMPLE","NO CUMPLE")))</f>
        <v>CUMPLE</v>
      </c>
      <c r="Y25" s="239">
        <f>+SUM(Y26:Y44)</f>
        <v>0</v>
      </c>
      <c r="Z25" s="244">
        <f>IF(ISERROR(SUM(K25/L25)),0,SUM(K25/L25))</f>
        <v>30.314825218929144</v>
      </c>
      <c r="AA25" s="241" t="str">
        <f>IF(M25&lt;&gt;"",IF(OR(M25="",Q25=""),"",IF(AND(T25="SI",Z25&gt;=$AA$9),"CUMPLE",IF(Z25&gt;=$AA$10,"CUMPLE","NO CUMPLE"))),"")</f>
        <v>CUMPLE</v>
      </c>
      <c r="AB25" s="245" t="str">
        <f>IF(OR(S25="",V25="",X25="",AA25=""),"",IF(OR(S25="NO CUMPLE",V25="NO CUMPLE",X25="NO CUMPLE",AA25="NO CUMPLE",COUNTIF(AB26:AB44,"NO CUMPLE")&gt;0),"NO CUMPLE"," CUMPLE"))</f>
        <v xml:space="preserve"> CUMPLE</v>
      </c>
      <c r="AC25" s="246">
        <v>2021</v>
      </c>
      <c r="AD25" s="247">
        <f>IF(ISERROR(F25/VLOOKUP(AC25,$AD$8:$AE$10,2)),"",F25/VLOOKUP(AC25,$AD$8:$AE$10,2))</f>
        <v>5534.3548329932219</v>
      </c>
      <c r="AE25" s="248"/>
      <c r="AF25" s="249">
        <f>IF(AC25="","",IF(ISNUMBER(AC25),IF(ISERROR(SUM(K25/J25)),0,SUM(K25/J25))))</f>
        <v>0.24098340804903998</v>
      </c>
      <c r="AG25" s="241" t="str">
        <f>IF(OR(M25="",Q25=""),"",IF(AND(T25="SI",AF25&gt;=$AG$9),"CUMPLE",IF(AF25&gt;=$AG$10,"CUMPLE","NO CUMPLE")))</f>
        <v>CUMPLE</v>
      </c>
      <c r="AH25" s="250">
        <f>IF(ISERROR(SUM(K25/F25)),0,SUM(K25/F25))</f>
        <v>0.15811479077073157</v>
      </c>
      <c r="AI25" s="241" t="str">
        <f>IF(OR(M25="",Q25=""),"",IF(AND(T25="SI",AH25&gt;=$AI$9),"CUMPLE",IF(AH25&gt;=$AI$10,"CUMPLE","NO CUMPLE")))</f>
        <v>CUMPLE</v>
      </c>
      <c r="AJ25" s="251" t="str">
        <f>IF(OR(AG25="",AI25=""),"",IF(OR(AG25="NO CUMPLE",AI25="NO CUMPLE",COUNTIF(AJ26:AJ44,"NO CUMPLE")&gt;0),"NO CUMPLE","CUMPLE"))</f>
        <v>CUMPLE</v>
      </c>
    </row>
    <row r="26" spans="1:36" ht="16.5" x14ac:dyDescent="0.2">
      <c r="A26" s="77"/>
      <c r="B26" s="252">
        <f>IF(C26="","",B25+0.1)</f>
        <v>5.0999999999999996</v>
      </c>
      <c r="C26" s="253" t="s">
        <v>277</v>
      </c>
      <c r="D26" s="254">
        <v>1</v>
      </c>
      <c r="E26" s="255">
        <v>2654972992</v>
      </c>
      <c r="F26" s="255">
        <v>5028105259</v>
      </c>
      <c r="G26" s="255">
        <v>1567903948</v>
      </c>
      <c r="H26" s="255">
        <v>1729049040</v>
      </c>
      <c r="I26" s="255">
        <f t="shared" ref="I26:I27" si="32">IF(ISERROR(E26-G26),"",E26-G26)</f>
        <v>1087069044</v>
      </c>
      <c r="J26" s="255">
        <f t="shared" ref="J26:J27" si="33">IF(ISERROR(F26-H26),"",F26-H26)</f>
        <v>3299056219</v>
      </c>
      <c r="K26" s="255">
        <v>795017811</v>
      </c>
      <c r="L26" s="255">
        <v>26225380</v>
      </c>
      <c r="M26" s="256">
        <v>1</v>
      </c>
      <c r="N26" s="257">
        <f>IF(ISERROR(VLOOKUP(M26,POA!$A$2:$C$7,3,0)),"",VLOOKUP(M26,POA!$A$2:$C$7,3,0))</f>
        <v>3</v>
      </c>
      <c r="O26" s="258"/>
      <c r="P26" s="258" t="str">
        <f>IF(ISERROR(VLOOKUP(O26,POA!$A$2:$F$7,4,0)),"",VLOOKUP(O26,POA!$A$2:$F$7,4,0))</f>
        <v/>
      </c>
      <c r="Q26" s="259">
        <f>IF(ISERROR(VLOOKUP(M26,POA!$A$2:$C$7,2,0)),"",VLOOKUP(M26,POA!$A$2:$C$7,2,0))</f>
        <v>881383180</v>
      </c>
      <c r="R26" s="260">
        <f t="shared" ref="R26:R27" si="34">IF(M26="","",I26)</f>
        <v>1087069044</v>
      </c>
      <c r="S26" s="261" t="str">
        <f>IF(OR(M26="",Q26=""),"",IF($R25&gt;=(VLOOKUP(M26,POA!$A$2:$J$2,10,FALSE)*Q26),"CUMPLE","NO CUMPLE"))</f>
        <v>CUMPLE</v>
      </c>
      <c r="T26" s="262" t="s">
        <v>257</v>
      </c>
      <c r="U26" s="260"/>
      <c r="V26" s="261" t="str">
        <f>IF(M26&lt;&gt;"",IF(OR(U25=0,M26="",Q26=""),"",IF(AND(T25="SI",U25&gt;=$V$9),"CUMPLE",IF(U25&gt;=$V$10,"CUMPLE","NO CUMPLE"))),"")</f>
        <v>CUMPLE</v>
      </c>
      <c r="W26" s="263"/>
      <c r="X26" s="261" t="str">
        <f>IF(OR(W25=0,M26="",Q26=""),"",IF(AND(T25="SI",W25&lt;=$X$9),"CUMPLE",IF(W25&lt;=$X$10,"CUMPLE","NO CUMPLE")))</f>
        <v>CUMPLE</v>
      </c>
      <c r="Y26" s="264" t="s">
        <v>224</v>
      </c>
      <c r="Z26" s="264"/>
      <c r="AA26" s="261" t="str">
        <f>IF(M26&lt;&gt;"",IF(OR(M26="",Q26=""),"",IF(AND(T25="SI",Z25&gt;=$AA$9),"CUMPLE",IF(Z25&gt;=$AA$10,"CUMPLE","NO CUMPLE"))),"")</f>
        <v>CUMPLE</v>
      </c>
      <c r="AB26" s="265" t="str">
        <f>IF(OR(S26="",V26="",X26="",AA26=""),"",IF(S26="NO CUMPLE","NO CUMPLE",IF(V26="NO  CUMPLE","NO CUMPLE",IF(X26="NO  CUMPLE","NO  CUMPLE",IF(AA26="NO  CUMPLE","NO  CUMPLE",IF(AA26="NO  CUMPLE","NO  CUMPLE"," CUMPLE"))))))</f>
        <v xml:space="preserve"> CUMPLE</v>
      </c>
      <c r="AC26" s="266">
        <v>2021</v>
      </c>
      <c r="AD26" s="267">
        <f>IF(ISERROR(F26/VLOOKUP(AC26,$AD$8:$AE$10,2)),"",F26/VLOOKUP(AC26,$AD$8:$AE$10,2))</f>
        <v>5534.3548329932219</v>
      </c>
      <c r="AE26" s="268" t="str">
        <f t="shared" ref="AE26:AE27" si="35">IF(OR(B26="",C26=""),"",IF(AND(AD26&gt;=500,AD26&lt;=30000),"MIPYME","NO CUMPLE"))</f>
        <v>MIPYME</v>
      </c>
      <c r="AF26" s="269"/>
      <c r="AG26" s="261" t="str">
        <f>IF(OR(M26="",Q26=""),"",IF(AND(T25="SI",AF25&gt;=$AG$9),"CUMPLE",IF(AF25&gt;=$AG$10,"CUMPLE","NO CUMPLE")))</f>
        <v>CUMPLE</v>
      </c>
      <c r="AH26" s="269"/>
      <c r="AI26" s="261" t="str">
        <f>IF(OR(M26="",Q26=""),"",IF(AND(T25="SI",AH25&gt;=$AI$9),"CUMPLE",IF(AH25&gt;=$AI$10,"CUMPLE","NO CUMPLE")))</f>
        <v>CUMPLE</v>
      </c>
      <c r="AJ26" s="270" t="str">
        <f>IF(OR(AG26="",AI26=""),"",IF(AG26="NO CUMPLE","NO CUMPLE",IF(AI26="NO CUMPLE","NO CUMPLE",IF(AI26="NO CUMPLE","NO CUMPLE","CUMPLE"))))</f>
        <v>CUMPLE</v>
      </c>
    </row>
    <row r="27" spans="1:36" ht="17.25" thickBot="1" x14ac:dyDescent="0.25">
      <c r="A27" s="77"/>
      <c r="B27" s="252" t="str">
        <f t="shared" ref="B27" si="36">IF(C27="","",B26+0.1)</f>
        <v/>
      </c>
      <c r="C27" s="271"/>
      <c r="D27" s="254"/>
      <c r="E27" s="255"/>
      <c r="F27" s="255"/>
      <c r="G27" s="255"/>
      <c r="H27" s="255"/>
      <c r="I27" s="255">
        <f t="shared" si="32"/>
        <v>0</v>
      </c>
      <c r="J27" s="255">
        <f t="shared" si="33"/>
        <v>0</v>
      </c>
      <c r="K27" s="255"/>
      <c r="L27" s="255"/>
      <c r="M27" s="256"/>
      <c r="N27" s="257" t="str">
        <f>IF(ISERROR(VLOOKUP(M27,POA!$A$2:$C$7,3,0)),"",VLOOKUP(M27,POA!$A$2:$C$7,3,0))</f>
        <v/>
      </c>
      <c r="O27" s="258"/>
      <c r="P27" s="258" t="str">
        <f>IF(ISERROR(VLOOKUP(O27,POA!$A$2:$F$7,4,0)),"",VLOOKUP(O27,POA!$A$2:$F$7,4,0))</f>
        <v/>
      </c>
      <c r="Q27" s="259" t="str">
        <f>IF(ISERROR(VLOOKUP(M27,POA!$A$2:$C$7,2,0)),"",VLOOKUP(M27,POA!$A$2:$C$7,2,0))</f>
        <v/>
      </c>
      <c r="R27" s="260" t="str">
        <f t="shared" si="34"/>
        <v/>
      </c>
      <c r="S27" s="261" t="str">
        <f>IF(OR(M27="",Q27=""),"",IF($R25&gt;=(VLOOKUP(M27,POA!$A$2:$J$2,10,FALSE)*Q27),"CUMPLE","NO CUMPLE"))</f>
        <v/>
      </c>
      <c r="T27" s="262" t="s">
        <v>257</v>
      </c>
      <c r="U27" s="260"/>
      <c r="V27" s="261" t="str">
        <f>IF(M27&lt;&gt;"",IF(OR(U25=0,M27="",Q27=""),"",IF(AND(T25="SI",U25&gt;=$V$9),"CUMPLE",IF(U25&gt;=$V$10,"CUMPLE","NO CUMPLE"))),"")</f>
        <v/>
      </c>
      <c r="W27" s="263"/>
      <c r="X27" s="261" t="str">
        <f>IF(OR(W25=0,M27="",Q27=""),"",IF(AND(T25="SI",W25&lt;=$X$9),"CUMPLE",IF(W25&lt;=$X$10,"CUMPLE","NO CUMPLE")))</f>
        <v/>
      </c>
      <c r="Y27" s="264" t="s">
        <v>224</v>
      </c>
      <c r="Z27" s="264"/>
      <c r="AA27" s="261" t="str">
        <f>IF(M27&lt;&gt;"",IF(OR(M27="",Q27=""),"",IF(AND(T25="SI",Z25&gt;=$AA$9),"CUMPLE",IF(Z25&gt;=$AA$10,"CUMPLE","NO CUMPLE"))),"")</f>
        <v/>
      </c>
      <c r="AB27" s="265" t="str">
        <f>IF(OR(S27="",V27="",X27="",AA27=""),"",IF(S27="NO CUMPLE","NO CUMPLE",IF(V27="NO  CUMPLE","NO CUMPLE",IF(X27="NO  CUMPLE","NO  CUMPLE",IF(AA27="NO  CUMPLE","NO  CUMPLE",IF(AA27="NO  CUMPLE","NO  CUMPLE"," CUMPLE"))))))</f>
        <v/>
      </c>
      <c r="AC27" s="266">
        <v>2021</v>
      </c>
      <c r="AD27" s="267">
        <f t="shared" ref="AD27" si="37">IF(ISERROR(F27/VLOOKUP(AC27,$AD$8:$AE$10,2)),"",F27/VLOOKUP(AC27,$AD$8:$AE$10,2))</f>
        <v>0</v>
      </c>
      <c r="AE27" s="268" t="str">
        <f t="shared" si="35"/>
        <v/>
      </c>
      <c r="AF27" s="269"/>
      <c r="AG27" s="261" t="str">
        <f>IF(OR(M27="",Q27=""),"",IF(AND(T25="SI",AF25&gt;=$AG$9),"CUMPLE",IF(AF25&gt;=$AG$10,"CUMPLE","NO CUMPLE")))</f>
        <v/>
      </c>
      <c r="AH27" s="269"/>
      <c r="AI27" s="261" t="str">
        <f>IF(OR(M27="",Q27=""),"",IF(AND(T25="SI",AH25&gt;=$AI$9),"CUMPLE",IF(AH25&gt;=$AI$10,"CUMPLE","NO CUMPLE")))</f>
        <v/>
      </c>
      <c r="AJ27" s="270" t="str">
        <f t="shared" ref="AJ27" si="38">IF(OR(AG27="",AI27=""),"",IF(AG27="NO CUMPLE","NO CUMPLE",IF(AI27="NO CUMPLE","NO CUMPLE",IF(AI27="NO CUMPLE","NO CUMPLE","CUMPLE"))))</f>
        <v/>
      </c>
    </row>
    <row r="28" spans="1:36" ht="33.75" customHeight="1" x14ac:dyDescent="0.2">
      <c r="B28" s="231">
        <v>6</v>
      </c>
      <c r="C28" s="232" t="s">
        <v>278</v>
      </c>
      <c r="D28" s="233">
        <f t="shared" ref="D28:L28" si="39">IF(ISERROR(SUM(D29:D30)),"",SUM(D29:D30))</f>
        <v>1</v>
      </c>
      <c r="E28" s="234">
        <f t="shared" si="39"/>
        <v>963714899</v>
      </c>
      <c r="F28" s="234">
        <f t="shared" si="39"/>
        <v>971094899</v>
      </c>
      <c r="G28" s="234">
        <f t="shared" si="39"/>
        <v>281652268</v>
      </c>
      <c r="H28" s="234">
        <f t="shared" si="39"/>
        <v>290372268</v>
      </c>
      <c r="I28" s="234">
        <f t="shared" si="39"/>
        <v>682062631</v>
      </c>
      <c r="J28" s="234">
        <f t="shared" si="39"/>
        <v>680722631</v>
      </c>
      <c r="K28" s="234">
        <f t="shared" si="39"/>
        <v>5590962</v>
      </c>
      <c r="L28" s="235">
        <f t="shared" si="39"/>
        <v>60200</v>
      </c>
      <c r="M28" s="236">
        <v>1</v>
      </c>
      <c r="N28" s="237">
        <f>IF(ISERROR(VLOOKUP(M28,POA!$A$2:$C$7,3,0)),"",VLOOKUP(M28,POA!$A$2:$C$7,3,0))</f>
        <v>3</v>
      </c>
      <c r="O28" s="238"/>
      <c r="P28" s="239">
        <f>+SUM(P29:P47)</f>
        <v>0</v>
      </c>
      <c r="Q28" s="240">
        <f>IF(ISERROR(VLOOKUP(M28,POA!$A$2:$C$7,2,0)),"",VLOOKUP(M28,POA!$A$2:$C$7,2,0))</f>
        <v>881383180</v>
      </c>
      <c r="R28" s="234">
        <f>IF(M28="","",I28)</f>
        <v>682062631</v>
      </c>
      <c r="S28" s="241" t="str">
        <f>IF(OR(M28="",Q28=""),"",IF($R28&gt;=(VLOOKUP(M28,POA!$A$2:$J$2,10,FALSE)*Q28),"CUMPLE","NO CUMPLE"))</f>
        <v>CUMPLE</v>
      </c>
      <c r="T28" s="242" t="str">
        <f>IF(M28="","",IF(COUNTIF(T29:T47,"SI")&gt;=1,"SI","NO"))</f>
        <v>SI</v>
      </c>
      <c r="U28" s="234">
        <f>IF(M28&lt;&gt;"",IF(ISERROR(SUM(E28/G28)),0,SUM(E28/G28)),"")</f>
        <v>3.4216479272235083</v>
      </c>
      <c r="V28" s="241" t="str">
        <f>IF(M28&lt;&gt;"",IF(OR(U28=0,M28="",Q28=""),"",IF(AND(T28="SI",U28&gt;=$V$9),"CUMPLE",IF(U28&gt;=$V$10,"CUMPLE","NO CUMPLE"))),"")</f>
        <v>CUMPLE</v>
      </c>
      <c r="W28" s="243">
        <f>IF(M28&lt;&gt;"",IF(ISERROR(SUM(H28/F28)),0,SUM(H28/F28)),"")</f>
        <v>0.29901533650214346</v>
      </c>
      <c r="X28" s="241" t="str">
        <f>IF(OR(W28=0,M28="",Q28=""),"",IF(AND(T28="SI",W28&lt;=$X$9),"CUMPLE",IF(W28&lt;=$X$10,"CUMPLE","NO CUMPLE")))</f>
        <v>CUMPLE</v>
      </c>
      <c r="Y28" s="239">
        <f>+SUM(Y29:Y47)</f>
        <v>0</v>
      </c>
      <c r="Z28" s="244">
        <f>IF(ISERROR(SUM(K28/L28)),0,SUM(K28/L28))</f>
        <v>92.873122923588042</v>
      </c>
      <c r="AA28" s="241" t="str">
        <f>IF(M28&lt;&gt;"",IF(OR(M28="",Q28=""),"",IF(AND(T28="SI",Z28&gt;=$AA$9),"CUMPLE",IF(Z28&gt;=$AA$10,"CUMPLE","NO CUMPLE"))),"")</f>
        <v>CUMPLE</v>
      </c>
      <c r="AB28" s="245" t="str">
        <f>IF(OR(S28="",V28="",X28="",AA28=""),"",IF(OR(S28="NO CUMPLE",V28="NO CUMPLE",X28="NO CUMPLE",AA28="NO CUMPLE",COUNTIF(AB29:AB47,"NO CUMPLE")&gt;0),"NO CUMPLE"," CUMPLE"))</f>
        <v xml:space="preserve"> CUMPLE</v>
      </c>
      <c r="AC28" s="246">
        <v>2021</v>
      </c>
      <c r="AD28" s="247">
        <f>IF(ISERROR(F28/VLOOKUP(AC28,$AD$8:$AE$10,2)),"",F28/VLOOKUP(AC28,$AD$8:$AE$10,2))</f>
        <v>1068.868583837997</v>
      </c>
      <c r="AE28" s="248"/>
      <c r="AF28" s="249">
        <f>IF(AC28="","",IF(ISNUMBER(AC28),IF(ISERROR(SUM(K28/J28)),0,SUM(K28/J28))))</f>
        <v>8.213274754486603E-3</v>
      </c>
      <c r="AG28" s="241" t="str">
        <f>IF(OR(M28="",Q28=""),"",IF(AND(T28="SI",AF28&gt;=$AG$9),"CUMPLE",IF(AF28&gt;=$AG$10,"CUMPLE","NO CUMPLE")))</f>
        <v>CUMPLE</v>
      </c>
      <c r="AH28" s="250">
        <f>IF(ISERROR(SUM(K28/F28)),0,SUM(K28/F28))</f>
        <v>5.7573796399892326E-3</v>
      </c>
      <c r="AI28" s="241" t="str">
        <f>IF(OR(M28="",Q28=""),"",IF(AND(T28="SI",AH28&gt;=$AI$9),"CUMPLE",IF(AH28&gt;=$AI$10,"CUMPLE","NO CUMPLE")))</f>
        <v>CUMPLE</v>
      </c>
      <c r="AJ28" s="251" t="str">
        <f>IF(OR(AG28="",AI28=""),"",IF(OR(AG28="NO CUMPLE",AI28="NO CUMPLE",COUNTIF(AJ29:AJ47,"NO CUMPLE")&gt;0),"NO CUMPLE","CUMPLE"))</f>
        <v>CUMPLE</v>
      </c>
    </row>
    <row r="29" spans="1:36" ht="16.5" x14ac:dyDescent="0.2">
      <c r="A29" s="77"/>
      <c r="B29" s="252">
        <f>IF(C29="","",B28+0.1)</f>
        <v>6.1</v>
      </c>
      <c r="C29" s="253" t="s">
        <v>279</v>
      </c>
      <c r="D29" s="254">
        <v>0.5</v>
      </c>
      <c r="E29" s="255">
        <v>252533499</v>
      </c>
      <c r="F29" s="255">
        <v>259913499</v>
      </c>
      <c r="G29" s="255">
        <v>9682115</v>
      </c>
      <c r="H29" s="255">
        <v>18402115</v>
      </c>
      <c r="I29" s="255">
        <f t="shared" ref="I29:I30" si="40">IF(ISERROR(E29-G29),"",E29-G29)</f>
        <v>242851384</v>
      </c>
      <c r="J29" s="255">
        <f t="shared" ref="J29:J30" si="41">IF(ISERROR(F29-H29),"",F29-H29)</f>
        <v>241511384</v>
      </c>
      <c r="K29" s="255">
        <v>0</v>
      </c>
      <c r="L29" s="255">
        <v>0</v>
      </c>
      <c r="M29" s="256">
        <v>1</v>
      </c>
      <c r="N29" s="257">
        <f>IF(ISERROR(VLOOKUP(M29,POA!$A$2:$C$7,3,0)),"",VLOOKUP(M29,POA!$A$2:$C$7,3,0))</f>
        <v>3</v>
      </c>
      <c r="O29" s="258"/>
      <c r="P29" s="258" t="str">
        <f>IF(ISERROR(VLOOKUP(O29,POA!$A$2:$F$7,4,0)),"",VLOOKUP(O29,POA!$A$2:$F$7,4,0))</f>
        <v/>
      </c>
      <c r="Q29" s="259">
        <f>IF(ISERROR(VLOOKUP(M29,POA!$A$2:$C$7,2,0)),"",VLOOKUP(M29,POA!$A$2:$C$7,2,0))</f>
        <v>881383180</v>
      </c>
      <c r="R29" s="260">
        <f t="shared" ref="R29:R30" si="42">IF(M29="","",I29)</f>
        <v>242851384</v>
      </c>
      <c r="S29" s="261" t="str">
        <f>IF(OR(M29="",Q29=""),"",IF($R28&gt;=(VLOOKUP(M29,POA!$A$2:$J$2,10,FALSE)*Q29),"CUMPLE","NO CUMPLE"))</f>
        <v>CUMPLE</v>
      </c>
      <c r="T29" s="262" t="s">
        <v>257</v>
      </c>
      <c r="U29" s="260"/>
      <c r="V29" s="261" t="str">
        <f>IF(M29&lt;&gt;"",IF(OR(U28=0,M29="",Q29=""),"",IF(AND(T28="SI",U28&gt;=$V$9),"CUMPLE",IF(U28&gt;=$V$10,"CUMPLE","NO CUMPLE"))),"")</f>
        <v>CUMPLE</v>
      </c>
      <c r="W29" s="263"/>
      <c r="X29" s="261" t="str">
        <f>IF(OR(W28=0,M29="",Q29=""),"",IF(AND(T28="SI",W28&lt;=$X$9),"CUMPLE",IF(W28&lt;=$X$10,"CUMPLE","NO CUMPLE")))</f>
        <v>CUMPLE</v>
      </c>
      <c r="Y29" s="264" t="s">
        <v>224</v>
      </c>
      <c r="Z29" s="264"/>
      <c r="AA29" s="261" t="str">
        <f>IF(M29&lt;&gt;"",IF(OR(M29="",Q29=""),"",IF(AND(T28="SI",Z28&gt;=$AA$9),"CUMPLE",IF(Z28&gt;=$AA$10,"CUMPLE","NO CUMPLE"))),"")</f>
        <v>CUMPLE</v>
      </c>
      <c r="AB29" s="265" t="str">
        <f>IF(OR(S29="",V29="",X29="",AA29=""),"",IF(S29="NO CUMPLE","NO CUMPLE",IF(V29="NO  CUMPLE","NO CUMPLE",IF(X29="NO  CUMPLE","NO  CUMPLE",IF(AA29="NO  CUMPLE","NO  CUMPLE",IF(AA29="NO  CUMPLE","NO  CUMPLE"," CUMPLE"))))))</f>
        <v xml:space="preserve"> CUMPLE</v>
      </c>
      <c r="AC29" s="266">
        <v>2021</v>
      </c>
      <c r="AD29" s="267">
        <f>IF(ISERROR(F29/VLOOKUP(AC29,$AD$8:$AE$10,2)),"",F29/VLOOKUP(AC29,$AD$8:$AE$10,2))</f>
        <v>286.08262064046596</v>
      </c>
      <c r="AE29" s="268" t="str">
        <f t="shared" ref="AE29:AE30" si="43">IF(OR(B29="",C29=""),"",IF(AND(AD29&gt;=500,AD29&lt;=30000),"MIPYME","NO CUMPLE"))</f>
        <v>NO CUMPLE</v>
      </c>
      <c r="AF29" s="269"/>
      <c r="AG29" s="261" t="str">
        <f>IF(OR(M29="",Q29=""),"",IF(AND(T28="SI",AF28&gt;=$AG$9),"CUMPLE",IF(AF28&gt;=$AG$10,"CUMPLE","NO CUMPLE")))</f>
        <v>CUMPLE</v>
      </c>
      <c r="AH29" s="269"/>
      <c r="AI29" s="261" t="str">
        <f>IF(OR(M29="",Q29=""),"",IF(AND(T28="SI",AH28&gt;=$AI$9),"CUMPLE",IF(AH28&gt;=$AI$10,"CUMPLE","NO CUMPLE")))</f>
        <v>CUMPLE</v>
      </c>
      <c r="AJ29" s="270" t="str">
        <f>IF(OR(AG29="",AI29=""),"",IF(AG29="NO CUMPLE","NO CUMPLE",IF(AI29="NO CUMPLE","NO CUMPLE",IF(AI29="NO CUMPLE","NO CUMPLE","CUMPLE"))))</f>
        <v>CUMPLE</v>
      </c>
    </row>
    <row r="30" spans="1:36" ht="17.25" thickBot="1" x14ac:dyDescent="0.25">
      <c r="A30" s="77"/>
      <c r="B30" s="252">
        <f t="shared" ref="B30" si="44">IF(C30="","",B29+0.1)</f>
        <v>6.1999999999999993</v>
      </c>
      <c r="C30" s="271" t="s">
        <v>280</v>
      </c>
      <c r="D30" s="254">
        <v>0.5</v>
      </c>
      <c r="E30" s="255">
        <v>711181400</v>
      </c>
      <c r="F30" s="255">
        <v>711181400</v>
      </c>
      <c r="G30" s="255">
        <v>271970153</v>
      </c>
      <c r="H30" s="255">
        <v>271970153</v>
      </c>
      <c r="I30" s="255">
        <f t="shared" si="40"/>
        <v>439211247</v>
      </c>
      <c r="J30" s="255">
        <f t="shared" si="41"/>
        <v>439211247</v>
      </c>
      <c r="K30" s="255">
        <v>5590962</v>
      </c>
      <c r="L30" s="255">
        <v>60200</v>
      </c>
      <c r="M30" s="256">
        <v>1</v>
      </c>
      <c r="N30" s="257">
        <f>IF(ISERROR(VLOOKUP(M30,POA!$A$2:$C$7,3,0)),"",VLOOKUP(M30,POA!$A$2:$C$7,3,0))</f>
        <v>3</v>
      </c>
      <c r="O30" s="258"/>
      <c r="P30" s="258" t="str">
        <f>IF(ISERROR(VLOOKUP(O30,POA!$A$2:$F$7,4,0)),"",VLOOKUP(O30,POA!$A$2:$F$7,4,0))</f>
        <v/>
      </c>
      <c r="Q30" s="259">
        <f>IF(ISERROR(VLOOKUP(M30,POA!$A$2:$C$7,2,0)),"",VLOOKUP(M30,POA!$A$2:$C$7,2,0))</f>
        <v>881383180</v>
      </c>
      <c r="R30" s="260">
        <f t="shared" si="42"/>
        <v>439211247</v>
      </c>
      <c r="S30" s="261" t="str">
        <f>IF(OR(M30="",Q30=""),"",IF($R28&gt;=(VLOOKUP(M30,POA!$A$2:$J$2,10,FALSE)*Q30),"CUMPLE","NO CUMPLE"))</f>
        <v>CUMPLE</v>
      </c>
      <c r="T30" s="262" t="s">
        <v>257</v>
      </c>
      <c r="U30" s="260"/>
      <c r="V30" s="261" t="str">
        <f>IF(M30&lt;&gt;"",IF(OR(U28=0,M30="",Q30=""),"",IF(AND(T28="SI",U28&gt;=$V$9),"CUMPLE",IF(U28&gt;=$V$10,"CUMPLE","NO CUMPLE"))),"")</f>
        <v>CUMPLE</v>
      </c>
      <c r="W30" s="263"/>
      <c r="X30" s="261" t="str">
        <f>IF(OR(W28=0,M30="",Q30=""),"",IF(AND(T28="SI",W28&lt;=$X$9),"CUMPLE",IF(W28&lt;=$X$10,"CUMPLE","NO CUMPLE")))</f>
        <v>CUMPLE</v>
      </c>
      <c r="Y30" s="264" t="s">
        <v>224</v>
      </c>
      <c r="Z30" s="264"/>
      <c r="AA30" s="261" t="str">
        <f>IF(M30&lt;&gt;"",IF(OR(M30="",Q30=""),"",IF(AND(T28="SI",Z28&gt;=$AA$9),"CUMPLE",IF(Z28&gt;=$AA$10,"CUMPLE","NO CUMPLE"))),"")</f>
        <v>CUMPLE</v>
      </c>
      <c r="AB30" s="265" t="str">
        <f>IF(OR(S30="",V30="",X30="",AA30=""),"",IF(S30="NO CUMPLE","NO CUMPLE",IF(V30="NO  CUMPLE","NO CUMPLE",IF(X30="NO  CUMPLE","NO  CUMPLE",IF(AA30="NO  CUMPLE","NO  CUMPLE",IF(AA30="NO  CUMPLE","NO  CUMPLE"," CUMPLE"))))))</f>
        <v xml:space="preserve"> CUMPLE</v>
      </c>
      <c r="AC30" s="266">
        <v>2021</v>
      </c>
      <c r="AD30" s="267">
        <f t="shared" ref="AD30" si="45">IF(ISERROR(F30/VLOOKUP(AC30,$AD$8:$AE$10,2)),"",F30/VLOOKUP(AC30,$AD$8:$AE$10,2))</f>
        <v>782.78596319753092</v>
      </c>
      <c r="AE30" s="268" t="str">
        <f t="shared" si="43"/>
        <v>MIPYME</v>
      </c>
      <c r="AF30" s="269"/>
      <c r="AG30" s="261" t="str">
        <f>IF(OR(M30="",Q30=""),"",IF(AND(T28="SI",AF28&gt;=$AG$9),"CUMPLE",IF(AF28&gt;=$AG$10,"CUMPLE","NO CUMPLE")))</f>
        <v>CUMPLE</v>
      </c>
      <c r="AH30" s="269"/>
      <c r="AI30" s="261" t="str">
        <f>IF(OR(M30="",Q30=""),"",IF(AND(T28="SI",AH28&gt;=$AI$9),"CUMPLE",IF(AH28&gt;=$AI$10,"CUMPLE","NO CUMPLE")))</f>
        <v>CUMPLE</v>
      </c>
      <c r="AJ30" s="270" t="str">
        <f t="shared" ref="AJ30" si="46">IF(OR(AG30="",AI30=""),"",IF(AG30="NO CUMPLE","NO CUMPLE",IF(AI30="NO CUMPLE","NO CUMPLE",IF(AI30="NO CUMPLE","NO CUMPLE","CUMPLE"))))</f>
        <v>CUMPLE</v>
      </c>
    </row>
    <row r="31" spans="1:36" ht="33.75" customHeight="1" x14ac:dyDescent="0.2">
      <c r="B31" s="231">
        <v>7</v>
      </c>
      <c r="C31" s="232" t="s">
        <v>281</v>
      </c>
      <c r="D31" s="233">
        <f t="shared" ref="D31:L31" si="47">IF(ISERROR(SUM(D32:D33)),"",SUM(D32:D33))</f>
        <v>1</v>
      </c>
      <c r="E31" s="234">
        <f t="shared" si="47"/>
        <v>978888840</v>
      </c>
      <c r="F31" s="234">
        <f t="shared" si="47"/>
        <v>1618593840</v>
      </c>
      <c r="G31" s="234">
        <f t="shared" si="47"/>
        <v>52751977</v>
      </c>
      <c r="H31" s="234">
        <f t="shared" si="47"/>
        <v>141837952</v>
      </c>
      <c r="I31" s="234">
        <f t="shared" si="47"/>
        <v>926136863</v>
      </c>
      <c r="J31" s="234">
        <f t="shared" si="47"/>
        <v>1476755888</v>
      </c>
      <c r="K31" s="234">
        <f t="shared" si="47"/>
        <v>222803366</v>
      </c>
      <c r="L31" s="235">
        <f t="shared" si="47"/>
        <v>4182252</v>
      </c>
      <c r="M31" s="236">
        <v>1</v>
      </c>
      <c r="N31" s="237">
        <f>IF(ISERROR(VLOOKUP(M31,POA!$A$2:$C$7,3,0)),"",VLOOKUP(M31,POA!$A$2:$C$7,3,0))</f>
        <v>3</v>
      </c>
      <c r="O31" s="238"/>
      <c r="P31" s="239">
        <f>+SUM(P32:P50)</f>
        <v>0</v>
      </c>
      <c r="Q31" s="240">
        <f>IF(ISERROR(VLOOKUP(M31,POA!$A$2:$C$7,2,0)),"",VLOOKUP(M31,POA!$A$2:$C$7,2,0))</f>
        <v>881383180</v>
      </c>
      <c r="R31" s="234">
        <f>IF(M31="","",I31)</f>
        <v>926136863</v>
      </c>
      <c r="S31" s="241" t="str">
        <f>IF(OR(M31="",Q31=""),"",IF($R31&gt;=(VLOOKUP(M31,POA!$A$2:$J$2,10,FALSE)*Q31),"CUMPLE","NO CUMPLE"))</f>
        <v>CUMPLE</v>
      </c>
      <c r="T31" s="242" t="str">
        <f>IF(M31="","",IF(COUNTIF(T32:T50,"SI")&gt;=1,"SI","NO"))</f>
        <v>SI</v>
      </c>
      <c r="U31" s="234">
        <f>IF(M31&lt;&gt;"",IF(ISERROR(SUM(E31/G31)),0,SUM(E31/G31)),"")</f>
        <v>18.556438936876244</v>
      </c>
      <c r="V31" s="241" t="str">
        <f>IF(M31&lt;&gt;"",IF(OR(U31=0,M31="",Q31=""),"",IF(AND(T31="SI",U31&gt;=$V$9),"CUMPLE",IF(U31&gt;=$V$10,"CUMPLE","NO CUMPLE"))),"")</f>
        <v>CUMPLE</v>
      </c>
      <c r="W31" s="243">
        <f>IF(M31&lt;&gt;"",IF(ISERROR(SUM(H31/F31)),0,SUM(H31/F31)),"")</f>
        <v>8.7630354505735669E-2</v>
      </c>
      <c r="X31" s="241" t="str">
        <f>IF(OR(W31=0,M31="",Q31=""),"",IF(AND(T31="SI",W31&lt;=$X$9),"CUMPLE",IF(W31&lt;=$X$10,"CUMPLE","NO CUMPLE")))</f>
        <v>CUMPLE</v>
      </c>
      <c r="Y31" s="239">
        <f>+SUM(Y32:Y50)</f>
        <v>0</v>
      </c>
      <c r="Z31" s="244">
        <f>IF(ISERROR(SUM(K31/L31)),0,SUM(K31/L31))</f>
        <v>53.273539231973587</v>
      </c>
      <c r="AA31" s="241" t="str">
        <f>IF(M31&lt;&gt;"",IF(OR(M31="",Q31=""),"",IF(AND(T31="SI",Z31&gt;=$AA$9),"CUMPLE",IF(Z31&gt;=$AA$10,"CUMPLE","NO CUMPLE"))),"")</f>
        <v>CUMPLE</v>
      </c>
      <c r="AB31" s="245" t="str">
        <f>IF(OR(S31="",V31="",X31="",AA31=""),"",IF(OR(S31="NO CUMPLE",V31="NO CUMPLE",X31="NO CUMPLE",AA31="NO CUMPLE",COUNTIF(AB32:AB50,"NO CUMPLE")&gt;0),"NO CUMPLE"," CUMPLE"))</f>
        <v xml:space="preserve"> CUMPLE</v>
      </c>
      <c r="AC31" s="246">
        <v>2021</v>
      </c>
      <c r="AD31" s="247">
        <f>IF(ISERROR(F31/VLOOKUP(AC31,$AD$8:$AE$10,2)),"",F31/VLOOKUP(AC31,$AD$8:$AE$10,2))</f>
        <v>1781.5602855614479</v>
      </c>
      <c r="AE31" s="248"/>
      <c r="AF31" s="249">
        <f>IF(AC31="","",IF(ISNUMBER(AC31),IF(ISERROR(SUM(K31/J31)),0,SUM(K31/J31))))</f>
        <v>0.15087352473789492</v>
      </c>
      <c r="AG31" s="241" t="str">
        <f>IF(OR(M31="",Q31=""),"",IF(AND(T31="SI",AF31&gt;=$AG$9),"CUMPLE",IF(AF31&gt;=$AG$10,"CUMPLE","NO CUMPLE")))</f>
        <v>CUMPLE</v>
      </c>
      <c r="AH31" s="250">
        <f>IF(ISERROR(SUM(K31/F31)),0,SUM(K31/F31))</f>
        <v>0.13765242427958332</v>
      </c>
      <c r="AI31" s="241" t="str">
        <f>IF(OR(M31="",Q31=""),"",IF(AND(T31="SI",AH31&gt;=$AI$9),"CUMPLE",IF(AH31&gt;=$AI$10,"CUMPLE","NO CUMPLE")))</f>
        <v>CUMPLE</v>
      </c>
      <c r="AJ31" s="251" t="str">
        <f>IF(OR(AG31="",AI31=""),"",IF(OR(AG31="NO CUMPLE",AI31="NO CUMPLE",COUNTIF(AJ32:AJ50,"NO CUMPLE")&gt;0),"NO CUMPLE","CUMPLE"))</f>
        <v>CUMPLE</v>
      </c>
    </row>
    <row r="32" spans="1:36" ht="16.5" x14ac:dyDescent="0.2">
      <c r="A32" s="77"/>
      <c r="B32" s="252">
        <f>IF(C32="","",B31+0.1)</f>
        <v>7.1</v>
      </c>
      <c r="C32" s="253" t="s">
        <v>282</v>
      </c>
      <c r="D32" s="254">
        <v>0.1</v>
      </c>
      <c r="E32" s="255">
        <v>295000000</v>
      </c>
      <c r="F32" s="255">
        <v>394305000</v>
      </c>
      <c r="G32" s="255">
        <v>1850000</v>
      </c>
      <c r="H32" s="255">
        <v>90935975</v>
      </c>
      <c r="I32" s="255">
        <f t="shared" ref="I32:I33" si="48">IF(ISERROR(E32-G32),"",E32-G32)</f>
        <v>293150000</v>
      </c>
      <c r="J32" s="255">
        <f t="shared" ref="J32:J33" si="49">IF(ISERROR(F32-H32),"",F32-H32)</f>
        <v>303369025</v>
      </c>
      <c r="K32" s="255">
        <v>77369145</v>
      </c>
      <c r="L32" s="255">
        <v>925000</v>
      </c>
      <c r="M32" s="256">
        <v>1</v>
      </c>
      <c r="N32" s="257">
        <f>IF(ISERROR(VLOOKUP(M32,POA!$A$2:$C$7,3,0)),"",VLOOKUP(M32,POA!$A$2:$C$7,3,0))</f>
        <v>3</v>
      </c>
      <c r="O32" s="258"/>
      <c r="P32" s="258" t="str">
        <f>IF(ISERROR(VLOOKUP(O32,POA!$A$2:$F$7,4,0)),"",VLOOKUP(O32,POA!$A$2:$F$7,4,0))</f>
        <v/>
      </c>
      <c r="Q32" s="259">
        <f>IF(ISERROR(VLOOKUP(M32,POA!$A$2:$C$7,2,0)),"",VLOOKUP(M32,POA!$A$2:$C$7,2,0))</f>
        <v>881383180</v>
      </c>
      <c r="R32" s="260">
        <f t="shared" ref="R32:R33" si="50">IF(M32="","",I32)</f>
        <v>293150000</v>
      </c>
      <c r="S32" s="261" t="str">
        <f>IF(OR(M32="",Q32=""),"",IF($R31&gt;=(VLOOKUP(M32,POA!$A$2:$J$2,10,FALSE)*Q32),"CUMPLE","NO CUMPLE"))</f>
        <v>CUMPLE</v>
      </c>
      <c r="T32" s="262" t="s">
        <v>257</v>
      </c>
      <c r="U32" s="260"/>
      <c r="V32" s="261" t="str">
        <f>IF(M32&lt;&gt;"",IF(OR(U31=0,M32="",Q32=""),"",IF(AND(T31="SI",U31&gt;=$V$9),"CUMPLE",IF(U31&gt;=$V$10,"CUMPLE","NO CUMPLE"))),"")</f>
        <v>CUMPLE</v>
      </c>
      <c r="W32" s="263"/>
      <c r="X32" s="261" t="str">
        <f>IF(OR(W31=0,M32="",Q32=""),"",IF(AND(T31="SI",W31&lt;=$X$9),"CUMPLE",IF(W31&lt;=$X$10,"CUMPLE","NO CUMPLE")))</f>
        <v>CUMPLE</v>
      </c>
      <c r="Y32" s="264" t="s">
        <v>224</v>
      </c>
      <c r="Z32" s="264"/>
      <c r="AA32" s="261" t="str">
        <f>IF(M32&lt;&gt;"",IF(OR(M32="",Q32=""),"",IF(AND(T31="SI",Z31&gt;=$AA$9),"CUMPLE",IF(Z31&gt;=$AA$10,"CUMPLE","NO CUMPLE"))),"")</f>
        <v>CUMPLE</v>
      </c>
      <c r="AB32" s="265" t="str">
        <f>IF(OR(S32="",V32="",X32="",AA32=""),"",IF(S32="NO CUMPLE","NO CUMPLE",IF(V32="NO  CUMPLE","NO CUMPLE",IF(X32="NO  CUMPLE","NO  CUMPLE",IF(AA32="NO  CUMPLE","NO  CUMPLE",IF(AA32="NO  CUMPLE","NO  CUMPLE"," CUMPLE"))))))</f>
        <v xml:space="preserve"> CUMPLE</v>
      </c>
      <c r="AC32" s="266">
        <v>2021</v>
      </c>
      <c r="AD32" s="267">
        <f>IF(ISERROR(F32/VLOOKUP(AC32,$AD$8:$AE$10,2)),"",F32/VLOOKUP(AC32,$AD$8:$AE$10,2))</f>
        <v>434.00519082557901</v>
      </c>
      <c r="AE32" s="268" t="str">
        <f t="shared" ref="AE32:AE33" si="51">IF(OR(B32="",C32=""),"",IF(AND(AD32&gt;=500,AD32&lt;=30000),"MIPYME","NO CUMPLE"))</f>
        <v>NO CUMPLE</v>
      </c>
      <c r="AF32" s="269"/>
      <c r="AG32" s="261" t="str">
        <f>IF(OR(M32="",Q32=""),"",IF(AND(T31="SI",AF31&gt;=$AG$9),"CUMPLE",IF(AF31&gt;=$AG$10,"CUMPLE","NO CUMPLE")))</f>
        <v>CUMPLE</v>
      </c>
      <c r="AH32" s="269"/>
      <c r="AI32" s="261" t="str">
        <f>IF(OR(M32="",Q32=""),"",IF(AND(T31="SI",AH31&gt;=$AI$9),"CUMPLE",IF(AH31&gt;=$AI$10,"CUMPLE","NO CUMPLE")))</f>
        <v>CUMPLE</v>
      </c>
      <c r="AJ32" s="270" t="str">
        <f>IF(OR(AG32="",AI32=""),"",IF(AG32="NO CUMPLE","NO CUMPLE",IF(AI32="NO CUMPLE","NO CUMPLE",IF(AI32="NO CUMPLE","NO CUMPLE","CUMPLE"))))</f>
        <v>CUMPLE</v>
      </c>
    </row>
    <row r="33" spans="1:36" ht="16.5" x14ac:dyDescent="0.2">
      <c r="A33" s="77"/>
      <c r="B33" s="252">
        <f t="shared" ref="B33" si="52">IF(C33="","",B32+0.1)</f>
        <v>7.1999999999999993</v>
      </c>
      <c r="C33" s="271" t="s">
        <v>283</v>
      </c>
      <c r="D33" s="254">
        <v>0.9</v>
      </c>
      <c r="E33" s="255">
        <v>683888840</v>
      </c>
      <c r="F33" s="255">
        <v>1224288840</v>
      </c>
      <c r="G33" s="255">
        <v>50901977</v>
      </c>
      <c r="H33" s="255">
        <v>50901977</v>
      </c>
      <c r="I33" s="255">
        <f t="shared" si="48"/>
        <v>632986863</v>
      </c>
      <c r="J33" s="255">
        <f t="shared" si="49"/>
        <v>1173386863</v>
      </c>
      <c r="K33" s="255">
        <v>145434221</v>
      </c>
      <c r="L33" s="255">
        <v>3257252</v>
      </c>
      <c r="M33" s="256">
        <v>1</v>
      </c>
      <c r="N33" s="257">
        <f>IF(ISERROR(VLOOKUP(M33,POA!$A$2:$C$7,3,0)),"",VLOOKUP(M33,POA!$A$2:$C$7,3,0))</f>
        <v>3</v>
      </c>
      <c r="O33" s="258"/>
      <c r="P33" s="258" t="str">
        <f>IF(ISERROR(VLOOKUP(O33,POA!$A$2:$F$7,4,0)),"",VLOOKUP(O33,POA!$A$2:$F$7,4,0))</f>
        <v/>
      </c>
      <c r="Q33" s="259">
        <f>IF(ISERROR(VLOOKUP(M33,POA!$A$2:$C$7,2,0)),"",VLOOKUP(M33,POA!$A$2:$C$7,2,0))</f>
        <v>881383180</v>
      </c>
      <c r="R33" s="260">
        <f t="shared" si="50"/>
        <v>632986863</v>
      </c>
      <c r="S33" s="261" t="str">
        <f>IF(OR(M33="",Q33=""),"",IF($R31&gt;=(VLOOKUP(M33,POA!$A$2:$J$2,10,FALSE)*Q33),"CUMPLE","NO CUMPLE"))</f>
        <v>CUMPLE</v>
      </c>
      <c r="T33" s="262" t="s">
        <v>257</v>
      </c>
      <c r="U33" s="260"/>
      <c r="V33" s="261" t="str">
        <f>IF(M33&lt;&gt;"",IF(OR(U31=0,M33="",Q33=""),"",IF(AND(T31="SI",U31&gt;=$V$9),"CUMPLE",IF(U31&gt;=$V$10,"CUMPLE","NO CUMPLE"))),"")</f>
        <v>CUMPLE</v>
      </c>
      <c r="W33" s="263"/>
      <c r="X33" s="261" t="str">
        <f>IF(OR(W31=0,M33="",Q33=""),"",IF(AND(T31="SI",W31&lt;=$X$9),"CUMPLE",IF(W31&lt;=$X$10,"CUMPLE","NO CUMPLE")))</f>
        <v>CUMPLE</v>
      </c>
      <c r="Y33" s="264" t="s">
        <v>224</v>
      </c>
      <c r="Z33" s="264"/>
      <c r="AA33" s="261" t="str">
        <f>IF(M33&lt;&gt;"",IF(OR(M33="",Q33=""),"",IF(AND(T31="SI",Z31&gt;=$AA$9),"CUMPLE",IF(Z31&gt;=$AA$10,"CUMPLE","NO CUMPLE"))),"")</f>
        <v>CUMPLE</v>
      </c>
      <c r="AB33" s="265" t="str">
        <f>IF(OR(S33="",V33="",X33="",AA33=""),"",IF(S33="NO CUMPLE","NO CUMPLE",IF(V33="NO  CUMPLE","NO CUMPLE",IF(X33="NO  CUMPLE","NO  CUMPLE",IF(AA33="NO  CUMPLE","NO  CUMPLE",IF(AA33="NO  CUMPLE","NO  CUMPLE"," CUMPLE"))))))</f>
        <v xml:space="preserve"> CUMPLE</v>
      </c>
      <c r="AC33" s="266">
        <v>2021</v>
      </c>
      <c r="AD33" s="267">
        <f t="shared" ref="AD33" si="53">IF(ISERROR(F33/VLOOKUP(AC33,$AD$8:$AE$10,2)),"",F33/VLOOKUP(AC33,$AD$8:$AE$10,2))</f>
        <v>1347.5550947358688</v>
      </c>
      <c r="AE33" s="268" t="str">
        <f t="shared" si="51"/>
        <v>MIPYME</v>
      </c>
      <c r="AF33" s="269"/>
      <c r="AG33" s="261" t="str">
        <f>IF(OR(M33="",Q33=""),"",IF(AND(T31="SI",AF31&gt;=$AG$9),"CUMPLE",IF(AF31&gt;=$AG$10,"CUMPLE","NO CUMPLE")))</f>
        <v>CUMPLE</v>
      </c>
      <c r="AH33" s="269"/>
      <c r="AI33" s="261" t="str">
        <f>IF(OR(M33="",Q33=""),"",IF(AND(T31="SI",AH31&gt;=$AI$9),"CUMPLE",IF(AH31&gt;=$AI$10,"CUMPLE","NO CUMPLE")))</f>
        <v>CUMPLE</v>
      </c>
      <c r="AJ33" s="270" t="str">
        <f t="shared" ref="AJ33" si="54">IF(OR(AG33="",AI33=""),"",IF(AG33="NO CUMPLE","NO CUMPLE",IF(AI33="NO CUMPLE","NO CUMPLE",IF(AI33="NO CUMPLE","NO CUMPLE","CUMPLE"))))</f>
        <v>CUMPLE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1">
    <mergeCell ref="AJ8:AJ11"/>
    <mergeCell ref="Z7:AA7"/>
    <mergeCell ref="Z8:AA8"/>
    <mergeCell ref="AF7:AG7"/>
    <mergeCell ref="AF8:AG8"/>
    <mergeCell ref="AH7:AI7"/>
    <mergeCell ref="AH8:AI8"/>
    <mergeCell ref="AC8:AC11"/>
    <mergeCell ref="AC7:AE7"/>
    <mergeCell ref="B8:B11"/>
    <mergeCell ref="O8:O11"/>
    <mergeCell ref="AB8:AB11"/>
    <mergeCell ref="U8:V8"/>
    <mergeCell ref="W8:X8"/>
    <mergeCell ref="G8:G11"/>
    <mergeCell ref="Y8:Y11"/>
    <mergeCell ref="D8:D11"/>
    <mergeCell ref="F8:F11"/>
    <mergeCell ref="H8:H11"/>
    <mergeCell ref="I8:I11"/>
    <mergeCell ref="T7:T11"/>
    <mergeCell ref="R7:S7"/>
    <mergeCell ref="R8:S8"/>
    <mergeCell ref="S9:S10"/>
    <mergeCell ref="R9:R10"/>
    <mergeCell ref="B1:AB1"/>
    <mergeCell ref="B4:AJ4"/>
    <mergeCell ref="B3:AJ3"/>
    <mergeCell ref="B2:AJ2"/>
    <mergeCell ref="Q8:Q11"/>
    <mergeCell ref="N8:N11"/>
    <mergeCell ref="P8:P11"/>
    <mergeCell ref="M8:M11"/>
    <mergeCell ref="C8:C11"/>
    <mergeCell ref="J8:J11"/>
    <mergeCell ref="E8:E11"/>
    <mergeCell ref="B7:D7"/>
    <mergeCell ref="U7:V7"/>
    <mergeCell ref="W7:X7"/>
    <mergeCell ref="E7:J7"/>
    <mergeCell ref="B5:AJ5"/>
  </mergeCells>
  <phoneticPr fontId="0" type="noConversion"/>
  <conditionalFormatting sqref="AA13:AA33">
    <cfRule type="cellIs" dxfId="301" priority="9404" stopIfTrue="1" operator="equal">
      <formula>"NO ADMISIBLE"</formula>
    </cfRule>
    <cfRule type="cellIs" dxfId="300" priority="9405" stopIfTrue="1" operator="equal">
      <formula>"ADMISIBLE"</formula>
    </cfRule>
  </conditionalFormatting>
  <conditionalFormatting sqref="AF13:AG33">
    <cfRule type="cellIs" dxfId="299" priority="9403" stopIfTrue="1" operator="equal">
      <formula>"NO ADMISIBLE"</formula>
    </cfRule>
  </conditionalFormatting>
  <conditionalFormatting sqref="AF13:AF33">
    <cfRule type="cellIs" dxfId="298" priority="9401" stopIfTrue="1" operator="equal">
      <formula>"NO ADMISIBLE"</formula>
    </cfRule>
    <cfRule type="cellIs" dxfId="297" priority="9402" stopIfTrue="1" operator="equal">
      <formula>"ADMISIBLE"</formula>
    </cfRule>
  </conditionalFormatting>
  <conditionalFormatting sqref="AG13:AG33">
    <cfRule type="cellIs" dxfId="296" priority="9399" stopIfTrue="1" operator="equal">
      <formula>"NO ADMISIBLE"</formula>
    </cfRule>
    <cfRule type="cellIs" dxfId="295" priority="9400" stopIfTrue="1" operator="equal">
      <formula>"ADMISIBLE"</formula>
    </cfRule>
  </conditionalFormatting>
  <conditionalFormatting sqref="AH13:AI13 AI14:AI15 AH16:AI16 AI17:AI18 AH19:AI19 AI20:AI21 AH22:AI22 AI23:AI24 AH25:AI25 AI26:AI27 AH28:AI28 AI29:AI30 AH31:AI31 AI32:AI33">
    <cfRule type="cellIs" dxfId="294" priority="9398" stopIfTrue="1" operator="equal">
      <formula>"NO ADMISIBLE"</formula>
    </cfRule>
  </conditionalFormatting>
  <conditionalFormatting sqref="AH13">
    <cfRule type="cellIs" dxfId="293" priority="9396" stopIfTrue="1" operator="equal">
      <formula>"NO ADMISIBLE"</formula>
    </cfRule>
    <cfRule type="cellIs" dxfId="292" priority="9397" stopIfTrue="1" operator="equal">
      <formula>"ADMISIBLE"</formula>
    </cfRule>
  </conditionalFormatting>
  <conditionalFormatting sqref="AI13:AI33">
    <cfRule type="cellIs" dxfId="291" priority="9394" stopIfTrue="1" operator="equal">
      <formula>"NO ADMISIBLE"</formula>
    </cfRule>
    <cfRule type="cellIs" dxfId="290" priority="9395" stopIfTrue="1" operator="equal">
      <formula>"ADMISIBLE"</formula>
    </cfRule>
  </conditionalFormatting>
  <conditionalFormatting sqref="AJ13:AJ33">
    <cfRule type="cellIs" dxfId="289" priority="9392" stopIfTrue="1" operator="equal">
      <formula>"NO ADMISIBLE"</formula>
    </cfRule>
    <cfRule type="cellIs" dxfId="288" priority="9393" stopIfTrue="1" operator="equal">
      <formula>"ADMISIBLE"</formula>
    </cfRule>
  </conditionalFormatting>
  <conditionalFormatting sqref="D13:D33">
    <cfRule type="cellIs" dxfId="287" priority="7544" stopIfTrue="1" operator="equal">
      <formula>"NO ADMISIBLE"</formula>
    </cfRule>
  </conditionalFormatting>
  <conditionalFormatting sqref="R13:R33">
    <cfRule type="cellIs" dxfId="286" priority="2639" stopIfTrue="1" operator="equal">
      <formula>"NO ADMISIBLE"</formula>
    </cfRule>
  </conditionalFormatting>
  <conditionalFormatting sqref="AJ9:IZ9 AB9 AE9">
    <cfRule type="cellIs" dxfId="285" priority="2530" stopIfTrue="1" operator="equal">
      <formula>"NO ADMISIBLE"</formula>
    </cfRule>
  </conditionalFormatting>
  <conditionalFormatting sqref="AC1 AC8 AC12:AC33">
    <cfRule type="cellIs" dxfId="284" priority="2529" stopIfTrue="1" operator="equal">
      <formula>"NO ADMISIBLE"</formula>
    </cfRule>
  </conditionalFormatting>
  <conditionalFormatting sqref="T13:T33">
    <cfRule type="cellIs" dxfId="283" priority="2526" operator="equal">
      <formula>"NO"</formula>
    </cfRule>
    <cfRule type="cellIs" dxfId="282" priority="2527" operator="equal">
      <formula>"SI"</formula>
    </cfRule>
  </conditionalFormatting>
  <conditionalFormatting sqref="AD9:AD10">
    <cfRule type="cellIs" dxfId="281" priority="989" stopIfTrue="1" operator="equal">
      <formula>"NO ADMISIBLE"</formula>
    </cfRule>
  </conditionalFormatting>
  <conditionalFormatting sqref="M13:M33">
    <cfRule type="cellIs" dxfId="280" priority="987" operator="equal">
      <formula>0</formula>
    </cfRule>
    <cfRule type="cellIs" dxfId="279" priority="988" operator="greaterThan">
      <formula>0</formula>
    </cfRule>
  </conditionalFormatting>
  <conditionalFormatting sqref="AD13">
    <cfRule type="cellIs" dxfId="278" priority="986" stopIfTrue="1" operator="equal">
      <formula>"NO ADMISIBLE"</formula>
    </cfRule>
  </conditionalFormatting>
  <conditionalFormatting sqref="AE13:AE33">
    <cfRule type="cellIs" dxfId="277" priority="985" operator="equal">
      <formula>"NO CUMPLE"</formula>
    </cfRule>
  </conditionalFormatting>
  <conditionalFormatting sqref="AH14:AH15 AH17:AH18 AH20:AH21 AH23:AH24 AH26:AH27 AH29:AH30 AH32:AH33">
    <cfRule type="cellIs" dxfId="276" priority="984" stopIfTrue="1" operator="equal">
      <formula>"NO ADMISIBLE"</formula>
    </cfRule>
  </conditionalFormatting>
  <conditionalFormatting sqref="AH14:AH15 AH17:AH18 AH20:AH21 AH23:AH24 AH26:AH27 AH29:AH30 AH32:AH33">
    <cfRule type="cellIs" dxfId="275" priority="982" stopIfTrue="1" operator="equal">
      <formula>"NO ADMISIBLE"</formula>
    </cfRule>
    <cfRule type="cellIs" dxfId="274" priority="983" stopIfTrue="1" operator="equal">
      <formula>"ADMISIBLE"</formula>
    </cfRule>
  </conditionalFormatting>
  <conditionalFormatting sqref="T13">
    <cfRule type="cellIs" dxfId="273" priority="981" operator="equal">
      <formula>"SI"</formula>
    </cfRule>
  </conditionalFormatting>
  <conditionalFormatting sqref="S13:S33 V13:V33 X13:X33 AA13:AA33 AG13:AG33 AI13:AI33">
    <cfRule type="cellIs" dxfId="272" priority="979" operator="equal">
      <formula>"NO CUMPLE"</formula>
    </cfRule>
    <cfRule type="cellIs" dxfId="271" priority="980" operator="equal">
      <formula>"CUMPLE"</formula>
    </cfRule>
  </conditionalFormatting>
  <conditionalFormatting sqref="AB13:AB33 AJ13:AJ33">
    <cfRule type="cellIs" dxfId="270" priority="978" operator="equal">
      <formula>"NO CUMPLE"</formula>
    </cfRule>
  </conditionalFormatting>
  <conditionalFormatting sqref="B14:L15 B17:L18 B20:L21 B23:L24 B26:L27 B29:L30 B32:L33 U13:U33 W13:W33 AF13:AF33 AH13:AH33 N13:R33">
    <cfRule type="expression" dxfId="269" priority="689">
      <formula>MOD(ROW(),2)=0</formula>
    </cfRule>
  </conditionalFormatting>
  <conditionalFormatting sqref="AH16">
    <cfRule type="cellIs" dxfId="268" priority="23" stopIfTrue="1" operator="equal">
      <formula>"NO ADMISIBLE"</formula>
    </cfRule>
    <cfRule type="cellIs" dxfId="267" priority="24" stopIfTrue="1" operator="equal">
      <formula>"ADMISIBLE"</formula>
    </cfRule>
  </conditionalFormatting>
  <conditionalFormatting sqref="AD16">
    <cfRule type="cellIs" dxfId="266" priority="22" stopIfTrue="1" operator="equal">
      <formula>"NO ADMISIBLE"</formula>
    </cfRule>
  </conditionalFormatting>
  <conditionalFormatting sqref="T16">
    <cfRule type="cellIs" dxfId="265" priority="21" operator="equal">
      <formula>"SI"</formula>
    </cfRule>
  </conditionalFormatting>
  <conditionalFormatting sqref="AH19">
    <cfRule type="cellIs" dxfId="264" priority="19" stopIfTrue="1" operator="equal">
      <formula>"NO ADMISIBLE"</formula>
    </cfRule>
    <cfRule type="cellIs" dxfId="263" priority="20" stopIfTrue="1" operator="equal">
      <formula>"ADMISIBLE"</formula>
    </cfRule>
  </conditionalFormatting>
  <conditionalFormatting sqref="AD19">
    <cfRule type="cellIs" dxfId="262" priority="18" stopIfTrue="1" operator="equal">
      <formula>"NO ADMISIBLE"</formula>
    </cfRule>
  </conditionalFormatting>
  <conditionalFormatting sqref="T19">
    <cfRule type="cellIs" dxfId="261" priority="17" operator="equal">
      <formula>"SI"</formula>
    </cfRule>
  </conditionalFormatting>
  <conditionalFormatting sqref="AH22">
    <cfRule type="cellIs" dxfId="260" priority="15" stopIfTrue="1" operator="equal">
      <formula>"NO ADMISIBLE"</formula>
    </cfRule>
    <cfRule type="cellIs" dxfId="259" priority="16" stopIfTrue="1" operator="equal">
      <formula>"ADMISIBLE"</formula>
    </cfRule>
  </conditionalFormatting>
  <conditionalFormatting sqref="AD22">
    <cfRule type="cellIs" dxfId="258" priority="14" stopIfTrue="1" operator="equal">
      <formula>"NO ADMISIBLE"</formula>
    </cfRule>
  </conditionalFormatting>
  <conditionalFormatting sqref="T22">
    <cfRule type="cellIs" dxfId="257" priority="13" operator="equal">
      <formula>"SI"</formula>
    </cfRule>
  </conditionalFormatting>
  <conditionalFormatting sqref="AH25">
    <cfRule type="cellIs" dxfId="256" priority="11" stopIfTrue="1" operator="equal">
      <formula>"NO ADMISIBLE"</formula>
    </cfRule>
    <cfRule type="cellIs" dxfId="255" priority="12" stopIfTrue="1" operator="equal">
      <formula>"ADMISIBLE"</formula>
    </cfRule>
  </conditionalFormatting>
  <conditionalFormatting sqref="AD25">
    <cfRule type="cellIs" dxfId="254" priority="10" stopIfTrue="1" operator="equal">
      <formula>"NO ADMISIBLE"</formula>
    </cfRule>
  </conditionalFormatting>
  <conditionalFormatting sqref="T25">
    <cfRule type="cellIs" dxfId="253" priority="9" operator="equal">
      <formula>"SI"</formula>
    </cfRule>
  </conditionalFormatting>
  <conditionalFormatting sqref="AH28">
    <cfRule type="cellIs" dxfId="252" priority="7" stopIfTrue="1" operator="equal">
      <formula>"NO ADMISIBLE"</formula>
    </cfRule>
    <cfRule type="cellIs" dxfId="251" priority="8" stopIfTrue="1" operator="equal">
      <formula>"ADMISIBLE"</formula>
    </cfRule>
  </conditionalFormatting>
  <conditionalFormatting sqref="AD28">
    <cfRule type="cellIs" dxfId="250" priority="6" stopIfTrue="1" operator="equal">
      <formula>"NO ADMISIBLE"</formula>
    </cfRule>
  </conditionalFormatting>
  <conditionalFormatting sqref="T28">
    <cfRule type="cellIs" dxfId="249" priority="5" operator="equal">
      <formula>"SI"</formula>
    </cfRule>
  </conditionalFormatting>
  <conditionalFormatting sqref="AH31">
    <cfRule type="cellIs" dxfId="248" priority="3" stopIfTrue="1" operator="equal">
      <formula>"NO ADMISIBLE"</formula>
    </cfRule>
    <cfRule type="cellIs" dxfId="247" priority="4" stopIfTrue="1" operator="equal">
      <formula>"ADMISIBLE"</formula>
    </cfRule>
  </conditionalFormatting>
  <conditionalFormatting sqref="AD31">
    <cfRule type="cellIs" dxfId="246" priority="2" stopIfTrue="1" operator="equal">
      <formula>"NO ADMISIBLE"</formula>
    </cfRule>
  </conditionalFormatting>
  <conditionalFormatting sqref="T31">
    <cfRule type="cellIs" dxfId="245" priority="1" operator="equal">
      <formula>"SI"</formula>
    </cfRule>
  </conditionalFormatting>
  <dataValidations count="3">
    <dataValidation type="list" allowBlank="1" showInputMessage="1" showErrorMessage="1" sqref="AC13:AC33" xr:uid="{00000000-0002-0000-0300-000000000000}">
      <formula1>"2019,2020,2021"</formula1>
    </dataValidation>
    <dataValidation type="custom" errorStyle="warning" allowBlank="1" showInputMessage="1" showErrorMessage="1" errorTitle="NO DIGITES AQUI " error="POR FAVOR LA CELDA ESTA FORMULADA Y NO DEBES DIGITAR EN ESTA CELDA._x000a_GRACIAS" sqref="T13 T16 T19 T22 T25 T28 T31" xr:uid="{00000000-0002-0000-0300-000001000000}">
      <formula1>-0.0000007</formula1>
    </dataValidation>
    <dataValidation type="list" allowBlank="1" showInputMessage="1" showErrorMessage="1" sqref="T14:T15 T17:T18 T20:T21 T23:T24 T26:T27 T29:T30 T32:T33" xr:uid="{00000000-0002-0000-0300-000002000000}">
      <formula1>"SI,NO,VERIFICAR"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M30"/>
  <sheetViews>
    <sheetView topLeftCell="A5" workbookViewId="0">
      <selection activeCell="H19" sqref="H19"/>
    </sheetView>
  </sheetViews>
  <sheetFormatPr baseColWidth="10" defaultColWidth="11.42578125" defaultRowHeight="12.75" x14ac:dyDescent="0.2"/>
  <cols>
    <col min="1" max="1" width="11.42578125" style="84" customWidth="1"/>
    <col min="2" max="2" width="13.7109375" style="84" bestFit="1" customWidth="1"/>
    <col min="3" max="3" width="31.140625" style="84" customWidth="1"/>
    <col min="4" max="4" width="15" style="84" customWidth="1"/>
    <col min="5" max="5" width="22.28515625" style="84" customWidth="1"/>
    <col min="6" max="6" width="17" style="84" customWidth="1"/>
    <col min="7" max="7" width="13.85546875" style="80" customWidth="1"/>
    <col min="8" max="8" width="36.140625" style="80" customWidth="1"/>
    <col min="9" max="9" width="32.28515625" style="84" customWidth="1"/>
    <col min="10" max="10" width="24.28515625" style="95" customWidth="1"/>
    <col min="11" max="11" width="9.7109375" style="96" customWidth="1"/>
    <col min="12" max="12" width="12.5703125" style="84" customWidth="1"/>
    <col min="13" max="13" width="12.7109375" style="84" customWidth="1"/>
    <col min="14" max="16384" width="11.42578125" style="84"/>
  </cols>
  <sheetData>
    <row r="1" spans="1:13" ht="5.25" customHeight="1" x14ac:dyDescent="0.2"/>
    <row r="2" spans="1:13" ht="5.25" customHeight="1" x14ac:dyDescent="0.2"/>
    <row r="3" spans="1:13" ht="5.25" customHeight="1" x14ac:dyDescent="0.2"/>
    <row r="4" spans="1:13" s="86" customFormat="1" ht="20.25" customHeight="1" x14ac:dyDescent="0.2">
      <c r="B4" s="356" t="s">
        <v>186</v>
      </c>
      <c r="C4" s="356"/>
      <c r="D4" s="356"/>
      <c r="E4" s="356"/>
      <c r="F4" s="356"/>
      <c r="G4" s="356"/>
      <c r="H4" s="356"/>
      <c r="J4" s="87"/>
      <c r="K4" s="88"/>
    </row>
    <row r="5" spans="1:13" s="86" customFormat="1" ht="18" customHeight="1" x14ac:dyDescent="0.2">
      <c r="B5" s="357" t="s">
        <v>200</v>
      </c>
      <c r="C5" s="357"/>
      <c r="D5" s="357"/>
      <c r="E5" s="357"/>
      <c r="F5" s="357"/>
      <c r="G5" s="357"/>
      <c r="H5" s="357"/>
      <c r="J5" s="87"/>
      <c r="K5" s="88"/>
    </row>
    <row r="6" spans="1:13" s="86" customFormat="1" ht="13.5" customHeight="1" x14ac:dyDescent="0.2">
      <c r="B6" s="358" t="str">
        <f>'Capacidad Financiera'!B4</f>
        <v>PROCESO No. SA-MC-DT-MAG-001-2024</v>
      </c>
      <c r="C6" s="358"/>
      <c r="D6" s="358"/>
      <c r="E6" s="358"/>
      <c r="F6" s="358"/>
      <c r="G6" s="358"/>
      <c r="H6" s="358"/>
      <c r="J6" s="87"/>
      <c r="K6" s="88"/>
    </row>
    <row r="7" spans="1:13" s="86" customFormat="1" ht="13.5" customHeight="1" x14ac:dyDescent="0.2">
      <c r="B7" s="358" t="s">
        <v>202</v>
      </c>
      <c r="C7" s="358"/>
      <c r="D7" s="358"/>
      <c r="E7" s="358"/>
      <c r="F7" s="358"/>
      <c r="G7" s="358"/>
      <c r="H7" s="358"/>
      <c r="J7" s="87"/>
      <c r="K7" s="88"/>
    </row>
    <row r="8" spans="1:13" s="86" customFormat="1" ht="13.5" thickBot="1" x14ac:dyDescent="0.25">
      <c r="B8" s="123"/>
      <c r="C8" s="123"/>
      <c r="D8" s="123"/>
      <c r="E8" s="123"/>
      <c r="F8" s="123"/>
      <c r="G8" s="123"/>
      <c r="H8" s="123"/>
      <c r="J8" s="87"/>
      <c r="K8" s="88"/>
    </row>
    <row r="9" spans="1:13" ht="21.75" customHeight="1" thickBot="1" x14ac:dyDescent="0.25">
      <c r="A9" s="165" t="s">
        <v>206</v>
      </c>
      <c r="B9" s="123"/>
      <c r="C9" s="123"/>
      <c r="D9" s="123"/>
      <c r="E9" s="123"/>
      <c r="F9" s="123"/>
      <c r="G9" s="123"/>
      <c r="H9" s="123"/>
    </row>
    <row r="10" spans="1:13" ht="17.25" customHeight="1" thickBot="1" x14ac:dyDescent="0.25">
      <c r="A10" s="114">
        <v>1</v>
      </c>
      <c r="B10" s="89"/>
      <c r="C10" s="89"/>
      <c r="D10" s="90"/>
      <c r="E10" s="90"/>
      <c r="F10" s="91"/>
      <c r="G10" s="93"/>
      <c r="H10" s="93"/>
    </row>
    <row r="11" spans="1:13" x14ac:dyDescent="0.2">
      <c r="B11" s="359" t="s">
        <v>157</v>
      </c>
      <c r="C11" s="361" t="s">
        <v>156</v>
      </c>
      <c r="D11" s="363" t="s">
        <v>203</v>
      </c>
      <c r="E11" s="363" t="s">
        <v>285</v>
      </c>
      <c r="F11" s="363" t="s">
        <v>284</v>
      </c>
      <c r="G11" s="354" t="s">
        <v>202</v>
      </c>
      <c r="H11" s="355"/>
      <c r="J11" s="97"/>
      <c r="K11" s="98"/>
      <c r="L11" s="85"/>
      <c r="M11" s="85"/>
    </row>
    <row r="12" spans="1:13" ht="57" thickBot="1" x14ac:dyDescent="0.25">
      <c r="B12" s="360"/>
      <c r="C12" s="362"/>
      <c r="D12" s="364"/>
      <c r="E12" s="364"/>
      <c r="F12" s="364"/>
      <c r="G12" s="193" t="s">
        <v>204</v>
      </c>
      <c r="H12" s="194" t="s">
        <v>205</v>
      </c>
    </row>
    <row r="13" spans="1:13" x14ac:dyDescent="0.2">
      <c r="B13" s="67">
        <f>+'Capacidad Financiera'!B13</f>
        <v>1</v>
      </c>
      <c r="C13" s="68" t="str">
        <f>IF(ISERROR(VLOOKUP(B13,'Capacidad Financiera'!$B$13:$AB$58066,2,0)),"",VLOOKUP(B13,'Capacidad Financiera'!$B$13:$AB$58066,2,0))</f>
        <v>GRUPO MORIAH</v>
      </c>
      <c r="D13" s="69">
        <f>IF(ISERROR(VLOOKUP(B13,'Capacidad Financiera'!$B$13:$AB$58066,3,0)),"",VLOOKUP(B13,'Capacidad Financiera'!$B$13:$AB$58066,3,0))</f>
        <v>1</v>
      </c>
      <c r="E13" s="70"/>
      <c r="F13" s="70" t="str">
        <f>IF(OR(C13="",D13="",E13=""),"",IF(B14="",IF(B13&lt;&gt;"",IF(ISERROR(VLOOKUP($A$10,POA!$A$2:$D$7,2,0)),"",VLOOKUP($A$10,POA!$A$2:$D$7,2,0)),""),""))</f>
        <v/>
      </c>
      <c r="G13" s="115" t="str">
        <f>IF(OR(C13="",D13="",E13=""),"",IF(B14="",IF(B13&lt;&gt;"",E13/F13,""),""))</f>
        <v/>
      </c>
      <c r="H13" s="112" t="str">
        <f>IF(B14="",IF(E13="","",IF(AND(G13&gt;0,G13&lt;=Experiencia1),Puntajes!$H$4,IF(AND(G13&gt;Experiencia1,G13&lt;=Experiencia2),Puntajes!$H$5,IF(AND(G13&gt;Experiencia2,G13&lt;=Experiencia3),Puntajes!$H$6,IF(G13&gt;Experiencia3,Puntajes!$H$7,0))))),"")</f>
        <v/>
      </c>
    </row>
    <row r="14" spans="1:13" ht="13.5" thickBot="1" x14ac:dyDescent="0.25">
      <c r="B14" s="72">
        <f>+'Capacidad Financiera'!B14</f>
        <v>1.1000000000000001</v>
      </c>
      <c r="C14" s="74" t="str">
        <f>IF(ISERROR(VLOOKUP(B14,'Capacidad Financiera'!$B$13:$AB$58066,2,0)),"",VLOOKUP(B14,'Capacidad Financiera'!$B$13:$AB$58066,2,0))</f>
        <v>GRUPO MORIAH</v>
      </c>
      <c r="D14" s="195">
        <f>IF(ISERROR(VLOOKUP(B14,'Capacidad Financiera'!$B$13:$AB$58066,3,0)),"",VLOOKUP(B14,'Capacidad Financiera'!$B$13:$AB$58066,3,0))</f>
        <v>1</v>
      </c>
      <c r="E14" s="273">
        <v>149985936711</v>
      </c>
      <c r="F14" s="196">
        <f>+POA!B2</f>
        <v>881383180</v>
      </c>
      <c r="G14" s="197">
        <f>+E14/F14</f>
        <v>170.17109029809259</v>
      </c>
      <c r="H14" s="198">
        <f>IF(OR(C14="",D14="",E14=""),"",IF(AND(G14&gt;0,G14&lt;=Experiencia1),Puntajes!$H$4,IF(AND(G14&gt;Experiencia1,G14&lt;=Experiencia2),Puntajes!$H$5,IF(AND(G14&gt;Experiencia2,G14&lt;=Experiencia3),Puntajes!$H$6,IF(G14&gt;Experiencia3,Puntajes!$H$7,0)))))</f>
        <v>120</v>
      </c>
    </row>
    <row r="15" spans="1:13" x14ac:dyDescent="0.2">
      <c r="B15" s="67">
        <f>+'Capacidad Financiera'!B16</f>
        <v>2</v>
      </c>
      <c r="C15" s="68" t="str">
        <f>IF(ISERROR(VLOOKUP(B15,'Capacidad Financiera'!$B$13:$AB$58066,2,0)),"",VLOOKUP(B15,'Capacidad Financiera'!$B$13:$AB$58066,2,0))</f>
        <v>CONSORCIO VIAS F&amp;M 2030</v>
      </c>
      <c r="D15" s="195">
        <f>IF(ISERROR(VLOOKUP(B15,'Capacidad Financiera'!$B$13:$AB$58066,3,0)),"",VLOOKUP(B15,'Capacidad Financiera'!$B$13:$AB$58066,3,0))</f>
        <v>1</v>
      </c>
      <c r="E15" s="196"/>
      <c r="F15" s="196" t="str">
        <f>IF(OR(C15="",D15="",E15=""),"",IF(B15&lt;&gt;"",IF(ISERROR(VLOOKUP($A$10,POA!$A$2:$D$7,2,0)),"",VLOOKUP($A$10,POA!$A$2:$D$7,2,0)/SALACTUAL),""))</f>
        <v/>
      </c>
      <c r="G15" s="197"/>
      <c r="H15" s="198" t="str">
        <f>IF(OR(C15="",D15="",E15=""),"",IF(AND(G15&gt;0,G15&lt;=Experiencia1),Puntajes!$H$4,IF(AND(G15&gt;Experiencia1,G15&lt;=Experiencia2),Puntajes!$H$5,IF(AND(G15&gt;Experiencia2,G15&lt;=Experiencia3),Puntajes!$H$6,IF(G15&gt;Experiencia3,Puntajes!$H$7,0)))))</f>
        <v/>
      </c>
    </row>
    <row r="16" spans="1:13" x14ac:dyDescent="0.2">
      <c r="B16" s="72">
        <f>+'Capacidad Financiera'!B17</f>
        <v>2.1</v>
      </c>
      <c r="C16" s="74" t="str">
        <f>IF(ISERROR(VLOOKUP(B16,'Capacidad Financiera'!$B$13:$AB$58066,2,0)),"",VLOOKUP(B16,'Capacidad Financiera'!$B$13:$AB$58066,2,0))</f>
        <v>FUNDACION OCEANIA 2030</v>
      </c>
      <c r="D16" s="195">
        <f>IF(ISERROR(VLOOKUP(B16,'Capacidad Financiera'!$B$13:$AB$58066,3,0)),"",VLOOKUP(B16,'Capacidad Financiera'!$B$13:$AB$58066,3,0))</f>
        <v>0.9</v>
      </c>
      <c r="E16" s="196">
        <v>159893334900</v>
      </c>
      <c r="F16" s="196">
        <f>+POA!B2</f>
        <v>881383180</v>
      </c>
      <c r="G16" s="197">
        <f>+E16/(F16*D16)</f>
        <v>201.56869909861453</v>
      </c>
      <c r="H16" s="198">
        <f>IF(OR(C16="",D16="",E16=""),"",IF(AND(G16&gt;0,G16&lt;=Experiencia1),Puntajes!$H$4,IF(AND(G16&gt;Experiencia1,G16&lt;=Experiencia2),Puntajes!$H$5,IF(AND(G16&gt;Experiencia2,G16&lt;=Experiencia3),Puntajes!$H$6,IF(G16&gt;Experiencia3,Puntajes!$H$7,0)))))</f>
        <v>120</v>
      </c>
    </row>
    <row r="17" spans="2:8" ht="26.25" thickBot="1" x14ac:dyDescent="0.25">
      <c r="B17" s="72">
        <f>+'Capacidad Financiera'!B18</f>
        <v>2.2000000000000002</v>
      </c>
      <c r="C17" s="74" t="str">
        <f>IF(ISERROR(VLOOKUP(B17,'Capacidad Financiera'!$B$13:$AB$58066,2,0)),"",VLOOKUP(B17,'Capacidad Financiera'!$B$13:$AB$58066,2,0))</f>
        <v>MAVICON CONSTRUCCION E INGENIERIA SAS</v>
      </c>
      <c r="D17" s="195">
        <f>IF(ISERROR(VLOOKUP(B17,'Capacidad Financiera'!$B$13:$AB$58066,3,0)),"",VLOOKUP(B17,'Capacidad Financiera'!$B$13:$AB$58066,3,0))</f>
        <v>0.1</v>
      </c>
      <c r="E17" s="196">
        <v>24572268500</v>
      </c>
      <c r="F17" s="196">
        <f>+POA!B2</f>
        <v>881383180</v>
      </c>
      <c r="G17" s="197">
        <f>+E17/(D17*F17)</f>
        <v>278.79211967716469</v>
      </c>
      <c r="H17" s="198">
        <f>IF(OR(C17="",D17="",E17=""),"",IF(AND(G17&gt;0,G17&lt;=Experiencia1),Puntajes!$H$4,IF(AND(G17&gt;Experiencia1,G17&lt;=Experiencia2),Puntajes!$H$5,IF(AND(G17&gt;Experiencia2,G17&lt;=Experiencia3),Puntajes!$H$6,IF(G17&gt;Experiencia3,Puntajes!$H$7,0)))))</f>
        <v>120</v>
      </c>
    </row>
    <row r="18" spans="2:8" x14ac:dyDescent="0.2">
      <c r="B18" s="67">
        <f>+'Capacidad Financiera'!B19</f>
        <v>3</v>
      </c>
      <c r="C18" s="68" t="str">
        <f>IF(ISERROR(VLOOKUP(B18,'Capacidad Financiera'!$B$13:$AB$58066,2,0)),"",VLOOKUP(B18,'Capacidad Financiera'!$B$13:$AB$58066,2,0))</f>
        <v>INGEPRO CONSTRUCTORA SAS</v>
      </c>
      <c r="D18" s="195">
        <f>IF(ISERROR(VLOOKUP(B18,'Capacidad Financiera'!$B$13:$AB$58066,3,0)),"",VLOOKUP(B18,'Capacidad Financiera'!$B$13:$AB$58066,3,0))</f>
        <v>1</v>
      </c>
      <c r="E18" s="196"/>
      <c r="F18" s="196" t="str">
        <f>IF(OR(C18="",D18="",E18=""),"",IF(B18&lt;&gt;"",IF(ISERROR(VLOOKUP($A$10,POA!$A$2:$D$7,2,0)),"",VLOOKUP($A$10,POA!$A$2:$D$7,2,0)/SALACTUAL),""))</f>
        <v/>
      </c>
      <c r="G18" s="197"/>
      <c r="H18" s="198" t="str">
        <f>IF(OR(C18="",D18="",E18=""),"",IF(AND(G18&gt;0,G18&lt;=Experiencia1),Puntajes!$H$4,IF(AND(G18&gt;Experiencia1,G18&lt;=Experiencia2),Puntajes!$H$5,IF(AND(G18&gt;Experiencia2,G18&lt;=Experiencia3),Puntajes!$H$6,IF(G18&gt;Experiencia3,Puntajes!$H$7,0)))))</f>
        <v/>
      </c>
    </row>
    <row r="19" spans="2:8" ht="13.5" thickBot="1" x14ac:dyDescent="0.25">
      <c r="B19" s="72">
        <f>+'Capacidad Financiera'!B20</f>
        <v>3.1</v>
      </c>
      <c r="C19" s="74" t="str">
        <f>IF(ISERROR(VLOOKUP(B19,'Capacidad Financiera'!$B$13:$AB$58066,2,0)),"",VLOOKUP(B19,'Capacidad Financiera'!$B$13:$AB$58066,2,0))</f>
        <v>INGEPRO CONSTRUCTORA SAS</v>
      </c>
      <c r="D19" s="195">
        <f>IF(ISERROR(VLOOKUP(B19,'Capacidad Financiera'!$B$13:$AB$58066,3,0)),"",VLOOKUP(B19,'Capacidad Financiera'!$B$13:$AB$58066,3,0))</f>
        <v>1</v>
      </c>
      <c r="E19" s="196">
        <v>2094040000</v>
      </c>
      <c r="F19" s="196">
        <f>+POA!B2</f>
        <v>881383180</v>
      </c>
      <c r="G19" s="197">
        <f>+E19/F19</f>
        <v>2.375856548567219</v>
      </c>
      <c r="H19" s="198">
        <f>IF(OR(C19="",D19="",E19=""),"",IF(AND(G19&gt;0,G19&lt;=Experiencia1),Puntajes!$H$4,IF(AND(G19&gt;Experiencia1,G19&lt;=Experiencia2),Puntajes!$H$5,IF(AND(G19&gt;Experiencia2,G19&lt;=Experiencia3),Puntajes!$H$6,IF(G19&gt;Experiencia3,Puntajes!$H$7,0)))))</f>
        <v>60</v>
      </c>
    </row>
    <row r="20" spans="2:8" x14ac:dyDescent="0.2">
      <c r="B20" s="67">
        <f>+'Capacidad Financiera'!B22</f>
        <v>4</v>
      </c>
      <c r="C20" s="68" t="str">
        <f>IF(ISERROR(VLOOKUP(B20,'Capacidad Financiera'!$B$13:$AB$58066,2,0)),"",VLOOKUP(B20,'Capacidad Financiera'!$B$13:$AB$58066,2,0))</f>
        <v>UNION TEMPORAL OBRAS 2024 S &amp; C</v>
      </c>
      <c r="D20" s="195">
        <f>IF(ISERROR(VLOOKUP(B20,'Capacidad Financiera'!$B$13:$AB$58066,3,0)),"",VLOOKUP(B20,'Capacidad Financiera'!$B$13:$AB$58066,3,0))</f>
        <v>1</v>
      </c>
      <c r="E20" s="196"/>
      <c r="F20" s="196" t="str">
        <f>IF(OR(C20="",D20="",E20=""),"",IF(B20&lt;&gt;"",IF(ISERROR(VLOOKUP($A$10,POA!$A$2:$D$7,2,0)),"",VLOOKUP($A$10,POA!$A$2:$D$7,2,0)/SALACTUAL),""))</f>
        <v/>
      </c>
      <c r="G20" s="197"/>
      <c r="H20" s="198" t="str">
        <f>IF(OR(C20="",D20="",E20=""),"",IF(AND(G20&gt;0,G20&lt;=Experiencia1),Puntajes!$H$4,IF(AND(G20&gt;Experiencia1,G20&lt;=Experiencia2),Puntajes!$H$5,IF(AND(G20&gt;Experiencia2,G20&lt;=Experiencia3),Puntajes!$H$6,IF(G20&gt;Experiencia3,Puntajes!$H$7,0)))))</f>
        <v/>
      </c>
    </row>
    <row r="21" spans="2:8" x14ac:dyDescent="0.2">
      <c r="B21" s="72">
        <f>+'Capacidad Financiera'!B23</f>
        <v>4.0999999999999996</v>
      </c>
      <c r="C21" s="74" t="str">
        <f>IF(ISERROR(VLOOKUP(B21,'Capacidad Financiera'!$B$13:$AB$58066,2,0)),"",VLOOKUP(B21,'Capacidad Financiera'!$B$13:$AB$58066,2,0))</f>
        <v>SEÑALES LTDA</v>
      </c>
      <c r="D21" s="195">
        <f>IF(ISERROR(VLOOKUP(B21,'Capacidad Financiera'!$B$13:$AB$58066,3,0)),"",VLOOKUP(B21,'Capacidad Financiera'!$B$13:$AB$58066,3,0))</f>
        <v>0.1</v>
      </c>
      <c r="E21" s="196">
        <v>202798211200</v>
      </c>
      <c r="F21" s="196">
        <f>+POA!B2</f>
        <v>881383180</v>
      </c>
      <c r="G21" s="197">
        <f>+E21/(F21*D21)</f>
        <v>2300.90856964164</v>
      </c>
      <c r="H21" s="198">
        <f>IF(OR(C21="",D21="",E21=""),"",IF(AND(G21&gt;0,G21&lt;=Experiencia1),Puntajes!$H$4,IF(AND(G21&gt;Experiencia1,G21&lt;=Experiencia2),Puntajes!$H$5,IF(AND(G21&gt;Experiencia2,G21&lt;=Experiencia3),Puntajes!$H$6,IF(G21&gt;Experiencia3,Puntajes!$H$7,0)))))</f>
        <v>120</v>
      </c>
    </row>
    <row r="22" spans="2:8" ht="13.5" thickBot="1" x14ac:dyDescent="0.25">
      <c r="B22" s="72">
        <f>+'Capacidad Financiera'!B24</f>
        <v>4.1999999999999993</v>
      </c>
      <c r="C22" s="74" t="str">
        <f>IF(ISERROR(VLOOKUP(B22,'Capacidad Financiera'!$B$13:$AB$58066,2,0)),"",VLOOKUP(B22,'Capacidad Financiera'!$B$13:$AB$58066,2,0))</f>
        <v>INFRAESTRUCTURA CAR Y CIA SAS</v>
      </c>
      <c r="D22" s="195">
        <f>IF(ISERROR(VLOOKUP(B22,'Capacidad Financiera'!$B$13:$AB$58066,3,0)),"",VLOOKUP(B22,'Capacidad Financiera'!$B$13:$AB$58066,3,0))</f>
        <v>0.9</v>
      </c>
      <c r="E22" s="196">
        <v>155804614940</v>
      </c>
      <c r="F22" s="196">
        <f>+POA!B2</f>
        <v>881383180</v>
      </c>
      <c r="G22" s="197">
        <f>+E22/(F22*D22)</f>
        <v>196.4142755960265</v>
      </c>
      <c r="H22" s="198">
        <f>IF(OR(C22="",D22="",E22=""),"",IF(AND(G22&gt;0,G22&lt;=Experiencia1),Puntajes!$H$4,IF(AND(G22&gt;Experiencia1,G22&lt;=Experiencia2),Puntajes!$H$5,IF(AND(G22&gt;Experiencia2,G22&lt;=Experiencia3),Puntajes!$H$6,IF(G22&gt;Experiencia3,Puntajes!$H$7,0)))))</f>
        <v>120</v>
      </c>
    </row>
    <row r="23" spans="2:8" x14ac:dyDescent="0.2">
      <c r="B23" s="67">
        <f>+'Capacidad Financiera'!B25</f>
        <v>5</v>
      </c>
      <c r="C23" s="68" t="str">
        <f>IF(ISERROR(VLOOKUP(B23,'Capacidad Financiera'!$B$13:$AB$58066,2,0)),"",VLOOKUP(B23,'Capacidad Financiera'!$B$13:$AB$58066,2,0))</f>
        <v>S &amp; S INGENIERIA CIVIL SAS</v>
      </c>
      <c r="D23" s="195">
        <f>IF(ISERROR(VLOOKUP(B23,'Capacidad Financiera'!$B$13:$AB$58066,3,0)),"",VLOOKUP(B23,'Capacidad Financiera'!$B$13:$AB$58066,3,0))</f>
        <v>1</v>
      </c>
      <c r="E23" s="196"/>
      <c r="F23" s="196" t="str">
        <f>IF(OR(C23="",D23="",E23=""),"",IF(B23&lt;&gt;"",IF(ISERROR(VLOOKUP($A$10,POA!$A$2:$D$7,2,0)),"",VLOOKUP($A$10,POA!$A$2:$D$7,2,0)/SALACTUAL),""))</f>
        <v/>
      </c>
      <c r="G23" s="197"/>
      <c r="H23" s="198" t="str">
        <f>IF(OR(C23="",D23="",E23=""),"",IF(AND(G23&gt;0,G23&lt;=Experiencia1),Puntajes!$H$4,IF(AND(G23&gt;Experiencia1,G23&lt;=Experiencia2),Puntajes!$H$5,IF(AND(G23&gt;Experiencia2,G23&lt;=Experiencia3),Puntajes!$H$6,IF(G23&gt;Experiencia3,Puntajes!$H$7,0)))))</f>
        <v/>
      </c>
    </row>
    <row r="24" spans="2:8" ht="13.5" thickBot="1" x14ac:dyDescent="0.25">
      <c r="B24" s="72">
        <f>+'Capacidad Financiera'!B26</f>
        <v>5.0999999999999996</v>
      </c>
      <c r="C24" s="74" t="str">
        <f>IF(ISERROR(VLOOKUP(B24,'Capacidad Financiera'!$B$13:$AB$58066,2,0)),"",VLOOKUP(B24,'Capacidad Financiera'!$B$13:$AB$58066,2,0))</f>
        <v>S&amp;S INGENIERIA CIVIL SAS|</v>
      </c>
      <c r="D24" s="195">
        <f>IF(ISERROR(VLOOKUP(B24,'Capacidad Financiera'!$B$13:$AB$58066,3,0)),"",VLOOKUP(B24,'Capacidad Financiera'!$B$13:$AB$58066,3,0))</f>
        <v>1</v>
      </c>
      <c r="E24" s="196">
        <v>71291463750</v>
      </c>
      <c r="F24" s="196">
        <f>+POA!B2</f>
        <v>881383180</v>
      </c>
      <c r="G24" s="197">
        <f>+E24/F24</f>
        <v>80.885890912962509</v>
      </c>
      <c r="H24" s="198">
        <f>IF(OR(C24="",D24="",E24=""),"",IF(AND(G24&gt;0,G24&lt;=Experiencia1),Puntajes!$H$4,IF(AND(G24&gt;Experiencia1,G24&lt;=Experiencia2),Puntajes!$H$5,IF(AND(G24&gt;Experiencia2,G24&lt;=Experiencia3),Puntajes!$H$6,IF(G24&gt;Experiencia3,Puntajes!$H$7,0)))))</f>
        <v>120</v>
      </c>
    </row>
    <row r="25" spans="2:8" x14ac:dyDescent="0.2">
      <c r="B25" s="67">
        <f>+'Capacidad Financiera'!B28</f>
        <v>6</v>
      </c>
      <c r="C25" s="68" t="str">
        <f>IF(ISERROR(VLOOKUP(B25,'Capacidad Financiera'!$B$13:$AB$58066,2,0)),"",VLOOKUP(B25,'Capacidad Financiera'!$B$13:$AB$58066,2,0))</f>
        <v>CONSORCIO FFMM</v>
      </c>
      <c r="D25" s="195">
        <f>IF(ISERROR(VLOOKUP(B25,'Capacidad Financiera'!$B$13:$AB$58066,3,0)),"",VLOOKUP(B25,'Capacidad Financiera'!$B$13:$AB$58066,3,0))</f>
        <v>1</v>
      </c>
      <c r="E25" s="196"/>
      <c r="F25" s="196" t="str">
        <f>IF(OR(C25="",D25="",E25=""),"",IF(B25&lt;&gt;"",IF(ISERROR(VLOOKUP($A$10,POA!$A$2:$D$7,2,0)),"",VLOOKUP($A$10,POA!$A$2:$D$7,2,0)/SALACTUAL),""))</f>
        <v/>
      </c>
      <c r="G25" s="197"/>
      <c r="H25" s="198" t="str">
        <f>IF(OR(C25="",D25="",E25=""),"",IF(AND(G25&gt;0,G25&lt;=Experiencia1),Puntajes!$H$4,IF(AND(G25&gt;Experiencia1,G25&lt;=Experiencia2),Puntajes!$H$5,IF(AND(G25&gt;Experiencia2,G25&lt;=Experiencia3),Puntajes!$H$6,IF(G25&gt;Experiencia3,Puntajes!$H$7,0)))))</f>
        <v/>
      </c>
    </row>
    <row r="26" spans="2:8" x14ac:dyDescent="0.2">
      <c r="B26" s="72">
        <f>+'Capacidad Financiera'!B29</f>
        <v>6.1</v>
      </c>
      <c r="C26" s="74" t="str">
        <f>IF(ISERROR(VLOOKUP(B26,'Capacidad Financiera'!$B$13:$AB$58066,2,0)),"",VLOOKUP(B26,'Capacidad Financiera'!$B$13:$AB$58066,2,0))</f>
        <v>INGENIECOL SAS</v>
      </c>
      <c r="D26" s="195">
        <f>IF(ISERROR(VLOOKUP(B26,'Capacidad Financiera'!$B$13:$AB$58066,3,0)),"",VLOOKUP(B26,'Capacidad Financiera'!$B$13:$AB$58066,3,0))</f>
        <v>0.5</v>
      </c>
      <c r="E26" s="196">
        <v>7996227200</v>
      </c>
      <c r="F26" s="196">
        <f>+POA!B2</f>
        <v>881383180</v>
      </c>
      <c r="G26" s="197">
        <f>+E26/(F26*D26)</f>
        <v>18.144723841904948</v>
      </c>
      <c r="H26" s="198">
        <f>IF(OR(C26="",D26="",E26=""),"",IF(AND(G26&gt;0,G26&lt;=Experiencia1),Puntajes!$H$4,IF(AND(G26&gt;Experiencia1,G26&lt;=Experiencia2),Puntajes!$H$5,IF(AND(G26&gt;Experiencia2,G26&lt;=Experiencia3),Puntajes!$H$6,IF(G26&gt;Experiencia3,Puntajes!$H$7,0)))))</f>
        <v>120</v>
      </c>
    </row>
    <row r="27" spans="2:8" ht="26.25" thickBot="1" x14ac:dyDescent="0.25">
      <c r="B27" s="72">
        <f>+'Capacidad Financiera'!B30</f>
        <v>6.1999999999999993</v>
      </c>
      <c r="C27" s="74" t="str">
        <f>IF(ISERROR(VLOOKUP(B27,'Capacidad Financiera'!$B$13:$AB$58066,2,0)),"",VLOOKUP(B27,'Capacidad Financiera'!$B$13:$AB$58066,2,0))</f>
        <v>FF CONSTRUCCIONES Y CONSULTORIA SAS</v>
      </c>
      <c r="D27" s="195">
        <f>IF(ISERROR(VLOOKUP(B27,'Capacidad Financiera'!$B$13:$AB$58066,3,0)),"",VLOOKUP(B27,'Capacidad Financiera'!$B$13:$AB$58066,3,0))</f>
        <v>0.5</v>
      </c>
      <c r="E27" s="196">
        <v>59153064100</v>
      </c>
      <c r="F27" s="196">
        <f>+POA!B2</f>
        <v>881383180</v>
      </c>
      <c r="G27" s="197">
        <f>+E27/(F27*D27)</f>
        <v>134.22780339420592</v>
      </c>
      <c r="H27" s="198">
        <f>IF(OR(C27="",D27="",E27=""),"",IF(AND(G27&gt;0,G27&lt;=Experiencia1),Puntajes!$H$4,IF(AND(G27&gt;Experiencia1,G27&lt;=Experiencia2),Puntajes!$H$5,IF(AND(G27&gt;Experiencia2,G27&lt;=Experiencia3),Puntajes!$H$6,IF(G27&gt;Experiencia3,Puntajes!$H$7,0)))))</f>
        <v>120</v>
      </c>
    </row>
    <row r="28" spans="2:8" x14ac:dyDescent="0.2">
      <c r="B28" s="67">
        <f>+'Capacidad Financiera'!B31</f>
        <v>7</v>
      </c>
      <c r="C28" s="68" t="str">
        <f>IF(ISERROR(VLOOKUP(B28,'Capacidad Financiera'!$B$13:$AB$58066,2,0)),"",VLOOKUP(B28,'Capacidad Financiera'!$B$13:$AB$58066,2,0))</f>
        <v>CONSORCIO OBRAS Y PROGRESO 23</v>
      </c>
      <c r="D28" s="195">
        <f>IF(ISERROR(VLOOKUP(B28,'Capacidad Financiera'!$B$13:$AB$58066,3,0)),"",VLOOKUP(B28,'Capacidad Financiera'!$B$13:$AB$58066,3,0))</f>
        <v>1</v>
      </c>
      <c r="E28" s="196"/>
      <c r="F28" s="196" t="str">
        <f>IF(OR(C28="",D28="",E28=""),"",IF(B28&lt;&gt;"",IF(ISERROR(VLOOKUP($A$10,POA!$A$2:$D$7,2,0)),"",VLOOKUP($A$10,POA!$A$2:$D$7,2,0)/SALACTUAL),""))</f>
        <v/>
      </c>
      <c r="G28" s="197"/>
      <c r="H28" s="198" t="str">
        <f>IF(OR(C28="",D28="",E28=""),"",IF(AND(G28&gt;0,G28&lt;=Experiencia1),Puntajes!$H$4,IF(AND(G28&gt;Experiencia1,G28&lt;=Experiencia2),Puntajes!$H$5,IF(AND(G28&gt;Experiencia2,G28&lt;=Experiencia3),Puntajes!$H$6,IF(G28&gt;Experiencia3,Puntajes!$H$7,0)))))</f>
        <v/>
      </c>
    </row>
    <row r="29" spans="2:8" x14ac:dyDescent="0.2">
      <c r="B29" s="72">
        <f>+'Capacidad Financiera'!B32</f>
        <v>7.1</v>
      </c>
      <c r="C29" s="74" t="str">
        <f>IF(ISERROR(VLOOKUP(B29,'Capacidad Financiera'!$B$13:$AB$58066,2,0)),"",VLOOKUP(B29,'Capacidad Financiera'!$B$13:$AB$58066,2,0))</f>
        <v>ANTONIO OCHOA CERA</v>
      </c>
      <c r="D29" s="195">
        <f>IF(ISERROR(VLOOKUP(B29,'Capacidad Financiera'!$B$13:$AB$58066,3,0)),"",VLOOKUP(B29,'Capacidad Financiera'!$B$13:$AB$58066,3,0))</f>
        <v>0.1</v>
      </c>
      <c r="E29" s="196">
        <v>1497705430</v>
      </c>
      <c r="F29" s="196">
        <f>+POA!B2</f>
        <v>881383180</v>
      </c>
      <c r="G29" s="197">
        <f>+E29/(F29*D29)</f>
        <v>16.99267088350835</v>
      </c>
      <c r="H29" s="198">
        <f>IF(OR(C29="",D29="",E29=""),"",IF(AND(G29&gt;0,G29&lt;=Experiencia1),Puntajes!$H$4,IF(AND(G29&gt;Experiencia1,G29&lt;=Experiencia2),Puntajes!$H$5,IF(AND(G29&gt;Experiencia2,G29&lt;=Experiencia3),Puntajes!$H$6,IF(G29&gt;Experiencia3,Puntajes!$H$7,0)))))</f>
        <v>120</v>
      </c>
    </row>
    <row r="30" spans="2:8" x14ac:dyDescent="0.2">
      <c r="B30" s="72">
        <f>+'Capacidad Financiera'!B33</f>
        <v>7.1999999999999993</v>
      </c>
      <c r="C30" s="74" t="str">
        <f>IF(ISERROR(VLOOKUP(B30,'Capacidad Financiera'!$B$13:$AB$58066,2,0)),"",VLOOKUP(B30,'Capacidad Financiera'!$B$13:$AB$58066,2,0))</f>
        <v>ING CONSTRUCCIONES SAS</v>
      </c>
      <c r="D30" s="195">
        <f>IF(ISERROR(VLOOKUP(B30,'Capacidad Financiera'!$B$13:$AB$58066,3,0)),"",VLOOKUP(B30,'Capacidad Financiera'!$B$13:$AB$58066,3,0))</f>
        <v>0.9</v>
      </c>
      <c r="E30" s="196">
        <v>24881932589.869999</v>
      </c>
      <c r="F30" s="196">
        <f>+POA!B2</f>
        <v>881383180</v>
      </c>
      <c r="G30" s="197">
        <f>+E30/(F30*D30)</f>
        <v>31.367278606930327</v>
      </c>
      <c r="H30" s="198">
        <f>IF(OR(C30="",D30="",E30=""),"",IF(AND(G30&gt;0,G30&lt;=Experiencia1),Puntajes!$H$4,IF(AND(G30&gt;Experiencia1,G30&lt;=Experiencia2),Puntajes!$H$5,IF(AND(G30&gt;Experiencia2,G30&lt;=Experiencia3),Puntajes!$H$6,IF(G30&gt;Experiencia3,Puntajes!$H$7,0)))))</f>
        <v>120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G11:H11"/>
    <mergeCell ref="B4:H4"/>
    <mergeCell ref="B5:H5"/>
    <mergeCell ref="B6:H6"/>
    <mergeCell ref="B7:H7"/>
    <mergeCell ref="B11:B12"/>
    <mergeCell ref="C11:C12"/>
    <mergeCell ref="D11:D12"/>
    <mergeCell ref="E11:E12"/>
    <mergeCell ref="F11:F12"/>
  </mergeCells>
  <conditionalFormatting sqref="D10:F10">
    <cfRule type="expression" dxfId="244" priority="1318" stopIfTrue="1">
      <formula>IF(#REF!-INT(#REF!)&gt;0,TRUE,FALSE)</formula>
    </cfRule>
  </conditionalFormatting>
  <conditionalFormatting sqref="C10 G10:H10 C13:C30">
    <cfRule type="cellIs" dxfId="243" priority="1319" stopIfTrue="1" operator="equal">
      <formula>"NO ADMISIBLE"</formula>
    </cfRule>
  </conditionalFormatting>
  <conditionalFormatting sqref="D13 F13:H13">
    <cfRule type="expression" dxfId="242" priority="1320" stopIfTrue="1">
      <formula>IF(#REF!-INT(#REF!)&gt;0,TRUE,FALSE)</formula>
    </cfRule>
  </conditionalFormatting>
  <conditionalFormatting sqref="E13">
    <cfRule type="expression" dxfId="241" priority="1309" stopIfTrue="1">
      <formula>IF(#REF!-INT(#REF!)&gt;0,TRUE,FALSE)</formula>
    </cfRule>
  </conditionalFormatting>
  <conditionalFormatting sqref="B16:C17 B19:C19 B21:D22 B14:H14 D28:H28 D15:H25 E26:H26 C27:H27 E29:H29 C30:H30">
    <cfRule type="expression" dxfId="240" priority="95">
      <formula>MOD(ROW(),2)=0</formula>
    </cfRule>
  </conditionalFormatting>
  <conditionalFormatting sqref="B24:C24">
    <cfRule type="expression" dxfId="239" priority="10">
      <formula>MOD(ROW(),2)=0</formula>
    </cfRule>
  </conditionalFormatting>
  <conditionalFormatting sqref="B26:B27">
    <cfRule type="expression" dxfId="238" priority="7">
      <formula>MOD(ROW(),2)=0</formula>
    </cfRule>
  </conditionalFormatting>
  <conditionalFormatting sqref="C26">
    <cfRule type="expression" dxfId="237" priority="6">
      <formula>MOD(ROW(),2)=0</formula>
    </cfRule>
  </conditionalFormatting>
  <conditionalFormatting sqref="D26">
    <cfRule type="expression" dxfId="236" priority="5">
      <formula>MOD(ROW(),2)=0</formula>
    </cfRule>
  </conditionalFormatting>
  <conditionalFormatting sqref="B29:B30">
    <cfRule type="expression" dxfId="235" priority="3">
      <formula>MOD(ROW(),2)=0</formula>
    </cfRule>
  </conditionalFormatting>
  <conditionalFormatting sqref="C29">
    <cfRule type="expression" dxfId="234" priority="2">
      <formula>MOD(ROW(),2)=0</formula>
    </cfRule>
  </conditionalFormatting>
  <conditionalFormatting sqref="D29">
    <cfRule type="expression" dxfId="233" priority="1">
      <formula>MOD(ROW(),2)=0</formula>
    </cfRule>
  </conditionalFormatting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B2:J33"/>
  <sheetViews>
    <sheetView topLeftCell="A6" workbookViewId="0">
      <selection activeCell="D21" sqref="D21"/>
    </sheetView>
  </sheetViews>
  <sheetFormatPr baseColWidth="10" defaultColWidth="11.42578125" defaultRowHeight="12.75" x14ac:dyDescent="0.2"/>
  <cols>
    <col min="1" max="1" width="11.42578125" style="84" customWidth="1"/>
    <col min="2" max="2" width="3.85546875" style="84" customWidth="1"/>
    <col min="3" max="3" width="41.140625" style="84" customWidth="1"/>
    <col min="4" max="4" width="35" style="83" customWidth="1"/>
    <col min="5" max="5" width="35" style="109" customWidth="1"/>
    <col min="6" max="6" width="11.42578125" style="84"/>
    <col min="7" max="7" width="13.85546875" style="95" customWidth="1"/>
    <col min="8" max="8" width="9.7109375" style="96" customWidth="1"/>
    <col min="9" max="9" width="12.5703125" style="84" customWidth="1"/>
    <col min="10" max="10" width="12.7109375" style="84" customWidth="1"/>
    <col min="11" max="16384" width="11.42578125" style="84"/>
  </cols>
  <sheetData>
    <row r="2" spans="2:10" s="86" customFormat="1" ht="20.25" customHeight="1" x14ac:dyDescent="0.2">
      <c r="B2" s="356" t="s">
        <v>186</v>
      </c>
      <c r="C2" s="356"/>
      <c r="D2" s="356"/>
      <c r="E2" s="356"/>
      <c r="G2" s="87"/>
      <c r="H2" s="88"/>
    </row>
    <row r="3" spans="2:10" s="86" customFormat="1" ht="9" customHeight="1" x14ac:dyDescent="0.2">
      <c r="B3" s="153"/>
      <c r="C3" s="153"/>
      <c r="D3" s="153"/>
      <c r="E3" s="153"/>
      <c r="G3" s="87"/>
      <c r="H3" s="88"/>
    </row>
    <row r="4" spans="2:10" s="86" customFormat="1" ht="9" customHeight="1" x14ac:dyDescent="0.2">
      <c r="B4" s="153"/>
      <c r="C4" s="153"/>
      <c r="D4" s="153"/>
      <c r="E4" s="153"/>
      <c r="G4" s="87"/>
      <c r="H4" s="88"/>
    </row>
    <row r="5" spans="2:10" s="86" customFormat="1" ht="9" customHeight="1" x14ac:dyDescent="0.2">
      <c r="B5" s="153"/>
      <c r="C5" s="153"/>
      <c r="D5" s="153"/>
      <c r="E5" s="153"/>
      <c r="G5" s="87"/>
      <c r="H5" s="88"/>
    </row>
    <row r="6" spans="2:10" s="86" customFormat="1" ht="18" customHeight="1" x14ac:dyDescent="0.2">
      <c r="B6" s="357" t="s">
        <v>200</v>
      </c>
      <c r="C6" s="357"/>
      <c r="D6" s="357"/>
      <c r="E6" s="357"/>
      <c r="G6" s="87"/>
      <c r="H6" s="88"/>
    </row>
    <row r="7" spans="2:10" s="86" customFormat="1" ht="13.5" customHeight="1" x14ac:dyDescent="0.2">
      <c r="B7" s="358" t="str">
        <f>'Capacidad Financiera'!B4</f>
        <v>PROCESO No. SA-MC-DT-MAG-001-2024</v>
      </c>
      <c r="C7" s="358"/>
      <c r="D7" s="358"/>
      <c r="E7" s="358"/>
      <c r="G7" s="87"/>
      <c r="H7" s="88"/>
    </row>
    <row r="8" spans="2:10" s="86" customFormat="1" ht="13.5" customHeight="1" x14ac:dyDescent="0.2">
      <c r="B8" s="358" t="s">
        <v>199</v>
      </c>
      <c r="C8" s="358"/>
      <c r="D8" s="358"/>
      <c r="E8" s="358"/>
      <c r="G8" s="87"/>
      <c r="H8" s="88"/>
    </row>
    <row r="9" spans="2:10" s="86" customFormat="1" ht="13.5" customHeight="1" x14ac:dyDescent="0.2">
      <c r="B9" s="123"/>
      <c r="C9" s="123"/>
      <c r="D9" s="123"/>
      <c r="E9" s="123"/>
      <c r="G9" s="87"/>
      <c r="H9" s="88"/>
    </row>
    <row r="10" spans="2:10" s="86" customFormat="1" ht="14.25" thickBot="1" x14ac:dyDescent="0.25">
      <c r="B10" s="89"/>
      <c r="C10" s="89"/>
      <c r="D10" s="92"/>
      <c r="E10" s="93"/>
      <c r="G10" s="87"/>
      <c r="H10" s="88"/>
    </row>
    <row r="11" spans="2:10" ht="19.5" customHeight="1" x14ac:dyDescent="0.2">
      <c r="B11" s="359" t="s">
        <v>157</v>
      </c>
      <c r="C11" s="361" t="s">
        <v>156</v>
      </c>
      <c r="D11" s="201" t="s">
        <v>189</v>
      </c>
      <c r="E11" s="202" t="s">
        <v>199</v>
      </c>
    </row>
    <row r="12" spans="2:10" ht="67.5" customHeight="1" thickBot="1" x14ac:dyDescent="0.25">
      <c r="B12" s="360"/>
      <c r="C12" s="362"/>
      <c r="D12" s="193" t="s">
        <v>190</v>
      </c>
      <c r="E12" s="194" t="s">
        <v>201</v>
      </c>
    </row>
    <row r="13" spans="2:10" x14ac:dyDescent="0.2">
      <c r="B13" s="67">
        <f>+'Capacidad Financiera'!B13</f>
        <v>1</v>
      </c>
      <c r="C13" s="68" t="str">
        <f>IF(ISERROR(VLOOKUP(B13,'Capacidad Financiera'!$B$13:$AB$58066,2,0)),"",VLOOKUP(B13,'Capacidad Financiera'!$B$13:$AB$58066,2,0))</f>
        <v>GRUPO MORIAH</v>
      </c>
      <c r="D13" s="110"/>
      <c r="E13" s="111" t="str">
        <f>IF(B14="",IF(D13="","",IF(AND(D13&gt;0,D13&lt;=CapTecnica1),Puntajes!$L$4,IF(AND(D13&gt;CapTecnica1,D13&lt;=CapTecnica2),Puntajes!$L$5,IF(D13&gt;CapTecnica2,Puntajes!$L$6,0)))),"")</f>
        <v/>
      </c>
      <c r="G13" s="97"/>
      <c r="H13" s="98"/>
      <c r="I13" s="85"/>
      <c r="J13" s="85"/>
    </row>
    <row r="14" spans="2:10" x14ac:dyDescent="0.2">
      <c r="B14" s="203">
        <f>+'Capacidad Financiera'!B14</f>
        <v>1.1000000000000001</v>
      </c>
      <c r="C14" s="74" t="str">
        <f>IF(ISERROR(VLOOKUP(B14,'Capacidad Financiera'!$B$13:$AB$58066,2,0)),"",VLOOKUP(B14,'Capacidad Financiera'!$B$13:$AB$58066,2,0))</f>
        <v>GRUPO MORIAH</v>
      </c>
      <c r="D14" s="274">
        <v>1</v>
      </c>
      <c r="E14" s="198">
        <f>IF(OR(C14="",D14=""),"",IF(AND(D14&gt;0,D14&lt;=CapTecnica1),Puntajes!$L$4,IF(AND(D14&gt;CapTecnica1,D14&lt;=CapTecnica2),Puntajes!$L$5,IF(D14&gt;CapTecnica2,Puntajes!$L$6,0))))</f>
        <v>20</v>
      </c>
    </row>
    <row r="15" spans="2:10" ht="13.5" thickBot="1" x14ac:dyDescent="0.25">
      <c r="B15" s="203" t="str">
        <f>+'Capacidad Financiera'!B15</f>
        <v/>
      </c>
      <c r="C15" s="74">
        <f>IF(ISERROR(VLOOKUP(B15,'Capacidad Financiera'!$B$13:$AB$58066,2,0)),"",VLOOKUP(B15,'Capacidad Financiera'!$B$13:$AB$58066,2,0))</f>
        <v>0</v>
      </c>
      <c r="D15" s="274"/>
      <c r="E15" s="198" t="str">
        <f>IF(OR(C15="",D15=""),"",IF(AND(D15&gt;0,D15&lt;=CapTecnica1),Puntajes!$L$4,IF(AND(D15&gt;CapTecnica1,D15&lt;=CapTecnica2),Puntajes!$L$5,IF(D15&gt;CapTecnica2,Puntajes!$L$6,0))))</f>
        <v/>
      </c>
    </row>
    <row r="16" spans="2:10" x14ac:dyDescent="0.2">
      <c r="B16" s="67">
        <f>+'Capacidad Financiera'!B16</f>
        <v>2</v>
      </c>
      <c r="C16" s="68" t="str">
        <f>IF(ISERROR(VLOOKUP(B16,'Capacidad Financiera'!$B$13:$AB$58066,2,0)),"",VLOOKUP(B16,'Capacidad Financiera'!$B$13:$AB$58066,2,0))</f>
        <v>CONSORCIO VIAS F&amp;M 2030</v>
      </c>
      <c r="D16" s="204"/>
      <c r="E16" s="198" t="str">
        <f>IF(OR(C16="",D16=""),"",IF(AND(D16&gt;0,D16&lt;=CapTecnica1),Puntajes!$L$4,IF(AND(D16&gt;CapTecnica1,D16&lt;=CapTecnica2),Puntajes!$L$5,IF(D16&gt;CapTecnica2,Puntajes!$L$6,0))))</f>
        <v/>
      </c>
    </row>
    <row r="17" spans="2:5" x14ac:dyDescent="0.2">
      <c r="B17" s="203">
        <f>+'Capacidad Financiera'!B17</f>
        <v>2.1</v>
      </c>
      <c r="C17" s="74" t="str">
        <f>IF(ISERROR(VLOOKUP(B17,'Capacidad Financiera'!$B$13:$AB$58066,2,0)),"",VLOOKUP(B17,'Capacidad Financiera'!$B$13:$AB$58066,2,0))</f>
        <v>FUNDACION OCEANIA 2030</v>
      </c>
      <c r="D17" s="204">
        <v>1</v>
      </c>
      <c r="E17" s="198">
        <f>IF(OR(C17="",D17=""),"",IF(AND(D17&gt;0,D17&lt;=CapTecnica1),Puntajes!$L$4,IF(AND(D17&gt;CapTecnica1,D17&lt;=CapTecnica2),Puntajes!$L$5,IF(D17&gt;CapTecnica2,Puntajes!$L$6,0))))</f>
        <v>20</v>
      </c>
    </row>
    <row r="18" spans="2:5" ht="13.5" thickBot="1" x14ac:dyDescent="0.25">
      <c r="B18" s="203">
        <f>+'Capacidad Financiera'!B18</f>
        <v>2.2000000000000002</v>
      </c>
      <c r="C18" s="74" t="str">
        <f>IF(ISERROR(VLOOKUP(B18,'Capacidad Financiera'!$B$13:$AB$58066,2,0)),"",VLOOKUP(B18,'Capacidad Financiera'!$B$13:$AB$58066,2,0))</f>
        <v>MAVICON CONSTRUCCION E INGENIERIA SAS</v>
      </c>
      <c r="D18" s="204">
        <v>1</v>
      </c>
      <c r="E18" s="198">
        <f>IF(OR(C18="",D18=""),"",IF(AND(D18&gt;0,D18&lt;=CapTecnica1),Puntajes!$L$4,IF(AND(D18&gt;CapTecnica1,D18&lt;=CapTecnica2),Puntajes!$L$5,IF(D18&gt;CapTecnica2,Puntajes!$L$6,0))))</f>
        <v>20</v>
      </c>
    </row>
    <row r="19" spans="2:5" x14ac:dyDescent="0.2">
      <c r="B19" s="67">
        <f>+'Capacidad Financiera'!B19</f>
        <v>3</v>
      </c>
      <c r="C19" s="68" t="str">
        <f>IF(ISERROR(VLOOKUP(B19,'Capacidad Financiera'!$B$13:$AB$58066,2,0)),"",VLOOKUP(B19,'Capacidad Financiera'!$B$13:$AB$58066,2,0))</f>
        <v>INGEPRO CONSTRUCTORA SAS</v>
      </c>
      <c r="D19" s="204"/>
      <c r="E19" s="198" t="str">
        <f>IF(OR(C19="",D19=""),"",IF(AND(D19&gt;0,D19&lt;=CapTecnica1),Puntajes!$L$4,IF(AND(D19&gt;CapTecnica1,D19&lt;=CapTecnica2),Puntajes!$L$5,IF(D19&gt;CapTecnica2,Puntajes!$L$6,0))))</f>
        <v/>
      </c>
    </row>
    <row r="20" spans="2:5" x14ac:dyDescent="0.2">
      <c r="B20" s="203">
        <f>+'Capacidad Financiera'!B20</f>
        <v>3.1</v>
      </c>
      <c r="C20" s="74" t="str">
        <f>IF(ISERROR(VLOOKUP(B20,'Capacidad Financiera'!$B$13:$AB$58066,2,0)),"",VLOOKUP(B20,'Capacidad Financiera'!$B$13:$AB$58066,2,0))</f>
        <v>INGEPRO CONSTRUCTORA SAS</v>
      </c>
      <c r="D20" s="204">
        <v>2</v>
      </c>
      <c r="E20" s="198">
        <f>IF(OR(C20="",D20=""),"",IF(AND(D20&gt;0,D20&lt;=CapTecnica1),Puntajes!$L$4,IF(AND(D20&gt;CapTecnica1,D20&lt;=CapTecnica2),Puntajes!$L$5,IF(D20&gt;CapTecnica2,Puntajes!$L$6,0))))</f>
        <v>20</v>
      </c>
    </row>
    <row r="21" spans="2:5" ht="13.5" thickBot="1" x14ac:dyDescent="0.25">
      <c r="B21" s="203" t="str">
        <f>+'Capacidad Financiera'!B21</f>
        <v/>
      </c>
      <c r="C21" s="74">
        <f>IF(ISERROR(VLOOKUP(B21,'Capacidad Financiera'!$B$13:$AB$58066,2,0)),"",VLOOKUP(B21,'Capacidad Financiera'!$B$13:$AB$58066,2,0))</f>
        <v>0</v>
      </c>
      <c r="D21" s="204">
        <v>0</v>
      </c>
      <c r="E21" s="198">
        <f>IF(OR(C21="",D21=""),"",IF(AND(D21&gt;0,D21&lt;=CapTecnica1),Puntajes!$L$4,IF(AND(D21&gt;CapTecnica1,D21&lt;=CapTecnica2),Puntajes!$L$5,IF(D21&gt;CapTecnica2,Puntajes!$L$6,0))))</f>
        <v>0</v>
      </c>
    </row>
    <row r="22" spans="2:5" x14ac:dyDescent="0.2">
      <c r="B22" s="67">
        <f>+'Capacidad Financiera'!B22</f>
        <v>4</v>
      </c>
      <c r="C22" s="68" t="str">
        <f>IF(ISERROR(VLOOKUP(B22,'Capacidad Financiera'!$B$13:$AB$58066,2,0)),"",VLOOKUP(B22,'Capacidad Financiera'!$B$13:$AB$58066,2,0))</f>
        <v>UNION TEMPORAL OBRAS 2024 S &amp; C</v>
      </c>
      <c r="D22" s="204"/>
      <c r="E22" s="198" t="str">
        <f>IF(OR(C22="",D22=""),"",IF(AND(D22&gt;0,D22&lt;=CapTecnica1),Puntajes!$L$4,IF(AND(D22&gt;CapTecnica1,D22&lt;=CapTecnica2),Puntajes!$L$5,IF(D22&gt;CapTecnica2,Puntajes!$L$6,0))))</f>
        <v/>
      </c>
    </row>
    <row r="23" spans="2:5" x14ac:dyDescent="0.2">
      <c r="B23" s="203">
        <f>+'Capacidad Financiera'!B23</f>
        <v>4.0999999999999996</v>
      </c>
      <c r="C23" s="74" t="str">
        <f>IF(ISERROR(VLOOKUP(B23,'Capacidad Financiera'!$B$13:$AB$58066,2,0)),"",VLOOKUP(B23,'Capacidad Financiera'!$B$13:$AB$58066,2,0))</f>
        <v>SEÑALES LTDA</v>
      </c>
      <c r="D23" s="204">
        <v>7</v>
      </c>
      <c r="E23" s="198">
        <f>IF(OR(C23="",D23=""),"",IF(AND(D23&gt;0,D23&lt;=CapTecnica1),Puntajes!$L$4,IF(AND(D23&gt;CapTecnica1,D23&lt;=CapTecnica2),Puntajes!$L$5,IF(D23&gt;CapTecnica2,Puntajes!$L$6,0))))</f>
        <v>30</v>
      </c>
    </row>
    <row r="24" spans="2:5" ht="13.5" thickBot="1" x14ac:dyDescent="0.25">
      <c r="B24" s="203">
        <f>+'Capacidad Financiera'!B24</f>
        <v>4.1999999999999993</v>
      </c>
      <c r="C24" s="74" t="str">
        <f>IF(ISERROR(VLOOKUP(B24,'Capacidad Financiera'!$B$13:$AB$58066,2,0)),"",VLOOKUP(B24,'Capacidad Financiera'!$B$13:$AB$58066,2,0))</f>
        <v>INFRAESTRUCTURA CAR Y CIA SAS</v>
      </c>
      <c r="D24" s="204">
        <v>12</v>
      </c>
      <c r="E24" s="198">
        <f>IF(OR(C24="",D24=""),"",IF(AND(D24&gt;0,D24&lt;=CapTecnica1),Puntajes!$L$4,IF(AND(D24&gt;CapTecnica1,D24&lt;=CapTecnica2),Puntajes!$L$5,IF(D24&gt;CapTecnica2,Puntajes!$L$6,0))))</f>
        <v>40</v>
      </c>
    </row>
    <row r="25" spans="2:5" x14ac:dyDescent="0.2">
      <c r="B25" s="67">
        <f>+'Capacidad Financiera'!B25</f>
        <v>5</v>
      </c>
      <c r="C25" s="68" t="str">
        <f>IF(ISERROR(VLOOKUP(B25,'Capacidad Financiera'!$B$13:$AB$58066,2,0)),"",VLOOKUP(B25,'Capacidad Financiera'!$B$13:$AB$58066,2,0))</f>
        <v>S &amp; S INGENIERIA CIVIL SAS</v>
      </c>
      <c r="D25" s="204"/>
      <c r="E25" s="198" t="str">
        <f>IF(OR(C25="",D25=""),"",IF(AND(D25&gt;0,D25&lt;=CapTecnica1),Puntajes!$L$4,IF(AND(D25&gt;CapTecnica1,D25&lt;=CapTecnica2),Puntajes!$L$5,IF(D25&gt;CapTecnica2,Puntajes!$L$6,0))))</f>
        <v/>
      </c>
    </row>
    <row r="26" spans="2:5" x14ac:dyDescent="0.2">
      <c r="B26" s="203">
        <f>+'Capacidad Financiera'!B26</f>
        <v>5.0999999999999996</v>
      </c>
      <c r="C26" s="74" t="str">
        <f>IF(ISERROR(VLOOKUP(B26,'Capacidad Financiera'!$B$13:$AB$58066,2,0)),"",VLOOKUP(B26,'Capacidad Financiera'!$B$13:$AB$58066,2,0))</f>
        <v>S&amp;S INGENIERIA CIVIL SAS|</v>
      </c>
      <c r="D26" s="204">
        <v>5</v>
      </c>
      <c r="E26" s="198">
        <f>IF(OR(C26="",D26=""),"",IF(AND(D26&gt;0,D26&lt;=CapTecnica1),Puntajes!$L$4,IF(AND(D26&gt;CapTecnica1,D26&lt;=CapTecnica2),Puntajes!$L$5,IF(D26&gt;CapTecnica2,Puntajes!$L$6,0))))</f>
        <v>20</v>
      </c>
    </row>
    <row r="27" spans="2:5" ht="13.5" thickBot="1" x14ac:dyDescent="0.25">
      <c r="B27" s="203" t="str">
        <f>+'Capacidad Financiera'!B27</f>
        <v/>
      </c>
      <c r="C27" s="74">
        <f>IF(ISERROR(VLOOKUP(B27,'Capacidad Financiera'!$B$13:$AB$58066,2,0)),"",VLOOKUP(B27,'Capacidad Financiera'!$B$13:$AB$58066,2,0))</f>
        <v>0</v>
      </c>
      <c r="D27" s="204"/>
      <c r="E27" s="198" t="str">
        <f>IF(OR(C27="",D27=""),"",IF(AND(D27&gt;0,D27&lt;=CapTecnica1),Puntajes!$L$4,IF(AND(D27&gt;CapTecnica1,D27&lt;=CapTecnica2),Puntajes!$L$5,IF(D27&gt;CapTecnica2,Puntajes!$L$6,0))))</f>
        <v/>
      </c>
    </row>
    <row r="28" spans="2:5" x14ac:dyDescent="0.2">
      <c r="B28" s="67">
        <f>+'Capacidad Financiera'!B28</f>
        <v>6</v>
      </c>
      <c r="C28" s="68" t="str">
        <f>IF(ISERROR(VLOOKUP(B28,'Capacidad Financiera'!$B$13:$AB$58066,2,0)),"",VLOOKUP(B28,'Capacidad Financiera'!$B$13:$AB$58066,2,0))</f>
        <v>CONSORCIO FFMM</v>
      </c>
      <c r="D28" s="204"/>
      <c r="E28" s="198" t="str">
        <f>IF(OR(C28="",D28=""),"",IF(AND(D28&gt;0,D28&lt;=CapTecnica1),Puntajes!$L$4,IF(AND(D28&gt;CapTecnica1,D28&lt;=CapTecnica2),Puntajes!$L$5,IF(D28&gt;CapTecnica2,Puntajes!$L$6,0))))</f>
        <v/>
      </c>
    </row>
    <row r="29" spans="2:5" x14ac:dyDescent="0.2">
      <c r="B29" s="203">
        <f>+'Capacidad Financiera'!B29</f>
        <v>6.1</v>
      </c>
      <c r="C29" s="74" t="str">
        <f>IF(ISERROR(VLOOKUP(B29,'Capacidad Financiera'!$B$13:$AB$58066,2,0)),"",VLOOKUP(B29,'Capacidad Financiera'!$B$13:$AB$58066,2,0))</f>
        <v>INGENIECOL SAS</v>
      </c>
      <c r="D29" s="204">
        <v>1</v>
      </c>
      <c r="E29" s="198">
        <f>IF(OR(C29="",D29=""),"",IF(AND(D29&gt;0,D29&lt;=CapTecnica1),Puntajes!$L$4,IF(AND(D29&gt;CapTecnica1,D29&lt;=CapTecnica2),Puntajes!$L$5,IF(D29&gt;CapTecnica2,Puntajes!$L$6,0))))</f>
        <v>20</v>
      </c>
    </row>
    <row r="30" spans="2:5" ht="13.5" thickBot="1" x14ac:dyDescent="0.25">
      <c r="B30" s="203">
        <f>+'Capacidad Financiera'!B30</f>
        <v>6.1999999999999993</v>
      </c>
      <c r="C30" s="74" t="str">
        <f>IF(ISERROR(VLOOKUP(B30,'Capacidad Financiera'!$B$13:$AB$58066,2,0)),"",VLOOKUP(B30,'Capacidad Financiera'!$B$13:$AB$58066,2,0))</f>
        <v>FF CONSTRUCCIONES Y CONSULTORIA SAS</v>
      </c>
      <c r="D30" s="204">
        <v>1</v>
      </c>
      <c r="E30" s="198">
        <f>IF(OR(C30="",D30=""),"",IF(AND(D30&gt;0,D30&lt;=CapTecnica1),Puntajes!$L$4,IF(AND(D30&gt;CapTecnica1,D30&lt;=CapTecnica2),Puntajes!$L$5,IF(D30&gt;CapTecnica2,Puntajes!$L$6,0))))</f>
        <v>20</v>
      </c>
    </row>
    <row r="31" spans="2:5" x14ac:dyDescent="0.2">
      <c r="B31" s="67">
        <f>+'Capacidad Financiera'!B31</f>
        <v>7</v>
      </c>
      <c r="C31" s="68" t="str">
        <f>IF(ISERROR(VLOOKUP(B31,'Capacidad Financiera'!$B$13:$AB$58066,2,0)),"",VLOOKUP(B31,'Capacidad Financiera'!$B$13:$AB$58066,2,0))</f>
        <v>CONSORCIO OBRAS Y PROGRESO 23</v>
      </c>
      <c r="D31" s="204"/>
      <c r="E31" s="198" t="str">
        <f>IF(OR(C31="",D31=""),"",IF(AND(D31&gt;0,D31&lt;=CapTecnica1),Puntajes!$L$4,IF(AND(D31&gt;CapTecnica1,D31&lt;=CapTecnica2),Puntajes!$L$5,IF(D31&gt;CapTecnica2,Puntajes!$L$6,0))))</f>
        <v/>
      </c>
    </row>
    <row r="32" spans="2:5" x14ac:dyDescent="0.2">
      <c r="B32" s="203">
        <f>+'Capacidad Financiera'!B32</f>
        <v>7.1</v>
      </c>
      <c r="C32" s="74" t="str">
        <f>IF(ISERROR(VLOOKUP(B32,'Capacidad Financiera'!$B$13:$AB$58066,2,0)),"",VLOOKUP(B32,'Capacidad Financiera'!$B$13:$AB$58066,2,0))</f>
        <v>ANTONIO OCHOA CERA</v>
      </c>
      <c r="D32" s="204">
        <v>1</v>
      </c>
      <c r="E32" s="198">
        <f>IF(OR(C32="",D32=""),"",IF(AND(D32&gt;0,D32&lt;=CapTecnica1),Puntajes!$L$4,IF(AND(D32&gt;CapTecnica1,D32&lt;=CapTecnica2),Puntajes!$L$5,IF(D32&gt;CapTecnica2,Puntajes!$L$6,0))))</f>
        <v>20</v>
      </c>
    </row>
    <row r="33" spans="2:5" x14ac:dyDescent="0.2">
      <c r="B33" s="203">
        <f>+'Capacidad Financiera'!B33</f>
        <v>7.1999999999999993</v>
      </c>
      <c r="C33" s="74" t="str">
        <f>IF(ISERROR(VLOOKUP(B33,'Capacidad Financiera'!$B$13:$AB$58066,2,0)),"",VLOOKUP(B33,'Capacidad Financiera'!$B$13:$AB$58066,2,0))</f>
        <v>ING CONSTRUCCIONES SAS</v>
      </c>
      <c r="D33" s="204">
        <v>1</v>
      </c>
      <c r="E33" s="198">
        <f>IF(OR(C33="",D33=""),"",IF(AND(D33&gt;0,D33&lt;=CapTecnica1),Puntajes!$L$4,IF(AND(D33&gt;CapTecnica1,D33&lt;=CapTecnica2),Puntajes!$L$5,IF(D33&gt;CapTecnica2,Puntajes!$L$6,0))))</f>
        <v>20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B2:E2"/>
    <mergeCell ref="B6:E6"/>
    <mergeCell ref="B7:E7"/>
    <mergeCell ref="B8:E8"/>
    <mergeCell ref="B11:B12"/>
    <mergeCell ref="C11:C12"/>
  </mergeCells>
  <conditionalFormatting sqref="D10">
    <cfRule type="expression" dxfId="232" priority="378" stopIfTrue="1">
      <formula>IF(#REF!-INT(#REF!)&gt;0,TRUE,FALSE)</formula>
    </cfRule>
  </conditionalFormatting>
  <conditionalFormatting sqref="C10 E10 C13:C33">
    <cfRule type="cellIs" dxfId="231" priority="379" stopIfTrue="1" operator="equal">
      <formula>"NO ADMISIBLE"</formula>
    </cfRule>
  </conditionalFormatting>
  <conditionalFormatting sqref="E14:E33">
    <cfRule type="expression" dxfId="230" priority="373" stopIfTrue="1">
      <formula>IF(#REF!-INT(#REF!)&gt;0,TRUE,FALSE)</formula>
    </cfRule>
  </conditionalFormatting>
  <conditionalFormatting sqref="D13:E13 D14:D33">
    <cfRule type="expression" dxfId="229" priority="380" stopIfTrue="1">
      <formula>IF(#REF!-INT(#REF!)&gt;0,TRUE,FALSE)</formula>
    </cfRule>
  </conditionalFormatting>
  <conditionalFormatting sqref="B14:E15 B17:C18 B20:C21 D16:E24 B23:C24">
    <cfRule type="expression" dxfId="228" priority="87">
      <formula>MOD(ROW(),2)=0</formula>
    </cfRule>
  </conditionalFormatting>
  <conditionalFormatting sqref="B26:C27 D25:E27">
    <cfRule type="expression" dxfId="227" priority="3">
      <formula>MOD(ROW(),2)=0</formula>
    </cfRule>
  </conditionalFormatting>
  <conditionalFormatting sqref="B29:C30 D28:E30">
    <cfRule type="expression" dxfId="226" priority="2">
      <formula>MOD(ROW(),2)=0</formula>
    </cfRule>
  </conditionalFormatting>
  <conditionalFormatting sqref="B32:C33 D31:E33">
    <cfRule type="expression" dxfId="225" priority="1">
      <formula>MOD(ROW(),2)=0</formula>
    </cfRule>
  </conditionalFormatting>
  <dataValidations count="1">
    <dataValidation type="list" allowBlank="1" showInputMessage="1" showErrorMessage="1" sqref="C10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B2:L33"/>
  <sheetViews>
    <sheetView topLeftCell="A3" workbookViewId="0">
      <selection activeCell="H19" sqref="H19"/>
    </sheetView>
  </sheetViews>
  <sheetFormatPr baseColWidth="10" defaultColWidth="11.42578125" defaultRowHeight="12.75" x14ac:dyDescent="0.2"/>
  <cols>
    <col min="1" max="1" width="11.42578125" style="84" customWidth="1"/>
    <col min="2" max="2" width="3.85546875" style="84" customWidth="1"/>
    <col min="3" max="3" width="40" style="84" customWidth="1"/>
    <col min="4" max="5" width="18.7109375" style="80" customWidth="1"/>
    <col min="6" max="6" width="14.7109375" style="80" bestFit="1" customWidth="1"/>
    <col min="7" max="7" width="42.42578125" style="80" customWidth="1"/>
    <col min="8" max="8" width="11.42578125" style="84"/>
    <col min="9" max="9" width="13.85546875" style="95" customWidth="1"/>
    <col min="10" max="10" width="9.7109375" style="96" customWidth="1"/>
    <col min="11" max="11" width="12.5703125" style="84" customWidth="1"/>
    <col min="12" max="12" width="12.7109375" style="84" customWidth="1"/>
    <col min="13" max="16384" width="11.42578125" style="84"/>
  </cols>
  <sheetData>
    <row r="2" spans="2:12" s="86" customFormat="1" ht="20.25" customHeight="1" x14ac:dyDescent="0.2">
      <c r="B2" s="356" t="s">
        <v>186</v>
      </c>
      <c r="C2" s="356"/>
      <c r="D2" s="356"/>
      <c r="E2" s="356"/>
      <c r="F2" s="356"/>
      <c r="G2" s="356"/>
      <c r="I2" s="87"/>
      <c r="J2" s="88"/>
    </row>
    <row r="3" spans="2:12" s="86" customFormat="1" ht="18" customHeight="1" x14ac:dyDescent="0.2">
      <c r="B3" s="357" t="s">
        <v>200</v>
      </c>
      <c r="C3" s="357"/>
      <c r="D3" s="357"/>
      <c r="E3" s="357"/>
      <c r="F3" s="357"/>
      <c r="G3" s="357"/>
      <c r="I3" s="87"/>
      <c r="J3" s="88"/>
    </row>
    <row r="4" spans="2:12" s="86" customFormat="1" ht="13.5" customHeight="1" x14ac:dyDescent="0.2">
      <c r="B4" s="358" t="str">
        <f>'Capacidad Financiera'!B4</f>
        <v>PROCESO No. SA-MC-DT-MAG-001-2024</v>
      </c>
      <c r="C4" s="358"/>
      <c r="D4" s="358"/>
      <c r="E4" s="358"/>
      <c r="F4" s="358"/>
      <c r="G4" s="358"/>
      <c r="I4" s="87"/>
      <c r="J4" s="88"/>
    </row>
    <row r="5" spans="2:12" s="86" customFormat="1" ht="13.5" customHeight="1" x14ac:dyDescent="0.2">
      <c r="B5" s="358" t="s">
        <v>207</v>
      </c>
      <c r="C5" s="358"/>
      <c r="D5" s="358"/>
      <c r="E5" s="358"/>
      <c r="F5" s="358"/>
      <c r="G5" s="358"/>
      <c r="I5" s="87"/>
      <c r="J5" s="88"/>
    </row>
    <row r="6" spans="2:12" s="86" customFormat="1" ht="6.75" customHeight="1" x14ac:dyDescent="0.2">
      <c r="B6" s="123"/>
      <c r="C6" s="123"/>
      <c r="D6" s="123"/>
      <c r="E6" s="123"/>
      <c r="F6" s="123"/>
      <c r="G6" s="123"/>
      <c r="I6" s="87"/>
      <c r="J6" s="88"/>
    </row>
    <row r="7" spans="2:12" s="86" customFormat="1" ht="6.75" customHeight="1" x14ac:dyDescent="0.2">
      <c r="B7" s="123"/>
      <c r="C7" s="123"/>
      <c r="D7" s="123"/>
      <c r="E7" s="123"/>
      <c r="F7" s="123"/>
      <c r="G7" s="123"/>
      <c r="I7" s="87"/>
      <c r="J7" s="88"/>
    </row>
    <row r="8" spans="2:12" s="86" customFormat="1" ht="6.75" customHeight="1" x14ac:dyDescent="0.2">
      <c r="B8" s="123"/>
      <c r="C8" s="123"/>
      <c r="D8" s="123"/>
      <c r="E8" s="123"/>
      <c r="F8" s="123"/>
      <c r="G8" s="123"/>
      <c r="I8" s="87"/>
      <c r="J8" s="88"/>
    </row>
    <row r="9" spans="2:12" s="86" customFormat="1" ht="6.75" customHeight="1" x14ac:dyDescent="0.2">
      <c r="B9" s="123"/>
      <c r="C9" s="123"/>
      <c r="D9" s="123"/>
      <c r="E9" s="123"/>
      <c r="F9" s="123"/>
      <c r="G9" s="123"/>
      <c r="I9" s="87"/>
      <c r="J9" s="88"/>
    </row>
    <row r="10" spans="2:12" s="86" customFormat="1" ht="14.25" thickBot="1" x14ac:dyDescent="0.25">
      <c r="B10" s="89"/>
      <c r="C10" s="89"/>
      <c r="D10" s="93"/>
      <c r="E10" s="93"/>
      <c r="F10" s="93"/>
      <c r="G10" s="93"/>
      <c r="I10" s="87"/>
      <c r="J10" s="88"/>
    </row>
    <row r="11" spans="2:12" ht="43.5" customHeight="1" x14ac:dyDescent="0.2">
      <c r="B11" s="359" t="s">
        <v>157</v>
      </c>
      <c r="C11" s="361" t="s">
        <v>156</v>
      </c>
      <c r="D11" s="363" t="s">
        <v>208</v>
      </c>
      <c r="E11" s="365" t="s">
        <v>209</v>
      </c>
      <c r="F11" s="365" t="s">
        <v>210</v>
      </c>
      <c r="G11" s="202" t="s">
        <v>207</v>
      </c>
    </row>
    <row r="12" spans="2:12" ht="84.75" customHeight="1" thickBot="1" x14ac:dyDescent="0.25">
      <c r="B12" s="360"/>
      <c r="C12" s="362"/>
      <c r="D12" s="364"/>
      <c r="E12" s="366"/>
      <c r="F12" s="366"/>
      <c r="G12" s="194" t="s">
        <v>211</v>
      </c>
    </row>
    <row r="13" spans="2:12" x14ac:dyDescent="0.2">
      <c r="B13" s="67">
        <f>+'Capacidad Financiera'!B13</f>
        <v>1</v>
      </c>
      <c r="C13" s="68" t="str">
        <f>IF(ISERROR(VLOOKUP(B13,'Capacidad Financiera'!$B$13:$AB$58066,2,0)),"",VLOOKUP(B13,'Capacidad Financiera'!$B$13:$AB$58066,2,0))</f>
        <v>GRUPO MORIAH</v>
      </c>
      <c r="D13" s="116" t="str">
        <f>IF(B14="",IF(B13&lt;&gt;"",IF(ISERROR(VLOOKUP(C13,'Capacidad Financiera'!$C$13:$H$33,3,0)),"",VLOOKUP(C13,'Capacidad Financiera'!$C$13:$H$33,3,0))),"")</f>
        <v/>
      </c>
      <c r="E13" s="116" t="str">
        <f>IF(B14="",IF(B13&lt;&gt;"",IF(ISERROR(VLOOKUP(C13,'Capacidad Financiera'!$C$13:$H$33,5,0)),"",VLOOKUP(C13,'Capacidad Financiera'!$C$13:$H$33,5,0))),"")</f>
        <v/>
      </c>
      <c r="F13" s="73" t="str">
        <f>IF(OR(C13="",D13="",E13=""),"",IF(OR(D13=0,E13=0),0,D13/E13))</f>
        <v/>
      </c>
      <c r="G13" s="112" t="str">
        <f>IF(B14="",IF(AND(D13="",E13=""),"",IF(AND(F13&gt;0,F13&lt;=CapFinanciera1),Puntajes!$D$4,IF(AND(F13&gt;CapFinanciera1,F13&lt;=CapFinanciera2),Puntajes!$D$5,IF(AND(F13&gt;CapFinanciera2,F13&lt;=CapFinanciera3),Puntajes!$D$6,IF(AND(F13&gt;CapFinanciera3,F13&lt;=CapFinanciera4),Puntajes!$D$7,IF(F13&gt;CapFinanciera4,Puntajes!$D$8,0)))))),"")</f>
        <v/>
      </c>
      <c r="I13" s="97"/>
      <c r="J13" s="98"/>
      <c r="K13" s="85"/>
      <c r="L13" s="85"/>
    </row>
    <row r="14" spans="2:12" x14ac:dyDescent="0.2">
      <c r="B14" s="72">
        <f>+'Capacidad Financiera'!B14</f>
        <v>1.1000000000000001</v>
      </c>
      <c r="C14" s="74" t="str">
        <f>IF(ISERROR(VLOOKUP(B14,'Capacidad Financiera'!$B$13:$AB$58066,2,0)),"",VLOOKUP(B14,'Capacidad Financiera'!$B$13:$AB$58066,2,0))</f>
        <v>GRUPO MORIAH</v>
      </c>
      <c r="D14" s="117">
        <f>IF(OR(B14="",C14=""),"",IF(ISERROR(VLOOKUP(C14,'Capacidad Financiera'!$C$14:$AB$58066,3,0)),"",VLOOKUP(C14,'Capacidad Financiera'!$C$14:$AB$58066,3,0)))</f>
        <v>2008082572</v>
      </c>
      <c r="E14" s="117">
        <f>IF(OR(B14="",C14=""),"",IF(ISERROR(VLOOKUP(C14,'Capacidad Financiera'!$C$14:$AB$58066,5,0)),"",VLOOKUP(C14,'Capacidad Financiera'!$C$14:$AB$58066,5,0)))</f>
        <v>685608507</v>
      </c>
      <c r="F14" s="118">
        <f t="shared" ref="F14:F21" si="0">IF(OR(C14="",D14="",E14=""),"",IF(OR(D14=0,E14=0),0,D14/E14))</f>
        <v>2.9289055656364544</v>
      </c>
      <c r="G14" s="119">
        <f>IF(OR(C14="",D14="",E14=""),"",IF(AND(F14&gt;0,F14&lt;=CapFinanciera1),Puntajes!$D$4,IF(AND(F14&gt;CapFinanciera1,F14&lt;=CapFinanciera2),Puntajes!$D$5,IF(AND(F14&gt;CapFinanciera2,F14&lt;=CapFinanciera3),Puntajes!$D$6,IF(AND(F14&gt;CapFinanciera3,F14&lt;=CapFinanciera4),Puntajes!$D$7,IF(F14&gt;CapFinanciera4,Puntajes!$D$8,0))))))</f>
        <v>40</v>
      </c>
    </row>
    <row r="15" spans="2:12" ht="13.5" thickBot="1" x14ac:dyDescent="0.25">
      <c r="B15" s="72" t="str">
        <f>+'Capacidad Financiera'!B15</f>
        <v/>
      </c>
      <c r="C15" s="74">
        <f>IF(ISERROR(VLOOKUP(B15,'Capacidad Financiera'!$B$13:$AB$58066,2,0)),"",VLOOKUP(B15,'Capacidad Financiera'!$B$13:$AB$58066,2,0))</f>
        <v>0</v>
      </c>
      <c r="D15" s="117" t="str">
        <f>IF(OR(B15="",C15=""),"",IF(ISERROR(VLOOKUP(C15,'Capacidad Financiera'!$C$14:$AB$58066,3,0)),"",VLOOKUP(C15,'Capacidad Financiera'!$C$14:$AB$58066,3,0)))</f>
        <v/>
      </c>
      <c r="E15" s="117" t="str">
        <f>IF(OR(B15="",C15=""),"",IF(ISERROR(VLOOKUP(C15,'Capacidad Financiera'!$C$14:$AB$58066,5,0)),"",VLOOKUP(C15,'Capacidad Financiera'!$C$14:$AB$58066,5,0)))</f>
        <v/>
      </c>
      <c r="F15" s="118" t="str">
        <f t="shared" si="0"/>
        <v/>
      </c>
      <c r="G15" s="119" t="str">
        <f>IF(OR(C15="",D15="",E15=""),"",IF(AND(F15&gt;0,F15&lt;=CapFinanciera1),Puntajes!$D$4,IF(AND(F15&gt;CapFinanciera1,F15&lt;=CapFinanciera2),Puntajes!$D$5,IF(AND(F15&gt;CapFinanciera2,F15&lt;=CapFinanciera3),Puntajes!$D$6,IF(AND(F15&gt;CapFinanciera3,F15&lt;=CapFinanciera4),Puntajes!$D$7,IF(F15&gt;CapFinanciera4,Puntajes!$D$8,0))))))</f>
        <v/>
      </c>
    </row>
    <row r="16" spans="2:12" x14ac:dyDescent="0.2">
      <c r="B16" s="67">
        <f>+'Capacidad Financiera'!B16</f>
        <v>2</v>
      </c>
      <c r="C16" s="68" t="str">
        <f>IF(ISERROR(VLOOKUP(B16,'Capacidad Financiera'!$B$13:$AB$58066,2,0)),"",VLOOKUP(B16,'Capacidad Financiera'!$B$13:$AB$58066,2,0))</f>
        <v>CONSORCIO VIAS F&amp;M 2030</v>
      </c>
      <c r="D16" s="117">
        <f>IF(OR(B16="",C16=""),"",IF(ISERROR(VLOOKUP(C16,'Capacidad Financiera'!$C$14:$AB$58066,3,0)),"",VLOOKUP(C16,'Capacidad Financiera'!$C$14:$AB$58066,3,0)))</f>
        <v>80505441379</v>
      </c>
      <c r="E16" s="117">
        <f>IF(OR(B16="",C16=""),"",IF(ISERROR(VLOOKUP(C16,'Capacidad Financiera'!$C$14:$AB$58066,5,0)),"",VLOOKUP(C16,'Capacidad Financiera'!$C$14:$AB$58066,5,0)))</f>
        <v>9000033843</v>
      </c>
      <c r="F16" s="118">
        <f t="shared" si="0"/>
        <v>8.9450154058715139</v>
      </c>
      <c r="G16" s="119">
        <f>IF(OR(C16="",D16="",E16=""),"",IF(AND(F16&gt;0,F16&lt;=CapFinanciera1),Puntajes!$D$4,IF(AND(F16&gt;CapFinanciera1,F16&lt;=CapFinanciera2),Puntajes!$D$5,IF(AND(F16&gt;CapFinanciera2,F16&lt;=CapFinanciera3),Puntajes!$D$6,IF(AND(F16&gt;CapFinanciera3,F16&lt;=CapFinanciera4),Puntajes!$D$7,IF(F16&gt;CapFinanciera4,Puntajes!$D$8,0))))))</f>
        <v>40</v>
      </c>
    </row>
    <row r="17" spans="2:12" x14ac:dyDescent="0.2">
      <c r="B17" s="72">
        <f>+'Capacidad Financiera'!B17</f>
        <v>2.1</v>
      </c>
      <c r="C17" s="74" t="str">
        <f>IF(ISERROR(VLOOKUP(B17,'Capacidad Financiera'!$B$13:$AB$58066,2,0)),"",VLOOKUP(B17,'Capacidad Financiera'!$B$13:$AB$58066,2,0))</f>
        <v>FUNDACION OCEANIA 2030</v>
      </c>
      <c r="D17" s="117">
        <f>IF(OR(B17="",C17=""),"",IF(ISERROR(VLOOKUP(C17,'Capacidad Financiera'!$C$14:$AB$58066,3,0)),"",VLOOKUP(C17,'Capacidad Financiera'!$C$14:$AB$58066,3,0)))</f>
        <v>26733548195</v>
      </c>
      <c r="E17" s="117">
        <f>IF(OR(B17="",C17=""),"",IF(ISERROR(VLOOKUP(C17,'Capacidad Financiera'!$C$14:$AB$58066,5,0)),"",VLOOKUP(C17,'Capacidad Financiera'!$C$14:$AB$58066,5,0)))</f>
        <v>3499837398</v>
      </c>
      <c r="F17" s="118">
        <f t="shared" si="0"/>
        <v>7.6385114949274566</v>
      </c>
      <c r="G17" s="119">
        <f>IF(OR(C17="",D17="",E17=""),"",IF(AND(F17&gt;0,F17&lt;=CapFinanciera1),Puntajes!$D$4,IF(AND(F17&gt;CapFinanciera1,F17&lt;=CapFinanciera2),Puntajes!$D$5,IF(AND(F17&gt;CapFinanciera2,F17&lt;=CapFinanciera3),Puntajes!$D$6,IF(AND(F17&gt;CapFinanciera3,F17&lt;=CapFinanciera4),Puntajes!$D$7,IF(F17&gt;CapFinanciera4,Puntajes!$D$8,0))))))</f>
        <v>40</v>
      </c>
    </row>
    <row r="18" spans="2:12" ht="13.5" thickBot="1" x14ac:dyDescent="0.25">
      <c r="B18" s="72">
        <f>+'Capacidad Financiera'!B18</f>
        <v>2.2000000000000002</v>
      </c>
      <c r="C18" s="74" t="str">
        <f>IF(ISERROR(VLOOKUP(B18,'Capacidad Financiera'!$B$13:$AB$58066,2,0)),"",VLOOKUP(B18,'Capacidad Financiera'!$B$13:$AB$58066,2,0))</f>
        <v>MAVICON CONSTRUCCION E INGENIERIA SAS</v>
      </c>
      <c r="D18" s="117">
        <f>IF(OR(B18="",C18=""),"",IF(ISERROR(VLOOKUP(C18,'Capacidad Financiera'!$C$14:$AB$58066,3,0)),"",VLOOKUP(C18,'Capacidad Financiera'!$C$14:$AB$58066,3,0)))</f>
        <v>53771893184</v>
      </c>
      <c r="E18" s="117">
        <f>IF(OR(B18="",C18=""),"",IF(ISERROR(VLOOKUP(C18,'Capacidad Financiera'!$C$14:$AB$58066,5,0)),"",VLOOKUP(C18,'Capacidad Financiera'!$C$14:$AB$58066,5,0)))</f>
        <v>5500196445</v>
      </c>
      <c r="F18" s="118">
        <f t="shared" si="0"/>
        <v>9.7763586667675835</v>
      </c>
      <c r="G18" s="119">
        <f>IF(OR(C18="",D18="",E18=""),"",IF(AND(F18&gt;0,F18&lt;=CapFinanciera1),Puntajes!$D$4,IF(AND(F18&gt;CapFinanciera1,F18&lt;=CapFinanciera2),Puntajes!$D$5,IF(AND(F18&gt;CapFinanciera2,F18&lt;=CapFinanciera3),Puntajes!$D$6,IF(AND(F18&gt;CapFinanciera3,F18&lt;=CapFinanciera4),Puntajes!$D$7,IF(F18&gt;CapFinanciera4,Puntajes!$D$8,0))))))</f>
        <v>40</v>
      </c>
    </row>
    <row r="19" spans="2:12" x14ac:dyDescent="0.2">
      <c r="B19" s="67">
        <f>+'Capacidad Financiera'!B19</f>
        <v>3</v>
      </c>
      <c r="C19" s="68" t="str">
        <f>IF(ISERROR(VLOOKUP(B19,'Capacidad Financiera'!$B$13:$AB$58066,2,0)),"",VLOOKUP(B19,'Capacidad Financiera'!$B$13:$AB$58066,2,0))</f>
        <v>INGEPRO CONSTRUCTORA SAS</v>
      </c>
      <c r="D19" s="117">
        <f>IF(OR(B19="",C19=""),"",IF(ISERROR(VLOOKUP(C19,'Capacidad Financiera'!$C$14:$AB$58066,3,0)),"",VLOOKUP(C19,'Capacidad Financiera'!$C$14:$AB$58066,3,0)))</f>
        <v>480000000</v>
      </c>
      <c r="E19" s="117">
        <f>IF(OR(B19="",C19=""),"",IF(ISERROR(VLOOKUP(C19,'Capacidad Financiera'!$C$14:$AB$58066,5,0)),"",VLOOKUP(C19,'Capacidad Financiera'!$C$14:$AB$58066,5,0)))</f>
        <v>1</v>
      </c>
      <c r="F19" s="118">
        <f t="shared" si="0"/>
        <v>480000000</v>
      </c>
      <c r="G19" s="119">
        <f>IF(OR(C19="",D19="",E19=""),"",IF(AND(F19&gt;0,F19&lt;=CapFinanciera1),Puntajes!$D$4,IF(AND(F19&gt;CapFinanciera1,F19&lt;=CapFinanciera2),Puntajes!$D$5,IF(AND(F19&gt;CapFinanciera2,F19&lt;=CapFinanciera3),Puntajes!$D$6,IF(AND(F19&gt;CapFinanciera3,F19&lt;=CapFinanciera4),Puntajes!$D$7,IF(F19&gt;CapFinanciera4,Puntajes!$D$8,0))))))</f>
        <v>40</v>
      </c>
    </row>
    <row r="20" spans="2:12" x14ac:dyDescent="0.2">
      <c r="B20" s="72">
        <f>+'Capacidad Financiera'!B20</f>
        <v>3.1</v>
      </c>
      <c r="C20" s="74" t="str">
        <f>IF(ISERROR(VLOOKUP(B20,'Capacidad Financiera'!$B$13:$AB$58066,2,0)),"",VLOOKUP(B20,'Capacidad Financiera'!$B$13:$AB$58066,2,0))</f>
        <v>INGEPRO CONSTRUCTORA SAS</v>
      </c>
      <c r="D20" s="117">
        <f>IF(OR(B20="",C20=""),"",IF(ISERROR(VLOOKUP(C20,'Capacidad Financiera'!$C$14:$AB$58066,3,0)),"",VLOOKUP(C20,'Capacidad Financiera'!$C$14:$AB$58066,3,0)))</f>
        <v>480000000</v>
      </c>
      <c r="E20" s="117">
        <f>IF(OR(B20="",C20=""),"",IF(ISERROR(VLOOKUP(C20,'Capacidad Financiera'!$C$14:$AB$58066,5,0)),"",VLOOKUP(C20,'Capacidad Financiera'!$C$14:$AB$58066,5,0)))</f>
        <v>1</v>
      </c>
      <c r="F20" s="118">
        <f t="shared" si="0"/>
        <v>480000000</v>
      </c>
      <c r="G20" s="119">
        <f>IF(OR(C20="",D20="",E20=""),"",IF(AND(F20&gt;0,F20&lt;=CapFinanciera1),Puntajes!$D$4,IF(AND(F20&gt;CapFinanciera1,F20&lt;=CapFinanciera2),Puntajes!$D$5,IF(AND(F20&gt;CapFinanciera2,F20&lt;=CapFinanciera3),Puntajes!$D$6,IF(AND(F20&gt;CapFinanciera3,F20&lt;=CapFinanciera4),Puntajes!$D$7,IF(F20&gt;CapFinanciera4,Puntajes!$D$8,0))))))</f>
        <v>40</v>
      </c>
    </row>
    <row r="21" spans="2:12" ht="13.5" thickBot="1" x14ac:dyDescent="0.25">
      <c r="B21" s="72" t="str">
        <f>+'Capacidad Financiera'!B21</f>
        <v/>
      </c>
      <c r="C21" s="74">
        <f>IF(ISERROR(VLOOKUP(B21,'Capacidad Financiera'!$B$13:$AB$58066,2,0)),"",VLOOKUP(B21,'Capacidad Financiera'!$B$13:$AB$58066,2,0))</f>
        <v>0</v>
      </c>
      <c r="D21" s="117" t="str">
        <f>IF(OR(B21="",C21=""),"",IF(ISERROR(VLOOKUP(C21,'Capacidad Financiera'!$C$14:$AB$58066,3,0)),"",VLOOKUP(C21,'Capacidad Financiera'!$C$14:$AB$58066,3,0)))</f>
        <v/>
      </c>
      <c r="E21" s="117" t="str">
        <f>IF(OR(B21="",C21=""),"",IF(ISERROR(VLOOKUP(C21,'Capacidad Financiera'!$C$14:$AB$58066,5,0)),"",VLOOKUP(C21,'Capacidad Financiera'!$C$14:$AB$58066,5,0)))</f>
        <v/>
      </c>
      <c r="F21" s="118" t="str">
        <f t="shared" si="0"/>
        <v/>
      </c>
      <c r="G21" s="119" t="str">
        <f>IF(OR(C21="",D21="",E21=""),"",IF(AND(F21&gt;0,F21&lt;=CapFinanciera1),Puntajes!$D$4,IF(AND(F21&gt;CapFinanciera1,F21&lt;=CapFinanciera2),Puntajes!$D$5,IF(AND(F21&gt;CapFinanciera2,F21&lt;=CapFinanciera3),Puntajes!$D$6,IF(AND(F21&gt;CapFinanciera3,F21&lt;=CapFinanciera4),Puntajes!$D$7,IF(F21&gt;CapFinanciera4,Puntajes!$D$8,0))))))</f>
        <v/>
      </c>
    </row>
    <row r="22" spans="2:12" x14ac:dyDescent="0.2">
      <c r="B22" s="67">
        <f>+'Capacidad Financiera'!B22</f>
        <v>4</v>
      </c>
      <c r="C22" s="68" t="str">
        <f>IF(ISERROR(VLOOKUP(B22,'Capacidad Financiera'!$B$13:$AB$58066,2,0)),"",VLOOKUP(B22,'Capacidad Financiera'!$B$13:$AB$58066,2,0))</f>
        <v>UNION TEMPORAL OBRAS 2024 S &amp; C</v>
      </c>
      <c r="D22" s="116" t="str">
        <f>IF(B23="",IF(B22&lt;&gt;"",IF(ISERROR(VLOOKUP(C22,'Capacidad Financiera'!$C$13:$H$33,3,0)),"",VLOOKUP(C22,'Capacidad Financiera'!$C$13:$H$33,3,0))),"")</f>
        <v/>
      </c>
      <c r="E22" s="116" t="str">
        <f>IF(B23="",IF(B22&lt;&gt;"",IF(ISERROR(VLOOKUP(C22,'Capacidad Financiera'!$C$13:$H$33,5,0)),"",VLOOKUP(C22,'Capacidad Financiera'!$C$13:$H$33,5,0))),"")</f>
        <v/>
      </c>
      <c r="F22" s="73" t="str">
        <f>IF(OR(C22="",D22="",E22=""),"",IF(OR(D22=0,E22=0),0,D22/E22))</f>
        <v/>
      </c>
      <c r="G22" s="112" t="str">
        <f>IF(B23="",IF(AND(D22="",E22=""),"",IF(AND(F22&gt;0,F22&lt;=CapFinanciera1),Puntajes!$D$4,IF(AND(F22&gt;CapFinanciera1,F22&lt;=CapFinanciera2),Puntajes!$D$5,IF(AND(F22&gt;CapFinanciera2,F22&lt;=CapFinanciera3),Puntajes!$D$6,IF(AND(F22&gt;CapFinanciera3,F22&lt;=CapFinanciera4),Puntajes!$D$7,IF(F22&gt;CapFinanciera4,Puntajes!$D$8,0)))))),"")</f>
        <v/>
      </c>
      <c r="I22" s="97"/>
      <c r="J22" s="98"/>
      <c r="K22" s="85"/>
      <c r="L22" s="85"/>
    </row>
    <row r="23" spans="2:12" x14ac:dyDescent="0.2">
      <c r="B23" s="72">
        <f>+'Capacidad Financiera'!B23</f>
        <v>4.0999999999999996</v>
      </c>
      <c r="C23" s="74" t="str">
        <f>IF(ISERROR(VLOOKUP(B23,'Capacidad Financiera'!$B$13:$AB$58066,2,0)),"",VLOOKUP(B23,'Capacidad Financiera'!$B$13:$AB$58066,2,0))</f>
        <v>SEÑALES LTDA</v>
      </c>
      <c r="D23" s="117">
        <f>IF(OR(B23="",C23=""),"",IF(ISERROR(VLOOKUP(C23,'Capacidad Financiera'!$C$14:$AB$58066,3,0)),"",VLOOKUP(C23,'Capacidad Financiera'!$C$14:$AB$58066,3,0)))</f>
        <v>11031698571</v>
      </c>
      <c r="E23" s="117">
        <f>IF(OR(B23="",C23=""),"",IF(ISERROR(VLOOKUP(C23,'Capacidad Financiera'!$C$14:$AB$58066,5,0)),"",VLOOKUP(C23,'Capacidad Financiera'!$C$14:$AB$58066,5,0)))</f>
        <v>3120156702</v>
      </c>
      <c r="F23" s="118">
        <f t="shared" ref="F23:F24" si="1">IF(OR(C23="",D23="",E23=""),"",IF(OR(D23=0,E23=0),0,D23/E23))</f>
        <v>3.5356232473608626</v>
      </c>
      <c r="G23" s="119">
        <f>IF(OR(C23="",D23="",E23=""),"",IF(AND(F23&gt;0,F23&lt;=CapFinanciera1),Puntajes!$D$4,IF(AND(F23&gt;CapFinanciera1,F23&lt;=CapFinanciera2),Puntajes!$D$5,IF(AND(F23&gt;CapFinanciera2,F23&lt;=CapFinanciera3),Puntajes!$D$6,IF(AND(F23&gt;CapFinanciera3,F23&lt;=CapFinanciera4),Puntajes!$D$7,IF(F23&gt;CapFinanciera4,Puntajes!$D$8,0))))))</f>
        <v>40</v>
      </c>
    </row>
    <row r="24" spans="2:12" ht="13.5" thickBot="1" x14ac:dyDescent="0.25">
      <c r="B24" s="72">
        <f>+'Capacidad Financiera'!B24</f>
        <v>4.1999999999999993</v>
      </c>
      <c r="C24" s="74" t="str">
        <f>IF(ISERROR(VLOOKUP(B24,'Capacidad Financiera'!$B$13:$AB$58066,2,0)),"",VLOOKUP(B24,'Capacidad Financiera'!$B$13:$AB$58066,2,0))</f>
        <v>INFRAESTRUCTURA CAR Y CIA SAS</v>
      </c>
      <c r="D24" s="117">
        <f>IF(OR(B24="",C24=""),"",IF(ISERROR(VLOOKUP(C24,'Capacidad Financiera'!$C$14:$AB$58066,3,0)),"",VLOOKUP(C24,'Capacidad Financiera'!$C$14:$AB$58066,3,0)))</f>
        <v>970016216</v>
      </c>
      <c r="E24" s="117">
        <f>IF(OR(B24="",C24=""),"",IF(ISERROR(VLOOKUP(C24,'Capacidad Financiera'!$C$14:$AB$58066,5,0)),"",VLOOKUP(C24,'Capacidad Financiera'!$C$14:$AB$58066,5,0)))</f>
        <v>17019309</v>
      </c>
      <c r="F24" s="118">
        <f t="shared" si="1"/>
        <v>56.995041103020107</v>
      </c>
      <c r="G24" s="119">
        <f>IF(OR(C24="",D24="",E24=""),"",IF(AND(F24&gt;0,F24&lt;=CapFinanciera1),Puntajes!$D$4,IF(AND(F24&gt;CapFinanciera1,F24&lt;=CapFinanciera2),Puntajes!$D$5,IF(AND(F24&gt;CapFinanciera2,F24&lt;=CapFinanciera3),Puntajes!$D$6,IF(AND(F24&gt;CapFinanciera3,F24&lt;=CapFinanciera4),Puntajes!$D$7,IF(F24&gt;CapFinanciera4,Puntajes!$D$8,0))))))</f>
        <v>40</v>
      </c>
    </row>
    <row r="25" spans="2:12" x14ac:dyDescent="0.2">
      <c r="B25" s="67">
        <f>+'Capacidad Financiera'!B25</f>
        <v>5</v>
      </c>
      <c r="C25" s="68" t="str">
        <f>IF(ISERROR(VLOOKUP(B25,'Capacidad Financiera'!$B$13:$AB$58066,2,0)),"",VLOOKUP(B25,'Capacidad Financiera'!$B$13:$AB$58066,2,0))</f>
        <v>S &amp; S INGENIERIA CIVIL SAS</v>
      </c>
      <c r="D25" s="116" t="str">
        <f>IF(B26="",IF(B25&lt;&gt;"",IF(ISERROR(VLOOKUP(C25,'Capacidad Financiera'!$C$13:$H$33,3,0)),"",VLOOKUP(C25,'Capacidad Financiera'!$C$13:$H$33,3,0))),"")</f>
        <v/>
      </c>
      <c r="E25" s="116" t="str">
        <f>IF(B26="",IF(B25&lt;&gt;"",IF(ISERROR(VLOOKUP(C25,'Capacidad Financiera'!$C$13:$H$33,5,0)),"",VLOOKUP(C25,'Capacidad Financiera'!$C$13:$H$33,5,0))),"")</f>
        <v/>
      </c>
      <c r="F25" s="73" t="str">
        <f>IF(OR(C25="",D25="",E25=""),"",IF(OR(D25=0,E25=0),0,D25/E25))</f>
        <v/>
      </c>
      <c r="G25" s="112" t="str">
        <f>IF(B26="",IF(AND(D25="",E25=""),"",IF(AND(F25&gt;0,F25&lt;=CapFinanciera1),Puntajes!$D$4,IF(AND(F25&gt;CapFinanciera1,F25&lt;=CapFinanciera2),Puntajes!$D$5,IF(AND(F25&gt;CapFinanciera2,F25&lt;=CapFinanciera3),Puntajes!$D$6,IF(AND(F25&gt;CapFinanciera3,F25&lt;=CapFinanciera4),Puntajes!$D$7,IF(F25&gt;CapFinanciera4,Puntajes!$D$8,0)))))),"")</f>
        <v/>
      </c>
    </row>
    <row r="26" spans="2:12" x14ac:dyDescent="0.2">
      <c r="B26" s="72">
        <f>+'Capacidad Financiera'!B26</f>
        <v>5.0999999999999996</v>
      </c>
      <c r="C26" s="74" t="str">
        <f>IF(ISERROR(VLOOKUP(B26,'Capacidad Financiera'!$B$13:$AB$58066,2,0)),"",VLOOKUP(B26,'Capacidad Financiera'!$B$13:$AB$58066,2,0))</f>
        <v>S&amp;S INGENIERIA CIVIL SAS|</v>
      </c>
      <c r="D26" s="117">
        <f>IF(OR(B26="",C26=""),"",IF(ISERROR(VLOOKUP(C26,'Capacidad Financiera'!$C$14:$AB$58066,3,0)),"",VLOOKUP(C26,'Capacidad Financiera'!$C$14:$AB$58066,3,0)))</f>
        <v>2654972992</v>
      </c>
      <c r="E26" s="117">
        <f>IF(OR(B26="",C26=""),"",IF(ISERROR(VLOOKUP(C26,'Capacidad Financiera'!$C$14:$AB$58066,5,0)),"",VLOOKUP(C26,'Capacidad Financiera'!$C$14:$AB$58066,5,0)))</f>
        <v>1567903948</v>
      </c>
      <c r="F26" s="118">
        <f t="shared" ref="F26:F27" si="2">IF(OR(C26="",D26="",E26=""),"",IF(OR(D26=0,E26=0),0,D26/E26))</f>
        <v>1.6933263006236146</v>
      </c>
      <c r="G26" s="119">
        <f>IF(OR(C26="",D26="",E26=""),"",IF(AND(F26&gt;0,F26&lt;=CapFinanciera1),Puntajes!$D$4,IF(AND(F26&gt;CapFinanciera1,F26&lt;=CapFinanciera2),Puntajes!$D$5,IF(AND(F26&gt;CapFinanciera2,F26&lt;=CapFinanciera3),Puntajes!$D$6,IF(AND(F26&gt;CapFinanciera3,F26&lt;=CapFinanciera4),Puntajes!$D$7,IF(F26&gt;CapFinanciera4,Puntajes!$D$8,0))))))</f>
        <v>40</v>
      </c>
    </row>
    <row r="27" spans="2:12" ht="13.5" thickBot="1" x14ac:dyDescent="0.25">
      <c r="B27" s="72" t="str">
        <f>+'Capacidad Financiera'!B27</f>
        <v/>
      </c>
      <c r="C27" s="74">
        <f>IF(ISERROR(VLOOKUP(B27,'Capacidad Financiera'!$B$13:$AB$58066,2,0)),"",VLOOKUP(B27,'Capacidad Financiera'!$B$13:$AB$58066,2,0))</f>
        <v>0</v>
      </c>
      <c r="D27" s="117" t="str">
        <f>IF(OR(B27="",C27=""),"",IF(ISERROR(VLOOKUP(C27,'Capacidad Financiera'!$C$14:$AB$58066,3,0)),"",VLOOKUP(C27,'Capacidad Financiera'!$C$14:$AB$58066,3,0)))</f>
        <v/>
      </c>
      <c r="E27" s="117" t="str">
        <f>IF(OR(B27="",C27=""),"",IF(ISERROR(VLOOKUP(C27,'Capacidad Financiera'!$C$14:$AB$58066,5,0)),"",VLOOKUP(C27,'Capacidad Financiera'!$C$14:$AB$58066,5,0)))</f>
        <v/>
      </c>
      <c r="F27" s="118" t="str">
        <f t="shared" si="2"/>
        <v/>
      </c>
      <c r="G27" s="119" t="str">
        <f>IF(OR(C27="",D27="",E27=""),"",IF(AND(F27&gt;0,F27&lt;=CapFinanciera1),Puntajes!$D$4,IF(AND(F27&gt;CapFinanciera1,F27&lt;=CapFinanciera2),Puntajes!$D$5,IF(AND(F27&gt;CapFinanciera2,F27&lt;=CapFinanciera3),Puntajes!$D$6,IF(AND(F27&gt;CapFinanciera3,F27&lt;=CapFinanciera4),Puntajes!$D$7,IF(F27&gt;CapFinanciera4,Puntajes!$D$8,0))))))</f>
        <v/>
      </c>
    </row>
    <row r="28" spans="2:12" x14ac:dyDescent="0.2">
      <c r="B28" s="67">
        <f>+'Capacidad Financiera'!B28</f>
        <v>6</v>
      </c>
      <c r="C28" s="68" t="str">
        <f>IF(ISERROR(VLOOKUP(B28,'Capacidad Financiera'!$B$13:$AB$58066,2,0)),"",VLOOKUP(B28,'Capacidad Financiera'!$B$13:$AB$58066,2,0))</f>
        <v>CONSORCIO FFMM</v>
      </c>
      <c r="D28" s="116" t="str">
        <f>IF(B29="",IF(B28&lt;&gt;"",IF(ISERROR(VLOOKUP(C28,'Capacidad Financiera'!$C$13:$H$33,3,0)),"",VLOOKUP(C28,'Capacidad Financiera'!$C$13:$H$33,3,0))),"")</f>
        <v/>
      </c>
      <c r="E28" s="116" t="str">
        <f>IF(B29="",IF(B28&lt;&gt;"",IF(ISERROR(VLOOKUP(C28,'Capacidad Financiera'!$C$13:$H$33,5,0)),"",VLOOKUP(C28,'Capacidad Financiera'!$C$13:$H$33,5,0))),"")</f>
        <v/>
      </c>
      <c r="F28" s="73" t="str">
        <f>IF(OR(C28="",D28="",E28=""),"",IF(OR(D28=0,E28=0),0,D28/E28))</f>
        <v/>
      </c>
      <c r="G28" s="112" t="str">
        <f>IF(B29="",IF(AND(D28="",E28=""),"",IF(AND(F28&gt;0,F28&lt;=CapFinanciera1),Puntajes!$D$4,IF(AND(F28&gt;CapFinanciera1,F28&lt;=CapFinanciera2),Puntajes!$D$5,IF(AND(F28&gt;CapFinanciera2,F28&lt;=CapFinanciera3),Puntajes!$D$6,IF(AND(F28&gt;CapFinanciera3,F28&lt;=CapFinanciera4),Puntajes!$D$7,IF(F28&gt;CapFinanciera4,Puntajes!$D$8,0)))))),"")</f>
        <v/>
      </c>
    </row>
    <row r="29" spans="2:12" x14ac:dyDescent="0.2">
      <c r="B29" s="72">
        <f>+'Capacidad Financiera'!B29</f>
        <v>6.1</v>
      </c>
      <c r="C29" s="74" t="str">
        <f>IF(ISERROR(VLOOKUP(B29,'Capacidad Financiera'!$B$13:$AB$58066,2,0)),"",VLOOKUP(B29,'Capacidad Financiera'!$B$13:$AB$58066,2,0))</f>
        <v>INGENIECOL SAS</v>
      </c>
      <c r="D29" s="117">
        <f>IF(OR(B29="",C29=""),"",IF(ISERROR(VLOOKUP(C29,'Capacidad Financiera'!$C$14:$AB$58066,3,0)),"",VLOOKUP(C29,'Capacidad Financiera'!$C$14:$AB$58066,3,0)))</f>
        <v>252533499</v>
      </c>
      <c r="E29" s="117">
        <f>IF(OR(B29="",C29=""),"",IF(ISERROR(VLOOKUP(C29,'Capacidad Financiera'!$C$14:$AB$58066,5,0)),"",VLOOKUP(C29,'Capacidad Financiera'!$C$14:$AB$58066,5,0)))</f>
        <v>9682115</v>
      </c>
      <c r="F29" s="118">
        <f t="shared" ref="F29:F30" si="3">IF(OR(C29="",D29="",E29=""),"",IF(OR(D29=0,E29=0),0,D29/E29))</f>
        <v>26.082472579596505</v>
      </c>
      <c r="G29" s="119">
        <f>IF(OR(C29="",D29="",E29=""),"",IF(AND(F29&gt;0,F29&lt;=CapFinanciera1),Puntajes!$D$4,IF(AND(F29&gt;CapFinanciera1,F29&lt;=CapFinanciera2),Puntajes!$D$5,IF(AND(F29&gt;CapFinanciera2,F29&lt;=CapFinanciera3),Puntajes!$D$6,IF(AND(F29&gt;CapFinanciera3,F29&lt;=CapFinanciera4),Puntajes!$D$7,IF(F29&gt;CapFinanciera4,Puntajes!$D$8,0))))))</f>
        <v>40</v>
      </c>
    </row>
    <row r="30" spans="2:12" ht="13.5" thickBot="1" x14ac:dyDescent="0.25">
      <c r="B30" s="72">
        <f>+'Capacidad Financiera'!B30</f>
        <v>6.1999999999999993</v>
      </c>
      <c r="C30" s="74" t="str">
        <f>IF(ISERROR(VLOOKUP(B30,'Capacidad Financiera'!$B$13:$AB$58066,2,0)),"",VLOOKUP(B30,'Capacidad Financiera'!$B$13:$AB$58066,2,0))</f>
        <v>FF CONSTRUCCIONES Y CONSULTORIA SAS</v>
      </c>
      <c r="D30" s="117">
        <f>IF(OR(B30="",C30=""),"",IF(ISERROR(VLOOKUP(C30,'Capacidad Financiera'!$C$14:$AB$58066,3,0)),"",VLOOKUP(C30,'Capacidad Financiera'!$C$14:$AB$58066,3,0)))</f>
        <v>711181400</v>
      </c>
      <c r="E30" s="117">
        <f>IF(OR(B30="",C30=""),"",IF(ISERROR(VLOOKUP(C30,'Capacidad Financiera'!$C$14:$AB$58066,5,0)),"",VLOOKUP(C30,'Capacidad Financiera'!$C$14:$AB$58066,5,0)))</f>
        <v>271970153</v>
      </c>
      <c r="F30" s="118">
        <f t="shared" si="3"/>
        <v>2.6149244398888136</v>
      </c>
      <c r="G30" s="119">
        <f>IF(OR(C30="",D30="",E30=""),"",IF(AND(F30&gt;0,F30&lt;=CapFinanciera1),Puntajes!$D$4,IF(AND(F30&gt;CapFinanciera1,F30&lt;=CapFinanciera2),Puntajes!$D$5,IF(AND(F30&gt;CapFinanciera2,F30&lt;=CapFinanciera3),Puntajes!$D$6,IF(AND(F30&gt;CapFinanciera3,F30&lt;=CapFinanciera4),Puntajes!$D$7,IF(F30&gt;CapFinanciera4,Puntajes!$D$8,0))))))</f>
        <v>40</v>
      </c>
    </row>
    <row r="31" spans="2:12" x14ac:dyDescent="0.2">
      <c r="B31" s="67">
        <f>+'Capacidad Financiera'!B31</f>
        <v>7</v>
      </c>
      <c r="C31" s="68" t="str">
        <f>IF(ISERROR(VLOOKUP(B31,'Capacidad Financiera'!$B$13:$AB$58066,2,0)),"",VLOOKUP(B31,'Capacidad Financiera'!$B$13:$AB$58066,2,0))</f>
        <v>CONSORCIO OBRAS Y PROGRESO 23</v>
      </c>
      <c r="D31" s="116" t="str">
        <f>IF(B32="",IF(B31&lt;&gt;"",IF(ISERROR(VLOOKUP(C31,'Capacidad Financiera'!$C$13:$H$33,3,0)),"",VLOOKUP(C31,'Capacidad Financiera'!$C$13:$H$33,3,0))),"")</f>
        <v/>
      </c>
      <c r="E31" s="116" t="str">
        <f>IF(B32="",IF(B31&lt;&gt;"",IF(ISERROR(VLOOKUP(C31,'Capacidad Financiera'!$C$13:$H$33,5,0)),"",VLOOKUP(C31,'Capacidad Financiera'!$C$13:$H$33,5,0))),"")</f>
        <v/>
      </c>
      <c r="F31" s="73" t="str">
        <f>IF(OR(C31="",D31="",E31=""),"",IF(OR(D31=0,E31=0),0,D31/E31))</f>
        <v/>
      </c>
      <c r="G31" s="112" t="str">
        <f>IF(B32="",IF(AND(D31="",E31=""),"",IF(AND(F31&gt;0,F31&lt;=CapFinanciera1),Puntajes!$D$4,IF(AND(F31&gt;CapFinanciera1,F31&lt;=CapFinanciera2),Puntajes!$D$5,IF(AND(F31&gt;CapFinanciera2,F31&lt;=CapFinanciera3),Puntajes!$D$6,IF(AND(F31&gt;CapFinanciera3,F31&lt;=CapFinanciera4),Puntajes!$D$7,IF(F31&gt;CapFinanciera4,Puntajes!$D$8,0)))))),"")</f>
        <v/>
      </c>
    </row>
    <row r="32" spans="2:12" x14ac:dyDescent="0.2">
      <c r="B32" s="72">
        <f>+'Capacidad Financiera'!B32</f>
        <v>7.1</v>
      </c>
      <c r="C32" s="74" t="str">
        <f>IF(ISERROR(VLOOKUP(B32,'Capacidad Financiera'!$B$13:$AB$58066,2,0)),"",VLOOKUP(B32,'Capacidad Financiera'!$B$13:$AB$58066,2,0))</f>
        <v>ANTONIO OCHOA CERA</v>
      </c>
      <c r="D32" s="117">
        <f>IF(OR(B32="",C32=""),"",IF(ISERROR(VLOOKUP(C32,'Capacidad Financiera'!$C$14:$AB$58066,3,0)),"",VLOOKUP(C32,'Capacidad Financiera'!$C$14:$AB$58066,3,0)))</f>
        <v>295000000</v>
      </c>
      <c r="E32" s="117">
        <f>IF(OR(B32="",C32=""),"",IF(ISERROR(VLOOKUP(C32,'Capacidad Financiera'!$C$14:$AB$58066,5,0)),"",VLOOKUP(C32,'Capacidad Financiera'!$C$14:$AB$58066,5,0)))</f>
        <v>1850000</v>
      </c>
      <c r="F32" s="118">
        <f t="shared" ref="F32:F33" si="4">IF(OR(C32="",D32="",E32=""),"",IF(OR(D32=0,E32=0),0,D32/E32))</f>
        <v>159.45945945945945</v>
      </c>
      <c r="G32" s="119">
        <f>IF(OR(C32="",D32="",E32=""),"",IF(AND(F32&gt;0,F32&lt;=CapFinanciera1),Puntajes!$D$4,IF(AND(F32&gt;CapFinanciera1,F32&lt;=CapFinanciera2),Puntajes!$D$5,IF(AND(F32&gt;CapFinanciera2,F32&lt;=CapFinanciera3),Puntajes!$D$6,IF(AND(F32&gt;CapFinanciera3,F32&lt;=CapFinanciera4),Puntajes!$D$7,IF(F32&gt;CapFinanciera4,Puntajes!$D$8,0))))))</f>
        <v>40</v>
      </c>
    </row>
    <row r="33" spans="2:7" x14ac:dyDescent="0.2">
      <c r="B33" s="72">
        <f>+'Capacidad Financiera'!B33</f>
        <v>7.1999999999999993</v>
      </c>
      <c r="C33" s="74" t="str">
        <f>IF(ISERROR(VLOOKUP(B33,'Capacidad Financiera'!$B$13:$AB$58066,2,0)),"",VLOOKUP(B33,'Capacidad Financiera'!$B$13:$AB$58066,2,0))</f>
        <v>ING CONSTRUCCIONES SAS</v>
      </c>
      <c r="D33" s="117">
        <f>IF(OR(B33="",C33=""),"",IF(ISERROR(VLOOKUP(C33,'Capacidad Financiera'!$C$14:$AB$58066,3,0)),"",VLOOKUP(C33,'Capacidad Financiera'!$C$14:$AB$58066,3,0)))</f>
        <v>683888840</v>
      </c>
      <c r="E33" s="117">
        <f>IF(OR(B33="",C33=""),"",IF(ISERROR(VLOOKUP(C33,'Capacidad Financiera'!$C$14:$AB$58066,5,0)),"",VLOOKUP(C33,'Capacidad Financiera'!$C$14:$AB$58066,5,0)))</f>
        <v>50901977</v>
      </c>
      <c r="F33" s="118">
        <f t="shared" si="4"/>
        <v>13.435408216069879</v>
      </c>
      <c r="G33" s="119">
        <f>IF(OR(C33="",D33="",E33=""),"",IF(AND(F33&gt;0,F33&lt;=CapFinanciera1),Puntajes!$D$4,IF(AND(F33&gt;CapFinanciera1,F33&lt;=CapFinanciera2),Puntajes!$D$5,IF(AND(F33&gt;CapFinanciera2,F33&lt;=CapFinanciera3),Puntajes!$D$6,IF(AND(F33&gt;CapFinanciera3,F33&lt;=CapFinanciera4),Puntajes!$D$7,IF(F33&gt;CapFinanciera4,Puntajes!$D$8,0))))))</f>
        <v>40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D11:D12"/>
    <mergeCell ref="E11:E12"/>
    <mergeCell ref="F11:F12"/>
    <mergeCell ref="B2:G2"/>
    <mergeCell ref="B3:G3"/>
    <mergeCell ref="B4:G4"/>
    <mergeCell ref="B5:G5"/>
    <mergeCell ref="B11:B12"/>
    <mergeCell ref="C11:C12"/>
  </mergeCells>
  <conditionalFormatting sqref="C10:G10 C13:C33">
    <cfRule type="cellIs" dxfId="224" priority="737" stopIfTrue="1" operator="equal">
      <formula>"NO ADMISIBLE"</formula>
    </cfRule>
  </conditionalFormatting>
  <conditionalFormatting sqref="D19:G21">
    <cfRule type="expression" dxfId="223" priority="735" stopIfTrue="1">
      <formula>IF(#REF!-INT(#REF!)&gt;0,TRUE,FALSE)</formula>
    </cfRule>
  </conditionalFormatting>
  <conditionalFormatting sqref="D14:G14">
    <cfRule type="expression" dxfId="222" priority="731" stopIfTrue="1">
      <formula>IF(#REF!-INT(#REF!)&gt;0,TRUE,FALSE)</formula>
    </cfRule>
  </conditionalFormatting>
  <conditionalFormatting sqref="D13:G13">
    <cfRule type="expression" dxfId="221" priority="738" stopIfTrue="1">
      <formula>IF(#REF!-INT(#REF!)&gt;0,TRUE,FALSE)</formula>
    </cfRule>
  </conditionalFormatting>
  <conditionalFormatting sqref="D15:G17">
    <cfRule type="expression" dxfId="220" priority="3243" stopIfTrue="1">
      <formula>IF(#REF!-INT(#REF!)&gt;0,TRUE,FALSE)</formula>
    </cfRule>
  </conditionalFormatting>
  <conditionalFormatting sqref="D18:G18">
    <cfRule type="expression" dxfId="219" priority="3245" stopIfTrue="1">
      <formula>IF(#REF!-INT(#REF!)&gt;0,TRUE,FALSE)</formula>
    </cfRule>
  </conditionalFormatting>
  <conditionalFormatting sqref="B14:G15 B17:C18 D16:G21 B20:C21 B23:G24">
    <cfRule type="expression" dxfId="218" priority="163">
      <formula>MOD(ROW(),2)=0</formula>
    </cfRule>
  </conditionalFormatting>
  <conditionalFormatting sqref="D23:G23">
    <cfRule type="expression" dxfId="217" priority="13" stopIfTrue="1">
      <formula>IF(#REF!-INT(#REF!)&gt;0,TRUE,FALSE)</formula>
    </cfRule>
  </conditionalFormatting>
  <conditionalFormatting sqref="D22:G22">
    <cfRule type="expression" dxfId="216" priority="14" stopIfTrue="1">
      <formula>IF(#REF!-INT(#REF!)&gt;0,TRUE,FALSE)</formula>
    </cfRule>
  </conditionalFormatting>
  <conditionalFormatting sqref="D24:G24">
    <cfRule type="expression" dxfId="215" priority="15" stopIfTrue="1">
      <formula>IF(#REF!-INT(#REF!)&gt;0,TRUE,FALSE)</formula>
    </cfRule>
  </conditionalFormatting>
  <conditionalFormatting sqref="B26:G27">
    <cfRule type="expression" dxfId="214" priority="12">
      <formula>MOD(ROW(),2)=0</formula>
    </cfRule>
  </conditionalFormatting>
  <conditionalFormatting sqref="D26:G26">
    <cfRule type="expression" dxfId="213" priority="9" stopIfTrue="1">
      <formula>IF(#REF!-INT(#REF!)&gt;0,TRUE,FALSE)</formula>
    </cfRule>
  </conditionalFormatting>
  <conditionalFormatting sqref="D25:G25">
    <cfRule type="expression" dxfId="212" priority="10" stopIfTrue="1">
      <formula>IF(#REF!-INT(#REF!)&gt;0,TRUE,FALSE)</formula>
    </cfRule>
  </conditionalFormatting>
  <conditionalFormatting sqref="D27:G27">
    <cfRule type="expression" dxfId="211" priority="11" stopIfTrue="1">
      <formula>IF(#REF!-INT(#REF!)&gt;0,TRUE,FALSE)</formula>
    </cfRule>
  </conditionalFormatting>
  <conditionalFormatting sqref="B29:G30">
    <cfRule type="expression" dxfId="210" priority="8">
      <formula>MOD(ROW(),2)=0</formula>
    </cfRule>
  </conditionalFormatting>
  <conditionalFormatting sqref="D29:G29">
    <cfRule type="expression" dxfId="209" priority="5" stopIfTrue="1">
      <formula>IF(#REF!-INT(#REF!)&gt;0,TRUE,FALSE)</formula>
    </cfRule>
  </conditionalFormatting>
  <conditionalFormatting sqref="D28:G28">
    <cfRule type="expression" dxfId="208" priority="6" stopIfTrue="1">
      <formula>IF(#REF!-INT(#REF!)&gt;0,TRUE,FALSE)</formula>
    </cfRule>
  </conditionalFormatting>
  <conditionalFormatting sqref="D30:G30">
    <cfRule type="expression" dxfId="207" priority="7" stopIfTrue="1">
      <formula>IF(#REF!-INT(#REF!)&gt;0,TRUE,FALSE)</formula>
    </cfRule>
  </conditionalFormatting>
  <conditionalFormatting sqref="B32:G33">
    <cfRule type="expression" dxfId="206" priority="4">
      <formula>MOD(ROW(),2)=0</formula>
    </cfRule>
  </conditionalFormatting>
  <conditionalFormatting sqref="D32:G32">
    <cfRule type="expression" dxfId="205" priority="1" stopIfTrue="1">
      <formula>IF(#REF!-INT(#REF!)&gt;0,TRUE,FALSE)</formula>
    </cfRule>
  </conditionalFormatting>
  <conditionalFormatting sqref="D31:G31">
    <cfRule type="expression" dxfId="204" priority="2" stopIfTrue="1">
      <formula>IF(#REF!-INT(#REF!)&gt;0,TRUE,FALSE)</formula>
    </cfRule>
  </conditionalFormatting>
  <conditionalFormatting sqref="D33:G33">
    <cfRule type="expression" dxfId="203" priority="3" stopIfTrue="1">
      <formula>IF(#REF!-INT(#REF!)&gt;0,TRUE,FALSE)</formula>
    </cfRule>
  </conditionalFormatting>
  <dataValidations count="1">
    <dataValidation type="list" allowBlank="1" showInputMessage="1" showErrorMessage="1" sqref="C10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B5:I31"/>
  <sheetViews>
    <sheetView workbookViewId="0">
      <selection activeCell="D21" sqref="D21"/>
    </sheetView>
  </sheetViews>
  <sheetFormatPr baseColWidth="10" defaultColWidth="11.42578125" defaultRowHeight="12.75" x14ac:dyDescent="0.2"/>
  <cols>
    <col min="1" max="1" width="11.42578125" style="84" customWidth="1"/>
    <col min="2" max="2" width="6.140625" style="84" bestFit="1" customWidth="1"/>
    <col min="3" max="3" width="34.140625" style="84" customWidth="1"/>
    <col min="4" max="4" width="42" style="80" customWidth="1"/>
    <col min="5" max="5" width="11.42578125" style="84"/>
    <col min="6" max="6" width="13.85546875" style="95" customWidth="1"/>
    <col min="7" max="7" width="9.7109375" style="96" customWidth="1"/>
    <col min="8" max="8" width="12.5703125" style="84" customWidth="1"/>
    <col min="9" max="9" width="12.7109375" style="84" customWidth="1"/>
    <col min="10" max="16384" width="11.42578125" style="84"/>
  </cols>
  <sheetData>
    <row r="5" spans="2:9" s="86" customFormat="1" ht="20.25" customHeight="1" x14ac:dyDescent="0.2">
      <c r="B5" s="356" t="s">
        <v>186</v>
      </c>
      <c r="C5" s="356"/>
      <c r="D5" s="356"/>
      <c r="F5" s="87"/>
      <c r="G5" s="88"/>
    </row>
    <row r="6" spans="2:9" s="86" customFormat="1" ht="18" customHeight="1" x14ac:dyDescent="0.2">
      <c r="B6" s="357" t="s">
        <v>200</v>
      </c>
      <c r="C6" s="357"/>
      <c r="D6" s="357"/>
      <c r="F6" s="87"/>
      <c r="G6" s="88"/>
    </row>
    <row r="7" spans="2:9" s="86" customFormat="1" ht="13.5" customHeight="1" x14ac:dyDescent="0.2">
      <c r="B7" s="358" t="str">
        <f>'Capacidad Financiera'!B4</f>
        <v>PROCESO No. SA-MC-DT-MAG-001-2024</v>
      </c>
      <c r="C7" s="358"/>
      <c r="D7" s="358"/>
      <c r="F7" s="87"/>
      <c r="G7" s="88"/>
    </row>
    <row r="8" spans="2:9" s="86" customFormat="1" ht="13.5" customHeight="1" x14ac:dyDescent="0.2">
      <c r="B8" s="358" t="s">
        <v>212</v>
      </c>
      <c r="C8" s="358"/>
      <c r="D8" s="358"/>
      <c r="F8" s="87"/>
      <c r="G8" s="88"/>
    </row>
    <row r="9" spans="2:9" s="86" customFormat="1" ht="13.5" customHeight="1" x14ac:dyDescent="0.2">
      <c r="B9" s="123"/>
      <c r="C9" s="123"/>
      <c r="D9" s="123"/>
      <c r="F9" s="87"/>
      <c r="G9" s="88"/>
    </row>
    <row r="10" spans="2:9" s="86" customFormat="1" ht="14.25" thickBot="1" x14ac:dyDescent="0.25">
      <c r="B10" s="89"/>
      <c r="C10" s="89"/>
      <c r="D10" s="93"/>
      <c r="F10" s="87"/>
      <c r="G10" s="88"/>
    </row>
    <row r="11" spans="2:9" ht="36" customHeight="1" x14ac:dyDescent="0.2">
      <c r="B11" s="359" t="s">
        <v>157</v>
      </c>
      <c r="C11" s="361" t="s">
        <v>156</v>
      </c>
      <c r="D11" s="367" t="s">
        <v>213</v>
      </c>
    </row>
    <row r="12" spans="2:9" ht="36" customHeight="1" thickBot="1" x14ac:dyDescent="0.25">
      <c r="B12" s="360"/>
      <c r="C12" s="362"/>
      <c r="D12" s="368"/>
    </row>
    <row r="13" spans="2:9" x14ac:dyDescent="0.2">
      <c r="B13" s="67">
        <f>+'Capacidad Financiera'!B13</f>
        <v>1</v>
      </c>
      <c r="C13" s="68" t="str">
        <f>IF(ISERROR(VLOOKUP(B13,'Capacidad Financiera'!$B$13:$AB$58066,2,0)),"",VLOOKUP(B13,'Capacidad Financiera'!$B$13:$AB$58066,2,0))</f>
        <v>GRUPO MORIAH</v>
      </c>
      <c r="D13" s="112"/>
      <c r="F13" s="97"/>
      <c r="G13" s="98"/>
      <c r="H13" s="85"/>
      <c r="I13" s="85"/>
    </row>
    <row r="14" spans="2:9" x14ac:dyDescent="0.2">
      <c r="B14" s="72">
        <f>+'Capacidad Financiera'!B14</f>
        <v>1.1000000000000001</v>
      </c>
      <c r="C14" s="74" t="str">
        <f>IF(ISERROR(VLOOKUP(B14,'Capacidad Financiera'!$B$13:$AB$58066,2,0)),"",VLOOKUP(B14,'Capacidad Financiera'!$B$13:$AB$58066,2,0))</f>
        <v>GRUPO MORIAH</v>
      </c>
      <c r="D14" s="275">
        <v>653707950.26999998</v>
      </c>
    </row>
    <row r="15" spans="2:9" ht="13.5" thickBot="1" x14ac:dyDescent="0.25">
      <c r="B15" s="72" t="str">
        <f>+'Capacidad Financiera'!B15</f>
        <v/>
      </c>
      <c r="C15" s="74">
        <f>IF(ISERROR(VLOOKUP(B15,'Capacidad Financiera'!$B$13:$AB$58066,2,0)),"",VLOOKUP(B15,'Capacidad Financiera'!$B$13:$AB$58066,2,0))</f>
        <v>0</v>
      </c>
      <c r="D15" s="275"/>
    </row>
    <row r="16" spans="2:9" x14ac:dyDescent="0.2">
      <c r="B16" s="67">
        <f>+'Capacidad Financiera'!B16</f>
        <v>2</v>
      </c>
      <c r="C16" s="68" t="str">
        <f>IF(ISERROR(VLOOKUP(B16,'Capacidad Financiera'!$B$13:$AB$58066,2,0)),"",VLOOKUP(B16,'Capacidad Financiera'!$B$13:$AB$58066,2,0))</f>
        <v>CONSORCIO VIAS F&amp;M 2030</v>
      </c>
      <c r="D16" s="113"/>
    </row>
    <row r="17" spans="2:4" x14ac:dyDescent="0.2">
      <c r="B17" s="72">
        <f>+'Capacidad Financiera'!B17</f>
        <v>2.1</v>
      </c>
      <c r="C17" s="74" t="str">
        <f>IF(ISERROR(VLOOKUP(B17,'Capacidad Financiera'!$B$13:$AB$58066,2,0)),"",VLOOKUP(B17,'Capacidad Financiera'!$B$13:$AB$58066,2,0))</f>
        <v>FUNDACION OCEANIA 2030</v>
      </c>
      <c r="D17" s="113">
        <v>69288814221.550003</v>
      </c>
    </row>
    <row r="18" spans="2:4" ht="26.25" thickBot="1" x14ac:dyDescent="0.25">
      <c r="B18" s="72">
        <f>+'Capacidad Financiera'!B18</f>
        <v>2.2000000000000002</v>
      </c>
      <c r="C18" s="74" t="str">
        <f>IF(ISERROR(VLOOKUP(B18,'Capacidad Financiera'!$B$13:$AB$58066,2,0)),"",VLOOKUP(B18,'Capacidad Financiera'!$B$13:$AB$58066,2,0))</f>
        <v>MAVICON CONSTRUCCION E INGENIERIA SAS</v>
      </c>
      <c r="D18" s="113">
        <v>49168136614.239998</v>
      </c>
    </row>
    <row r="19" spans="2:4" x14ac:dyDescent="0.2">
      <c r="B19" s="67">
        <f>+'Capacidad Financiera'!B19</f>
        <v>3</v>
      </c>
      <c r="C19" s="68" t="str">
        <f>IF(ISERROR(VLOOKUP(B19,'Capacidad Financiera'!$B$13:$AB$58066,2,0)),"",VLOOKUP(B19,'Capacidad Financiera'!$B$13:$AB$58066,2,0))</f>
        <v>INGEPRO CONSTRUCTORA SAS</v>
      </c>
      <c r="D19" s="113"/>
    </row>
    <row r="20" spans="2:4" ht="13.5" thickBot="1" x14ac:dyDescent="0.25">
      <c r="B20" s="72">
        <f>+'Capacidad Financiera'!B20</f>
        <v>3.1</v>
      </c>
      <c r="C20" s="74" t="str">
        <f>IF(ISERROR(VLOOKUP(B20,'Capacidad Financiera'!$B$13:$AB$58066,2,0)),"",VLOOKUP(B20,'Capacidad Financiera'!$B$13:$AB$58066,2,0))</f>
        <v>INGEPRO CONSTRUCTORA SAS</v>
      </c>
      <c r="D20" s="113">
        <v>1</v>
      </c>
    </row>
    <row r="21" spans="2:4" x14ac:dyDescent="0.2">
      <c r="B21" s="67">
        <f>+'Capacidad Financiera'!B22</f>
        <v>4</v>
      </c>
      <c r="C21" s="68" t="str">
        <f>IF(ISERROR(VLOOKUP(B21,'Capacidad Financiera'!$B$13:$AB$58066,2,0)),"",VLOOKUP(B21,'Capacidad Financiera'!$B$13:$AB$58066,2,0))</f>
        <v>UNION TEMPORAL OBRAS 2024 S &amp; C</v>
      </c>
      <c r="D21" s="113"/>
    </row>
    <row r="22" spans="2:4" ht="13.5" thickBot="1" x14ac:dyDescent="0.25">
      <c r="B22" s="72">
        <f>+'Capacidad Financiera'!B23</f>
        <v>4.0999999999999996</v>
      </c>
      <c r="C22" s="74" t="str">
        <f>IF(ISERROR(VLOOKUP(B22,'Capacidad Financiera'!$B$13:$AB$58066,2,0)),"",VLOOKUP(B22,'Capacidad Financiera'!$B$13:$AB$58066,2,0))</f>
        <v>SEÑALES LTDA</v>
      </c>
      <c r="D22" s="113">
        <v>0</v>
      </c>
    </row>
    <row r="23" spans="2:4" ht="13.5" thickBot="1" x14ac:dyDescent="0.25">
      <c r="B23" s="157">
        <f>+'Capacidad Financiera'!B24</f>
        <v>4.1999999999999993</v>
      </c>
      <c r="C23" s="74" t="str">
        <f>IF(ISERROR(VLOOKUP(B23,'Capacidad Financiera'!$B$13:$AB$58066,2,0)),"",VLOOKUP(B23,'Capacidad Financiera'!$B$13:$AB$58066,2,0))</f>
        <v>INFRAESTRUCTURA CAR Y CIA SAS</v>
      </c>
      <c r="D23" s="113">
        <v>0</v>
      </c>
    </row>
    <row r="24" spans="2:4" ht="13.5" thickBot="1" x14ac:dyDescent="0.25">
      <c r="B24" s="67">
        <f>+'Capacidad Financiera'!B25</f>
        <v>5</v>
      </c>
      <c r="C24" s="68" t="str">
        <f>IF(ISERROR(VLOOKUP(B24,'Capacidad Financiera'!$B$13:$AB$58066,2,0)),"",VLOOKUP(B24,'Capacidad Financiera'!$B$13:$AB$58066,2,0))</f>
        <v>S &amp; S INGENIERIA CIVIL SAS</v>
      </c>
      <c r="D24" s="113"/>
    </row>
    <row r="25" spans="2:4" ht="13.5" thickBot="1" x14ac:dyDescent="0.25">
      <c r="B25" s="157">
        <f>+'Capacidad Financiera'!B26</f>
        <v>5.0999999999999996</v>
      </c>
      <c r="C25" s="74" t="str">
        <f>IF(ISERROR(VLOOKUP(B25,'Capacidad Financiera'!$B$13:$AB$58066,2,0)),"",VLOOKUP(B25,'Capacidad Financiera'!$B$13:$AB$58066,2,0))</f>
        <v>S&amp;S INGENIERIA CIVIL SAS|</v>
      </c>
      <c r="D25" s="113">
        <f>654677563.86+2287501225.5</f>
        <v>2942178789.3600001</v>
      </c>
    </row>
    <row r="26" spans="2:4" x14ac:dyDescent="0.2">
      <c r="B26" s="67">
        <f>+'Capacidad Financiera'!B28</f>
        <v>6</v>
      </c>
      <c r="C26" s="68" t="str">
        <f>IF(ISERROR(VLOOKUP(B26,'Capacidad Financiera'!$B$13:$AB$58066,2,0)),"",VLOOKUP(B26,'Capacidad Financiera'!$B$13:$AB$58066,2,0))</f>
        <v>CONSORCIO FFMM</v>
      </c>
      <c r="D26" s="113"/>
    </row>
    <row r="27" spans="2:4" ht="13.5" thickBot="1" x14ac:dyDescent="0.25">
      <c r="B27" s="72">
        <f>+'Capacidad Financiera'!B29</f>
        <v>6.1</v>
      </c>
      <c r="C27" s="74" t="str">
        <f>IF(ISERROR(VLOOKUP(B27,'Capacidad Financiera'!$B$13:$AB$58066,2,0)),"",VLOOKUP(B27,'Capacidad Financiera'!$B$13:$AB$58066,2,0))</f>
        <v>INGENIECOL SAS</v>
      </c>
      <c r="D27" s="113">
        <v>1</v>
      </c>
    </row>
    <row r="28" spans="2:4" ht="26.25" thickBot="1" x14ac:dyDescent="0.25">
      <c r="B28" s="157">
        <f>+'Capacidad Financiera'!B30</f>
        <v>6.1999999999999993</v>
      </c>
      <c r="C28" s="74" t="str">
        <f>IF(ISERROR(VLOOKUP(B28,'Capacidad Financiera'!$B$13:$AB$58066,2,0)),"",VLOOKUP(B28,'Capacidad Financiera'!$B$13:$AB$58066,2,0))</f>
        <v>FF CONSTRUCCIONES Y CONSULTORIA SAS</v>
      </c>
      <c r="D28" s="113">
        <v>1</v>
      </c>
    </row>
    <row r="29" spans="2:4" x14ac:dyDescent="0.2">
      <c r="B29" s="67">
        <f>+'Capacidad Financiera'!B31</f>
        <v>7</v>
      </c>
      <c r="C29" s="68" t="str">
        <f>IF(ISERROR(VLOOKUP(B29,'Capacidad Financiera'!$B$13:$AB$58066,2,0)),"",VLOOKUP(B29,'Capacidad Financiera'!$B$13:$AB$58066,2,0))</f>
        <v>CONSORCIO OBRAS Y PROGRESO 23</v>
      </c>
      <c r="D29" s="113"/>
    </row>
    <row r="30" spans="2:4" ht="13.5" thickBot="1" x14ac:dyDescent="0.25">
      <c r="B30" s="72">
        <f>+'Capacidad Financiera'!B32</f>
        <v>7.1</v>
      </c>
      <c r="C30" s="74" t="str">
        <f>IF(ISERROR(VLOOKUP(B30,'Capacidad Financiera'!$B$13:$AB$58066,2,0)),"",VLOOKUP(B30,'Capacidad Financiera'!$B$13:$AB$58066,2,0))</f>
        <v>ANTONIO OCHOA CERA</v>
      </c>
      <c r="D30" s="113">
        <v>968935338.70000005</v>
      </c>
    </row>
    <row r="31" spans="2:4" ht="13.5" thickBot="1" x14ac:dyDescent="0.25">
      <c r="B31" s="157">
        <f>+'Capacidad Financiera'!B33</f>
        <v>7.1999999999999993</v>
      </c>
      <c r="C31" s="74" t="str">
        <f>IF(ISERROR(VLOOKUP(B31,'Capacidad Financiera'!$B$13:$AB$58066,2,0)),"",VLOOKUP(B31,'Capacidad Financiera'!$B$13:$AB$58066,2,0))</f>
        <v>ING CONSTRUCCIONES SAS</v>
      </c>
      <c r="D31" s="113">
        <v>3437527322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D11:D12"/>
    <mergeCell ref="B5:D5"/>
    <mergeCell ref="B6:D6"/>
    <mergeCell ref="B7:D7"/>
    <mergeCell ref="B8:D8"/>
    <mergeCell ref="B11:B12"/>
    <mergeCell ref="C11:C12"/>
  </mergeCells>
  <conditionalFormatting sqref="C10:D10 C13:C31">
    <cfRule type="cellIs" dxfId="202" priority="741" stopIfTrue="1" operator="equal">
      <formula>"NO ADMISIBLE"</formula>
    </cfRule>
  </conditionalFormatting>
  <conditionalFormatting sqref="D19:D22 D24 D26:D27">
    <cfRule type="expression" dxfId="201" priority="739" stopIfTrue="1">
      <formula>IF(#REF!-INT(#REF!)&gt;0,TRUE,FALSE)</formula>
    </cfRule>
  </conditionalFormatting>
  <conditionalFormatting sqref="D14">
    <cfRule type="expression" dxfId="200" priority="735" stopIfTrue="1">
      <formula>IF(#REF!-INT(#REF!)&gt;0,TRUE,FALSE)</formula>
    </cfRule>
  </conditionalFormatting>
  <conditionalFormatting sqref="D13">
    <cfRule type="expression" dxfId="199" priority="742" stopIfTrue="1">
      <formula>IF(#REF!-INT(#REF!)&gt;0,TRUE,FALSE)</formula>
    </cfRule>
  </conditionalFormatting>
  <conditionalFormatting sqref="D15:D17">
    <cfRule type="expression" dxfId="198" priority="3250" stopIfTrue="1">
      <formula>IF(#REF!-INT(#REF!)&gt;0,TRUE,FALSE)</formula>
    </cfRule>
  </conditionalFormatting>
  <conditionalFormatting sqref="D18">
    <cfRule type="expression" dxfId="197" priority="3252" stopIfTrue="1">
      <formula>IF(#REF!-INT(#REF!)&gt;0,TRUE,FALSE)</formula>
    </cfRule>
  </conditionalFormatting>
  <conditionalFormatting sqref="B14:D15 B17:C18 B20:C20 D16:D22 B22:C22 C23:D23 D24 D26 B27:D27 C28:D28">
    <cfRule type="expression" dxfId="196" priority="163">
      <formula>MOD(ROW(),2)=0</formula>
    </cfRule>
  </conditionalFormatting>
  <conditionalFormatting sqref="D23">
    <cfRule type="expression" dxfId="195" priority="11" stopIfTrue="1">
      <formula>IF(#REF!-INT(#REF!)&gt;0,TRUE,FALSE)</formula>
    </cfRule>
  </conditionalFormatting>
  <conditionalFormatting sqref="C25:D25">
    <cfRule type="expression" dxfId="194" priority="10">
      <formula>MOD(ROW(),2)=0</formula>
    </cfRule>
  </conditionalFormatting>
  <conditionalFormatting sqref="D25">
    <cfRule type="expression" dxfId="193" priority="9" stopIfTrue="1">
      <formula>IF(#REF!-INT(#REF!)&gt;0,TRUE,FALSE)</formula>
    </cfRule>
  </conditionalFormatting>
  <conditionalFormatting sqref="C25">
    <cfRule type="expression" dxfId="192" priority="8">
      <formula>MOD(ROW(),2)=0</formula>
    </cfRule>
  </conditionalFormatting>
  <conditionalFormatting sqref="D28">
    <cfRule type="expression" dxfId="191" priority="4" stopIfTrue="1">
      <formula>IF(#REF!-INT(#REF!)&gt;0,TRUE,FALSE)</formula>
    </cfRule>
  </conditionalFormatting>
  <conditionalFormatting sqref="D29:D30">
    <cfRule type="expression" dxfId="190" priority="3" stopIfTrue="1">
      <formula>IF(#REF!-INT(#REF!)&gt;0,TRUE,FALSE)</formula>
    </cfRule>
  </conditionalFormatting>
  <conditionalFormatting sqref="D29 B30:D30 C31:D31">
    <cfRule type="expression" dxfId="189" priority="2">
      <formula>MOD(ROW(),2)=0</formula>
    </cfRule>
  </conditionalFormatting>
  <conditionalFormatting sqref="D31">
    <cfRule type="expression" dxfId="188" priority="1" stopIfTrue="1">
      <formula>IF(#REF!-INT(#REF!)&gt;0,TRUE,FALSE)</formula>
    </cfRule>
  </conditionalFormatting>
  <dataValidations count="1">
    <dataValidation type="list" allowBlank="1" showInputMessage="1" showErrorMessage="1" sqref="C10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B2:I35"/>
  <sheetViews>
    <sheetView zoomScale="85" zoomScaleNormal="85" workbookViewId="0">
      <selection activeCell="D21" sqref="D21"/>
    </sheetView>
  </sheetViews>
  <sheetFormatPr baseColWidth="10" defaultColWidth="11.42578125" defaultRowHeight="12.75" x14ac:dyDescent="0.2"/>
  <cols>
    <col min="1" max="1" width="11.42578125" style="84" customWidth="1"/>
    <col min="2" max="2" width="3.85546875" style="84" customWidth="1"/>
    <col min="3" max="3" width="42.5703125" style="84" customWidth="1"/>
    <col min="4" max="4" width="68.140625" style="80" customWidth="1"/>
    <col min="5" max="5" width="17.5703125" style="84" bestFit="1" customWidth="1"/>
    <col min="6" max="6" width="13.85546875" style="95" customWidth="1"/>
    <col min="7" max="7" width="9.7109375" style="96" customWidth="1"/>
    <col min="8" max="8" width="12.5703125" style="84" customWidth="1"/>
    <col min="9" max="9" width="12.7109375" style="84" customWidth="1"/>
    <col min="10" max="16384" width="11.42578125" style="84"/>
  </cols>
  <sheetData>
    <row r="2" spans="2:9" s="86" customFormat="1" ht="20.25" customHeight="1" x14ac:dyDescent="0.2">
      <c r="B2" s="356" t="s">
        <v>186</v>
      </c>
      <c r="C2" s="356"/>
      <c r="D2" s="356"/>
      <c r="F2" s="87"/>
      <c r="G2" s="88"/>
    </row>
    <row r="3" spans="2:9" s="86" customFormat="1" ht="9.75" customHeight="1" x14ac:dyDescent="0.2">
      <c r="B3" s="153"/>
      <c r="C3" s="153"/>
      <c r="D3" s="153"/>
      <c r="F3" s="87"/>
      <c r="G3" s="88"/>
    </row>
    <row r="4" spans="2:9" s="86" customFormat="1" ht="9.75" customHeight="1" x14ac:dyDescent="0.2">
      <c r="B4" s="153"/>
      <c r="C4" s="153"/>
      <c r="D4" s="153"/>
      <c r="F4" s="87"/>
      <c r="G4" s="88"/>
    </row>
    <row r="5" spans="2:9" s="86" customFormat="1" ht="9.75" customHeight="1" x14ac:dyDescent="0.2">
      <c r="B5" s="153"/>
      <c r="C5" s="153"/>
      <c r="D5" s="153"/>
      <c r="F5" s="87"/>
      <c r="G5" s="88"/>
    </row>
    <row r="6" spans="2:9" s="86" customFormat="1" ht="18" customHeight="1" x14ac:dyDescent="0.2">
      <c r="B6" s="357" t="s">
        <v>200</v>
      </c>
      <c r="C6" s="357"/>
      <c r="D6" s="357"/>
      <c r="F6" s="87"/>
      <c r="G6" s="88"/>
    </row>
    <row r="7" spans="2:9" s="86" customFormat="1" ht="13.5" customHeight="1" x14ac:dyDescent="0.2">
      <c r="B7" s="358" t="str">
        <f>'Capacidad Financiera'!B4</f>
        <v>PROCESO No. SA-MC-DT-MAG-001-2024</v>
      </c>
      <c r="C7" s="358"/>
      <c r="D7" s="358"/>
      <c r="F7" s="87"/>
      <c r="G7" s="88"/>
    </row>
    <row r="8" spans="2:9" s="86" customFormat="1" ht="13.5" customHeight="1" x14ac:dyDescent="0.2">
      <c r="B8" s="358" t="s">
        <v>214</v>
      </c>
      <c r="C8" s="358"/>
      <c r="D8" s="358"/>
      <c r="F8" s="87"/>
      <c r="G8" s="88"/>
    </row>
    <row r="9" spans="2:9" s="86" customFormat="1" ht="13.5" customHeight="1" x14ac:dyDescent="0.2">
      <c r="B9" s="123"/>
      <c r="C9" s="123"/>
      <c r="D9" s="123"/>
      <c r="F9" s="87"/>
      <c r="G9" s="88"/>
    </row>
    <row r="10" spans="2:9" s="86" customFormat="1" ht="14.25" thickBot="1" x14ac:dyDescent="0.25">
      <c r="B10" s="89"/>
      <c r="C10" s="89"/>
      <c r="D10" s="93"/>
      <c r="F10" s="87"/>
      <c r="G10" s="88"/>
    </row>
    <row r="11" spans="2:9" ht="23.25" customHeight="1" x14ac:dyDescent="0.2">
      <c r="B11" s="359" t="s">
        <v>157</v>
      </c>
      <c r="C11" s="361" t="s">
        <v>156</v>
      </c>
      <c r="D11" s="202" t="s">
        <v>215</v>
      </c>
    </row>
    <row r="12" spans="2:9" ht="66" customHeight="1" thickBot="1" x14ac:dyDescent="0.25">
      <c r="B12" s="360"/>
      <c r="C12" s="362"/>
      <c r="D12" s="194" t="s">
        <v>218</v>
      </c>
    </row>
    <row r="13" spans="2:9" x14ac:dyDescent="0.2">
      <c r="B13" s="67">
        <f>+'Capacidad Financiera'!B13</f>
        <v>1</v>
      </c>
      <c r="C13" s="68" t="str">
        <f>IF(ISERROR(VLOOKUP(B13,'Capacidad Financiera'!$B$13:$AB$58066,2,0)),"",VLOOKUP(B13,'Capacidad Financiera'!$B$13:$AB$58066,2,0))</f>
        <v>GRUPO MORIAH</v>
      </c>
      <c r="D13" s="112"/>
      <c r="F13" s="97"/>
      <c r="G13" s="98"/>
      <c r="H13" s="85"/>
      <c r="I13" s="85"/>
    </row>
    <row r="14" spans="2:9" x14ac:dyDescent="0.2">
      <c r="B14" s="72">
        <f>+'Capacidad Financiera'!B14</f>
        <v>1.1000000000000001</v>
      </c>
      <c r="C14" s="74" t="str">
        <f>IF(ISERROR(VLOOKUP(B14,'Capacidad Financiera'!$B$13:$AB$58066,2,0)),"",VLOOKUP(B14,'Capacidad Financiera'!$B$13:$AB$58066,2,0))</f>
        <v>GRUPO MORIAH</v>
      </c>
      <c r="D14" s="272">
        <v>9142089900</v>
      </c>
    </row>
    <row r="15" spans="2:9" ht="13.5" thickBot="1" x14ac:dyDescent="0.25">
      <c r="B15" s="72" t="str">
        <f>+'Capacidad Financiera'!B15</f>
        <v/>
      </c>
      <c r="C15" s="74">
        <f>IF(ISERROR(VLOOKUP(B15,'Capacidad Financiera'!$B$13:$AB$58066,2,0)),"",VLOOKUP(B15,'Capacidad Financiera'!$B$13:$AB$58066,2,0))</f>
        <v>0</v>
      </c>
      <c r="D15" s="272"/>
    </row>
    <row r="16" spans="2:9" x14ac:dyDescent="0.2">
      <c r="B16" s="67">
        <f>+'Capacidad Financiera'!B16</f>
        <v>2</v>
      </c>
      <c r="C16" s="68" t="str">
        <f>IF(ISERROR(VLOOKUP(B16,'Capacidad Financiera'!$B$13:$AB$58066,2,0)),"",VLOOKUP(B16,'Capacidad Financiera'!$B$13:$AB$58066,2,0))</f>
        <v>CONSORCIO VIAS F&amp;M 2030</v>
      </c>
      <c r="D16" s="120"/>
    </row>
    <row r="17" spans="2:9" x14ac:dyDescent="0.2">
      <c r="B17" s="72">
        <f>+'Capacidad Financiera'!B17</f>
        <v>2.1</v>
      </c>
      <c r="C17" s="74" t="str">
        <f>IF(ISERROR(VLOOKUP(B17,'Capacidad Financiera'!$B$13:$AB$58066,2,0)),"",VLOOKUP(B17,'Capacidad Financiera'!$B$13:$AB$58066,2,0))</f>
        <v>FUNDACION OCEANIA 2030</v>
      </c>
      <c r="D17" s="120">
        <v>48687516667</v>
      </c>
    </row>
    <row r="18" spans="2:9" ht="13.5" thickBot="1" x14ac:dyDescent="0.25">
      <c r="B18" s="72">
        <f>+'Capacidad Financiera'!B18</f>
        <v>2.2000000000000002</v>
      </c>
      <c r="C18" s="74" t="str">
        <f>IF(ISERROR(VLOOKUP(B18,'Capacidad Financiera'!$B$13:$AB$58066,2,0)),"",VLOOKUP(B18,'Capacidad Financiera'!$B$13:$AB$58066,2,0))</f>
        <v>MAVICON CONSTRUCCION E INGENIERIA SAS</v>
      </c>
      <c r="D18" s="120">
        <v>68687516667</v>
      </c>
    </row>
    <row r="19" spans="2:9" x14ac:dyDescent="0.2">
      <c r="B19" s="67">
        <f>+'Capacidad Financiera'!B19</f>
        <v>3</v>
      </c>
      <c r="C19" s="68" t="str">
        <f>IF(ISERROR(VLOOKUP(B19,'Capacidad Financiera'!$B$13:$AB$58066,2,0)),"",VLOOKUP(B19,'Capacidad Financiera'!$B$13:$AB$58066,2,0))</f>
        <v>INGEPRO CONSTRUCTORA SAS</v>
      </c>
      <c r="D19" s="120"/>
    </row>
    <row r="20" spans="2:9" x14ac:dyDescent="0.2">
      <c r="B20" s="72">
        <f>+'Capacidad Financiera'!B20</f>
        <v>3.1</v>
      </c>
      <c r="C20" s="74" t="str">
        <f>IF(ISERROR(VLOOKUP(B20,'Capacidad Financiera'!$B$13:$AB$58066,2,0)),"",VLOOKUP(B20,'Capacidad Financiera'!$B$13:$AB$58066,2,0))</f>
        <v>INGEPRO CONSTRUCTORA SAS</v>
      </c>
      <c r="D20" s="120">
        <v>478341759</v>
      </c>
    </row>
    <row r="21" spans="2:9" ht="13.5" thickBot="1" x14ac:dyDescent="0.25">
      <c r="B21" s="72" t="str">
        <f>+'Capacidad Financiera'!B21</f>
        <v/>
      </c>
      <c r="C21" s="74">
        <f>IF(ISERROR(VLOOKUP(B21,'Capacidad Financiera'!$B$13:$AB$58066,2,0)),"",VLOOKUP(B21,'Capacidad Financiera'!$B$13:$AB$58066,2,0))</f>
        <v>0</v>
      </c>
      <c r="D21" s="120"/>
    </row>
    <row r="22" spans="2:9" x14ac:dyDescent="0.2">
      <c r="B22" s="67">
        <f>+'Capacidad Financiera'!B22</f>
        <v>4</v>
      </c>
      <c r="C22" s="68" t="str">
        <f>IF(ISERROR(VLOOKUP(B22,'Capacidad Financiera'!$B$13:$AB$58066,2,0)),"",VLOOKUP(B22,'Capacidad Financiera'!$B$13:$AB$58066,2,0))</f>
        <v>UNION TEMPORAL OBRAS 2024 S &amp; C</v>
      </c>
      <c r="D22" s="112"/>
      <c r="F22" s="97"/>
      <c r="G22" s="98"/>
      <c r="H22" s="85"/>
      <c r="I22" s="85"/>
    </row>
    <row r="23" spans="2:9" x14ac:dyDescent="0.2">
      <c r="B23" s="72">
        <f>+'Capacidad Financiera'!B23</f>
        <v>4.0999999999999996</v>
      </c>
      <c r="C23" s="74" t="str">
        <f>IF(ISERROR(VLOOKUP(B23,'Capacidad Financiera'!$B$13:$AB$58066,2,0)),"",VLOOKUP(B23,'Capacidad Financiera'!$B$13:$AB$58066,2,0))</f>
        <v>SEÑALES LTDA</v>
      </c>
      <c r="D23" s="272">
        <v>12846548984</v>
      </c>
    </row>
    <row r="24" spans="2:9" ht="13.5" thickBot="1" x14ac:dyDescent="0.25">
      <c r="B24" s="72">
        <f>+'Capacidad Financiera'!B24</f>
        <v>4.1999999999999993</v>
      </c>
      <c r="C24" s="74" t="str">
        <f>IF(ISERROR(VLOOKUP(B24,'Capacidad Financiera'!$B$13:$AB$58066,2,0)),"",VLOOKUP(B24,'Capacidad Financiera'!$B$13:$AB$58066,2,0))</f>
        <v>INFRAESTRUCTURA CAR Y CIA SAS</v>
      </c>
      <c r="D24" s="272">
        <v>467472313.19999999</v>
      </c>
    </row>
    <row r="25" spans="2:9" x14ac:dyDescent="0.2">
      <c r="B25" s="67">
        <f>+'Capacidad Financiera'!B25</f>
        <v>5</v>
      </c>
      <c r="C25" s="68" t="str">
        <f>IF(ISERROR(VLOOKUP(B25,'Capacidad Financiera'!$B$13:$AB$58066,2,0)),"",VLOOKUP(B25,'Capacidad Financiera'!$B$13:$AB$58066,2,0))</f>
        <v>S &amp; S INGENIERIA CIVIL SAS</v>
      </c>
      <c r="D25" s="112"/>
      <c r="F25" s="97"/>
      <c r="G25" s="98"/>
      <c r="H25" s="85"/>
      <c r="I25" s="85"/>
    </row>
    <row r="26" spans="2:9" x14ac:dyDescent="0.2">
      <c r="B26" s="72">
        <f>+'Capacidad Financiera'!B26</f>
        <v>5.0999999999999996</v>
      </c>
      <c r="C26" s="74" t="str">
        <f>IF(ISERROR(VLOOKUP(B26,'Capacidad Financiera'!$B$13:$AB$58066,2,0)),"",VLOOKUP(B26,'Capacidad Financiera'!$B$13:$AB$58066,2,0))</f>
        <v>S&amp;S INGENIERIA CIVIL SAS|</v>
      </c>
      <c r="D26" s="272">
        <v>9076184278</v>
      </c>
    </row>
    <row r="27" spans="2:9" ht="13.5" thickBot="1" x14ac:dyDescent="0.25">
      <c r="B27" s="72" t="str">
        <f>+'Capacidad Financiera'!B27</f>
        <v/>
      </c>
      <c r="C27" s="74">
        <f>IF(ISERROR(VLOOKUP(B27,'Capacidad Financiera'!$B$13:$AB$58066,2,0)),"",VLOOKUP(B27,'Capacidad Financiera'!$B$13:$AB$58066,2,0))</f>
        <v>0</v>
      </c>
      <c r="D27" s="272"/>
    </row>
    <row r="28" spans="2:9" x14ac:dyDescent="0.2">
      <c r="B28" s="67">
        <f>+'Capacidad Financiera'!B28</f>
        <v>6</v>
      </c>
      <c r="C28" s="68" t="str">
        <f>IF(ISERROR(VLOOKUP(B28,'Capacidad Financiera'!$B$13:$AB$58066,2,0)),"",VLOOKUP(B28,'Capacidad Financiera'!$B$13:$AB$58066,2,0))</f>
        <v>CONSORCIO FFMM</v>
      </c>
      <c r="D28" s="112"/>
      <c r="F28" s="97"/>
      <c r="G28" s="98"/>
      <c r="H28" s="85"/>
      <c r="I28" s="85"/>
    </row>
    <row r="29" spans="2:9" x14ac:dyDescent="0.2">
      <c r="B29" s="72">
        <f>+'Capacidad Financiera'!B29</f>
        <v>6.1</v>
      </c>
      <c r="C29" s="74" t="str">
        <f>IF(ISERROR(VLOOKUP(B29,'Capacidad Financiera'!$B$13:$AB$58066,2,0)),"",VLOOKUP(B29,'Capacidad Financiera'!$B$13:$AB$58066,2,0))</f>
        <v>INGENIECOL SAS</v>
      </c>
      <c r="D29" s="272">
        <v>726711906</v>
      </c>
    </row>
    <row r="30" spans="2:9" ht="13.5" thickBot="1" x14ac:dyDescent="0.25">
      <c r="B30" s="72">
        <f>+'Capacidad Financiera'!B30</f>
        <v>6.1999999999999993</v>
      </c>
      <c r="C30" s="74" t="str">
        <f>IF(ISERROR(VLOOKUP(B30,'Capacidad Financiera'!$B$13:$AB$58066,2,0)),"",VLOOKUP(B30,'Capacidad Financiera'!$B$13:$AB$58066,2,0))</f>
        <v>FF CONSTRUCCIONES Y CONSULTORIA SAS</v>
      </c>
      <c r="D30" s="272">
        <v>1130089504</v>
      </c>
    </row>
    <row r="31" spans="2:9" x14ac:dyDescent="0.2">
      <c r="B31" s="67">
        <f>+'Capacidad Financiera'!B31</f>
        <v>7</v>
      </c>
      <c r="C31" s="68" t="str">
        <f>IF(ISERROR(VLOOKUP(B31,'Capacidad Financiera'!$B$13:$AB$58066,2,0)),"",VLOOKUP(B31,'Capacidad Financiera'!$B$13:$AB$58066,2,0))</f>
        <v>CONSORCIO OBRAS Y PROGRESO 23</v>
      </c>
      <c r="D31" s="112"/>
      <c r="F31" s="97"/>
      <c r="G31" s="98"/>
      <c r="H31" s="85"/>
      <c r="I31" s="85"/>
    </row>
    <row r="32" spans="2:9" x14ac:dyDescent="0.2">
      <c r="B32" s="72">
        <f>+'Capacidad Financiera'!B32</f>
        <v>7.1</v>
      </c>
      <c r="C32" s="74" t="str">
        <f>IF(ISERROR(VLOOKUP(B32,'Capacidad Financiera'!$B$13:$AB$58066,2,0)),"",VLOOKUP(B32,'Capacidad Financiera'!$B$13:$AB$58066,2,0))</f>
        <v>ANTONIO OCHOA CERA</v>
      </c>
      <c r="D32" s="272">
        <v>1401240000</v>
      </c>
    </row>
    <row r="33" spans="2:4" x14ac:dyDescent="0.2">
      <c r="B33" s="72">
        <f>+'Capacidad Financiera'!B33</f>
        <v>7.1999999999999993</v>
      </c>
      <c r="C33" s="74" t="str">
        <f>IF(ISERROR(VLOOKUP(B33,'Capacidad Financiera'!$B$13:$AB$58066,2,0)),"",VLOOKUP(B33,'Capacidad Financiera'!$B$13:$AB$58066,2,0))</f>
        <v>ING CONSTRUCCIONES SAS</v>
      </c>
      <c r="D33" s="272">
        <v>3442351084</v>
      </c>
    </row>
    <row r="34" spans="2:4" ht="13.5" thickBot="1" x14ac:dyDescent="0.25">
      <c r="B34" s="154" t="e">
        <f>+'Capacidad Financiera'!#REF!</f>
        <v>#REF!</v>
      </c>
      <c r="C34" s="155" t="str">
        <f>IF(ISERROR(VLOOKUP(B34,'Capacidad Financiera'!$B$13:$AB$58066,2,0)),"",VLOOKUP(B34,'Capacidad Financiera'!$B$13:$AB$58066,2,0))</f>
        <v/>
      </c>
      <c r="D34" s="156"/>
    </row>
    <row r="35" spans="2:4" ht="13.5" thickBot="1" x14ac:dyDescent="0.25">
      <c r="B35" s="157"/>
      <c r="C35" s="369"/>
      <c r="D35" s="370"/>
    </row>
  </sheetData>
  <sheetProtection formatCells="0" formatColumns="0" formatRows="0" insertColumns="0" insertRows="0" insertHyperlinks="0" deleteColumns="0" deleteRows="0" sort="0" autoFilter="0" pivotTables="0"/>
  <mergeCells count="7">
    <mergeCell ref="C35:D35"/>
    <mergeCell ref="B2:D2"/>
    <mergeCell ref="B6:D6"/>
    <mergeCell ref="B7:D7"/>
    <mergeCell ref="B8:D8"/>
    <mergeCell ref="B11:B12"/>
    <mergeCell ref="C11:C12"/>
  </mergeCells>
  <conditionalFormatting sqref="C10:D10 C13:C34">
    <cfRule type="cellIs" dxfId="187" priority="512" stopIfTrue="1" operator="equal">
      <formula>"NO ADMISIBLE"</formula>
    </cfRule>
  </conditionalFormatting>
  <conditionalFormatting sqref="D14">
    <cfRule type="expression" dxfId="186" priority="506" stopIfTrue="1">
      <formula>IF(#REF!-INT(#REF!)&gt;0,TRUE,FALSE)</formula>
    </cfRule>
  </conditionalFormatting>
  <conditionalFormatting sqref="D13">
    <cfRule type="expression" dxfId="185" priority="513" stopIfTrue="1">
      <formula>IF(#REF!-INT(#REF!)&gt;0,TRUE,FALSE)</formula>
    </cfRule>
  </conditionalFormatting>
  <conditionalFormatting sqref="D15:D21 D24 D27 D30 D33:D34">
    <cfRule type="expression" dxfId="184" priority="496" stopIfTrue="1">
      <formula>IF(#REF!-INT(#REF!)&gt;0,TRUE,FALSE)</formula>
    </cfRule>
  </conditionalFormatting>
  <conditionalFormatting sqref="B14:D15 B17:C18 D16:D21 B20:C21 B23:D24 B26:D27 B29:D30 B32:D34">
    <cfRule type="expression" dxfId="183" priority="114">
      <formula>MOD(ROW(),2)=0</formula>
    </cfRule>
  </conditionalFormatting>
  <conditionalFormatting sqref="D23">
    <cfRule type="expression" dxfId="182" priority="7" stopIfTrue="1">
      <formula>IF(#REF!-INT(#REF!)&gt;0,TRUE,FALSE)</formula>
    </cfRule>
  </conditionalFormatting>
  <conditionalFormatting sqref="D22">
    <cfRule type="expression" dxfId="181" priority="8" stopIfTrue="1">
      <formula>IF(#REF!-INT(#REF!)&gt;0,TRUE,FALSE)</formula>
    </cfRule>
  </conditionalFormatting>
  <conditionalFormatting sqref="D26">
    <cfRule type="expression" dxfId="180" priority="5" stopIfTrue="1">
      <formula>IF(#REF!-INT(#REF!)&gt;0,TRUE,FALSE)</formula>
    </cfRule>
  </conditionalFormatting>
  <conditionalFormatting sqref="D25">
    <cfRule type="expression" dxfId="179" priority="6" stopIfTrue="1">
      <formula>IF(#REF!-INT(#REF!)&gt;0,TRUE,FALSE)</formula>
    </cfRule>
  </conditionalFormatting>
  <conditionalFormatting sqref="D29">
    <cfRule type="expression" dxfId="178" priority="3" stopIfTrue="1">
      <formula>IF(#REF!-INT(#REF!)&gt;0,TRUE,FALSE)</formula>
    </cfRule>
  </conditionalFormatting>
  <conditionalFormatting sqref="D28">
    <cfRule type="expression" dxfId="177" priority="4" stopIfTrue="1">
      <formula>IF(#REF!-INT(#REF!)&gt;0,TRUE,FALSE)</formula>
    </cfRule>
  </conditionalFormatting>
  <conditionalFormatting sqref="D32">
    <cfRule type="expression" dxfId="176" priority="1" stopIfTrue="1">
      <formula>IF(#REF!-INT(#REF!)&gt;0,TRUE,FALSE)</formula>
    </cfRule>
  </conditionalFormatting>
  <conditionalFormatting sqref="D31">
    <cfRule type="expression" dxfId="175" priority="2" stopIfTrue="1">
      <formula>IF(#REF!-INT(#REF!)&gt;0,TRUE,FALSE)</formula>
    </cfRule>
  </conditionalFormatting>
  <dataValidations count="1">
    <dataValidation type="list" allowBlank="1" showInputMessage="1" showErrorMessage="1" sqref="C10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A1:W86"/>
  <sheetViews>
    <sheetView tabSelected="1" topLeftCell="F8" zoomScaleNormal="100" workbookViewId="0">
      <selection activeCell="T22" sqref="T22"/>
    </sheetView>
  </sheetViews>
  <sheetFormatPr baseColWidth="10" defaultColWidth="11.42578125" defaultRowHeight="12.75" x14ac:dyDescent="0.2"/>
  <cols>
    <col min="1" max="1" width="11.42578125" style="84" customWidth="1"/>
    <col min="2" max="2" width="6.140625" style="84" bestFit="1" customWidth="1"/>
    <col min="3" max="3" width="40.28515625" style="84" customWidth="1"/>
    <col min="4" max="4" width="11.5703125" style="84" customWidth="1"/>
    <col min="5" max="5" width="6.140625" style="84" bestFit="1" customWidth="1"/>
    <col min="6" max="7" width="18.28515625" style="84" bestFit="1" customWidth="1"/>
    <col min="8" max="8" width="3.7109375" style="84" customWidth="1"/>
    <col min="9" max="9" width="29" style="84" customWidth="1"/>
    <col min="10" max="10" width="20.7109375" style="80" customWidth="1"/>
    <col min="11" max="11" width="14.5703125" style="80" customWidth="1"/>
    <col min="12" max="12" width="8.85546875" style="80" hidden="1" customWidth="1"/>
    <col min="13" max="13" width="14.5703125" style="80" hidden="1" customWidth="1"/>
    <col min="14" max="14" width="13.140625" style="80" customWidth="1"/>
    <col min="15" max="15" width="13.85546875" style="80" bestFit="1" customWidth="1"/>
    <col min="16" max="16" width="20.7109375" style="80" customWidth="1"/>
    <col min="17" max="17" width="26.42578125" style="80" customWidth="1"/>
    <col min="18" max="18" width="29.42578125" style="84" customWidth="1"/>
    <col min="19" max="19" width="11.42578125" style="84"/>
    <col min="20" max="20" width="13.85546875" style="95" customWidth="1"/>
    <col min="21" max="21" width="9.7109375" style="96" customWidth="1"/>
    <col min="22" max="22" width="12.5703125" style="84" customWidth="1"/>
    <col min="23" max="23" width="12.7109375" style="84" customWidth="1"/>
    <col min="24" max="16384" width="11.42578125" style="84"/>
  </cols>
  <sheetData>
    <row r="1" spans="1:23" ht="9" customHeight="1" x14ac:dyDescent="0.2"/>
    <row r="2" spans="1:23" ht="9" customHeight="1" x14ac:dyDescent="0.2"/>
    <row r="3" spans="1:23" ht="9" customHeight="1" x14ac:dyDescent="0.2"/>
    <row r="4" spans="1:23" s="86" customFormat="1" ht="20.25" customHeight="1" x14ac:dyDescent="0.2">
      <c r="B4" s="356" t="s">
        <v>186</v>
      </c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T4" s="87"/>
      <c r="U4" s="88"/>
    </row>
    <row r="5" spans="1:23" s="86" customFormat="1" ht="18" customHeight="1" x14ac:dyDescent="0.2">
      <c r="B5" s="357" t="s">
        <v>200</v>
      </c>
      <c r="C5" s="357"/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  <c r="O5" s="357"/>
      <c r="P5" s="357"/>
      <c r="Q5" s="357"/>
      <c r="R5" s="357"/>
      <c r="T5" s="87"/>
      <c r="U5" s="88"/>
    </row>
    <row r="6" spans="1:23" s="86" customFormat="1" ht="13.5" customHeight="1" x14ac:dyDescent="0.2">
      <c r="B6" s="358" t="str">
        <f>'Capacidad Financiera'!B4</f>
        <v>PROCESO No. SA-MC-DT-MAG-001-2024</v>
      </c>
      <c r="C6" s="358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T6" s="87"/>
      <c r="U6" s="88"/>
    </row>
    <row r="7" spans="1:23" s="86" customFormat="1" ht="13.5" customHeight="1" x14ac:dyDescent="0.2">
      <c r="B7" s="358" t="s">
        <v>187</v>
      </c>
      <c r="C7" s="358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T7" s="87"/>
      <c r="U7" s="88"/>
    </row>
    <row r="8" spans="1:23" s="86" customFormat="1" ht="13.5" customHeight="1" x14ac:dyDescent="0.2"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T8" s="87"/>
      <c r="U8" s="88"/>
    </row>
    <row r="9" spans="1:23" s="86" customFormat="1" ht="14.25" thickBot="1" x14ac:dyDescent="0.25">
      <c r="B9" s="89"/>
      <c r="C9" s="89"/>
      <c r="D9" s="90"/>
      <c r="E9" s="90"/>
      <c r="F9" s="91"/>
      <c r="G9" s="91"/>
      <c r="H9" s="91"/>
      <c r="I9" s="92"/>
      <c r="K9" s="93"/>
      <c r="L9" s="93"/>
      <c r="M9" s="93"/>
      <c r="N9" s="93"/>
      <c r="O9" s="93"/>
      <c r="P9" s="93"/>
      <c r="Q9" s="93"/>
      <c r="R9" s="94"/>
      <c r="T9" s="87"/>
      <c r="U9" s="88"/>
    </row>
    <row r="10" spans="1:23" ht="54" customHeight="1" x14ac:dyDescent="0.2">
      <c r="B10" s="359" t="s">
        <v>157</v>
      </c>
      <c r="C10" s="361" t="s">
        <v>156</v>
      </c>
      <c r="D10" s="207" t="s">
        <v>191</v>
      </c>
      <c r="E10" s="375" t="s">
        <v>161</v>
      </c>
      <c r="F10" s="207" t="s">
        <v>177</v>
      </c>
      <c r="G10" s="207" t="s">
        <v>178</v>
      </c>
      <c r="H10" s="378" t="s">
        <v>230</v>
      </c>
      <c r="I10" s="227" t="s">
        <v>179</v>
      </c>
      <c r="J10" s="207" t="s">
        <v>180</v>
      </c>
      <c r="K10" s="207" t="s">
        <v>181</v>
      </c>
      <c r="L10" s="383" t="s">
        <v>164</v>
      </c>
      <c r="M10" s="386" t="s">
        <v>165</v>
      </c>
      <c r="N10" s="207" t="s">
        <v>196</v>
      </c>
      <c r="O10" s="201" t="s">
        <v>182</v>
      </c>
      <c r="P10" s="208" t="s">
        <v>217</v>
      </c>
      <c r="Q10" s="228" t="s">
        <v>183</v>
      </c>
      <c r="R10" s="209" t="s">
        <v>286</v>
      </c>
    </row>
    <row r="11" spans="1:23" x14ac:dyDescent="0.2">
      <c r="B11" s="372"/>
      <c r="C11" s="373"/>
      <c r="D11" s="374" t="s">
        <v>1</v>
      </c>
      <c r="E11" s="376"/>
      <c r="F11" s="374" t="s">
        <v>2</v>
      </c>
      <c r="G11" s="374" t="s">
        <v>2</v>
      </c>
      <c r="H11" s="379"/>
      <c r="I11" s="389" t="s">
        <v>185</v>
      </c>
      <c r="J11" s="371" t="s">
        <v>216</v>
      </c>
      <c r="K11" s="371" t="s">
        <v>193</v>
      </c>
      <c r="L11" s="384"/>
      <c r="M11" s="387"/>
      <c r="N11" s="371" t="s">
        <v>193</v>
      </c>
      <c r="O11" s="371" t="s">
        <v>193</v>
      </c>
      <c r="P11" s="371" t="s">
        <v>216</v>
      </c>
      <c r="Q11" s="389" t="s">
        <v>184</v>
      </c>
      <c r="R11" s="381" t="s">
        <v>169</v>
      </c>
    </row>
    <row r="12" spans="1:23" ht="51" customHeight="1" thickBot="1" x14ac:dyDescent="0.25">
      <c r="B12" s="360"/>
      <c r="C12" s="362"/>
      <c r="D12" s="364"/>
      <c r="E12" s="377"/>
      <c r="F12" s="364"/>
      <c r="G12" s="364"/>
      <c r="H12" s="380"/>
      <c r="I12" s="390"/>
      <c r="J12" s="366"/>
      <c r="K12" s="366"/>
      <c r="L12" s="385"/>
      <c r="M12" s="388"/>
      <c r="N12" s="366"/>
      <c r="O12" s="366"/>
      <c r="P12" s="366"/>
      <c r="Q12" s="390"/>
      <c r="R12" s="382"/>
    </row>
    <row r="13" spans="1:23" x14ac:dyDescent="0.2">
      <c r="B13" s="67">
        <f>+'Capacidad Financiera'!B13</f>
        <v>1</v>
      </c>
      <c r="C13" s="68" t="str">
        <f>IF(ISERROR(VLOOKUP(B13,'Capacidad Financiera'!$B$13:$AB$58066,2,0)),"",VLOOKUP(B13,'Capacidad Financiera'!$B$13:$AB$58066,2,0))</f>
        <v>GRUPO MORIAH</v>
      </c>
      <c r="D13" s="69">
        <f>IF(ISERROR(VLOOKUP(B13,'Capacidad Financiera'!$B$13:$AB$58066,3,0)),"",VLOOKUP(B13,'Capacidad Financiera'!$B$13:$AB$58066,3,0))</f>
        <v>1</v>
      </c>
      <c r="E13" s="71">
        <f>'Capacidad Financiera'!M13</f>
        <v>1</v>
      </c>
      <c r="F13" s="70">
        <f>IF(ISERROR(VLOOKUP(E13,POA!$A$2:$D$7,2,0)),"",VLOOKUP(E13,POA!$A$2:$D$7,2,0))</f>
        <v>881383180</v>
      </c>
      <c r="G13" s="70">
        <f>IF(ISERROR(VLOOKUP(E13,POA!$A$2:$D$7,3,0)),"",VLOOKUP(E13,POA!$A$2:$D$7,4,0))</f>
        <v>0</v>
      </c>
      <c r="H13" s="71">
        <f>IF(ISERROR(VLOOKUP(E13,POA!$A$2:$D$2,3,0)),"",VLOOKUP(E13,POA!$A$2:$D$2,3,0))</f>
        <v>3</v>
      </c>
      <c r="I13" s="68">
        <f>IF(H13="","",IF(H13&lt;12,(F13-G13),IF(H13&gt;=12,(((F13-G13)/H13)*12),"")))</f>
        <v>881383180</v>
      </c>
      <c r="J13" s="71"/>
      <c r="K13" s="68"/>
      <c r="L13" s="68"/>
      <c r="M13" s="68">
        <f>+SUM(M14:M22)</f>
        <v>0</v>
      </c>
      <c r="N13" s="71" t="str">
        <f>IF(ISERROR(VLOOKUP(J13,POA!$A$2:$C$2,3,0)),"",VLOOKUP(J13,POA!$A$2:$C$2,3,0))</f>
        <v/>
      </c>
      <c r="O13" s="68" t="str">
        <f t="shared" ref="O13" si="0">IF(ISERROR(+K13/N13),"",(K13/N13))</f>
        <v/>
      </c>
      <c r="P13" s="73"/>
      <c r="Q13" s="73">
        <f>SUM(Q14)</f>
        <v>15802053869.73</v>
      </c>
      <c r="R13" s="121" t="str">
        <f>+IF(OR(Q13=0,E13="",I13=""),"",IF(Q13&gt;=I13,"HABIL","NO HABIL"))</f>
        <v>HABIL</v>
      </c>
      <c r="T13" s="97"/>
      <c r="U13" s="98"/>
      <c r="V13" s="85"/>
      <c r="W13" s="85"/>
    </row>
    <row r="14" spans="1:23" ht="13.5" thickBot="1" x14ac:dyDescent="0.25">
      <c r="A14" s="279"/>
      <c r="B14" s="203">
        <f>+'Capacidad Financiera'!B14</f>
        <v>1.1000000000000001</v>
      </c>
      <c r="C14" s="66" t="str">
        <f>IF(ISERROR(VLOOKUP(B14,'Capacidad Financiera'!$B$13:$AB$58066,2,0)),"",VLOOKUP(B14,'Capacidad Financiera'!$B$13:$AB$58066,2,0))</f>
        <v>GRUPO MORIAH</v>
      </c>
      <c r="D14" s="210">
        <f>IF(ISERROR(VLOOKUP(B14,'Capacidad Financiera'!$B$13:$AB$58066,3,0)),"",VLOOKUP(B14,'Capacidad Financiera'!$B$13:$AB$58066,3,0))</f>
        <v>1</v>
      </c>
      <c r="E14" s="211">
        <f>'Capacidad Financiera'!M14</f>
        <v>1</v>
      </c>
      <c r="F14" s="196">
        <f>IF(ISERROR(VLOOKUP(E14,POA!$A$2:$D$7,2,0)),"",VLOOKUP(E14,POA!$A$2:$D$7,2,0))</f>
        <v>881383180</v>
      </c>
      <c r="G14" s="196">
        <f>IF(ISERROR(VLOOKUP(E14,POA!$A$2:$D$7,3,0)),"",VLOOKUP(E14,POA!$A$2:$D$7,4,0))</f>
        <v>0</v>
      </c>
      <c r="H14" s="211">
        <f>IF(ISERROR(VLOOKUP(E14,POA!$A$2:$D$2,3,0)),"",VLOOKUP(E14,POA!$A$2:$D$2,3,0))</f>
        <v>3</v>
      </c>
      <c r="I14" s="212">
        <f>IF(H14="","",IF(H14&lt;12,(F14-G14),IF(H14&gt;=12,(((F14-G14)/H14)*12),"")))</f>
        <v>881383180</v>
      </c>
      <c r="J14" s="213">
        <f>IF(IF(ISERROR(VLOOKUP(B14,'Cap Organización'!$B$14:$H$1048576,3,0)),"",VLOOKUP(B14,'Cap Organización'!$B$14:$H$1048576,3,0))=0,"",IF(ISERROR(VLOOKUP(B14,'Cap Organización'!$B$14:$H$1048576,3,0)),"",VLOOKUP(B14,'Cap Organización'!$B$14:$H$1048576,3,0)))</f>
        <v>9142089900</v>
      </c>
      <c r="K14" s="214">
        <f>IF(ISERROR(VLOOKUP(B14,'Puntaje Exp'!$B$14:$H$1048576,7,0)),"",VLOOKUP(B14,'Puntaje Exp'!$B$14:$H$1048576,7,0))</f>
        <v>120</v>
      </c>
      <c r="L14" s="214">
        <f>+'Capacidad Financiera'!O14</f>
        <v>0</v>
      </c>
      <c r="M14" s="214" t="str">
        <f>IF(ISERROR(VLOOKUP(L14,POA!$A$2:$F$7,6,0)),"",VLOOKUP(L14,POA!$A$2:$F$7,6,0))</f>
        <v/>
      </c>
      <c r="N14" s="214">
        <f>IF(ISERROR(VLOOKUP(B14,'Puntaje CT'!$B$14:$H$1048576,4,0)),"",VLOOKUP(B14,'Puntaje CT'!$B$14:$H$1048576,4,0))</f>
        <v>20</v>
      </c>
      <c r="O14" s="214">
        <f>IF(ISERROR(VLOOKUP(B14,'Puntaje CF'!$B$14:$H$1048576,6,0)),"",VLOOKUP(B14,'Puntaje CF'!$B$14:$H$1048576,6,0))</f>
        <v>40</v>
      </c>
      <c r="P14" s="215">
        <f>IF(IF(ISERROR(VLOOKUP(B14,'Saldo CtosEjecución'!$B$14:$H$1048576,3,0)),"",VLOOKUP(B14,'Saldo CtosEjecución'!$B$14:$H$1048576,3,0))=0,"",IF(ISERROR(VLOOKUP(B14,'Saldo CtosEjecución'!$B$14:$H$1048576,3,0)),"",VLOOKUP(B14,'Saldo CtosEjecución'!$B$14:$H$1048576,3,0)))</f>
        <v>653707950.26999998</v>
      </c>
      <c r="Q14" s="216">
        <f>IF(OR(J14="",K14="",N14="",O14="",P14=""),"",(J14*((K14+N14+O14)/100))-P14)</f>
        <v>15802053869.73</v>
      </c>
      <c r="R14" s="217"/>
    </row>
    <row r="15" spans="1:23" x14ac:dyDescent="0.2">
      <c r="A15" s="279"/>
      <c r="B15" s="67">
        <f>+'Capacidad Financiera'!B16</f>
        <v>2</v>
      </c>
      <c r="C15" s="68" t="str">
        <f>IF(ISERROR(VLOOKUP(B15,'Capacidad Financiera'!$B$13:$AB$58066,2,0)),"",VLOOKUP(B15,'Capacidad Financiera'!$B$13:$AB$58066,2,0))</f>
        <v>CONSORCIO VIAS F&amp;M 2030</v>
      </c>
      <c r="D15" s="210">
        <f>IF(ISERROR(VLOOKUP(B15,'Capacidad Financiera'!$B$13:$AB$58066,3,0)),"",VLOOKUP(B15,'Capacidad Financiera'!$B$13:$AB$58066,3,0))</f>
        <v>1</v>
      </c>
      <c r="E15" s="71">
        <f>'Capacidad Financiera'!M16</f>
        <v>1</v>
      </c>
      <c r="F15" s="196">
        <f>IF(ISERROR(VLOOKUP(E15,POA!$A$2:$D$7,2,0)),"",VLOOKUP(E15,POA!$A$2:$D$7,2,0))</f>
        <v>881383180</v>
      </c>
      <c r="G15" s="196">
        <f>IF(ISERROR(VLOOKUP(E15,POA!$A$2:$D$7,3,0)),"",VLOOKUP(E15,POA!$A$2:$D$7,4,0))</f>
        <v>0</v>
      </c>
      <c r="H15" s="211">
        <f>IF(ISERROR(VLOOKUP(E15,POA!$A$2:$D$2,3,0)),"",VLOOKUP(E15,POA!$A$2:$D$2,3,0))</f>
        <v>3</v>
      </c>
      <c r="I15" s="212">
        <f>IF(H15="","",IF(H15&lt;12,(F15-G15),IF(H15&gt;=12,(((F15-G15)/H15)*12),"")))</f>
        <v>881383180</v>
      </c>
      <c r="J15" s="71"/>
      <c r="K15" s="68"/>
      <c r="L15" s="68"/>
      <c r="M15" s="68">
        <f>+SUM(M16:M24)</f>
        <v>0</v>
      </c>
      <c r="N15" s="71" t="str">
        <f>IF(ISERROR(VLOOKUP(J15,POA!$A$2:$C$2,3,0)),"",VLOOKUP(J15,POA!$A$2:$C$2,3,0))</f>
        <v/>
      </c>
      <c r="O15" s="68" t="str">
        <f t="shared" ref="O15" si="1">IF(ISERROR(+K15/N15),"",(K15/N15))</f>
        <v/>
      </c>
      <c r="P15" s="73"/>
      <c r="Q15" s="73">
        <f>SUM(Q16:Q17)</f>
        <v>92818109165.410019</v>
      </c>
      <c r="R15" s="217" t="str">
        <f>+IF(OR(Q13=0,E15="",I15=""),"",IF(Q13&gt;=I15,"HABIL","NO HABIL"))</f>
        <v>HABIL</v>
      </c>
    </row>
    <row r="16" spans="1:23" x14ac:dyDescent="0.2">
      <c r="B16" s="203">
        <f>+'Capacidad Financiera'!B17</f>
        <v>2.1</v>
      </c>
      <c r="C16" s="66" t="str">
        <f>IF(ISERROR(VLOOKUP(B16,'Capacidad Financiera'!$B$13:$AB$58066,2,0)),"",VLOOKUP(B16,'Capacidad Financiera'!$B$13:$AB$58066,2,0))</f>
        <v>FUNDACION OCEANIA 2030</v>
      </c>
      <c r="D16" s="210">
        <f>IF(ISERROR(VLOOKUP(B16,'Capacidad Financiera'!$B$13:$AB$58066,3,0)),"",VLOOKUP(B16,'Capacidad Financiera'!$B$13:$AB$58066,3,0))</f>
        <v>0.9</v>
      </c>
      <c r="E16" s="211">
        <f>'Capacidad Financiera'!M17</f>
        <v>1</v>
      </c>
      <c r="F16" s="196">
        <f>IF(ISERROR(VLOOKUP(E16,POA!$A$2:$D$7,2,0)),"",VLOOKUP(E16,POA!$A$2:$D$7,2,0))</f>
        <v>881383180</v>
      </c>
      <c r="G16" s="196">
        <f>IF(ISERROR(VLOOKUP(E16,POA!$A$2:$D$7,3,0)),"",VLOOKUP(E16,POA!$A$2:$D$7,4,0))</f>
        <v>0</v>
      </c>
      <c r="H16" s="211">
        <f>IF(ISERROR(VLOOKUP(E16,POA!$A$2:$D$2,3,0)),"",VLOOKUP(E16,POA!$A$2:$D$2,3,0))</f>
        <v>3</v>
      </c>
      <c r="I16" s="212">
        <f t="shared" ref="I16:I19" si="2">IF(H16="","",IF(H16&lt;12,(F16-G16),IF(H16&gt;=12,(((F16-G16)/H16)*12),"")))</f>
        <v>881383180</v>
      </c>
      <c r="J16" s="213">
        <f>IF(IF(ISERROR(VLOOKUP(B16,'Cap Organización'!$B$14:$H$1048576,3,0)),"",VLOOKUP(B16,'Cap Organización'!$B$14:$H$1048576,3,0))=0,"",IF(ISERROR(VLOOKUP(B16,'Cap Organización'!$B$14:$H$1048576,3,0)),"",VLOOKUP(B16,'Cap Organización'!$B$14:$H$1048576,3,0)))</f>
        <v>48687516667</v>
      </c>
      <c r="K16" s="214">
        <f>IF(ISERROR(VLOOKUP(B16,'Puntaje Exp'!$B$14:$H$1048576,7,0)),"",VLOOKUP(B16,'Puntaje Exp'!$B$14:$H$1048576,7,0))</f>
        <v>120</v>
      </c>
      <c r="L16" s="214">
        <f>+'Capacidad Financiera'!O17</f>
        <v>0</v>
      </c>
      <c r="M16" s="214" t="str">
        <f>IF(ISERROR(VLOOKUP(L16,POA!$A$2:$F$7,6,0)),"",VLOOKUP(L16,POA!$A$2:$F$7,6,0))</f>
        <v/>
      </c>
      <c r="N16" s="214">
        <f>IF(ISERROR(VLOOKUP(B16,'Puntaje CT'!$B$14:$H$1048576,4,0)),"",VLOOKUP(B16,'Puntaje CT'!$B$14:$H$1048576,4,0))</f>
        <v>20</v>
      </c>
      <c r="O16" s="214">
        <f>IF(ISERROR(VLOOKUP(B16,'Puntaje CF'!$B$14:$H$1048576,6,0)),"",VLOOKUP(B16,'Puntaje CF'!$B$14:$H$1048576,6,0))</f>
        <v>40</v>
      </c>
      <c r="P16" s="215">
        <f>IF(IF(ISERROR(VLOOKUP(B16,'Saldo CtosEjecución'!$B$14:$H$1048576,3,0)),"",VLOOKUP(B16,'Saldo CtosEjecución'!$B$14:$H$1048576,3,0))=0,"",IF(ISERROR(VLOOKUP(B16,'Saldo CtosEjecución'!$B$14:$H$1048576,3,0)),"",VLOOKUP(B16,'Saldo CtosEjecución'!$B$14:$H$1048576,3,0)))</f>
        <v>69288814221.550003</v>
      </c>
      <c r="Q16" s="216">
        <f>IF(OR(J16="",K16="",N16="",O16="",P16=""),"",(J16*((K16+N16+O16)/100))-P16)</f>
        <v>18348715779.050003</v>
      </c>
      <c r="R16" s="217"/>
    </row>
    <row r="17" spans="1:23" ht="13.5" thickBot="1" x14ac:dyDescent="0.25">
      <c r="B17" s="203">
        <f>+'Capacidad Financiera'!B18</f>
        <v>2.2000000000000002</v>
      </c>
      <c r="C17" s="66" t="str">
        <f>IF(ISERROR(VLOOKUP(B17,'Capacidad Financiera'!$B$13:$AB$58066,2,0)),"",VLOOKUP(B17,'Capacidad Financiera'!$B$13:$AB$58066,2,0))</f>
        <v>MAVICON CONSTRUCCION E INGENIERIA SAS</v>
      </c>
      <c r="D17" s="210">
        <f>IF(ISERROR(VLOOKUP(B17,'Capacidad Financiera'!$B$13:$AB$58066,3,0)),"",VLOOKUP(B17,'Capacidad Financiera'!$B$13:$AB$58066,3,0))</f>
        <v>0.1</v>
      </c>
      <c r="E17" s="211">
        <f>'Capacidad Financiera'!M18</f>
        <v>1</v>
      </c>
      <c r="F17" s="196">
        <f>IF(ISERROR(VLOOKUP(E17,POA!$A$2:$D$7,2,0)),"",VLOOKUP(E17,POA!$A$2:$D$7,2,0))</f>
        <v>881383180</v>
      </c>
      <c r="G17" s="196">
        <f>IF(ISERROR(VLOOKUP(E17,POA!$A$2:$D$7,3,0)),"",VLOOKUP(E17,POA!$A$2:$D$7,4,0))</f>
        <v>0</v>
      </c>
      <c r="H17" s="211">
        <f>IF(ISERROR(VLOOKUP(E17,POA!$A$2:$D$2,3,0)),"",VLOOKUP(E17,POA!$A$2:$D$2,3,0))</f>
        <v>3</v>
      </c>
      <c r="I17" s="212">
        <f t="shared" si="2"/>
        <v>881383180</v>
      </c>
      <c r="J17" s="213">
        <f>IF(IF(ISERROR(VLOOKUP(B17,'Cap Organización'!$B$14:$H$1048576,3,0)),"",VLOOKUP(B17,'Cap Organización'!$B$14:$H$1048576,3,0))=0,"",IF(ISERROR(VLOOKUP(B17,'Cap Organización'!$B$14:$H$1048576,3,0)),"",VLOOKUP(B17,'Cap Organización'!$B$14:$H$1048576,3,0)))</f>
        <v>68687516667</v>
      </c>
      <c r="K17" s="214">
        <f>IF(ISERROR(VLOOKUP(B17,'Puntaje Exp'!$B$14:$H$1048576,7,0)),"",VLOOKUP(B17,'Puntaje Exp'!$B$14:$H$1048576,7,0))</f>
        <v>120</v>
      </c>
      <c r="L17" s="218">
        <f>+'Capacidad Financiera'!O18</f>
        <v>0</v>
      </c>
      <c r="M17" s="218" t="str">
        <f>IF(ISERROR(VLOOKUP(L17,POA!$A$2:$F$7,6,0)),"",VLOOKUP(L17,POA!$A$2:$F$7,6,0))</f>
        <v/>
      </c>
      <c r="N17" s="214">
        <f>IF(ISERROR(VLOOKUP(B17,'Puntaje CT'!$B$14:$H$1048576,4,0)),"",VLOOKUP(B17,'Puntaje CT'!$B$14:$H$1048576,4,0))</f>
        <v>20</v>
      </c>
      <c r="O17" s="214">
        <f>IF(ISERROR(VLOOKUP(B17,'Puntaje CF'!$B$14:$H$1048576,6,0)),"",VLOOKUP(B17,'Puntaje CF'!$B$14:$H$1048576,6,0))</f>
        <v>40</v>
      </c>
      <c r="P17" s="215">
        <f>IF(IF(ISERROR(VLOOKUP(B17,'Saldo CtosEjecución'!$B$14:$H$1048576,3,0)),"",VLOOKUP(B17,'Saldo CtosEjecución'!$B$14:$H$1048576,3,0))=0,"",IF(ISERROR(VLOOKUP(B17,'Saldo CtosEjecución'!$B$14:$H$1048576,3,0)),"",VLOOKUP(B17,'Saldo CtosEjecución'!$B$14:$H$1048576,3,0)))</f>
        <v>49168136614.239998</v>
      </c>
      <c r="Q17" s="216">
        <f>IF(OR(J17="",K17="",N17="",O17="",P17=""),"",(J17*((K17+N17+O17)/100))-P17)</f>
        <v>74469393386.360016</v>
      </c>
      <c r="R17" s="217"/>
    </row>
    <row r="18" spans="1:23" x14ac:dyDescent="0.2">
      <c r="B18" s="67">
        <f>+'Capacidad Financiera'!B19</f>
        <v>3</v>
      </c>
      <c r="C18" s="68" t="str">
        <f>IF(ISERROR(VLOOKUP(B18,'Capacidad Financiera'!$B$13:$AB$58066,2,0)),"",VLOOKUP(B18,'Capacidad Financiera'!$B$13:$AB$58066,2,0))</f>
        <v>INGEPRO CONSTRUCTORA SAS</v>
      </c>
      <c r="D18" s="210">
        <f>IF(ISERROR(VLOOKUP(B18,'Capacidad Financiera'!$B$13:$AB$58066,3,0)),"",VLOOKUP(B18,'Capacidad Financiera'!$B$13:$AB$58066,3,0))</f>
        <v>1</v>
      </c>
      <c r="E18" s="71">
        <f>'Capacidad Financiera'!M19</f>
        <v>1</v>
      </c>
      <c r="F18" s="70">
        <f>IF(ISERROR(VLOOKUP(E18,POA!$A$2:$D$7,2,0)),"",VLOOKUP(E18,POA!$A$2:$D$7,2,0))</f>
        <v>881383180</v>
      </c>
      <c r="G18" s="196">
        <f>IF(ISERROR(VLOOKUP(E18,POA!$A$2:$D$7,3,0)),"",VLOOKUP(E18,POA!$A$2:$D$7,4,0))</f>
        <v>0</v>
      </c>
      <c r="H18" s="211">
        <f>IF(ISERROR(VLOOKUP(E18,POA!$A$2:$D$2,3,0)),"",VLOOKUP(E18,POA!$A$2:$D$2,3,0))</f>
        <v>3</v>
      </c>
      <c r="I18" s="212">
        <f t="shared" si="2"/>
        <v>881383180</v>
      </c>
      <c r="J18" s="71"/>
      <c r="K18" s="68"/>
      <c r="L18" s="68"/>
      <c r="M18" s="68">
        <f>+SUM(M19:M24)</f>
        <v>0</v>
      </c>
      <c r="N18" s="71" t="str">
        <f>IF(ISERROR(VLOOKUP(J18,POA!$A$2:$C$2,3,0)),"",VLOOKUP(J18,POA!$A$2:$C$2,3,0))</f>
        <v/>
      </c>
      <c r="O18" s="68" t="str">
        <f t="shared" ref="O18" si="3">IF(ISERROR(+K18/N18),"",(K18/N18))</f>
        <v/>
      </c>
      <c r="P18" s="73"/>
      <c r="Q18" s="73">
        <f>SUM(Q19)</f>
        <v>574010109.79999995</v>
      </c>
      <c r="R18" s="121"/>
    </row>
    <row r="19" spans="1:23" ht="13.5" thickBot="1" x14ac:dyDescent="0.25">
      <c r="B19" s="203">
        <f>+'Capacidad Financiera'!B20</f>
        <v>3.1</v>
      </c>
      <c r="C19" s="66" t="str">
        <f>IF(ISERROR(VLOOKUP(B19,'Capacidad Financiera'!$B$13:$AB$58066,2,0)),"",VLOOKUP(B19,'Capacidad Financiera'!$B$13:$AB$58066,2,0))</f>
        <v>INGEPRO CONSTRUCTORA SAS</v>
      </c>
      <c r="D19" s="210">
        <f>IF(ISERROR(VLOOKUP(B19,'Capacidad Financiera'!$B$13:$AB$58066,3,0)),"",VLOOKUP(B19,'Capacidad Financiera'!$B$13:$AB$58066,3,0))</f>
        <v>1</v>
      </c>
      <c r="E19" s="211">
        <f>'Capacidad Financiera'!M20</f>
        <v>1</v>
      </c>
      <c r="F19" s="196">
        <f>IF(ISERROR(VLOOKUP(E19,POA!$A$2:$D$7,2,0)),"",VLOOKUP(E19,POA!$A$2:$D$7,2,0))</f>
        <v>881383180</v>
      </c>
      <c r="G19" s="196">
        <f>IF(ISERROR(VLOOKUP(E19,POA!$A$2:$D$7,3,0)),"",VLOOKUP(E19,POA!$A$2:$D$7,4,0))</f>
        <v>0</v>
      </c>
      <c r="H19" s="211">
        <f>IF(ISERROR(VLOOKUP(E19,POA!$A$2:$D$2,3,0)),"",VLOOKUP(E19,POA!$A$2:$D$2,3,0))</f>
        <v>3</v>
      </c>
      <c r="I19" s="212">
        <f t="shared" si="2"/>
        <v>881383180</v>
      </c>
      <c r="J19" s="213">
        <f>IF(IF(ISERROR(VLOOKUP(B19,'Cap Organización'!$B$14:$H$1048576,3,0)),"",VLOOKUP(B19,'Cap Organización'!$B$14:$H$1048576,3,0))=0,"",IF(ISERROR(VLOOKUP(B19,'Cap Organización'!$B$14:$H$1048576,3,0)),"",VLOOKUP(B19,'Cap Organización'!$B$14:$H$1048576,3,0)))</f>
        <v>478341759</v>
      </c>
      <c r="K19" s="214">
        <f>IF(ISERROR(VLOOKUP(B19,'Puntaje Exp'!$B$14:$H$1048576,7,0)),"",VLOOKUP(B19,'Puntaje Exp'!$B$14:$H$1048576,7,0))</f>
        <v>60</v>
      </c>
      <c r="L19" s="214">
        <f>+'Capacidad Financiera'!O20</f>
        <v>0</v>
      </c>
      <c r="M19" s="214" t="str">
        <f>IF(ISERROR(VLOOKUP(L19,POA!$A$2:$F$7,6,0)),"",VLOOKUP(L19,POA!$A$2:$F$7,6,0))</f>
        <v/>
      </c>
      <c r="N19" s="214">
        <f>IF(ISERROR(VLOOKUP(B19,'Puntaje CT'!$B$14:$H$1048576,4,0)),"",VLOOKUP(B19,'Puntaje CT'!$B$14:$H$1048576,4,0))</f>
        <v>20</v>
      </c>
      <c r="O19" s="214">
        <f>IF(ISERROR(VLOOKUP(B19,'Puntaje CF'!$B$14:$H$1048576,6,0)),"",VLOOKUP(B19,'Puntaje CF'!$B$14:$H$1048576,6,0))</f>
        <v>40</v>
      </c>
      <c r="P19" s="215">
        <f>IF(IF(ISERROR(VLOOKUP(B19,'Saldo CtosEjecución'!$B$14:$H$1048576,3,0)),"",VLOOKUP(B19,'Saldo CtosEjecución'!$B$14:$H$1048576,3,0))=0,"",IF(ISERROR(VLOOKUP(B19,'Saldo CtosEjecución'!$B$14:$H$1048576,3,0)),"",VLOOKUP(B19,'Saldo CtosEjecución'!$B$14:$H$1048576,3,0)))</f>
        <v>1</v>
      </c>
      <c r="Q19" s="216">
        <f>IF(OR(J19="",K19="",N19="",O19="",P19=""),"",(J19*((K19+N19+O19)/100))-P19)</f>
        <v>574010109.79999995</v>
      </c>
      <c r="R19" s="217" t="str">
        <f>+IF(OR(Q18=0,E19="",I19=""),"",IF(Q18&gt;=I19,"HABIL","NO HABIL"))</f>
        <v>NO HABIL</v>
      </c>
    </row>
    <row r="20" spans="1:23" x14ac:dyDescent="0.2">
      <c r="B20" s="67">
        <f>+'Capacidad Financiera'!B22</f>
        <v>4</v>
      </c>
      <c r="C20" s="68" t="str">
        <f>IF(ISERROR(VLOOKUP(B20,'Capacidad Financiera'!$B$13:$AB$58066,2,0)),"",VLOOKUP(B20,'Capacidad Financiera'!$B$13:$AB$58066,2,0))</f>
        <v>UNION TEMPORAL OBRAS 2024 S &amp; C</v>
      </c>
      <c r="D20" s="69">
        <f>IF(ISERROR(VLOOKUP(B20,'Capacidad Financiera'!$B$13:$AB$58066,3,0)),"",VLOOKUP(B20,'Capacidad Financiera'!$B$13:$AB$58066,3,0))</f>
        <v>1</v>
      </c>
      <c r="E20" s="71">
        <f>'Capacidad Financiera'!M22</f>
        <v>1</v>
      </c>
      <c r="F20" s="70">
        <f>IF(ISERROR(VLOOKUP(E20,POA!$A$2:$D$7,2,0)),"",VLOOKUP(E20,POA!$A$2:$D$7,2,0))</f>
        <v>881383180</v>
      </c>
      <c r="G20" s="70">
        <f>IF(ISERROR(VLOOKUP(E20,POA!$A$2:$D$7,3,0)),"",VLOOKUP(E20,POA!$A$2:$D$7,4,0))</f>
        <v>0</v>
      </c>
      <c r="H20" s="71">
        <f>IF(ISERROR(VLOOKUP(E20,POA!$A$2:$D$2,3,0)),"",VLOOKUP(E20,POA!$A$2:$D$2,3,0))</f>
        <v>3</v>
      </c>
      <c r="I20" s="68">
        <f t="shared" ref="I20:I30" si="4">IF(H20="","",IF(H20&lt;12,(F20-G20),IF(H20&gt;=12,(((F20-G20)/H20)*12),"")))</f>
        <v>881383180</v>
      </c>
      <c r="J20" s="71"/>
      <c r="K20" s="68"/>
      <c r="L20" s="68"/>
      <c r="M20" s="68">
        <f>+SUM(M21:M24)</f>
        <v>0</v>
      </c>
      <c r="N20" s="71" t="str">
        <f>IF(ISERROR(VLOOKUP(J20,POA!$A$2:$C$2,3,0)),"",VLOOKUP(J20,POA!$A$2:$C$2,3,0))</f>
        <v/>
      </c>
      <c r="O20" s="68" t="str">
        <f t="shared" ref="O20" si="5">IF(ISERROR(+K20/N20),"",(K20/N20))</f>
        <v/>
      </c>
      <c r="P20" s="73"/>
      <c r="Q20" s="73">
        <f>SUM(Q21:Q22)</f>
        <v>0</v>
      </c>
      <c r="R20" s="121"/>
      <c r="T20" s="97"/>
      <c r="U20" s="98"/>
      <c r="V20" s="85"/>
      <c r="W20" s="85"/>
    </row>
    <row r="21" spans="1:23" x14ac:dyDescent="0.2">
      <c r="A21" s="279"/>
      <c r="B21" s="203">
        <f>+'Capacidad Financiera'!B23</f>
        <v>4.0999999999999996</v>
      </c>
      <c r="C21" s="66" t="str">
        <f>IF(ISERROR(VLOOKUP(B21,'Capacidad Financiera'!$B$13:$AB$58066,2,0)),"",VLOOKUP(B21,'Capacidad Financiera'!$B$13:$AB$58066,2,0))</f>
        <v>SEÑALES LTDA</v>
      </c>
      <c r="D21" s="210">
        <f>IF(ISERROR(VLOOKUP(B21,'Capacidad Financiera'!$B$13:$AB$58066,3,0)),"",VLOOKUP(B21,'Capacidad Financiera'!$B$13:$AB$58066,3,0))</f>
        <v>0.1</v>
      </c>
      <c r="E21" s="211">
        <f>'Capacidad Financiera'!M23</f>
        <v>1</v>
      </c>
      <c r="F21" s="196">
        <f>IF(ISERROR(VLOOKUP(E21,POA!$A$2:$D$7,2,0)),"",VLOOKUP(E21,POA!$A$2:$D$7,2,0))</f>
        <v>881383180</v>
      </c>
      <c r="G21" s="196">
        <f>IF(ISERROR(VLOOKUP(E21,POA!$A$2:$D$7,3,0)),"",VLOOKUP(E21,POA!$A$2:$D$7,4,0))</f>
        <v>0</v>
      </c>
      <c r="H21" s="211">
        <f>IF(ISERROR(VLOOKUP(E21,POA!$A$2:$D$2,3,0)),"",VLOOKUP(E21,POA!$A$2:$D$2,3,0))</f>
        <v>3</v>
      </c>
      <c r="I21" s="212">
        <f t="shared" si="4"/>
        <v>881383180</v>
      </c>
      <c r="J21" s="213">
        <f>IF(IF(ISERROR(VLOOKUP(B21,'Cap Organización'!$B$14:$H$1048576,3,0)),"",VLOOKUP(B21,'Cap Organización'!$B$14:$H$1048576,3,0))=0,"",IF(ISERROR(VLOOKUP(B21,'Cap Organización'!$B$14:$H$1048576,3,0)),"",VLOOKUP(B21,'Cap Organización'!$B$14:$H$1048576,3,0)))</f>
        <v>12846548984</v>
      </c>
      <c r="K21" s="214">
        <f>IF(ISERROR(VLOOKUP(B21,'Puntaje Exp'!$B$14:$H$1048576,7,0)),"",VLOOKUP(B21,'Puntaje Exp'!$B$14:$H$1048576,7,0))</f>
        <v>120</v>
      </c>
      <c r="L21" s="214">
        <f>+'Capacidad Financiera'!O23</f>
        <v>0</v>
      </c>
      <c r="M21" s="214" t="str">
        <f>IF(ISERROR(VLOOKUP(L21,POA!$A$2:$F$7,6,0)),"",VLOOKUP(L21,POA!$A$2:$F$7,6,0))</f>
        <v/>
      </c>
      <c r="N21" s="214">
        <f>IF(ISERROR(VLOOKUP(B21,'Puntaje CT'!$B$14:$H$1048576,4,0)),"",VLOOKUP(B21,'Puntaje CT'!$B$14:$H$1048576,4,0))</f>
        <v>30</v>
      </c>
      <c r="O21" s="214">
        <f>IF(ISERROR(VLOOKUP(B21,'Puntaje CF'!$B$14:$H$1048576,6,0)),"",VLOOKUP(B21,'Puntaje CF'!$B$14:$H$1048576,6,0))</f>
        <v>40</v>
      </c>
      <c r="P21" s="215" t="str">
        <f>IF(IF(ISERROR(VLOOKUP(B21,'Saldo CtosEjecución'!$B$14:$H$1048576,3,0)),"",VLOOKUP(B21,'Saldo CtosEjecución'!$B$14:$H$1048576,3,0))=0,"",IF(ISERROR(VLOOKUP(B21,'Saldo CtosEjecución'!$B$14:$H$1048576,3,0)),"",VLOOKUP(B21,'Saldo CtosEjecución'!$B$14:$H$1048576,3,0)))</f>
        <v/>
      </c>
      <c r="Q21" s="216" t="str">
        <f>IF(OR(J21="",K21="",N21="",O21="",P21=""),"",(J21*((K21+N21+O21)/100))-P21)</f>
        <v/>
      </c>
      <c r="R21" s="217" t="str">
        <f>+IF(OR(Q20=0,E21="",I21=""),"",IF(Q20&gt;=I21,"HABIL","NO HABIL"))</f>
        <v/>
      </c>
    </row>
    <row r="22" spans="1:23" ht="13.5" thickBot="1" x14ac:dyDescent="0.25">
      <c r="A22" s="279"/>
      <c r="B22" s="203">
        <f>+'Capacidad Financiera'!B24</f>
        <v>4.1999999999999993</v>
      </c>
      <c r="C22" s="66" t="str">
        <f>IF(ISERROR(VLOOKUP(B22,'Capacidad Financiera'!$B$13:$AB$58066,2,0)),"",VLOOKUP(B22,'Capacidad Financiera'!$B$13:$AB$58066,2,0))</f>
        <v>INFRAESTRUCTURA CAR Y CIA SAS</v>
      </c>
      <c r="D22" s="210">
        <f>IF(ISERROR(VLOOKUP(B22,'Capacidad Financiera'!$B$13:$AB$58066,3,0)),"",VLOOKUP(B22,'Capacidad Financiera'!$B$13:$AB$58066,3,0))</f>
        <v>0.9</v>
      </c>
      <c r="E22" s="211">
        <f>'Capacidad Financiera'!M24</f>
        <v>1</v>
      </c>
      <c r="F22" s="196">
        <f>IF(ISERROR(VLOOKUP(E22,POA!$A$2:$D$7,2,0)),"",VLOOKUP(E22,POA!$A$2:$D$7,2,0))</f>
        <v>881383180</v>
      </c>
      <c r="G22" s="196">
        <f>IF(ISERROR(VLOOKUP(E22,POA!$A$2:$D$7,3,0)),"",VLOOKUP(E22,POA!$A$2:$D$7,4,0))</f>
        <v>0</v>
      </c>
      <c r="H22" s="211">
        <f>IF(ISERROR(VLOOKUP(E22,POA!$A$2:$D$2,3,0)),"",VLOOKUP(E22,POA!$A$2:$D$2,3,0))</f>
        <v>3</v>
      </c>
      <c r="I22" s="212">
        <f t="shared" si="4"/>
        <v>881383180</v>
      </c>
      <c r="J22" s="213">
        <f>IF(IF(ISERROR(VLOOKUP(B22,'Cap Organización'!$B$14:$H$1048576,3,0)),"",VLOOKUP(B22,'Cap Organización'!$B$14:$H$1048576,3,0))=0,"",IF(ISERROR(VLOOKUP(B22,'Cap Organización'!$B$14:$H$1048576,3,0)),"",VLOOKUP(B22,'Cap Organización'!$B$14:$H$1048576,3,0)))</f>
        <v>467472313.19999999</v>
      </c>
      <c r="K22" s="214">
        <f>IF(ISERROR(VLOOKUP(B22,'Puntaje Exp'!$B$14:$H$1048576,7,0)),"",VLOOKUP(B22,'Puntaje Exp'!$B$14:$H$1048576,7,0))</f>
        <v>120</v>
      </c>
      <c r="L22" s="218">
        <f>+'Capacidad Financiera'!O24</f>
        <v>0</v>
      </c>
      <c r="M22" s="218" t="str">
        <f>IF(ISERROR(VLOOKUP(L22,POA!$A$2:$F$7,6,0)),"",VLOOKUP(L22,POA!$A$2:$F$7,6,0))</f>
        <v/>
      </c>
      <c r="N22" s="214">
        <f>IF(ISERROR(VLOOKUP(B22,'Puntaje CT'!$B$14:$H$1048576,4,0)),"",VLOOKUP(B22,'Puntaje CT'!$B$14:$H$1048576,4,0))</f>
        <v>40</v>
      </c>
      <c r="O22" s="214">
        <f>IF(ISERROR(VLOOKUP(B22,'Puntaje CF'!$B$14:$H$1048576,6,0)),"",VLOOKUP(B22,'Puntaje CF'!$B$14:$H$1048576,6,0))</f>
        <v>40</v>
      </c>
      <c r="P22" s="215" t="str">
        <f>IF(IF(ISERROR(VLOOKUP(B22,'Saldo CtosEjecución'!$B$14:$H$1048576,3,0)),"",VLOOKUP(B22,'Saldo CtosEjecución'!$B$14:$H$1048576,3,0))=0,"",IF(ISERROR(VLOOKUP(B22,'Saldo CtosEjecución'!$B$14:$H$1048576,3,0)),"",VLOOKUP(B22,'Saldo CtosEjecución'!$B$14:$H$1048576,3,0)))</f>
        <v/>
      </c>
      <c r="Q22" s="216" t="str">
        <f>IF(OR(J22="",K22="",N22="",O22="",P22=""),"",(J22*((K22+N22+O22)/100))-P22)</f>
        <v/>
      </c>
      <c r="R22" s="217" t="str">
        <f>+IF(OR(Q20=0,E22="",I22=""),"",IF(Q20&gt;=I22,"HABIL","NO HABIL"))</f>
        <v/>
      </c>
    </row>
    <row r="23" spans="1:23" x14ac:dyDescent="0.2">
      <c r="B23" s="67">
        <f>+'Capacidad Financiera'!B25</f>
        <v>5</v>
      </c>
      <c r="C23" s="68" t="str">
        <f>IF(ISERROR(VLOOKUP(B23,'Capacidad Financiera'!$B$13:$AB$58066,2,0)),"",VLOOKUP(B23,'Capacidad Financiera'!$B$13:$AB$58066,2,0))</f>
        <v>S &amp; S INGENIERIA CIVIL SAS</v>
      </c>
      <c r="D23" s="69">
        <f>IF(ISERROR(VLOOKUP(B23,'Capacidad Financiera'!$B$13:$AB$58066,3,0)),"",VLOOKUP(B23,'Capacidad Financiera'!$B$13:$AB$58066,3,0))</f>
        <v>1</v>
      </c>
      <c r="E23" s="71">
        <v>1</v>
      </c>
      <c r="F23" s="70">
        <f>IF(ISERROR(VLOOKUP(E23,POA!$A$2:$D$7,2,0)),"",VLOOKUP(E23,POA!$A$2:$D$7,2,0))</f>
        <v>881383180</v>
      </c>
      <c r="G23" s="70">
        <f>IF(ISERROR(VLOOKUP(E23,POA!$A$2:$D$7,3,0)),"",VLOOKUP(E23,POA!$A$2:$D$7,4,0))</f>
        <v>0</v>
      </c>
      <c r="H23" s="71">
        <f>IF(ISERROR(VLOOKUP(E23,POA!$A$2:$D$2,3,0)),"",VLOOKUP(E23,POA!$A$2:$D$2,3,0))</f>
        <v>3</v>
      </c>
      <c r="I23" s="68">
        <f t="shared" si="4"/>
        <v>881383180</v>
      </c>
      <c r="J23" s="71"/>
      <c r="K23" s="68"/>
      <c r="L23" s="68"/>
      <c r="M23" s="68">
        <f>+SUM(M24:M24)</f>
        <v>0</v>
      </c>
      <c r="N23" s="71" t="str">
        <f>IF(ISERROR(VLOOKUP(J23,POA!$A$2:$C$2,3,0)),"",VLOOKUP(J23,POA!$A$2:$C$2,3,0))</f>
        <v/>
      </c>
      <c r="O23" s="68" t="str">
        <f t="shared" ref="O23" si="6">IF(ISERROR(+K23/N23),"",(K23/N23))</f>
        <v/>
      </c>
      <c r="P23" s="73"/>
      <c r="Q23" s="73">
        <f>SUM(Q24:Q24)</f>
        <v>13394952911.039999</v>
      </c>
      <c r="R23" s="121" t="str">
        <f>+IF(OR(Q23=0,E23="",I23=""),"",IF(Q23&gt;=I23,"HABIL","NO HABIL"))</f>
        <v>HABIL</v>
      </c>
    </row>
    <row r="24" spans="1:23" ht="13.5" thickBot="1" x14ac:dyDescent="0.25">
      <c r="A24" s="279" t="s">
        <v>259</v>
      </c>
      <c r="B24" s="203">
        <f>+'Capacidad Financiera'!B26</f>
        <v>5.0999999999999996</v>
      </c>
      <c r="C24" s="66" t="str">
        <f>IF(ISERROR(VLOOKUP(B24,'Capacidad Financiera'!$B$13:$AB$58066,2,0)),"",VLOOKUP(B24,'Capacidad Financiera'!$B$13:$AB$58066,2,0))</f>
        <v>S&amp;S INGENIERIA CIVIL SAS|</v>
      </c>
      <c r="D24" s="210">
        <f>IF(ISERROR(VLOOKUP(B24,'Capacidad Financiera'!$B$13:$AB$58066,3,0)),"",VLOOKUP(B24,'Capacidad Financiera'!$B$13:$AB$58066,3,0))</f>
        <v>1</v>
      </c>
      <c r="E24" s="211">
        <v>1</v>
      </c>
      <c r="F24" s="196">
        <f>IF(ISERROR(VLOOKUP(E24,POA!$A$2:$D$7,2,0)),"",VLOOKUP(E24,POA!$A$2:$D$7,2,0))</f>
        <v>881383180</v>
      </c>
      <c r="G24" s="196">
        <f>IF(ISERROR(VLOOKUP(E24,POA!$A$2:$D$7,3,0)),"",VLOOKUP(E24,POA!$A$2:$D$7,4,0))</f>
        <v>0</v>
      </c>
      <c r="H24" s="211">
        <f>IF(ISERROR(VLOOKUP(E24,POA!$A$2:$D$2,3,0)),"",VLOOKUP(E24,POA!$A$2:$D$2,3,0))</f>
        <v>3</v>
      </c>
      <c r="I24" s="212">
        <f t="shared" si="4"/>
        <v>881383180</v>
      </c>
      <c r="J24" s="213">
        <f>IF(IF(ISERROR(VLOOKUP(B24,'Cap Organización'!$B$14:$H$1048576,3,0)),"",VLOOKUP(B24,'Cap Organización'!$B$14:$H$1048576,3,0))=0,"",IF(ISERROR(VLOOKUP(B24,'Cap Organización'!$B$14:$H$1048576,3,0)),"",VLOOKUP(B24,'Cap Organización'!$B$14:$H$1048576,3,0)))</f>
        <v>9076184278</v>
      </c>
      <c r="K24" s="214">
        <f>IF(ISERROR(VLOOKUP(B24,'Puntaje Exp'!$B$14:$H$1048576,7,0)),"",VLOOKUP(B24,'Puntaje Exp'!$B$14:$H$1048576,7,0))</f>
        <v>120</v>
      </c>
      <c r="L24" s="214" t="e">
        <f>+'Capacidad Financiera'!#REF!</f>
        <v>#REF!</v>
      </c>
      <c r="M24" s="214" t="str">
        <f>IF(ISERROR(VLOOKUP(L24,POA!$A$2:$F$7,6,0)),"",VLOOKUP(L24,POA!$A$2:$F$7,6,0))</f>
        <v/>
      </c>
      <c r="N24" s="214">
        <f>IF(ISERROR(VLOOKUP(B24,'Puntaje CT'!$B$14:$H$1048576,4,0)),"",VLOOKUP(B24,'Puntaje CT'!$B$14:$H$1048576,4,0))</f>
        <v>20</v>
      </c>
      <c r="O24" s="214">
        <f>IF(ISERROR(VLOOKUP(B24,'Puntaje CF'!$B$14:$H$1048576,6,0)),"",VLOOKUP(B24,'Puntaje CF'!$B$14:$H$1048576,6,0))</f>
        <v>40</v>
      </c>
      <c r="P24" s="215">
        <f>IF(IF(ISERROR(VLOOKUP(B24,'Saldo CtosEjecución'!$B$14:$H$1048576,3,0)),"",VLOOKUP(B24,'Saldo CtosEjecución'!$B$14:$H$1048576,3,0))=0,"",IF(ISERROR(VLOOKUP(B24,'Saldo CtosEjecución'!$B$14:$H$1048576,3,0)),"",VLOOKUP(B24,'Saldo CtosEjecución'!$B$14:$H$1048576,3,0)))</f>
        <v>2942178789.3600001</v>
      </c>
      <c r="Q24" s="216">
        <f>IF(OR(J24="",K24="",N24="",O24="",P24=""),"",(J24*((K24+N24+O24)/100))-P24)</f>
        <v>13394952911.039999</v>
      </c>
      <c r="R24" s="217"/>
    </row>
    <row r="25" spans="1:23" x14ac:dyDescent="0.2">
      <c r="B25" s="67">
        <f>+'Capacidad Financiera'!B28</f>
        <v>6</v>
      </c>
      <c r="C25" s="68" t="str">
        <f>IF(ISERROR(VLOOKUP(B25,'Capacidad Financiera'!$B$13:$AB$58066,2,0)),"",VLOOKUP(B25,'Capacidad Financiera'!$B$13:$AB$58066,2,0))</f>
        <v>CONSORCIO FFMM</v>
      </c>
      <c r="D25" s="69">
        <f>IF(ISERROR(VLOOKUP(B25,'Capacidad Financiera'!$B$13:$AB$58066,3,0)),"",VLOOKUP(B25,'Capacidad Financiera'!$B$13:$AB$58066,3,0))</f>
        <v>1</v>
      </c>
      <c r="E25" s="71">
        <v>1</v>
      </c>
      <c r="F25" s="70">
        <f>IF(ISERROR(VLOOKUP(E25,POA!$A$2:$D$7,2,0)),"",VLOOKUP(E25,POA!$A$2:$D$7,2,0))</f>
        <v>881383180</v>
      </c>
      <c r="G25" s="70">
        <f>IF(ISERROR(VLOOKUP(E25,POA!$A$2:$D$7,3,0)),"",VLOOKUP(E25,POA!$A$2:$D$7,4,0))</f>
        <v>0</v>
      </c>
      <c r="H25" s="71">
        <f>IF(ISERROR(VLOOKUP(E25,POA!$A$2:$D$2,3,0)),"",VLOOKUP(E25,POA!$A$2:$D$2,3,0))</f>
        <v>3</v>
      </c>
      <c r="I25" s="68">
        <f t="shared" si="4"/>
        <v>881383180</v>
      </c>
      <c r="J25" s="71"/>
      <c r="K25" s="68"/>
      <c r="L25" s="68"/>
      <c r="M25" s="68">
        <f>+SUM(M26:M27)</f>
        <v>0</v>
      </c>
      <c r="N25" s="71" t="str">
        <f>IF(ISERROR(VLOOKUP(J25,POA!$A$2:$C$2,3,0)),"",VLOOKUP(J25,POA!$A$2:$C$2,3,0))</f>
        <v/>
      </c>
      <c r="O25" s="68" t="str">
        <f t="shared" ref="O25" si="7">IF(ISERROR(+K25/N25),"",(K25/N25))</f>
        <v/>
      </c>
      <c r="P25" s="73"/>
      <c r="Q25" s="73">
        <f>SUM(Q26:Q27)</f>
        <v>3342242536</v>
      </c>
      <c r="R25" s="121" t="str">
        <f>+IF(OR(Q25=0,E25="",I25=""),"",IF(Q25&gt;=I25,"HABIL","NO HABIL"))</f>
        <v>HABIL</v>
      </c>
    </row>
    <row r="26" spans="1:23" x14ac:dyDescent="0.2">
      <c r="A26" s="279" t="s">
        <v>258</v>
      </c>
      <c r="B26" s="203">
        <f>+'Capacidad Financiera'!B29</f>
        <v>6.1</v>
      </c>
      <c r="C26" s="66" t="str">
        <f>IF(ISERROR(VLOOKUP(B26,'Capacidad Financiera'!$B$13:$AB$58066,2,0)),"",VLOOKUP(B26,'Capacidad Financiera'!$B$13:$AB$58066,2,0))</f>
        <v>INGENIECOL SAS</v>
      </c>
      <c r="D26" s="210">
        <f>IF(ISERROR(VLOOKUP(B26,'Capacidad Financiera'!$B$13:$AB$58066,3,0)),"",VLOOKUP(B26,'Capacidad Financiera'!$B$13:$AB$58066,3,0))</f>
        <v>0.5</v>
      </c>
      <c r="E26" s="211">
        <v>1</v>
      </c>
      <c r="F26" s="196">
        <f>IF(ISERROR(VLOOKUP(E26,POA!$A$2:$D$7,2,0)),"",VLOOKUP(E26,POA!$A$2:$D$7,2,0))</f>
        <v>881383180</v>
      </c>
      <c r="G26" s="196">
        <f>IF(ISERROR(VLOOKUP(E26,POA!$A$2:$D$7,3,0)),"",VLOOKUP(E26,POA!$A$2:$D$7,4,0))</f>
        <v>0</v>
      </c>
      <c r="H26" s="211">
        <f>IF(ISERROR(VLOOKUP(E26,POA!$A$2:$D$2,3,0)),"",VLOOKUP(E26,POA!$A$2:$D$2,3,0))</f>
        <v>3</v>
      </c>
      <c r="I26" s="212">
        <f t="shared" si="4"/>
        <v>881383180</v>
      </c>
      <c r="J26" s="213">
        <f>IF(IF(ISERROR(VLOOKUP(B26,'Cap Organización'!$B$14:$H$1048576,3,0)),"",VLOOKUP(B26,'Cap Organización'!$B$14:$H$1048576,3,0))=0,"",IF(ISERROR(VLOOKUP(B26,'Cap Organización'!$B$14:$H$1048576,3,0)),"",VLOOKUP(B26,'Cap Organización'!$B$14:$H$1048576,3,0)))</f>
        <v>726711906</v>
      </c>
      <c r="K26" s="214">
        <f>IF(ISERROR(VLOOKUP(B26,'Puntaje Exp'!$B$14:$H$1048576,7,0)),"",VLOOKUP(B26,'Puntaje Exp'!$B$14:$H$1048576,7,0))</f>
        <v>120</v>
      </c>
      <c r="L26" s="214" t="e">
        <f>+'Capacidad Financiera'!#REF!</f>
        <v>#REF!</v>
      </c>
      <c r="M26" s="214" t="str">
        <f>IF(ISERROR(VLOOKUP(L26,POA!$A$2:$F$7,6,0)),"",VLOOKUP(L26,POA!$A$2:$F$7,6,0))</f>
        <v/>
      </c>
      <c r="N26" s="214">
        <f>IF(ISERROR(VLOOKUP(B26,'Puntaje CT'!$B$14:$H$1048576,4,0)),"",VLOOKUP(B26,'Puntaje CT'!$B$14:$H$1048576,4,0))</f>
        <v>20</v>
      </c>
      <c r="O26" s="214">
        <f>IF(ISERROR(VLOOKUP(B26,'Puntaje CF'!$B$14:$H$1048576,6,0)),"",VLOOKUP(B26,'Puntaje CF'!$B$14:$H$1048576,6,0))</f>
        <v>40</v>
      </c>
      <c r="P26" s="215">
        <f>IF(IF(ISERROR(VLOOKUP(B26,'Saldo CtosEjecución'!$B$14:$H$1048576,3,0)),"",VLOOKUP(B26,'Saldo CtosEjecución'!$B$14:$H$1048576,3,0))=0,"",IF(ISERROR(VLOOKUP(B26,'Saldo CtosEjecución'!$B$14:$H$1048576,3,0)),"",VLOOKUP(B26,'Saldo CtosEjecución'!$B$14:$H$1048576,3,0)))</f>
        <v>1</v>
      </c>
      <c r="Q26" s="216">
        <f>IF(OR(J26="",K26="",N26="",O26="",P26=""),"",(J26*((K26+N26+O26)/100))-P26)</f>
        <v>1308081429.8</v>
      </c>
      <c r="R26" s="217"/>
    </row>
    <row r="27" spans="1:23" ht="13.5" thickBot="1" x14ac:dyDescent="0.25">
      <c r="A27" s="279" t="s">
        <v>260</v>
      </c>
      <c r="B27" s="203">
        <f>+'Capacidad Financiera'!B30</f>
        <v>6.1999999999999993</v>
      </c>
      <c r="C27" s="66" t="str">
        <f>IF(ISERROR(VLOOKUP(B27,'Capacidad Financiera'!$B$13:$AB$58066,2,0)),"",VLOOKUP(B27,'Capacidad Financiera'!$B$13:$AB$58066,2,0))</f>
        <v>FF CONSTRUCCIONES Y CONSULTORIA SAS</v>
      </c>
      <c r="D27" s="210">
        <f>IF(ISERROR(VLOOKUP(B27,'Capacidad Financiera'!$B$13:$AB$58066,3,0)),"",VLOOKUP(B27,'Capacidad Financiera'!$B$13:$AB$58066,3,0))</f>
        <v>0.5</v>
      </c>
      <c r="E27" s="211">
        <v>1</v>
      </c>
      <c r="F27" s="196">
        <f>IF(ISERROR(VLOOKUP(E27,POA!$A$2:$D$7,2,0)),"",VLOOKUP(E27,POA!$A$2:$D$7,2,0))</f>
        <v>881383180</v>
      </c>
      <c r="G27" s="196">
        <f>IF(ISERROR(VLOOKUP(E27,POA!$A$2:$D$7,3,0)),"",VLOOKUP(E27,POA!$A$2:$D$7,4,0))</f>
        <v>0</v>
      </c>
      <c r="H27" s="211">
        <f>IF(ISERROR(VLOOKUP(E27,POA!$A$2:$D$2,3,0)),"",VLOOKUP(E27,POA!$A$2:$D$2,3,0))</f>
        <v>3</v>
      </c>
      <c r="I27" s="212">
        <f t="shared" si="4"/>
        <v>881383180</v>
      </c>
      <c r="J27" s="213">
        <f>IF(IF(ISERROR(VLOOKUP(B27,'Cap Organización'!$B$14:$H$1048576,3,0)),"",VLOOKUP(B27,'Cap Organización'!$B$14:$H$1048576,3,0))=0,"",IF(ISERROR(VLOOKUP(B27,'Cap Organización'!$B$14:$H$1048576,3,0)),"",VLOOKUP(B27,'Cap Organización'!$B$14:$H$1048576,3,0)))</f>
        <v>1130089504</v>
      </c>
      <c r="K27" s="214">
        <f>IF(ISERROR(VLOOKUP(B27,'Puntaje Exp'!$B$14:$H$1048576,7,0)),"",VLOOKUP(B27,'Puntaje Exp'!$B$14:$H$1048576,7,0))</f>
        <v>120</v>
      </c>
      <c r="L27" s="218" t="e">
        <f>+'Capacidad Financiera'!#REF!</f>
        <v>#REF!</v>
      </c>
      <c r="M27" s="218" t="str">
        <f>IF(ISERROR(VLOOKUP(L27,POA!$A$2:$F$7,6,0)),"",VLOOKUP(L27,POA!$A$2:$F$7,6,0))</f>
        <v/>
      </c>
      <c r="N27" s="214">
        <f>IF(ISERROR(VLOOKUP(B27,'Puntaje CT'!$B$14:$H$1048576,4,0)),"",VLOOKUP(B27,'Puntaje CT'!$B$14:$H$1048576,4,0))</f>
        <v>20</v>
      </c>
      <c r="O27" s="214">
        <f>IF(ISERROR(VLOOKUP(B27,'Puntaje CF'!$B$14:$H$1048576,6,0)),"",VLOOKUP(B27,'Puntaje CF'!$B$14:$H$1048576,6,0))</f>
        <v>40</v>
      </c>
      <c r="P27" s="215">
        <f>IF(IF(ISERROR(VLOOKUP(B27,'Saldo CtosEjecución'!$B$14:$H$1048576,3,0)),"",VLOOKUP(B27,'Saldo CtosEjecución'!$B$14:$H$1048576,3,0))=0,"",IF(ISERROR(VLOOKUP(B27,'Saldo CtosEjecución'!$B$14:$H$1048576,3,0)),"",VLOOKUP(B27,'Saldo CtosEjecución'!$B$14:$H$1048576,3,0)))</f>
        <v>1</v>
      </c>
      <c r="Q27" s="216">
        <f>IF(OR(J27="",K27="",N27="",O27="",P27=""),"",(J27*((K27+N27+O27)/100))-P27)</f>
        <v>2034161106.2</v>
      </c>
      <c r="R27" s="217"/>
    </row>
    <row r="28" spans="1:23" x14ac:dyDescent="0.2">
      <c r="B28" s="67">
        <f>+'Capacidad Financiera'!B31</f>
        <v>7</v>
      </c>
      <c r="C28" s="68" t="str">
        <f>IF(ISERROR(VLOOKUP(B28,'Capacidad Financiera'!$B$13:$AB$58066,2,0)),"",VLOOKUP(B28,'Capacidad Financiera'!$B$13:$AB$58066,2,0))</f>
        <v>CONSORCIO OBRAS Y PROGRESO 23</v>
      </c>
      <c r="D28" s="69">
        <f>IF(ISERROR(VLOOKUP(B28,'Capacidad Financiera'!$B$13:$AB$58066,3,0)),"",VLOOKUP(B28,'Capacidad Financiera'!$B$13:$AB$58066,3,0))</f>
        <v>1</v>
      </c>
      <c r="E28" s="71">
        <v>1</v>
      </c>
      <c r="F28" s="70">
        <f>IF(ISERROR(VLOOKUP(E28,POA!$A$2:$D$7,2,0)),"",VLOOKUP(E28,POA!$A$2:$D$7,2,0))</f>
        <v>881383180</v>
      </c>
      <c r="G28" s="70">
        <f>IF(ISERROR(VLOOKUP(E28,POA!$A$2:$D$7,3,0)),"",VLOOKUP(E28,POA!$A$2:$D$7,4,0))</f>
        <v>0</v>
      </c>
      <c r="H28" s="71">
        <f>IF(ISERROR(VLOOKUP(E28,POA!$A$2:$D$2,3,0)),"",VLOOKUP(E28,POA!$A$2:$D$2,3,0))</f>
        <v>3</v>
      </c>
      <c r="I28" s="68">
        <f t="shared" si="4"/>
        <v>881383180</v>
      </c>
      <c r="J28" s="71"/>
      <c r="K28" s="68"/>
      <c r="L28" s="68"/>
      <c r="M28" s="68">
        <f>+SUM(M29:M31)</f>
        <v>0</v>
      </c>
      <c r="N28" s="71" t="str">
        <f>IF(ISERROR(VLOOKUP(J28,POA!$A$2:$C$2,3,0)),"",VLOOKUP(J28,POA!$A$2:$C$2,3,0))</f>
        <v/>
      </c>
      <c r="O28" s="68" t="str">
        <f t="shared" ref="O28" si="8">IF(ISERROR(+K28/N28),"",(K28/N28))</f>
        <v/>
      </c>
      <c r="P28" s="73"/>
      <c r="Q28" s="73">
        <f>SUM(Q29:Q31)</f>
        <v>4312001290.5</v>
      </c>
      <c r="R28" s="121" t="str">
        <f>+IF(OR(Q28=0,E28="",I28=""),"",IF(Q28&gt;=I28,"HABIL","NO HABIL"))</f>
        <v>HABIL</v>
      </c>
    </row>
    <row r="29" spans="1:23" x14ac:dyDescent="0.2">
      <c r="A29" s="279" t="s">
        <v>261</v>
      </c>
      <c r="B29" s="203">
        <f>+'Capacidad Financiera'!B32</f>
        <v>7.1</v>
      </c>
      <c r="C29" s="66" t="str">
        <f>IF(ISERROR(VLOOKUP(B29,'Capacidad Financiera'!$B$13:$AB$58066,2,0)),"",VLOOKUP(B29,'Capacidad Financiera'!$B$13:$AB$58066,2,0))</f>
        <v>ANTONIO OCHOA CERA</v>
      </c>
      <c r="D29" s="210">
        <f>IF(ISERROR(VLOOKUP(B29,'Capacidad Financiera'!$B$13:$AB$58066,3,0)),"",VLOOKUP(B29,'Capacidad Financiera'!$B$13:$AB$58066,3,0))</f>
        <v>0.1</v>
      </c>
      <c r="E29" s="211">
        <v>1</v>
      </c>
      <c r="F29" s="196">
        <f>IF(ISERROR(VLOOKUP(E29,POA!$A$2:$D$7,2,0)),"",VLOOKUP(E29,POA!$A$2:$D$7,2,0))</f>
        <v>881383180</v>
      </c>
      <c r="G29" s="196">
        <f>IF(ISERROR(VLOOKUP(E29,POA!$A$2:$D$7,3,0)),"",VLOOKUP(E29,POA!$A$2:$D$7,4,0))</f>
        <v>0</v>
      </c>
      <c r="H29" s="211">
        <f>IF(ISERROR(VLOOKUP(E29,POA!$A$2:$D$2,3,0)),"",VLOOKUP(E29,POA!$A$2:$D$2,3,0))</f>
        <v>3</v>
      </c>
      <c r="I29" s="212">
        <f t="shared" si="4"/>
        <v>881383180</v>
      </c>
      <c r="J29" s="213">
        <f>IF(IF(ISERROR(VLOOKUP(B29,'Cap Organización'!$B$14:$H$1048576,3,0)),"",VLOOKUP(B29,'Cap Organización'!$B$14:$H$1048576,3,0))=0,"",IF(ISERROR(VLOOKUP(B29,'Cap Organización'!$B$14:$H$1048576,3,0)),"",VLOOKUP(B29,'Cap Organización'!$B$14:$H$1048576,3,0)))</f>
        <v>1401240000</v>
      </c>
      <c r="K29" s="214">
        <f>IF(ISERROR(VLOOKUP(B29,'Puntaje Exp'!$B$14:$H$1048576,7,0)),"",VLOOKUP(B29,'Puntaje Exp'!$B$14:$H$1048576,7,0))</f>
        <v>120</v>
      </c>
      <c r="L29" s="214" t="e">
        <f>+'Capacidad Financiera'!#REF!</f>
        <v>#REF!</v>
      </c>
      <c r="M29" s="214" t="str">
        <f>IF(ISERROR(VLOOKUP(L29,POA!$A$2:$F$7,6,0)),"",VLOOKUP(L29,POA!$A$2:$F$7,6,0))</f>
        <v/>
      </c>
      <c r="N29" s="214">
        <f>IF(ISERROR(VLOOKUP(B29,'Puntaje CT'!$B$14:$H$1048576,4,0)),"",VLOOKUP(B29,'Puntaje CT'!$B$14:$H$1048576,4,0))</f>
        <v>20</v>
      </c>
      <c r="O29" s="214">
        <f>IF(ISERROR(VLOOKUP(B29,'Puntaje CF'!$B$14:$H$1048576,6,0)),"",VLOOKUP(B29,'Puntaje CF'!$B$14:$H$1048576,6,0))</f>
        <v>40</v>
      </c>
      <c r="P29" s="215">
        <f>IF(IF(ISERROR(VLOOKUP(B29,'Saldo CtosEjecución'!$B$14:$H$1048576,3,0)),"",VLOOKUP(B29,'Saldo CtosEjecución'!$B$14:$H$1048576,3,0))=0,"",IF(ISERROR(VLOOKUP(B29,'Saldo CtosEjecución'!$B$14:$H$1048576,3,0)),"",VLOOKUP(B29,'Saldo CtosEjecución'!$B$14:$H$1048576,3,0)))</f>
        <v>968935338.70000005</v>
      </c>
      <c r="Q29" s="216">
        <f>IF(OR(J29="",K29="",N29="",O29="",P29=""),"",(J29*((K29+N29+O29)/100))-P29)</f>
        <v>1553296661.3</v>
      </c>
      <c r="R29" s="217"/>
    </row>
    <row r="30" spans="1:23" ht="13.5" thickBot="1" x14ac:dyDescent="0.25">
      <c r="B30" s="203">
        <f>+'Capacidad Financiera'!B33</f>
        <v>7.1999999999999993</v>
      </c>
      <c r="C30" s="66" t="str">
        <f>IF(ISERROR(VLOOKUP(B30,'Capacidad Financiera'!$B$13:$AB$58066,2,0)),"",VLOOKUP(B30,'Capacidad Financiera'!$B$13:$AB$58066,2,0))</f>
        <v>ING CONSTRUCCIONES SAS</v>
      </c>
      <c r="D30" s="210">
        <f>IF(ISERROR(VLOOKUP(B30,'Capacidad Financiera'!$B$13:$AB$58066,3,0)),"",VLOOKUP(B30,'Capacidad Financiera'!$B$13:$AB$58066,3,0))</f>
        <v>0.9</v>
      </c>
      <c r="E30" s="211">
        <v>1</v>
      </c>
      <c r="F30" s="196">
        <f>IF(ISERROR(VLOOKUP(E30,POA!$A$2:$D$7,2,0)),"",VLOOKUP(E30,POA!$A$2:$D$7,2,0))</f>
        <v>881383180</v>
      </c>
      <c r="G30" s="196">
        <f>IF(ISERROR(VLOOKUP(E30,POA!$A$2:$D$7,3,0)),"",VLOOKUP(E30,POA!$A$2:$D$7,4,0))</f>
        <v>0</v>
      </c>
      <c r="H30" s="211">
        <f>IF(ISERROR(VLOOKUP(E30,POA!$A$2:$D$2,3,0)),"",VLOOKUP(E30,POA!$A$2:$D$2,3,0))</f>
        <v>3</v>
      </c>
      <c r="I30" s="212">
        <f t="shared" si="4"/>
        <v>881383180</v>
      </c>
      <c r="J30" s="213">
        <f>IF(IF(ISERROR(VLOOKUP(B30,'Cap Organización'!$B$14:$H$1048576,3,0)),"",VLOOKUP(B30,'Cap Organización'!$B$14:$H$1048576,3,0))=0,"",IF(ISERROR(VLOOKUP(B30,'Cap Organización'!$B$14:$H$1048576,3,0)),"",VLOOKUP(B30,'Cap Organización'!$B$14:$H$1048576,3,0)))</f>
        <v>3442351084</v>
      </c>
      <c r="K30" s="214">
        <f>IF(ISERROR(VLOOKUP(B30,'Puntaje Exp'!$B$14:$H$1048576,7,0)),"",VLOOKUP(B30,'Puntaje Exp'!$B$14:$H$1048576,7,0))</f>
        <v>120</v>
      </c>
      <c r="L30" s="218" t="e">
        <f>+'Capacidad Financiera'!#REF!</f>
        <v>#REF!</v>
      </c>
      <c r="M30" s="218" t="str">
        <f>IF(ISERROR(VLOOKUP(L30,POA!$A$2:$F$7,6,0)),"",VLOOKUP(L30,POA!$A$2:$F$7,6,0))</f>
        <v/>
      </c>
      <c r="N30" s="214">
        <f>IF(ISERROR(VLOOKUP(B30,'Puntaje CT'!$B$14:$H$1048576,4,0)),"",VLOOKUP(B30,'Puntaje CT'!$B$14:$H$1048576,4,0))</f>
        <v>20</v>
      </c>
      <c r="O30" s="214">
        <f>IF(ISERROR(VLOOKUP(B30,'Puntaje CF'!$B$14:$H$1048576,6,0)),"",VLOOKUP(B30,'Puntaje CF'!$B$14:$H$1048576,6,0))</f>
        <v>40</v>
      </c>
      <c r="P30" s="215">
        <f>IF(IF(ISERROR(VLOOKUP(B30,'Saldo CtosEjecución'!$B$14:$H$1048576,3,0)),"",VLOOKUP(B30,'Saldo CtosEjecución'!$B$14:$H$1048576,3,0))=0,"",IF(ISERROR(VLOOKUP(B30,'Saldo CtosEjecución'!$B$14:$H$1048576,3,0)),"",VLOOKUP(B30,'Saldo CtosEjecución'!$B$14:$H$1048576,3,0)))</f>
        <v>3437527322</v>
      </c>
      <c r="Q30" s="216">
        <f>IF(OR(J30="",K30="",N30="",O30="",P30=""),"",(J30*((K30+N30+O30)/100))-P30)</f>
        <v>2758704629.1999998</v>
      </c>
      <c r="R30" s="217"/>
    </row>
    <row r="31" spans="1:23" ht="13.5" thickBot="1" x14ac:dyDescent="0.25">
      <c r="B31" s="157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70"/>
    </row>
    <row r="32" spans="1:23" x14ac:dyDescent="0.2">
      <c r="B32" s="67"/>
      <c r="C32" s="68" t="str">
        <f>IF(ISERROR(VLOOKUP(B32,'Capacidad Financiera'!$B$13:$AB$58066,2,0)),"",VLOOKUP(B32,'Capacidad Financiera'!$B$13:$AB$58066,2,0))</f>
        <v/>
      </c>
      <c r="D32" s="69" t="str">
        <f>IF(ISERROR(VLOOKUP(B32,'Capacidad Financiera'!$B$13:$AB$58066,3,0)),"",VLOOKUP(B32,'Capacidad Financiera'!$B$13:$AB$58066,3,0))</f>
        <v/>
      </c>
      <c r="E32" s="71" t="e">
        <f>'Capacidad Financiera'!#REF!</f>
        <v>#REF!</v>
      </c>
      <c r="F32" s="70" t="str">
        <f>IF(ISERROR(VLOOKUP(E32,POA!$A$2:$D$7,2,0)),"",VLOOKUP(E32,POA!$A$2:$D$7,2,0))</f>
        <v/>
      </c>
      <c r="G32" s="70" t="str">
        <f>IF(ISERROR(VLOOKUP(E32,POA!$A$2:$D$7,3,0)),"",VLOOKUP(E32,POA!$A$2:$D$7,4,0))</f>
        <v/>
      </c>
      <c r="H32" s="71" t="str">
        <f>IF(ISERROR(VLOOKUP(E32,POA!$A$2:$D$2,3,0)),"",VLOOKUP(E32,POA!$A$2:$D$2,3,0))</f>
        <v/>
      </c>
      <c r="I32" s="68" t="str">
        <f>IF(H32="","",IF(H32&lt;12,(F32-G32),IF(H32&gt;=12,(((F32-G32)/H32)*12),"")))</f>
        <v/>
      </c>
      <c r="J32" s="71"/>
      <c r="K32" s="68"/>
      <c r="L32" s="68"/>
      <c r="M32" s="68">
        <f>+SUM(M33:M42)</f>
        <v>0</v>
      </c>
      <c r="N32" s="71" t="str">
        <f>IF(ISERROR(VLOOKUP(J32,POA!$A$2:$C$2,3,0)),"",VLOOKUP(J32,POA!$A$2:$C$2,3,0))</f>
        <v/>
      </c>
      <c r="O32" s="68" t="str">
        <f t="shared" ref="O32" si="9">IF(ISERROR(+K32/N32),"",(K32/N32))</f>
        <v/>
      </c>
      <c r="P32" s="73"/>
      <c r="Q32" s="73">
        <f>SUM(Q33:Q42)</f>
        <v>0</v>
      </c>
      <c r="R32" s="121" t="e">
        <f>+IF(OR(Q32=0,E32="",I32=""),"",IF(Q32&gt;=I32,"HABIL","NO HABIL"))</f>
        <v>#REF!</v>
      </c>
    </row>
    <row r="33" spans="1:18" x14ac:dyDescent="0.2">
      <c r="B33" s="203" t="e">
        <f>+'Capacidad Financiera'!#REF!</f>
        <v>#REF!</v>
      </c>
      <c r="C33" s="66" t="str">
        <f>IF(ISERROR(VLOOKUP(B33,'Capacidad Financiera'!$B$13:$AB$58066,2,0)),"",VLOOKUP(B33,'Capacidad Financiera'!$B$13:$AB$58066,2,0))</f>
        <v/>
      </c>
      <c r="D33" s="210" t="str">
        <f>IF(ISERROR(VLOOKUP(B33,'Capacidad Financiera'!$B$13:$AB$58066,3,0)),"",VLOOKUP(B33,'Capacidad Financiera'!$B$13:$AB$58066,3,0))</f>
        <v/>
      </c>
      <c r="E33" s="211" t="e">
        <f>'Capacidad Financiera'!#REF!</f>
        <v>#REF!</v>
      </c>
      <c r="F33" s="196" t="str">
        <f>IF(ISERROR(VLOOKUP(E33,POA!$A$2:$D$7,2,0)),"",VLOOKUP(E33,POA!$A$2:$D$7,2,0))</f>
        <v/>
      </c>
      <c r="G33" s="196" t="str">
        <f>IF(ISERROR(VLOOKUP(E33,POA!$A$2:$D$7,3,0)),"",VLOOKUP(E33,POA!$A$2:$D$7,4,0))</f>
        <v/>
      </c>
      <c r="H33" s="211" t="str">
        <f>IF(ISERROR(VLOOKUP(E33,POA!$A$2:$D$2,3,0)),"",VLOOKUP(E33,POA!$A$2:$D$2,3,0))</f>
        <v/>
      </c>
      <c r="I33" s="212" t="str">
        <f>IF(H33="","",IF(H33&lt;12,(F33-G33),IF(H33&gt;=12,(((F33-G33)/H33)*12),"")))</f>
        <v/>
      </c>
      <c r="J33" s="213" t="str">
        <f>IF(IF(ISERROR(VLOOKUP(B33,'Cap Organización'!$B$14:$H$1048576,3,0)),"",VLOOKUP(B33,'Cap Organización'!$B$14:$H$1048576,3,0))=0,"",IF(ISERROR(VLOOKUP(B33,'Cap Organización'!$B$14:$H$1048576,3,0)),"",VLOOKUP(B33,'Cap Organización'!$B$14:$H$1048576,3,0)))</f>
        <v/>
      </c>
      <c r="K33" s="214" t="str">
        <f>IF(ISERROR(VLOOKUP(B33,'Puntaje Exp'!$B$14:$H$1048576,8,0)),"",VLOOKUP(B33,'Puntaje Exp'!$B$14:$H$1048576,8,0))</f>
        <v/>
      </c>
      <c r="L33" s="214" t="e">
        <f>+'Capacidad Financiera'!#REF!</f>
        <v>#REF!</v>
      </c>
      <c r="M33" s="214" t="str">
        <f>IF(ISERROR(VLOOKUP(L33,POA!$A$2:$F$7,6,0)),"",VLOOKUP(L33,POA!$A$2:$F$7,6,0))</f>
        <v/>
      </c>
      <c r="N33" s="214" t="str">
        <f>IF(ISERROR(VLOOKUP(B33,'Puntaje CT'!$B$14:$H$1048576,4,0)),"",VLOOKUP(B33,'Puntaje CT'!$B$14:$H$1048576,4,0))</f>
        <v/>
      </c>
      <c r="O33" s="214" t="str">
        <f>IF(ISERROR(VLOOKUP(B33,'Puntaje CF'!$B$14:$H$1048576,6,0)),"",VLOOKUP(B33,'Puntaje CF'!$B$14:$H$1048576,6,0))</f>
        <v/>
      </c>
      <c r="P33" s="215" t="str">
        <f>IF(IF(ISERROR(VLOOKUP(B33,'Saldo CtosEjecución'!$B$14:$H$1048576,3,0)),"",VLOOKUP(B33,'Saldo CtosEjecución'!$B$14:$H$1048576,3,0))=0,"",IF(ISERROR(VLOOKUP(B33,'Saldo CtosEjecución'!$B$14:$H$1048576,3,0)),"",VLOOKUP(B33,'Saldo CtosEjecución'!$B$14:$H$1048576,3,0)))</f>
        <v/>
      </c>
      <c r="Q33" s="216" t="str">
        <f>IF(OR(J33="",K33="",N33="",O33="",P33=""),"",(J33*((K33+N33+O33)/100))-P33)</f>
        <v/>
      </c>
      <c r="R33" s="217" t="e">
        <f>+IF(OR(Q32=0,E33="",I33=""),"",IF(Q32&gt;=I33,"HABIL","NO HABIL"))</f>
        <v>#REF!</v>
      </c>
    </row>
    <row r="34" spans="1:18" x14ac:dyDescent="0.2">
      <c r="A34" s="279" t="s">
        <v>262</v>
      </c>
      <c r="B34" s="203" t="e">
        <f>+'Capacidad Financiera'!#REF!</f>
        <v>#REF!</v>
      </c>
      <c r="C34" s="66" t="str">
        <f>IF(ISERROR(VLOOKUP(B34,'Capacidad Financiera'!$B$13:$AB$58066,2,0)),"",VLOOKUP(B34,'Capacidad Financiera'!$B$13:$AB$58066,2,0))</f>
        <v/>
      </c>
      <c r="D34" s="210" t="str">
        <f>IF(ISERROR(VLOOKUP(B34,'Capacidad Financiera'!$B$13:$AB$58066,3,0)),"",VLOOKUP(B34,'Capacidad Financiera'!$B$13:$AB$58066,3,0))</f>
        <v/>
      </c>
      <c r="E34" s="211" t="e">
        <f>'Capacidad Financiera'!#REF!</f>
        <v>#REF!</v>
      </c>
      <c r="F34" s="196" t="str">
        <f>IF(ISERROR(VLOOKUP(E34,POA!$A$2:$D$7,2,0)),"",VLOOKUP(E34,POA!$A$2:$D$7,2,0))</f>
        <v/>
      </c>
      <c r="G34" s="196" t="str">
        <f>IF(ISERROR(VLOOKUP(E34,POA!$A$2:$D$7,3,0)),"",VLOOKUP(E34,POA!$A$2:$D$7,4,0))</f>
        <v/>
      </c>
      <c r="H34" s="211" t="str">
        <f>IF(ISERROR(VLOOKUP(E34,POA!$A$2:$D$2,3,0)),"",VLOOKUP(E34,POA!$A$2:$D$2,3,0))</f>
        <v/>
      </c>
      <c r="I34" s="212" t="str">
        <f>IF(H34="","",IF(H34&lt;12,(F34-G34),IF(H34&gt;=12,(((F34-G34)/H34)*12),"")))</f>
        <v/>
      </c>
      <c r="J34" s="213" t="str">
        <f>IF(IF(ISERROR(VLOOKUP(B34,'Cap Organización'!$B$14:$H$1048576,3,0)),"",VLOOKUP(B34,'Cap Organización'!$B$14:$H$1048576,3,0))=0,"",IF(ISERROR(VLOOKUP(B34,'Cap Organización'!$B$14:$H$1048576,3,0)),"",VLOOKUP(B34,'Cap Organización'!$B$14:$H$1048576,3,0)))</f>
        <v/>
      </c>
      <c r="K34" s="214" t="str">
        <f>IF(ISERROR(VLOOKUP(B34,'Puntaje Exp'!$B$14:$H$1048576,8,0)),"",VLOOKUP(B34,'Puntaje Exp'!$B$14:$H$1048576,8,0))</f>
        <v/>
      </c>
      <c r="L34" s="218" t="e">
        <f>+'Capacidad Financiera'!#REF!</f>
        <v>#REF!</v>
      </c>
      <c r="M34" s="218" t="str">
        <f>IF(ISERROR(VLOOKUP(L34,POA!$A$2:$F$7,6,0)),"",VLOOKUP(L34,POA!$A$2:$F$7,6,0))</f>
        <v/>
      </c>
      <c r="N34" s="214" t="str">
        <f>IF(ISERROR(VLOOKUP(B34,'Puntaje CT'!$B$14:$H$1048576,4,0)),"",VLOOKUP(B34,'Puntaje CT'!$B$14:$H$1048576,4,0))</f>
        <v/>
      </c>
      <c r="O34" s="214" t="str">
        <f>IF(ISERROR(VLOOKUP(B34,'Puntaje CF'!$B$14:$H$1048576,6,0)),"",VLOOKUP(B34,'Puntaje CF'!$B$14:$H$1048576,6,0))</f>
        <v/>
      </c>
      <c r="P34" s="215" t="str">
        <f>IF(IF(ISERROR(VLOOKUP(B34,'Saldo CtosEjecución'!$B$14:$H$1048576,3,0)),"",VLOOKUP(B34,'Saldo CtosEjecución'!$B$14:$H$1048576,3,0))=0,"",IF(ISERROR(VLOOKUP(B34,'Saldo CtosEjecución'!$B$14:$H$1048576,3,0)),"",VLOOKUP(B34,'Saldo CtosEjecución'!$B$14:$H$1048576,3,0)))</f>
        <v/>
      </c>
      <c r="Q34" s="216" t="str">
        <f>IF(OR(J34="",K34="",N34="",O34="",P34=""),"",(J34*((K34+N34+O34)/100))-P34)</f>
        <v/>
      </c>
      <c r="R34" s="217" t="e">
        <f>+IF(OR(Q32=0,E34="",I34=""),"",IF(Q32&gt;=I34,"HABIL","NO HABIL"))</f>
        <v>#REF!</v>
      </c>
    </row>
    <row r="35" spans="1:18" x14ac:dyDescent="0.2">
      <c r="B35" s="203" t="e">
        <f>+'Capacidad Financiera'!#REF!</f>
        <v>#REF!</v>
      </c>
      <c r="C35" s="66" t="str">
        <f>IF(ISERROR(VLOOKUP(B35,'Capacidad Financiera'!$B$13:$AB$58066,2,0)),"",VLOOKUP(B35,'Capacidad Financiera'!$B$13:$AB$58066,2,0))</f>
        <v/>
      </c>
      <c r="D35" s="210" t="str">
        <f>IF(ISERROR(VLOOKUP(B35,'Capacidad Financiera'!$B$13:$AB$58066,3,0)),"",VLOOKUP(B35,'Capacidad Financiera'!$B$13:$AB$58066,3,0))</f>
        <v/>
      </c>
      <c r="E35" s="211" t="e">
        <f>'Capacidad Financiera'!#REF!</f>
        <v>#REF!</v>
      </c>
      <c r="F35" s="196" t="str">
        <f>IF(ISERROR(VLOOKUP(E35,POA!$A$2:$D$7,2,0)),"",VLOOKUP(E35,POA!$A$2:$D$7,2,0))</f>
        <v/>
      </c>
      <c r="G35" s="196" t="str">
        <f>IF(ISERROR(VLOOKUP(E35,POA!$A$2:$D$7,3,0)),"",VLOOKUP(E35,POA!$A$2:$D$7,4,0))</f>
        <v/>
      </c>
      <c r="H35" s="211" t="str">
        <f>IF(ISERROR(VLOOKUP(E35,POA!$A$2:$D$2,3,0)),"",VLOOKUP(E35,POA!$A$2:$D$2,3,0))</f>
        <v/>
      </c>
      <c r="I35" s="212" t="str">
        <f>IF(H35="","",IF(H35&lt;12,(F35-G35),IF(H35&gt;=12,(((F35-G35)/H35)*12),"")))</f>
        <v/>
      </c>
      <c r="J35" s="213" t="str">
        <f>IF(IF(ISERROR(VLOOKUP(B35,'Cap Organización'!$B$14:$H$1048576,3,0)),"",VLOOKUP(B35,'Cap Organización'!$B$14:$H$1048576,3,0))=0,"",IF(ISERROR(VLOOKUP(B35,'Cap Organización'!$B$14:$H$1048576,3,0)),"",VLOOKUP(B35,'Cap Organización'!$B$14:$H$1048576,3,0)))</f>
        <v/>
      </c>
      <c r="K35" s="214" t="str">
        <f>IF(ISERROR(VLOOKUP(B35,'Puntaje Exp'!$B$14:$H$1048576,8,0)),"",VLOOKUP(B35,'Puntaje Exp'!$B$14:$H$1048576,8,0))</f>
        <v/>
      </c>
      <c r="L35" s="218" t="e">
        <f>+'Capacidad Financiera'!#REF!</f>
        <v>#REF!</v>
      </c>
      <c r="M35" s="218" t="str">
        <f>IF(ISERROR(VLOOKUP(L35,POA!$A$2:$F$7,6,0)),"",VLOOKUP(L35,POA!$A$2:$F$7,6,0))</f>
        <v/>
      </c>
      <c r="N35" s="214" t="str">
        <f>IF(ISERROR(VLOOKUP(B35,'Puntaje CT'!$B$14:$H$1048576,4,0)),"",VLOOKUP(B35,'Puntaje CT'!$B$14:$H$1048576,4,0))</f>
        <v/>
      </c>
      <c r="O35" s="214" t="str">
        <f>IF(ISERROR(VLOOKUP(B35,'Puntaje CF'!$B$14:$H$1048576,6,0)),"",VLOOKUP(B35,'Puntaje CF'!$B$14:$H$1048576,6,0))</f>
        <v/>
      </c>
      <c r="P35" s="215" t="str">
        <f>IF(IF(ISERROR(VLOOKUP(B35,'Saldo CtosEjecución'!$B$14:$H$1048576,3,0)),"",VLOOKUP(B35,'Saldo CtosEjecución'!$B$14:$H$1048576,3,0))=0,"",IF(ISERROR(VLOOKUP(B35,'Saldo CtosEjecución'!$B$14:$H$1048576,3,0)),"",VLOOKUP(B35,'Saldo CtosEjecución'!$B$14:$H$1048576,3,0)))</f>
        <v/>
      </c>
      <c r="Q35" s="216" t="str">
        <f t="shared" ref="Q35" si="10">IF(OR(J35="",K35="",N35="",O35="",P35=""),"",(J35*((K35+N35+O35)/100))-P35)</f>
        <v/>
      </c>
      <c r="R35" s="217" t="e">
        <f>+IF(OR(Q32=0,E35="",I35=""),"",IF(Q32&gt;=I35,"HABIL","NO HABIL"))</f>
        <v>#REF!</v>
      </c>
    </row>
    <row r="36" spans="1:18" x14ac:dyDescent="0.2">
      <c r="B36" s="203" t="e">
        <f>+'Capacidad Financiera'!#REF!</f>
        <v>#REF!</v>
      </c>
      <c r="C36" s="66" t="str">
        <f>IF(ISERROR(VLOOKUP(B36,'Capacidad Financiera'!$B$13:$AB$58066,2,0)),"",VLOOKUP(B36,'Capacidad Financiera'!$B$13:$AB$58066,2,0))</f>
        <v/>
      </c>
      <c r="D36" s="210" t="str">
        <f>IF(ISERROR(VLOOKUP(B36,'Capacidad Financiera'!$B$13:$AB$58066,3,0)),"",VLOOKUP(B36,'Capacidad Financiera'!$B$13:$AB$58066,3,0))</f>
        <v/>
      </c>
      <c r="E36" s="211" t="e">
        <f>'Capacidad Financiera'!#REF!</f>
        <v>#REF!</v>
      </c>
      <c r="F36" s="196" t="str">
        <f>IF(ISERROR(VLOOKUP(E36,POA!$A$2:$D$7,2,0)),"",VLOOKUP(E36,POA!$A$2:$D$7,2,0))</f>
        <v/>
      </c>
      <c r="G36" s="196" t="str">
        <f>IF(ISERROR(VLOOKUP(E36,POA!$A$2:$D$7,3,0)),"",VLOOKUP(E36,POA!$A$2:$D$7,4,0))</f>
        <v/>
      </c>
      <c r="H36" s="211" t="str">
        <f>IF(ISERROR(VLOOKUP(E36,POA!$A$2:$D$2,3,0)),"",VLOOKUP(E36,POA!$A$2:$D$2,3,0))</f>
        <v/>
      </c>
      <c r="I36" s="212" t="str">
        <f t="shared" ref="I36:I41" si="11">IF(H36="","",IF(H36&lt;12,(F36-G36),IF(H36&gt;=12,(((F36-G36)/H36)*12),"")))</f>
        <v/>
      </c>
      <c r="J36" s="213" t="str">
        <f>IF(IF(ISERROR(VLOOKUP(B36,'Cap Organización'!$B$14:$H$1048576,3,0)),"",VLOOKUP(B36,'Cap Organización'!$B$14:$H$1048576,3,0))=0,"",IF(ISERROR(VLOOKUP(B36,'Cap Organización'!$B$14:$H$1048576,3,0)),"",VLOOKUP(B36,'Cap Organización'!$B$14:$H$1048576,3,0)))</f>
        <v/>
      </c>
      <c r="K36" s="214" t="str">
        <f>IF(ISERROR(VLOOKUP(B36,'Puntaje Exp'!$B$14:$H$1048576,8,0)),"",VLOOKUP(B36,'Puntaje Exp'!$B$14:$H$1048576,8,0))</f>
        <v/>
      </c>
      <c r="L36" s="218" t="e">
        <f>+'Capacidad Financiera'!#REF!</f>
        <v>#REF!</v>
      </c>
      <c r="M36" s="218" t="str">
        <f>IF(ISERROR(VLOOKUP(L36,POA!$A$2:$F$7,6,0)),"",VLOOKUP(L36,POA!$A$2:$F$7,6,0))</f>
        <v/>
      </c>
      <c r="N36" s="214" t="str">
        <f>IF(ISERROR(VLOOKUP(B36,'Puntaje CT'!$B$14:$H$1048576,4,0)),"",VLOOKUP(B36,'Puntaje CT'!$B$14:$H$1048576,4,0))</f>
        <v/>
      </c>
      <c r="O36" s="214" t="str">
        <f>IF(ISERROR(VLOOKUP(B36,'Puntaje CF'!$B$14:$H$1048576,6,0)),"",VLOOKUP(B36,'Puntaje CF'!$B$14:$H$1048576,6,0))</f>
        <v/>
      </c>
      <c r="P36" s="215" t="str">
        <f>IF(IF(ISERROR(VLOOKUP(B36,'Saldo CtosEjecución'!$B$14:$H$1048576,3,0)),"",VLOOKUP(B36,'Saldo CtosEjecución'!$B$14:$H$1048576,3,0))=0,"",IF(ISERROR(VLOOKUP(B36,'Saldo CtosEjecución'!$B$14:$H$1048576,3,0)),"",VLOOKUP(B36,'Saldo CtosEjecución'!$B$14:$H$1048576,3,0)))</f>
        <v/>
      </c>
      <c r="Q36" s="216"/>
      <c r="R36" s="217" t="e">
        <f>+IF(OR(Q32=0,E36="",I36=""),"",IF(Q32&gt;=I36,"HABIL","NO HABIL"))</f>
        <v>#REF!</v>
      </c>
    </row>
    <row r="37" spans="1:18" x14ac:dyDescent="0.2">
      <c r="B37" s="203" t="e">
        <f>+'Capacidad Financiera'!#REF!</f>
        <v>#REF!</v>
      </c>
      <c r="C37" s="66" t="str">
        <f>IF(ISERROR(VLOOKUP(B37,'Capacidad Financiera'!$B$13:$AB$58066,2,0)),"",VLOOKUP(B37,'Capacidad Financiera'!$B$13:$AB$58066,2,0))</f>
        <v/>
      </c>
      <c r="D37" s="210" t="str">
        <f>IF(ISERROR(VLOOKUP(B37,'Capacidad Financiera'!$B$13:$AB$58066,3,0)),"",VLOOKUP(B37,'Capacidad Financiera'!$B$13:$AB$58066,3,0))</f>
        <v/>
      </c>
      <c r="E37" s="211" t="e">
        <f>'Capacidad Financiera'!#REF!</f>
        <v>#REF!</v>
      </c>
      <c r="F37" s="196" t="str">
        <f>IF(ISERROR(VLOOKUP(E37,POA!$A$2:$D$7,2,0)),"",VLOOKUP(E37,POA!$A$2:$D$7,2,0))</f>
        <v/>
      </c>
      <c r="G37" s="196" t="str">
        <f>IF(ISERROR(VLOOKUP(E37,POA!$A$2:$D$7,3,0)),"",VLOOKUP(E37,POA!$A$2:$D$7,4,0))</f>
        <v/>
      </c>
      <c r="H37" s="211" t="str">
        <f>IF(ISERROR(VLOOKUP(E37,POA!$A$2:$D$2,3,0)),"",VLOOKUP(E37,POA!$A$2:$D$2,3,0))</f>
        <v/>
      </c>
      <c r="I37" s="212" t="str">
        <f t="shared" si="11"/>
        <v/>
      </c>
      <c r="J37" s="213" t="str">
        <f>IF(IF(ISERROR(VLOOKUP(B37,'Cap Organización'!$B$14:$H$1048576,3,0)),"",VLOOKUP(B37,'Cap Organización'!$B$14:$H$1048576,3,0))=0,"",IF(ISERROR(VLOOKUP(B37,'Cap Organización'!$B$14:$H$1048576,3,0)),"",VLOOKUP(B37,'Cap Organización'!$B$14:$H$1048576,3,0)))</f>
        <v/>
      </c>
      <c r="K37" s="214" t="str">
        <f>IF(ISERROR(VLOOKUP(B37,'Puntaje Exp'!$B$14:$H$1048576,8,0)),"",VLOOKUP(B37,'Puntaje Exp'!$B$14:$H$1048576,8,0))</f>
        <v/>
      </c>
      <c r="L37" s="218" t="e">
        <f>+'Capacidad Financiera'!#REF!</f>
        <v>#REF!</v>
      </c>
      <c r="M37" s="218" t="str">
        <f>IF(ISERROR(VLOOKUP(L37,POA!$A$2:$F$7,6,0)),"",VLOOKUP(L37,POA!$A$2:$F$7,6,0))</f>
        <v/>
      </c>
      <c r="N37" s="214" t="str">
        <f>IF(ISERROR(VLOOKUP(B37,'Puntaje CT'!$B$14:$H$1048576,4,0)),"",VLOOKUP(B37,'Puntaje CT'!$B$14:$H$1048576,4,0))</f>
        <v/>
      </c>
      <c r="O37" s="214" t="str">
        <f>IF(ISERROR(VLOOKUP(B37,'Puntaje CF'!$B$14:$H$1048576,6,0)),"",VLOOKUP(B37,'Puntaje CF'!$B$14:$H$1048576,6,0))</f>
        <v/>
      </c>
      <c r="P37" s="215" t="str">
        <f>IF(IF(ISERROR(VLOOKUP(B37,'Saldo CtosEjecución'!$B$14:$H$1048576,3,0)),"",VLOOKUP(B37,'Saldo CtosEjecución'!$B$14:$H$1048576,3,0))=0,"",IF(ISERROR(VLOOKUP(B37,'Saldo CtosEjecución'!$B$14:$H$1048576,3,0)),"",VLOOKUP(B37,'Saldo CtosEjecución'!$B$14:$H$1048576,3,0)))</f>
        <v/>
      </c>
      <c r="Q37" s="216" t="str">
        <f t="shared" ref="Q37:Q41" si="12">IF(OR(J37="",K37="",N37="",O37="",P37=""),"",(J37*((K37+N37+O37)/100))-P37)</f>
        <v/>
      </c>
      <c r="R37" s="217" t="e">
        <f>+IF(OR(Q32=0,E37="",I37=""),"",IF(Q32&gt;=I37,"HABIL","NO HABIL"))</f>
        <v>#REF!</v>
      </c>
    </row>
    <row r="38" spans="1:18" x14ac:dyDescent="0.2">
      <c r="B38" s="203" t="e">
        <f>+'Capacidad Financiera'!#REF!</f>
        <v>#REF!</v>
      </c>
      <c r="C38" s="66" t="str">
        <f>IF(ISERROR(VLOOKUP(B38,'Capacidad Financiera'!$B$13:$AB$58066,2,0)),"",VLOOKUP(B38,'Capacidad Financiera'!$B$13:$AB$58066,2,0))</f>
        <v/>
      </c>
      <c r="D38" s="210" t="str">
        <f>IF(ISERROR(VLOOKUP(B38,'Capacidad Financiera'!$B$13:$AB$58066,3,0)),"",VLOOKUP(B38,'Capacidad Financiera'!$B$13:$AB$58066,3,0))</f>
        <v/>
      </c>
      <c r="E38" s="211" t="e">
        <f>'Capacidad Financiera'!#REF!</f>
        <v>#REF!</v>
      </c>
      <c r="F38" s="196" t="str">
        <f>IF(ISERROR(VLOOKUP(E38,POA!$A$2:$D$7,2,0)),"",VLOOKUP(E38,POA!$A$2:$D$7,2,0))</f>
        <v/>
      </c>
      <c r="G38" s="196" t="str">
        <f>IF(ISERROR(VLOOKUP(E38,POA!$A$2:$D$7,3,0)),"",VLOOKUP(E38,POA!$A$2:$D$7,4,0))</f>
        <v/>
      </c>
      <c r="H38" s="211" t="str">
        <f>IF(ISERROR(VLOOKUP(E38,POA!$A$2:$D$2,3,0)),"",VLOOKUP(E38,POA!$A$2:$D$2,3,0))</f>
        <v/>
      </c>
      <c r="I38" s="212" t="str">
        <f t="shared" si="11"/>
        <v/>
      </c>
      <c r="J38" s="213" t="str">
        <f>IF(IF(ISERROR(VLOOKUP(B38,'Cap Organización'!$B$14:$H$1048576,3,0)),"",VLOOKUP(B38,'Cap Organización'!$B$14:$H$1048576,3,0))=0,"",IF(ISERROR(VLOOKUP(B38,'Cap Organización'!$B$14:$H$1048576,3,0)),"",VLOOKUP(B38,'Cap Organización'!$B$14:$H$1048576,3,0)))</f>
        <v/>
      </c>
      <c r="K38" s="214" t="str">
        <f>IF(ISERROR(VLOOKUP(B38,'Puntaje Exp'!$B$14:$H$1048576,8,0)),"",VLOOKUP(B38,'Puntaje Exp'!$B$14:$H$1048576,8,0))</f>
        <v/>
      </c>
      <c r="L38" s="218" t="e">
        <f>+'Capacidad Financiera'!#REF!</f>
        <v>#REF!</v>
      </c>
      <c r="M38" s="218" t="str">
        <f>IF(ISERROR(VLOOKUP(L38,POA!$A$2:$F$7,6,0)),"",VLOOKUP(L38,POA!$A$2:$F$7,6,0))</f>
        <v/>
      </c>
      <c r="N38" s="214" t="str">
        <f>IF(ISERROR(VLOOKUP(B38,'Puntaje CT'!$B$14:$H$1048576,4,0)),"",VLOOKUP(B38,'Puntaje CT'!$B$14:$H$1048576,4,0))</f>
        <v/>
      </c>
      <c r="O38" s="214" t="str">
        <f>IF(ISERROR(VLOOKUP(B38,'Puntaje CF'!$B$14:$H$1048576,6,0)),"",VLOOKUP(B38,'Puntaje CF'!$B$14:$H$1048576,6,0))</f>
        <v/>
      </c>
      <c r="P38" s="215" t="str">
        <f>IF(IF(ISERROR(VLOOKUP(B38,'Saldo CtosEjecución'!$B$14:$H$1048576,3,0)),"",VLOOKUP(B38,'Saldo CtosEjecución'!$B$14:$H$1048576,3,0))=0,"",IF(ISERROR(VLOOKUP(B38,'Saldo CtosEjecución'!$B$14:$H$1048576,3,0)),"",VLOOKUP(B38,'Saldo CtosEjecución'!$B$14:$H$1048576,3,0)))</f>
        <v/>
      </c>
      <c r="Q38" s="216" t="str">
        <f t="shared" si="12"/>
        <v/>
      </c>
      <c r="R38" s="217" t="e">
        <f>+IF(OR(Q32=0,E38="",I38=""),"",IF(Q32&gt;=I38,"HABIL","NO HABIL"))</f>
        <v>#REF!</v>
      </c>
    </row>
    <row r="39" spans="1:18" x14ac:dyDescent="0.2">
      <c r="B39" s="203" t="e">
        <f>+'Capacidad Financiera'!#REF!</f>
        <v>#REF!</v>
      </c>
      <c r="C39" s="66" t="str">
        <f>IF(ISERROR(VLOOKUP(B39,'Capacidad Financiera'!$B$13:$AB$58066,2,0)),"",VLOOKUP(B39,'Capacidad Financiera'!$B$13:$AB$58066,2,0))</f>
        <v/>
      </c>
      <c r="D39" s="210" t="str">
        <f>IF(ISERROR(VLOOKUP(B39,'Capacidad Financiera'!$B$13:$AB$58066,3,0)),"",VLOOKUP(B39,'Capacidad Financiera'!$B$13:$AB$58066,3,0))</f>
        <v/>
      </c>
      <c r="E39" s="211" t="e">
        <f>'Capacidad Financiera'!#REF!</f>
        <v>#REF!</v>
      </c>
      <c r="F39" s="196" t="str">
        <f>IF(ISERROR(VLOOKUP(E39,POA!$A$2:$D$7,2,0)),"",VLOOKUP(E39,POA!$A$2:$D$7,2,0))</f>
        <v/>
      </c>
      <c r="G39" s="196" t="str">
        <f>IF(ISERROR(VLOOKUP(E39,POA!$A$2:$D$7,3,0)),"",VLOOKUP(E39,POA!$A$2:$D$7,4,0))</f>
        <v/>
      </c>
      <c r="H39" s="211" t="str">
        <f>IF(ISERROR(VLOOKUP(E39,POA!$A$2:$D$2,3,0)),"",VLOOKUP(E39,POA!$A$2:$D$2,3,0))</f>
        <v/>
      </c>
      <c r="I39" s="212" t="str">
        <f t="shared" si="11"/>
        <v/>
      </c>
      <c r="J39" s="213" t="str">
        <f>IF(IF(ISERROR(VLOOKUP(B39,'Cap Organización'!$B$14:$H$1048576,3,0)),"",VLOOKUP(B39,'Cap Organización'!$B$14:$H$1048576,3,0))=0,"",IF(ISERROR(VLOOKUP(B39,'Cap Organización'!$B$14:$H$1048576,3,0)),"",VLOOKUP(B39,'Cap Organización'!$B$14:$H$1048576,3,0)))</f>
        <v/>
      </c>
      <c r="K39" s="214" t="str">
        <f>IF(ISERROR(VLOOKUP(B39,'Puntaje Exp'!$B$14:$H$1048576,8,0)),"",VLOOKUP(B39,'Puntaje Exp'!$B$14:$H$1048576,8,0))</f>
        <v/>
      </c>
      <c r="L39" s="218" t="e">
        <f>+'Capacidad Financiera'!#REF!</f>
        <v>#REF!</v>
      </c>
      <c r="M39" s="218" t="str">
        <f>IF(ISERROR(VLOOKUP(L39,POA!$A$2:$F$7,6,0)),"",VLOOKUP(L39,POA!$A$2:$F$7,6,0))</f>
        <v/>
      </c>
      <c r="N39" s="214" t="str">
        <f>IF(ISERROR(VLOOKUP(B39,'Puntaje CT'!$B$14:$H$1048576,4,0)),"",VLOOKUP(B39,'Puntaje CT'!$B$14:$H$1048576,4,0))</f>
        <v/>
      </c>
      <c r="O39" s="214" t="str">
        <f>IF(ISERROR(VLOOKUP(B39,'Puntaje CF'!$B$14:$H$1048576,6,0)),"",VLOOKUP(B39,'Puntaje CF'!$B$14:$H$1048576,6,0))</f>
        <v/>
      </c>
      <c r="P39" s="215" t="str">
        <f>IF(IF(ISERROR(VLOOKUP(B39,'Saldo CtosEjecución'!$B$14:$H$1048576,3,0)),"",VLOOKUP(B39,'Saldo CtosEjecución'!$B$14:$H$1048576,3,0))=0,"",IF(ISERROR(VLOOKUP(B39,'Saldo CtosEjecución'!$B$14:$H$1048576,3,0)),"",VLOOKUP(B39,'Saldo CtosEjecución'!$B$14:$H$1048576,3,0)))</f>
        <v/>
      </c>
      <c r="Q39" s="216" t="str">
        <f t="shared" si="12"/>
        <v/>
      </c>
      <c r="R39" s="217" t="e">
        <f>+IF(OR(Q32=0,E39="",I39=""),"",IF(Q32&gt;=I39,"HABIL","NO HABIL"))</f>
        <v>#REF!</v>
      </c>
    </row>
    <row r="40" spans="1:18" x14ac:dyDescent="0.2">
      <c r="B40" s="203" t="e">
        <f>+'Capacidad Financiera'!#REF!</f>
        <v>#REF!</v>
      </c>
      <c r="C40" s="66" t="str">
        <f>IF(ISERROR(VLOOKUP(B40,'Capacidad Financiera'!$B$13:$AB$58066,2,0)),"",VLOOKUP(B40,'Capacidad Financiera'!$B$13:$AB$58066,2,0))</f>
        <v/>
      </c>
      <c r="D40" s="210" t="str">
        <f>IF(ISERROR(VLOOKUP(B40,'Capacidad Financiera'!$B$13:$AB$58066,3,0)),"",VLOOKUP(B40,'Capacidad Financiera'!$B$13:$AB$58066,3,0))</f>
        <v/>
      </c>
      <c r="E40" s="211" t="e">
        <f>'Capacidad Financiera'!#REF!</f>
        <v>#REF!</v>
      </c>
      <c r="F40" s="196" t="str">
        <f>IF(ISERROR(VLOOKUP(E40,POA!$A$2:$D$7,2,0)),"",VLOOKUP(E40,POA!$A$2:$D$7,2,0))</f>
        <v/>
      </c>
      <c r="G40" s="196" t="str">
        <f>IF(ISERROR(VLOOKUP(E40,POA!$A$2:$D$7,3,0)),"",VLOOKUP(E40,POA!$A$2:$D$7,4,0))</f>
        <v/>
      </c>
      <c r="H40" s="211" t="str">
        <f>IF(ISERROR(VLOOKUP(E40,POA!$A$2:$D$2,3,0)),"",VLOOKUP(E40,POA!$A$2:$D$2,3,0))</f>
        <v/>
      </c>
      <c r="I40" s="212" t="str">
        <f t="shared" si="11"/>
        <v/>
      </c>
      <c r="J40" s="213" t="str">
        <f>IF(IF(ISERROR(VLOOKUP(B40,'Cap Organización'!$B$14:$H$1048576,3,0)),"",VLOOKUP(B40,'Cap Organización'!$B$14:$H$1048576,3,0))=0,"",IF(ISERROR(VLOOKUP(B40,'Cap Organización'!$B$14:$H$1048576,3,0)),"",VLOOKUP(B40,'Cap Organización'!$B$14:$H$1048576,3,0)))</f>
        <v/>
      </c>
      <c r="K40" s="214" t="str">
        <f>IF(ISERROR(VLOOKUP(B40,'Puntaje Exp'!$B$14:$H$1048576,8,0)),"",VLOOKUP(B40,'Puntaje Exp'!$B$14:$H$1048576,8,0))</f>
        <v/>
      </c>
      <c r="L40" s="218" t="e">
        <f>+'Capacidad Financiera'!#REF!</f>
        <v>#REF!</v>
      </c>
      <c r="M40" s="218" t="str">
        <f>IF(ISERROR(VLOOKUP(L40,POA!$A$2:$F$7,6,0)),"",VLOOKUP(L40,POA!$A$2:$F$7,6,0))</f>
        <v/>
      </c>
      <c r="N40" s="214" t="str">
        <f>IF(ISERROR(VLOOKUP(B40,'Puntaje CT'!$B$14:$H$1048576,4,0)),"",VLOOKUP(B40,'Puntaje CT'!$B$14:$H$1048576,4,0))</f>
        <v/>
      </c>
      <c r="O40" s="214" t="str">
        <f>IF(ISERROR(VLOOKUP(B40,'Puntaje CF'!$B$14:$H$1048576,6,0)),"",VLOOKUP(B40,'Puntaje CF'!$B$14:$H$1048576,6,0))</f>
        <v/>
      </c>
      <c r="P40" s="215" t="str">
        <f>IF(IF(ISERROR(VLOOKUP(B40,'Saldo CtosEjecución'!$B$14:$H$1048576,3,0)),"",VLOOKUP(B40,'Saldo CtosEjecución'!$B$14:$H$1048576,3,0))=0,"",IF(ISERROR(VLOOKUP(B40,'Saldo CtosEjecución'!$B$14:$H$1048576,3,0)),"",VLOOKUP(B40,'Saldo CtosEjecución'!$B$14:$H$1048576,3,0)))</f>
        <v/>
      </c>
      <c r="Q40" s="216" t="str">
        <f t="shared" si="12"/>
        <v/>
      </c>
      <c r="R40" s="217" t="e">
        <f>+IF(OR(Q32=0,E40="",I40=""),"",IF(Q32&gt;=I40,"HABIL","NO HABIL"))</f>
        <v>#REF!</v>
      </c>
    </row>
    <row r="41" spans="1:18" ht="13.5" thickBot="1" x14ac:dyDescent="0.25">
      <c r="B41" s="205" t="e">
        <f>+'Capacidad Financiera'!#REF!</f>
        <v>#REF!</v>
      </c>
      <c r="C41" s="155" t="str">
        <f>IF(ISERROR(VLOOKUP(B41,'Capacidad Financiera'!$B$13:$AB$58066,2,0)),"",VLOOKUP(B41,'Capacidad Financiera'!$B$13:$AB$58066,2,0))</f>
        <v/>
      </c>
      <c r="D41" s="199" t="str">
        <f>IF(ISERROR(VLOOKUP(B41,'Capacidad Financiera'!$B$13:$AB$58066,3,0)),"",VLOOKUP(B41,'Capacidad Financiera'!$B$13:$AB$58066,3,0))</f>
        <v/>
      </c>
      <c r="E41" s="219" t="e">
        <f>'Capacidad Financiera'!#REF!</f>
        <v>#REF!</v>
      </c>
      <c r="F41" s="200" t="str">
        <f>IF(ISERROR(VLOOKUP(E41,POA!$A$2:$D$7,2,0)),"",VLOOKUP(E41,POA!$A$2:$D$7,2,0))</f>
        <v/>
      </c>
      <c r="G41" s="200" t="str">
        <f>IF(ISERROR(VLOOKUP(E41,POA!$A$2:$D$7,3,0)),"",VLOOKUP(E41,POA!$A$2:$D$7,4,0))</f>
        <v/>
      </c>
      <c r="H41" s="219" t="str">
        <f>IF(ISERROR(VLOOKUP(E41,POA!$A$2:$D$2,3,0)),"",VLOOKUP(E41,POA!$A$2:$D$2,3,0))</f>
        <v/>
      </c>
      <c r="I41" s="220" t="str">
        <f t="shared" si="11"/>
        <v/>
      </c>
      <c r="J41" s="221" t="str">
        <f>IF(IF(ISERROR(VLOOKUP(B41,'Cap Organización'!$B$14:$H$1048576,3,0)),"",VLOOKUP(B41,'Cap Organización'!$B$14:$H$1048576,3,0))=0,"",IF(ISERROR(VLOOKUP(B41,'Cap Organización'!$B$14:$H$1048576,3,0)),"",VLOOKUP(B41,'Cap Organización'!$B$14:$H$1048576,3,0)))</f>
        <v/>
      </c>
      <c r="K41" s="222" t="str">
        <f>IF(ISERROR(VLOOKUP(B41,'Puntaje Exp'!$B$14:$H$1048576,8,0)),"",VLOOKUP(B41,'Puntaje Exp'!$B$14:$H$1048576,8,0))</f>
        <v/>
      </c>
      <c r="L41" s="206" t="e">
        <f>+'Capacidad Financiera'!#REF!</f>
        <v>#REF!</v>
      </c>
      <c r="M41" s="206" t="str">
        <f>IF(ISERROR(VLOOKUP(L41,POA!$A$2:$F$7,6,0)),"",VLOOKUP(L41,POA!$A$2:$F$7,6,0))</f>
        <v/>
      </c>
      <c r="N41" s="222" t="str">
        <f>IF(ISERROR(VLOOKUP(B41,'Puntaje CT'!$B$14:$H$1048576,4,0)),"",VLOOKUP(B41,'Puntaje CT'!$B$14:$H$1048576,4,0))</f>
        <v/>
      </c>
      <c r="O41" s="222" t="str">
        <f>IF(ISERROR(VLOOKUP(B41,'Puntaje CF'!$B$14:$H$1048576,6,0)),"",VLOOKUP(B41,'Puntaje CF'!$B$14:$H$1048576,6,0))</f>
        <v/>
      </c>
      <c r="P41" s="221" t="str">
        <f>IF(IF(ISERROR(VLOOKUP(B41,'Saldo CtosEjecución'!$B$14:$H$1048576,3,0)),"",VLOOKUP(B41,'Saldo CtosEjecución'!$B$14:$H$1048576,3,0))=0,"",IF(ISERROR(VLOOKUP(B41,'Saldo CtosEjecución'!$B$14:$H$1048576,3,0)),"",VLOOKUP(B41,'Saldo CtosEjecución'!$B$14:$H$1048576,3,0)))</f>
        <v/>
      </c>
      <c r="Q41" s="223" t="str">
        <f t="shared" si="12"/>
        <v/>
      </c>
      <c r="R41" s="224" t="e">
        <f>+IF(OR(Q32=0,E41="",I41=""),"",IF(Q32&gt;=I41,"HABIL","NO HABIL"))</f>
        <v>#REF!</v>
      </c>
    </row>
    <row r="42" spans="1:18" ht="13.5" thickBot="1" x14ac:dyDescent="0.25">
      <c r="B42" s="157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70"/>
    </row>
    <row r="43" spans="1:18" x14ac:dyDescent="0.2">
      <c r="B43" s="67"/>
      <c r="C43" s="68" t="str">
        <f>IF(ISERROR(VLOOKUP(B43,'Capacidad Financiera'!$B$13:$AB$58066,2,0)),"",VLOOKUP(B43,'Capacidad Financiera'!$B$13:$AB$58066,2,0))</f>
        <v/>
      </c>
      <c r="D43" s="69" t="str">
        <f>IF(ISERROR(VLOOKUP(B43,'Capacidad Financiera'!$B$13:$AB$58066,3,0)),"",VLOOKUP(B43,'Capacidad Financiera'!$B$13:$AB$58066,3,0))</f>
        <v/>
      </c>
      <c r="E43" s="71" t="e">
        <f>'Capacidad Financiera'!#REF!</f>
        <v>#REF!</v>
      </c>
      <c r="F43" s="70" t="str">
        <f>IF(ISERROR(VLOOKUP(E43,POA!$A$2:$D$7,2,0)),"",VLOOKUP(E43,POA!$A$2:$D$7,2,0))</f>
        <v/>
      </c>
      <c r="G43" s="70" t="str">
        <f>IF(ISERROR(VLOOKUP(E43,POA!$A$2:$D$7,3,0)),"",VLOOKUP(E43,POA!$A$2:$D$7,4,0))</f>
        <v/>
      </c>
      <c r="H43" s="71" t="str">
        <f>IF(ISERROR(VLOOKUP(E43,POA!$A$2:$D$2,3,0)),"",VLOOKUP(E43,POA!$A$2:$D$2,3,0))</f>
        <v/>
      </c>
      <c r="I43" s="68" t="str">
        <f>IF(H43="","",IF(H43&lt;12,(F43-G43),IF(H43&gt;=12,(((F43-G43)/H43)*12),"")))</f>
        <v/>
      </c>
      <c r="J43" s="71"/>
      <c r="K43" s="68"/>
      <c r="L43" s="68"/>
      <c r="M43" s="68">
        <f>+SUM(M44:M53)</f>
        <v>0</v>
      </c>
      <c r="N43" s="71" t="str">
        <f>IF(ISERROR(VLOOKUP(J43,POA!$A$2:$C$2,3,0)),"",VLOOKUP(J43,POA!$A$2:$C$2,3,0))</f>
        <v/>
      </c>
      <c r="O43" s="68" t="str">
        <f t="shared" ref="O43" si="13">IF(ISERROR(+K43/N43),"",(K43/N43))</f>
        <v/>
      </c>
      <c r="P43" s="73"/>
      <c r="Q43" s="73">
        <f>SUM(Q44:Q53)</f>
        <v>0</v>
      </c>
      <c r="R43" s="121" t="e">
        <f>+IF(OR(Q43=0,E43="",I43=""),"",IF(Q43&gt;=I43,"HABIL","NO HABIL"))</f>
        <v>#REF!</v>
      </c>
    </row>
    <row r="44" spans="1:18" x14ac:dyDescent="0.2">
      <c r="A44" s="278" t="s">
        <v>263</v>
      </c>
      <c r="B44" s="203" t="e">
        <f>+'Capacidad Financiera'!#REF!</f>
        <v>#REF!</v>
      </c>
      <c r="C44" s="66" t="str">
        <f>IF(ISERROR(VLOOKUP(B44,'Capacidad Financiera'!$B$13:$AB$58066,2,0)),"",VLOOKUP(B44,'Capacidad Financiera'!$B$13:$AB$58066,2,0))</f>
        <v/>
      </c>
      <c r="D44" s="210" t="str">
        <f>IF(ISERROR(VLOOKUP(B44,'Capacidad Financiera'!$B$13:$AB$58066,3,0)),"",VLOOKUP(B44,'Capacidad Financiera'!$B$13:$AB$58066,3,0))</f>
        <v/>
      </c>
      <c r="E44" s="211" t="e">
        <f>'Capacidad Financiera'!#REF!</f>
        <v>#REF!</v>
      </c>
      <c r="F44" s="196" t="str">
        <f>IF(ISERROR(VLOOKUP(E44,POA!$A$2:$D$7,2,0)),"",VLOOKUP(E44,POA!$A$2:$D$7,2,0))</f>
        <v/>
      </c>
      <c r="G44" s="196" t="str">
        <f>IF(ISERROR(VLOOKUP(E44,POA!$A$2:$D$7,3,0)),"",VLOOKUP(E44,POA!$A$2:$D$7,4,0))</f>
        <v/>
      </c>
      <c r="H44" s="211" t="str">
        <f>IF(ISERROR(VLOOKUP(E44,POA!$A$2:$D$2,3,0)),"",VLOOKUP(E44,POA!$A$2:$D$2,3,0))</f>
        <v/>
      </c>
      <c r="I44" s="212" t="str">
        <f>IF(H44="","",IF(H44&lt;12,(F44-G44),IF(H44&gt;=12,(((F44-G44)/H44)*12),"")))</f>
        <v/>
      </c>
      <c r="J44" s="213" t="str">
        <f>IF(IF(ISERROR(VLOOKUP(B44,'Cap Organización'!$B$14:$H$1048576,3,0)),"",VLOOKUP(B44,'Cap Organización'!$B$14:$H$1048576,3,0))=0,"",IF(ISERROR(VLOOKUP(B44,'Cap Organización'!$B$14:$H$1048576,3,0)),"",VLOOKUP(B44,'Cap Organización'!$B$14:$H$1048576,3,0)))</f>
        <v/>
      </c>
      <c r="K44" s="214" t="str">
        <f>IF(ISERROR(VLOOKUP(B44,'Puntaje Exp'!$B$14:$H$1048576,8,0)),"",VLOOKUP(B44,'Puntaje Exp'!$B$14:$H$1048576,8,0))</f>
        <v/>
      </c>
      <c r="L44" s="214" t="e">
        <f>+'Capacidad Financiera'!#REF!</f>
        <v>#REF!</v>
      </c>
      <c r="M44" s="214" t="str">
        <f>IF(ISERROR(VLOOKUP(L44,POA!$A$2:$F$7,6,0)),"",VLOOKUP(L44,POA!$A$2:$F$7,6,0))</f>
        <v/>
      </c>
      <c r="N44" s="214" t="str">
        <f>IF(ISERROR(VLOOKUP(B44,'Puntaje CT'!$B$14:$H$1048576,4,0)),"",VLOOKUP(B44,'Puntaje CT'!$B$14:$H$1048576,4,0))</f>
        <v/>
      </c>
      <c r="O44" s="214" t="str">
        <f>IF(ISERROR(VLOOKUP(B44,'Puntaje CF'!$B$14:$H$1048576,6,0)),"",VLOOKUP(B44,'Puntaje CF'!$B$14:$H$1048576,6,0))</f>
        <v/>
      </c>
      <c r="P44" s="215" t="str">
        <f>IF(IF(ISERROR(VLOOKUP(B44,'Saldo CtosEjecución'!$B$14:$H$1048576,3,0)),"",VLOOKUP(B44,'Saldo CtosEjecución'!$B$14:$H$1048576,3,0))=0,"",IF(ISERROR(VLOOKUP(B44,'Saldo CtosEjecución'!$B$14:$H$1048576,3,0)),"",VLOOKUP(B44,'Saldo CtosEjecución'!$B$14:$H$1048576,3,0)))</f>
        <v/>
      </c>
      <c r="Q44" s="216" t="str">
        <f>IF(OR(J44="",K44="",N44="",O44="",P44=""),"",(J44*((K44+N44+O44)/100))-P44)</f>
        <v/>
      </c>
      <c r="R44" s="217" t="e">
        <f>+IF(OR(Q43=0,E44="",I44=""),"",IF(Q43&gt;=I44,"HABIL","NO HABIL"))</f>
        <v>#REF!</v>
      </c>
    </row>
    <row r="45" spans="1:18" x14ac:dyDescent="0.2">
      <c r="A45" s="278" t="s">
        <v>264</v>
      </c>
      <c r="B45" s="203" t="e">
        <f>+'Capacidad Financiera'!#REF!</f>
        <v>#REF!</v>
      </c>
      <c r="C45" s="66" t="str">
        <f>IF(ISERROR(VLOOKUP(B45,'Capacidad Financiera'!$B$13:$AB$58066,2,0)),"",VLOOKUP(B45,'Capacidad Financiera'!$B$13:$AB$58066,2,0))</f>
        <v/>
      </c>
      <c r="D45" s="210" t="str">
        <f>IF(ISERROR(VLOOKUP(B45,'Capacidad Financiera'!$B$13:$AB$58066,3,0)),"",VLOOKUP(B45,'Capacidad Financiera'!$B$13:$AB$58066,3,0))</f>
        <v/>
      </c>
      <c r="E45" s="211" t="e">
        <f>'Capacidad Financiera'!#REF!</f>
        <v>#REF!</v>
      </c>
      <c r="F45" s="196" t="str">
        <f>IF(ISERROR(VLOOKUP(E45,POA!$A$2:$D$7,2,0)),"",VLOOKUP(E45,POA!$A$2:$D$7,2,0))</f>
        <v/>
      </c>
      <c r="G45" s="196" t="str">
        <f>IF(ISERROR(VLOOKUP(E45,POA!$A$2:$D$7,3,0)),"",VLOOKUP(E45,POA!$A$2:$D$7,4,0))</f>
        <v/>
      </c>
      <c r="H45" s="211" t="str">
        <f>IF(ISERROR(VLOOKUP(E45,POA!$A$2:$D$2,3,0)),"",VLOOKUP(E45,POA!$A$2:$D$2,3,0))</f>
        <v/>
      </c>
      <c r="I45" s="212" t="str">
        <f>IF(H45="","",IF(H45&lt;12,(F45-G45),IF(H45&gt;=12,(((F45-G45)/H45)*12),"")))</f>
        <v/>
      </c>
      <c r="J45" s="213" t="str">
        <f>IF(IF(ISERROR(VLOOKUP(B45,'Cap Organización'!$B$14:$H$1048576,3,0)),"",VLOOKUP(B45,'Cap Organización'!$B$14:$H$1048576,3,0))=0,"",IF(ISERROR(VLOOKUP(B45,'Cap Organización'!$B$14:$H$1048576,3,0)),"",VLOOKUP(B45,'Cap Organización'!$B$14:$H$1048576,3,0)))</f>
        <v/>
      </c>
      <c r="K45" s="214" t="str">
        <f>IF(ISERROR(VLOOKUP(B45,'Puntaje Exp'!$B$14:$H$1048576,8,0)),"",VLOOKUP(B45,'Puntaje Exp'!$B$14:$H$1048576,8,0))</f>
        <v/>
      </c>
      <c r="L45" s="218" t="e">
        <f>+'Capacidad Financiera'!#REF!</f>
        <v>#REF!</v>
      </c>
      <c r="M45" s="218" t="str">
        <f>IF(ISERROR(VLOOKUP(L45,POA!$A$2:$F$7,6,0)),"",VLOOKUP(L45,POA!$A$2:$F$7,6,0))</f>
        <v/>
      </c>
      <c r="N45" s="214" t="str">
        <f>IF(ISERROR(VLOOKUP(B45,'Puntaje CT'!$B$14:$H$1048576,4,0)),"",VLOOKUP(B45,'Puntaje CT'!$B$14:$H$1048576,4,0))</f>
        <v/>
      </c>
      <c r="O45" s="214" t="str">
        <f>IF(ISERROR(VLOOKUP(B45,'Puntaje CF'!$B$14:$H$1048576,6,0)),"",VLOOKUP(B45,'Puntaje CF'!$B$14:$H$1048576,6,0))</f>
        <v/>
      </c>
      <c r="P45" s="215" t="str">
        <f>IF(IF(ISERROR(VLOOKUP(B45,'Saldo CtosEjecución'!$B$14:$H$1048576,3,0)),"",VLOOKUP(B45,'Saldo CtosEjecución'!$B$14:$H$1048576,3,0))=0,"",IF(ISERROR(VLOOKUP(B45,'Saldo CtosEjecución'!$B$14:$H$1048576,3,0)),"",VLOOKUP(B45,'Saldo CtosEjecución'!$B$14:$H$1048576,3,0)))</f>
        <v/>
      </c>
      <c r="Q45" s="216" t="str">
        <f>IF(OR(J45="",K45="",N45="",O45="",P45=""),"",(J45*((K45+N45+O45)/100))-P45)</f>
        <v/>
      </c>
      <c r="R45" s="217" t="e">
        <f>+IF(OR(Q43=0,E45="",I45=""),"",IF(Q43&gt;=I45,"HABIL","NO HABIL"))</f>
        <v>#REF!</v>
      </c>
    </row>
    <row r="46" spans="1:18" x14ac:dyDescent="0.2">
      <c r="A46" s="278" t="s">
        <v>263</v>
      </c>
      <c r="B46" s="203" t="e">
        <f>+'Capacidad Financiera'!#REF!</f>
        <v>#REF!</v>
      </c>
      <c r="C46" s="66" t="str">
        <f>IF(ISERROR(VLOOKUP(B46,'Capacidad Financiera'!$B$13:$AB$58066,2,0)),"",VLOOKUP(B46,'Capacidad Financiera'!$B$13:$AB$58066,2,0))</f>
        <v/>
      </c>
      <c r="D46" s="210" t="str">
        <f>IF(ISERROR(VLOOKUP(B46,'Capacidad Financiera'!$B$13:$AB$58066,3,0)),"",VLOOKUP(B46,'Capacidad Financiera'!$B$13:$AB$58066,3,0))</f>
        <v/>
      </c>
      <c r="E46" s="211" t="e">
        <f>'Capacidad Financiera'!#REF!</f>
        <v>#REF!</v>
      </c>
      <c r="F46" s="196" t="str">
        <f>IF(ISERROR(VLOOKUP(E46,POA!$A$2:$D$7,2,0)),"",VLOOKUP(E46,POA!$A$2:$D$7,2,0))</f>
        <v/>
      </c>
      <c r="G46" s="196" t="str">
        <f>IF(ISERROR(VLOOKUP(E46,POA!$A$2:$D$7,3,0)),"",VLOOKUP(E46,POA!$A$2:$D$7,4,0))</f>
        <v/>
      </c>
      <c r="H46" s="211" t="str">
        <f>IF(ISERROR(VLOOKUP(E46,POA!$A$2:$D$2,3,0)),"",VLOOKUP(E46,POA!$A$2:$D$2,3,0))</f>
        <v/>
      </c>
      <c r="I46" s="212" t="str">
        <f>IF(H46="","",IF(H46&lt;12,(F46-G46),IF(H46&gt;=12,(((F46-G46)/H46)*12),"")))</f>
        <v/>
      </c>
      <c r="J46" s="213" t="str">
        <f>IF(IF(ISERROR(VLOOKUP(B46,'Cap Organización'!$B$14:$H$1048576,3,0)),"",VLOOKUP(B46,'Cap Organización'!$B$14:$H$1048576,3,0))=0,"",IF(ISERROR(VLOOKUP(B46,'Cap Organización'!$B$14:$H$1048576,3,0)),"",VLOOKUP(B46,'Cap Organización'!$B$14:$H$1048576,3,0)))</f>
        <v/>
      </c>
      <c r="K46" s="214" t="str">
        <f>IF(ISERROR(VLOOKUP(B46,'Puntaje Exp'!$B$14:$H$1048576,8,0)),"",VLOOKUP(B46,'Puntaje Exp'!$B$14:$H$1048576,8,0))</f>
        <v/>
      </c>
      <c r="L46" s="218" t="e">
        <f>+'Capacidad Financiera'!#REF!</f>
        <v>#REF!</v>
      </c>
      <c r="M46" s="218" t="str">
        <f>IF(ISERROR(VLOOKUP(L46,POA!$A$2:$F$7,6,0)),"",VLOOKUP(L46,POA!$A$2:$F$7,6,0))</f>
        <v/>
      </c>
      <c r="N46" s="214" t="str">
        <f>IF(ISERROR(VLOOKUP(B46,'Puntaje CT'!$B$14:$H$1048576,4,0)),"",VLOOKUP(B46,'Puntaje CT'!$B$14:$H$1048576,4,0))</f>
        <v/>
      </c>
      <c r="O46" s="214" t="str">
        <f>IF(ISERROR(VLOOKUP(B46,'Puntaje CF'!$B$14:$H$1048576,6,0)),"",VLOOKUP(B46,'Puntaje CF'!$B$14:$H$1048576,6,0))</f>
        <v/>
      </c>
      <c r="P46" s="215" t="str">
        <f>IF(IF(ISERROR(VLOOKUP(B46,'Saldo CtosEjecución'!$B$14:$H$1048576,3,0)),"",VLOOKUP(B46,'Saldo CtosEjecución'!$B$14:$H$1048576,3,0))=0,"",IF(ISERROR(VLOOKUP(B46,'Saldo CtosEjecución'!$B$14:$H$1048576,3,0)),"",VLOOKUP(B46,'Saldo CtosEjecución'!$B$14:$H$1048576,3,0)))</f>
        <v/>
      </c>
      <c r="Q46" s="216" t="str">
        <f t="shared" ref="Q46" si="14">IF(OR(J46="",K46="",N46="",O46="",P46=""),"",(J46*((K46+N46+O46)/100))-P46)</f>
        <v/>
      </c>
      <c r="R46" s="217" t="e">
        <f>+IF(OR(Q43=0,E46="",I46=""),"",IF(Q43&gt;=I46,"HABIL","NO HABIL"))</f>
        <v>#REF!</v>
      </c>
    </row>
    <row r="47" spans="1:18" x14ac:dyDescent="0.2">
      <c r="B47" s="203" t="e">
        <f>+'Capacidad Financiera'!#REF!</f>
        <v>#REF!</v>
      </c>
      <c r="C47" s="66" t="str">
        <f>IF(ISERROR(VLOOKUP(B47,'Capacidad Financiera'!$B$13:$AB$58066,2,0)),"",VLOOKUP(B47,'Capacidad Financiera'!$B$13:$AB$58066,2,0))</f>
        <v/>
      </c>
      <c r="D47" s="210" t="str">
        <f>IF(ISERROR(VLOOKUP(B47,'Capacidad Financiera'!$B$13:$AB$58066,3,0)),"",VLOOKUP(B47,'Capacidad Financiera'!$B$13:$AB$58066,3,0))</f>
        <v/>
      </c>
      <c r="E47" s="211" t="e">
        <f>'Capacidad Financiera'!#REF!</f>
        <v>#REF!</v>
      </c>
      <c r="F47" s="196" t="str">
        <f>IF(ISERROR(VLOOKUP(E47,POA!$A$2:$D$7,2,0)),"",VLOOKUP(E47,POA!$A$2:$D$7,2,0))</f>
        <v/>
      </c>
      <c r="G47" s="196" t="str">
        <f>IF(ISERROR(VLOOKUP(E47,POA!$A$2:$D$7,3,0)),"",VLOOKUP(E47,POA!$A$2:$D$7,4,0))</f>
        <v/>
      </c>
      <c r="H47" s="211" t="str">
        <f>IF(ISERROR(VLOOKUP(E47,POA!$A$2:$D$2,3,0)),"",VLOOKUP(E47,POA!$A$2:$D$2,3,0))</f>
        <v/>
      </c>
      <c r="I47" s="212" t="str">
        <f t="shared" ref="I47:I52" si="15">IF(H47="","",IF(H47&lt;12,(F47-G47),IF(H47&gt;=12,(((F47-G47)/H47)*12),"")))</f>
        <v/>
      </c>
      <c r="J47" s="213" t="str">
        <f>IF(IF(ISERROR(VLOOKUP(B47,'Cap Organización'!$B$14:$H$1048576,3,0)),"",VLOOKUP(B47,'Cap Organización'!$B$14:$H$1048576,3,0))=0,"",IF(ISERROR(VLOOKUP(B47,'Cap Organización'!$B$14:$H$1048576,3,0)),"",VLOOKUP(B47,'Cap Organización'!$B$14:$H$1048576,3,0)))</f>
        <v/>
      </c>
      <c r="K47" s="214" t="str">
        <f>IF(ISERROR(VLOOKUP(B47,'Puntaje Exp'!$B$14:$H$1048576,8,0)),"",VLOOKUP(B47,'Puntaje Exp'!$B$14:$H$1048576,8,0))</f>
        <v/>
      </c>
      <c r="L47" s="218" t="e">
        <f>+'Capacidad Financiera'!#REF!</f>
        <v>#REF!</v>
      </c>
      <c r="M47" s="218" t="str">
        <f>IF(ISERROR(VLOOKUP(L47,POA!$A$2:$F$7,6,0)),"",VLOOKUP(L47,POA!$A$2:$F$7,6,0))</f>
        <v/>
      </c>
      <c r="N47" s="214" t="str">
        <f>IF(ISERROR(VLOOKUP(B47,'Puntaje CT'!$B$14:$H$1048576,4,0)),"",VLOOKUP(B47,'Puntaje CT'!$B$14:$H$1048576,4,0))</f>
        <v/>
      </c>
      <c r="O47" s="214" t="str">
        <f>IF(ISERROR(VLOOKUP(B47,'Puntaje CF'!$B$14:$H$1048576,6,0)),"",VLOOKUP(B47,'Puntaje CF'!$B$14:$H$1048576,6,0))</f>
        <v/>
      </c>
      <c r="P47" s="215" t="str">
        <f>IF(IF(ISERROR(VLOOKUP(B47,'Saldo CtosEjecución'!$B$14:$H$1048576,3,0)),"",VLOOKUP(B47,'Saldo CtosEjecución'!$B$14:$H$1048576,3,0))=0,"",IF(ISERROR(VLOOKUP(B47,'Saldo CtosEjecución'!$B$14:$H$1048576,3,0)),"",VLOOKUP(B47,'Saldo CtosEjecución'!$B$14:$H$1048576,3,0)))</f>
        <v/>
      </c>
      <c r="Q47" s="216"/>
      <c r="R47" s="217" t="e">
        <f>+IF(OR(Q43=0,E47="",I47=""),"",IF(Q43&gt;=I47,"HABIL","NO HABIL"))</f>
        <v>#REF!</v>
      </c>
    </row>
    <row r="48" spans="1:18" x14ac:dyDescent="0.2">
      <c r="B48" s="203" t="e">
        <f>+'Capacidad Financiera'!#REF!</f>
        <v>#REF!</v>
      </c>
      <c r="C48" s="66" t="str">
        <f>IF(ISERROR(VLOOKUP(B48,'Capacidad Financiera'!$B$13:$AB$58066,2,0)),"",VLOOKUP(B48,'Capacidad Financiera'!$B$13:$AB$58066,2,0))</f>
        <v/>
      </c>
      <c r="D48" s="210" t="str">
        <f>IF(ISERROR(VLOOKUP(B48,'Capacidad Financiera'!$B$13:$AB$58066,3,0)),"",VLOOKUP(B48,'Capacidad Financiera'!$B$13:$AB$58066,3,0))</f>
        <v/>
      </c>
      <c r="E48" s="211" t="e">
        <f>'Capacidad Financiera'!#REF!</f>
        <v>#REF!</v>
      </c>
      <c r="F48" s="196" t="str">
        <f>IF(ISERROR(VLOOKUP(E48,POA!$A$2:$D$7,2,0)),"",VLOOKUP(E48,POA!$A$2:$D$7,2,0))</f>
        <v/>
      </c>
      <c r="G48" s="196" t="str">
        <f>IF(ISERROR(VLOOKUP(E48,POA!$A$2:$D$7,3,0)),"",VLOOKUP(E48,POA!$A$2:$D$7,4,0))</f>
        <v/>
      </c>
      <c r="H48" s="211" t="str">
        <f>IF(ISERROR(VLOOKUP(E48,POA!$A$2:$D$2,3,0)),"",VLOOKUP(E48,POA!$A$2:$D$2,3,0))</f>
        <v/>
      </c>
      <c r="I48" s="212" t="str">
        <f t="shared" si="15"/>
        <v/>
      </c>
      <c r="J48" s="213" t="str">
        <f>IF(IF(ISERROR(VLOOKUP(B48,'Cap Organización'!$B$14:$H$1048576,3,0)),"",VLOOKUP(B48,'Cap Organización'!$B$14:$H$1048576,3,0))=0,"",IF(ISERROR(VLOOKUP(B48,'Cap Organización'!$B$14:$H$1048576,3,0)),"",VLOOKUP(B48,'Cap Organización'!$B$14:$H$1048576,3,0)))</f>
        <v/>
      </c>
      <c r="K48" s="214" t="str">
        <f>IF(ISERROR(VLOOKUP(B48,'Puntaje Exp'!$B$14:$H$1048576,8,0)),"",VLOOKUP(B48,'Puntaje Exp'!$B$14:$H$1048576,8,0))</f>
        <v/>
      </c>
      <c r="L48" s="218" t="e">
        <f>+'Capacidad Financiera'!#REF!</f>
        <v>#REF!</v>
      </c>
      <c r="M48" s="218" t="str">
        <f>IF(ISERROR(VLOOKUP(L48,POA!$A$2:$F$7,6,0)),"",VLOOKUP(L48,POA!$A$2:$F$7,6,0))</f>
        <v/>
      </c>
      <c r="N48" s="214" t="str">
        <f>IF(ISERROR(VLOOKUP(B48,'Puntaje CT'!$B$14:$H$1048576,4,0)),"",VLOOKUP(B48,'Puntaje CT'!$B$14:$H$1048576,4,0))</f>
        <v/>
      </c>
      <c r="O48" s="214" t="str">
        <f>IF(ISERROR(VLOOKUP(B48,'Puntaje CF'!$B$14:$H$1048576,6,0)),"",VLOOKUP(B48,'Puntaje CF'!$B$14:$H$1048576,6,0))</f>
        <v/>
      </c>
      <c r="P48" s="215" t="str">
        <f>IF(IF(ISERROR(VLOOKUP(B48,'Saldo CtosEjecución'!$B$14:$H$1048576,3,0)),"",VLOOKUP(B48,'Saldo CtosEjecución'!$B$14:$H$1048576,3,0))=0,"",IF(ISERROR(VLOOKUP(B48,'Saldo CtosEjecución'!$B$14:$H$1048576,3,0)),"",VLOOKUP(B48,'Saldo CtosEjecución'!$B$14:$H$1048576,3,0)))</f>
        <v/>
      </c>
      <c r="Q48" s="216" t="str">
        <f t="shared" ref="Q48:Q52" si="16">IF(OR(J48="",K48="",N48="",O48="",P48=""),"",(J48*((K48+N48+O48)/100))-P48)</f>
        <v/>
      </c>
      <c r="R48" s="217" t="e">
        <f>+IF(OR(Q43=0,E48="",I48=""),"",IF(Q43&gt;=I48,"HABIL","NO HABIL"))</f>
        <v>#REF!</v>
      </c>
    </row>
    <row r="49" spans="1:18" x14ac:dyDescent="0.2">
      <c r="B49" s="203" t="e">
        <f>+'Capacidad Financiera'!#REF!</f>
        <v>#REF!</v>
      </c>
      <c r="C49" s="66" t="str">
        <f>IF(ISERROR(VLOOKUP(B49,'Capacidad Financiera'!$B$13:$AB$58066,2,0)),"",VLOOKUP(B49,'Capacidad Financiera'!$B$13:$AB$58066,2,0))</f>
        <v/>
      </c>
      <c r="D49" s="210" t="str">
        <f>IF(ISERROR(VLOOKUP(B49,'Capacidad Financiera'!$B$13:$AB$58066,3,0)),"",VLOOKUP(B49,'Capacidad Financiera'!$B$13:$AB$58066,3,0))</f>
        <v/>
      </c>
      <c r="E49" s="211" t="e">
        <f>'Capacidad Financiera'!#REF!</f>
        <v>#REF!</v>
      </c>
      <c r="F49" s="196" t="str">
        <f>IF(ISERROR(VLOOKUP(E49,POA!$A$2:$D$7,2,0)),"",VLOOKUP(E49,POA!$A$2:$D$7,2,0))</f>
        <v/>
      </c>
      <c r="G49" s="196" t="str">
        <f>IF(ISERROR(VLOOKUP(E49,POA!$A$2:$D$7,3,0)),"",VLOOKUP(E49,POA!$A$2:$D$7,4,0))</f>
        <v/>
      </c>
      <c r="H49" s="211" t="str">
        <f>IF(ISERROR(VLOOKUP(E49,POA!$A$2:$D$2,3,0)),"",VLOOKUP(E49,POA!$A$2:$D$2,3,0))</f>
        <v/>
      </c>
      <c r="I49" s="212" t="str">
        <f t="shared" si="15"/>
        <v/>
      </c>
      <c r="J49" s="213" t="str">
        <f>IF(IF(ISERROR(VLOOKUP(B49,'Cap Organización'!$B$14:$H$1048576,3,0)),"",VLOOKUP(B49,'Cap Organización'!$B$14:$H$1048576,3,0))=0,"",IF(ISERROR(VLOOKUP(B49,'Cap Organización'!$B$14:$H$1048576,3,0)),"",VLOOKUP(B49,'Cap Organización'!$B$14:$H$1048576,3,0)))</f>
        <v/>
      </c>
      <c r="K49" s="214" t="str">
        <f>IF(ISERROR(VLOOKUP(B49,'Puntaje Exp'!$B$14:$H$1048576,8,0)),"",VLOOKUP(B49,'Puntaje Exp'!$B$14:$H$1048576,8,0))</f>
        <v/>
      </c>
      <c r="L49" s="218" t="e">
        <f>+'Capacidad Financiera'!#REF!</f>
        <v>#REF!</v>
      </c>
      <c r="M49" s="218" t="str">
        <f>IF(ISERROR(VLOOKUP(L49,POA!$A$2:$F$7,6,0)),"",VLOOKUP(L49,POA!$A$2:$F$7,6,0))</f>
        <v/>
      </c>
      <c r="N49" s="214" t="str">
        <f>IF(ISERROR(VLOOKUP(B49,'Puntaje CT'!$B$14:$H$1048576,4,0)),"",VLOOKUP(B49,'Puntaje CT'!$B$14:$H$1048576,4,0))</f>
        <v/>
      </c>
      <c r="O49" s="214" t="str">
        <f>IF(ISERROR(VLOOKUP(B49,'Puntaje CF'!$B$14:$H$1048576,6,0)),"",VLOOKUP(B49,'Puntaje CF'!$B$14:$H$1048576,6,0))</f>
        <v/>
      </c>
      <c r="P49" s="215" t="str">
        <f>IF(IF(ISERROR(VLOOKUP(B49,'Saldo CtosEjecución'!$B$14:$H$1048576,3,0)),"",VLOOKUP(B49,'Saldo CtosEjecución'!$B$14:$H$1048576,3,0))=0,"",IF(ISERROR(VLOOKUP(B49,'Saldo CtosEjecución'!$B$14:$H$1048576,3,0)),"",VLOOKUP(B49,'Saldo CtosEjecución'!$B$14:$H$1048576,3,0)))</f>
        <v/>
      </c>
      <c r="Q49" s="216" t="str">
        <f t="shared" si="16"/>
        <v/>
      </c>
      <c r="R49" s="217" t="e">
        <f>+IF(OR(Q43=0,E49="",I49=""),"",IF(Q43&gt;=I49,"HABIL","NO HABIL"))</f>
        <v>#REF!</v>
      </c>
    </row>
    <row r="50" spans="1:18" x14ac:dyDescent="0.2">
      <c r="B50" s="203" t="e">
        <f>+'Capacidad Financiera'!#REF!</f>
        <v>#REF!</v>
      </c>
      <c r="C50" s="66" t="str">
        <f>IF(ISERROR(VLOOKUP(B50,'Capacidad Financiera'!$B$13:$AB$58066,2,0)),"",VLOOKUP(B50,'Capacidad Financiera'!$B$13:$AB$58066,2,0))</f>
        <v/>
      </c>
      <c r="D50" s="210" t="str">
        <f>IF(ISERROR(VLOOKUP(B50,'Capacidad Financiera'!$B$13:$AB$58066,3,0)),"",VLOOKUP(B50,'Capacidad Financiera'!$B$13:$AB$58066,3,0))</f>
        <v/>
      </c>
      <c r="E50" s="211" t="e">
        <f>'Capacidad Financiera'!#REF!</f>
        <v>#REF!</v>
      </c>
      <c r="F50" s="196" t="str">
        <f>IF(ISERROR(VLOOKUP(E50,POA!$A$2:$D$7,2,0)),"",VLOOKUP(E50,POA!$A$2:$D$7,2,0))</f>
        <v/>
      </c>
      <c r="G50" s="196" t="str">
        <f>IF(ISERROR(VLOOKUP(E50,POA!$A$2:$D$7,3,0)),"",VLOOKUP(E50,POA!$A$2:$D$7,4,0))</f>
        <v/>
      </c>
      <c r="H50" s="211" t="str">
        <f>IF(ISERROR(VLOOKUP(E50,POA!$A$2:$D$2,3,0)),"",VLOOKUP(E50,POA!$A$2:$D$2,3,0))</f>
        <v/>
      </c>
      <c r="I50" s="212" t="str">
        <f t="shared" si="15"/>
        <v/>
      </c>
      <c r="J50" s="213" t="str">
        <f>IF(IF(ISERROR(VLOOKUP(B50,'Cap Organización'!$B$14:$H$1048576,3,0)),"",VLOOKUP(B50,'Cap Organización'!$B$14:$H$1048576,3,0))=0,"",IF(ISERROR(VLOOKUP(B50,'Cap Organización'!$B$14:$H$1048576,3,0)),"",VLOOKUP(B50,'Cap Organización'!$B$14:$H$1048576,3,0)))</f>
        <v/>
      </c>
      <c r="K50" s="214" t="str">
        <f>IF(ISERROR(VLOOKUP(B50,'Puntaje Exp'!$B$14:$H$1048576,8,0)),"",VLOOKUP(B50,'Puntaje Exp'!$B$14:$H$1048576,8,0))</f>
        <v/>
      </c>
      <c r="L50" s="218" t="e">
        <f>+'Capacidad Financiera'!#REF!</f>
        <v>#REF!</v>
      </c>
      <c r="M50" s="218" t="str">
        <f>IF(ISERROR(VLOOKUP(L50,POA!$A$2:$F$7,6,0)),"",VLOOKUP(L50,POA!$A$2:$F$7,6,0))</f>
        <v/>
      </c>
      <c r="N50" s="214" t="str">
        <f>IF(ISERROR(VLOOKUP(B50,'Puntaje CT'!$B$14:$H$1048576,4,0)),"",VLOOKUP(B50,'Puntaje CT'!$B$14:$H$1048576,4,0))</f>
        <v/>
      </c>
      <c r="O50" s="214" t="str">
        <f>IF(ISERROR(VLOOKUP(B50,'Puntaje CF'!$B$14:$H$1048576,6,0)),"",VLOOKUP(B50,'Puntaje CF'!$B$14:$H$1048576,6,0))</f>
        <v/>
      </c>
      <c r="P50" s="215" t="str">
        <f>IF(IF(ISERROR(VLOOKUP(B50,'Saldo CtosEjecución'!$B$14:$H$1048576,3,0)),"",VLOOKUP(B50,'Saldo CtosEjecución'!$B$14:$H$1048576,3,0))=0,"",IF(ISERROR(VLOOKUP(B50,'Saldo CtosEjecución'!$B$14:$H$1048576,3,0)),"",VLOOKUP(B50,'Saldo CtosEjecución'!$B$14:$H$1048576,3,0)))</f>
        <v/>
      </c>
      <c r="Q50" s="216" t="str">
        <f t="shared" si="16"/>
        <v/>
      </c>
      <c r="R50" s="217" t="e">
        <f>+IF(OR(Q43=0,E50="",I50=""),"",IF(Q43&gt;=I50,"HABIL","NO HABIL"))</f>
        <v>#REF!</v>
      </c>
    </row>
    <row r="51" spans="1:18" x14ac:dyDescent="0.2">
      <c r="B51" s="203" t="e">
        <f>+'Capacidad Financiera'!#REF!</f>
        <v>#REF!</v>
      </c>
      <c r="C51" s="66" t="str">
        <f>IF(ISERROR(VLOOKUP(B51,'Capacidad Financiera'!$B$13:$AB$58066,2,0)),"",VLOOKUP(B51,'Capacidad Financiera'!$B$13:$AB$58066,2,0))</f>
        <v/>
      </c>
      <c r="D51" s="210" t="str">
        <f>IF(ISERROR(VLOOKUP(B51,'Capacidad Financiera'!$B$13:$AB$58066,3,0)),"",VLOOKUP(B51,'Capacidad Financiera'!$B$13:$AB$58066,3,0))</f>
        <v/>
      </c>
      <c r="E51" s="211" t="e">
        <f>'Capacidad Financiera'!#REF!</f>
        <v>#REF!</v>
      </c>
      <c r="F51" s="196" t="str">
        <f>IF(ISERROR(VLOOKUP(E51,POA!$A$2:$D$7,2,0)),"",VLOOKUP(E51,POA!$A$2:$D$7,2,0))</f>
        <v/>
      </c>
      <c r="G51" s="196" t="str">
        <f>IF(ISERROR(VLOOKUP(E51,POA!$A$2:$D$7,3,0)),"",VLOOKUP(E51,POA!$A$2:$D$7,4,0))</f>
        <v/>
      </c>
      <c r="H51" s="211" t="str">
        <f>IF(ISERROR(VLOOKUP(E51,POA!$A$2:$D$2,3,0)),"",VLOOKUP(E51,POA!$A$2:$D$2,3,0))</f>
        <v/>
      </c>
      <c r="I51" s="212" t="str">
        <f t="shared" si="15"/>
        <v/>
      </c>
      <c r="J51" s="213" t="str">
        <f>IF(IF(ISERROR(VLOOKUP(B51,'Cap Organización'!$B$14:$H$1048576,3,0)),"",VLOOKUP(B51,'Cap Organización'!$B$14:$H$1048576,3,0))=0,"",IF(ISERROR(VLOOKUP(B51,'Cap Organización'!$B$14:$H$1048576,3,0)),"",VLOOKUP(B51,'Cap Organización'!$B$14:$H$1048576,3,0)))</f>
        <v/>
      </c>
      <c r="K51" s="214" t="str">
        <f>IF(ISERROR(VLOOKUP(B51,'Puntaje Exp'!$B$14:$H$1048576,8,0)),"",VLOOKUP(B51,'Puntaje Exp'!$B$14:$H$1048576,8,0))</f>
        <v/>
      </c>
      <c r="L51" s="218" t="e">
        <f>+'Capacidad Financiera'!#REF!</f>
        <v>#REF!</v>
      </c>
      <c r="M51" s="218" t="str">
        <f>IF(ISERROR(VLOOKUP(L51,POA!$A$2:$F$7,6,0)),"",VLOOKUP(L51,POA!$A$2:$F$7,6,0))</f>
        <v/>
      </c>
      <c r="N51" s="214" t="str">
        <f>IF(ISERROR(VLOOKUP(B51,'Puntaje CT'!$B$14:$H$1048576,4,0)),"",VLOOKUP(B51,'Puntaje CT'!$B$14:$H$1048576,4,0))</f>
        <v/>
      </c>
      <c r="O51" s="214" t="str">
        <f>IF(ISERROR(VLOOKUP(B51,'Puntaje CF'!$B$14:$H$1048576,6,0)),"",VLOOKUP(B51,'Puntaje CF'!$B$14:$H$1048576,6,0))</f>
        <v/>
      </c>
      <c r="P51" s="215" t="str">
        <f>IF(IF(ISERROR(VLOOKUP(B51,'Saldo CtosEjecución'!$B$14:$H$1048576,3,0)),"",VLOOKUP(B51,'Saldo CtosEjecución'!$B$14:$H$1048576,3,0))=0,"",IF(ISERROR(VLOOKUP(B51,'Saldo CtosEjecución'!$B$14:$H$1048576,3,0)),"",VLOOKUP(B51,'Saldo CtosEjecución'!$B$14:$H$1048576,3,0)))</f>
        <v/>
      </c>
      <c r="Q51" s="216" t="str">
        <f t="shared" si="16"/>
        <v/>
      </c>
      <c r="R51" s="217" t="e">
        <f>+IF(OR(Q43=0,E51="",I51=""),"",IF(Q43&gt;=I51,"HABIL","NO HABIL"))</f>
        <v>#REF!</v>
      </c>
    </row>
    <row r="52" spans="1:18" ht="13.5" thickBot="1" x14ac:dyDescent="0.25">
      <c r="B52" s="205" t="e">
        <f>+'Capacidad Financiera'!#REF!</f>
        <v>#REF!</v>
      </c>
      <c r="C52" s="155" t="str">
        <f>IF(ISERROR(VLOOKUP(B52,'Capacidad Financiera'!$B$13:$AB$58066,2,0)),"",VLOOKUP(B52,'Capacidad Financiera'!$B$13:$AB$58066,2,0))</f>
        <v/>
      </c>
      <c r="D52" s="199" t="str">
        <f>IF(ISERROR(VLOOKUP(B52,'Capacidad Financiera'!$B$13:$AB$58066,3,0)),"",VLOOKUP(B52,'Capacidad Financiera'!$B$13:$AB$58066,3,0))</f>
        <v/>
      </c>
      <c r="E52" s="219" t="e">
        <f>'Capacidad Financiera'!#REF!</f>
        <v>#REF!</v>
      </c>
      <c r="F52" s="200" t="str">
        <f>IF(ISERROR(VLOOKUP(E52,POA!$A$2:$D$7,2,0)),"",VLOOKUP(E52,POA!$A$2:$D$7,2,0))</f>
        <v/>
      </c>
      <c r="G52" s="200" t="str">
        <f>IF(ISERROR(VLOOKUP(E52,POA!$A$2:$D$7,3,0)),"",VLOOKUP(E52,POA!$A$2:$D$7,4,0))</f>
        <v/>
      </c>
      <c r="H52" s="219" t="str">
        <f>IF(ISERROR(VLOOKUP(E52,POA!$A$2:$D$2,3,0)),"",VLOOKUP(E52,POA!$A$2:$D$2,3,0))</f>
        <v/>
      </c>
      <c r="I52" s="220" t="str">
        <f t="shared" si="15"/>
        <v/>
      </c>
      <c r="J52" s="221" t="str">
        <f>IF(IF(ISERROR(VLOOKUP(B52,'Cap Organización'!$B$14:$H$1048576,3,0)),"",VLOOKUP(B52,'Cap Organización'!$B$14:$H$1048576,3,0))=0,"",IF(ISERROR(VLOOKUP(B52,'Cap Organización'!$B$14:$H$1048576,3,0)),"",VLOOKUP(B52,'Cap Organización'!$B$14:$H$1048576,3,0)))</f>
        <v/>
      </c>
      <c r="K52" s="222" t="str">
        <f>IF(ISERROR(VLOOKUP(B52,'Puntaje Exp'!$B$14:$H$1048576,8,0)),"",VLOOKUP(B52,'Puntaje Exp'!$B$14:$H$1048576,8,0))</f>
        <v/>
      </c>
      <c r="L52" s="206" t="e">
        <f>+'Capacidad Financiera'!#REF!</f>
        <v>#REF!</v>
      </c>
      <c r="M52" s="206" t="str">
        <f>IF(ISERROR(VLOOKUP(L52,POA!$A$2:$F$7,6,0)),"",VLOOKUP(L52,POA!$A$2:$F$7,6,0))</f>
        <v/>
      </c>
      <c r="N52" s="222" t="str">
        <f>IF(ISERROR(VLOOKUP(B52,'Puntaje CT'!$B$14:$H$1048576,4,0)),"",VLOOKUP(B52,'Puntaje CT'!$B$14:$H$1048576,4,0))</f>
        <v/>
      </c>
      <c r="O52" s="222" t="str">
        <f>IF(ISERROR(VLOOKUP(B52,'Puntaje CF'!$B$14:$H$1048576,6,0)),"",VLOOKUP(B52,'Puntaje CF'!$B$14:$H$1048576,6,0))</f>
        <v/>
      </c>
      <c r="P52" s="221" t="str">
        <f>IF(IF(ISERROR(VLOOKUP(B52,'Saldo CtosEjecución'!$B$14:$H$1048576,3,0)),"",VLOOKUP(B52,'Saldo CtosEjecución'!$B$14:$H$1048576,3,0))=0,"",IF(ISERROR(VLOOKUP(B52,'Saldo CtosEjecución'!$B$14:$H$1048576,3,0)),"",VLOOKUP(B52,'Saldo CtosEjecución'!$B$14:$H$1048576,3,0)))</f>
        <v/>
      </c>
      <c r="Q52" s="223" t="str">
        <f t="shared" si="16"/>
        <v/>
      </c>
      <c r="R52" s="224" t="e">
        <f>+IF(OR(Q43=0,E52="",I52=""),"",IF(Q43&gt;=I52,"HABIL","NO HABIL"))</f>
        <v>#REF!</v>
      </c>
    </row>
    <row r="53" spans="1:18" ht="13.5" thickBot="1" x14ac:dyDescent="0.25">
      <c r="B53" s="157"/>
      <c r="C53" s="369"/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70"/>
    </row>
    <row r="54" spans="1:18" x14ac:dyDescent="0.2">
      <c r="B54" s="67"/>
      <c r="C54" s="68" t="str">
        <f>IF(ISERROR(VLOOKUP(B54,'Capacidad Financiera'!$B$13:$AB$58066,2,0)),"",VLOOKUP(B54,'Capacidad Financiera'!$B$13:$AB$58066,2,0))</f>
        <v/>
      </c>
      <c r="D54" s="69" t="str">
        <f>IF(ISERROR(VLOOKUP(B54,'Capacidad Financiera'!$B$13:$AB$58066,3,0)),"",VLOOKUP(B54,'Capacidad Financiera'!$B$13:$AB$58066,3,0))</f>
        <v/>
      </c>
      <c r="E54" s="71" t="e">
        <f>'Capacidad Financiera'!#REF!</f>
        <v>#REF!</v>
      </c>
      <c r="F54" s="70" t="str">
        <f>IF(ISERROR(VLOOKUP(E54,POA!$A$2:$D$7,2,0)),"",VLOOKUP(E54,POA!$A$2:$D$7,2,0))</f>
        <v/>
      </c>
      <c r="G54" s="70" t="str">
        <f>IF(ISERROR(VLOOKUP(E54,POA!$A$2:$D$7,3,0)),"",VLOOKUP(E54,POA!$A$2:$D$7,4,0))</f>
        <v/>
      </c>
      <c r="H54" s="71" t="str">
        <f>IF(ISERROR(VLOOKUP(E54,POA!$A$2:$D$2,3,0)),"",VLOOKUP(E54,POA!$A$2:$D$2,3,0))</f>
        <v/>
      </c>
      <c r="I54" s="68" t="str">
        <f>IF(H54="","",IF(H54&lt;12,(F54-G54),IF(H54&gt;=12,(((F54-G54)/H54)*12),"")))</f>
        <v/>
      </c>
      <c r="J54" s="71"/>
      <c r="K54" s="68"/>
      <c r="L54" s="68"/>
      <c r="M54" s="68">
        <f>+SUM(M55:M64)</f>
        <v>0</v>
      </c>
      <c r="N54" s="71" t="str">
        <f>IF(ISERROR(VLOOKUP(J54,POA!$A$2:$C$2,3,0)),"",VLOOKUP(J54,POA!$A$2:$C$2,3,0))</f>
        <v/>
      </c>
      <c r="O54" s="68" t="str">
        <f t="shared" ref="O54" si="17">IF(ISERROR(+K54/N54),"",(K54/N54))</f>
        <v/>
      </c>
      <c r="P54" s="73"/>
      <c r="Q54" s="73">
        <f>SUM(Q55:Q64)</f>
        <v>0</v>
      </c>
      <c r="R54" s="121" t="e">
        <f>+IF(OR(Q54=0,E54="",I54=""),"",IF(Q54&gt;=I54,"HABIL","NO HABIL"))</f>
        <v>#REF!</v>
      </c>
    </row>
    <row r="55" spans="1:18" x14ac:dyDescent="0.2">
      <c r="B55" s="203" t="e">
        <f>+'Capacidad Financiera'!#REF!</f>
        <v>#REF!</v>
      </c>
      <c r="C55" s="66" t="str">
        <f>IF(ISERROR(VLOOKUP(B55,'Capacidad Financiera'!$B$13:$AB$58066,2,0)),"",VLOOKUP(B55,'Capacidad Financiera'!$B$13:$AB$58066,2,0))</f>
        <v/>
      </c>
      <c r="D55" s="210" t="str">
        <f>IF(ISERROR(VLOOKUP(B55,'Capacidad Financiera'!$B$13:$AB$58066,3,0)),"",VLOOKUP(B55,'Capacidad Financiera'!$B$13:$AB$58066,3,0))</f>
        <v/>
      </c>
      <c r="E55" s="211" t="e">
        <f>'Capacidad Financiera'!#REF!</f>
        <v>#REF!</v>
      </c>
      <c r="F55" s="196" t="str">
        <f>IF(ISERROR(VLOOKUP(E55,POA!$A$2:$D$7,2,0)),"",VLOOKUP(E55,POA!$A$2:$D$7,2,0))</f>
        <v/>
      </c>
      <c r="G55" s="196" t="str">
        <f>IF(ISERROR(VLOOKUP(E55,POA!$A$2:$D$7,3,0)),"",VLOOKUP(E55,POA!$A$2:$D$7,4,0))</f>
        <v/>
      </c>
      <c r="H55" s="211" t="str">
        <f>IF(ISERROR(VLOOKUP(E55,POA!$A$2:$D$2,3,0)),"",VLOOKUP(E55,POA!$A$2:$D$2,3,0))</f>
        <v/>
      </c>
      <c r="I55" s="212" t="str">
        <f>IF(H55="","",IF(H55&lt;12,(F55-G55),IF(H55&gt;=12,(((F55-G55)/H55)*12),"")))</f>
        <v/>
      </c>
      <c r="J55" s="213" t="str">
        <f>IF(IF(ISERROR(VLOOKUP(B55,'Cap Organización'!$B$14:$H$1048576,3,0)),"",VLOOKUP(B55,'Cap Organización'!$B$14:$H$1048576,3,0))=0,"",IF(ISERROR(VLOOKUP(B55,'Cap Organización'!$B$14:$H$1048576,3,0)),"",VLOOKUP(B55,'Cap Organización'!$B$14:$H$1048576,3,0)))</f>
        <v/>
      </c>
      <c r="K55" s="214" t="str">
        <f>IF(ISERROR(VLOOKUP(B55,'Puntaje Exp'!$B$14:$H$1048576,8,0)),"",VLOOKUP(B55,'Puntaje Exp'!$B$14:$H$1048576,8,0))</f>
        <v/>
      </c>
      <c r="L55" s="214" t="e">
        <f>+'Capacidad Financiera'!#REF!</f>
        <v>#REF!</v>
      </c>
      <c r="M55" s="214" t="str">
        <f>IF(ISERROR(VLOOKUP(L55,POA!$A$2:$F$7,6,0)),"",VLOOKUP(L55,POA!$A$2:$F$7,6,0))</f>
        <v/>
      </c>
      <c r="N55" s="214" t="str">
        <f>IF(ISERROR(VLOOKUP(B55,'Puntaje CT'!$B$14:$H$1048576,4,0)),"",VLOOKUP(B55,'Puntaje CT'!$B$14:$H$1048576,4,0))</f>
        <v/>
      </c>
      <c r="O55" s="214" t="str">
        <f>IF(ISERROR(VLOOKUP(B55,'Puntaje CF'!$B$14:$H$1048576,6,0)),"",VLOOKUP(B55,'Puntaje CF'!$B$14:$H$1048576,6,0))</f>
        <v/>
      </c>
      <c r="P55" s="215" t="str">
        <f>IF(IF(ISERROR(VLOOKUP(B55,'Saldo CtosEjecución'!$B$14:$H$1048576,3,0)),"",VLOOKUP(B55,'Saldo CtosEjecución'!$B$14:$H$1048576,3,0))=0,"",IF(ISERROR(VLOOKUP(B55,'Saldo CtosEjecución'!$B$14:$H$1048576,3,0)),"",VLOOKUP(B55,'Saldo CtosEjecución'!$B$14:$H$1048576,3,0)))</f>
        <v/>
      </c>
      <c r="Q55" s="216" t="str">
        <f>IF(OR(J55="",K55="",N55="",O55="",P55=""),"",(J55*((K55+N55+O55)/100))-P55)</f>
        <v/>
      </c>
      <c r="R55" s="217" t="e">
        <f>+IF(OR(Q54=0,E55="",I55=""),"",IF(Q54&gt;=I55,"HABIL","NO HABIL"))</f>
        <v>#REF!</v>
      </c>
    </row>
    <row r="56" spans="1:18" x14ac:dyDescent="0.2">
      <c r="A56" s="279" t="s">
        <v>265</v>
      </c>
      <c r="B56" s="203" t="e">
        <f>+'Capacidad Financiera'!#REF!</f>
        <v>#REF!</v>
      </c>
      <c r="C56" s="66" t="str">
        <f>IF(ISERROR(VLOOKUP(B56,'Capacidad Financiera'!$B$13:$AB$58066,2,0)),"",VLOOKUP(B56,'Capacidad Financiera'!$B$13:$AB$58066,2,0))</f>
        <v/>
      </c>
      <c r="D56" s="210" t="str">
        <f>IF(ISERROR(VLOOKUP(B56,'Capacidad Financiera'!$B$13:$AB$58066,3,0)),"",VLOOKUP(B56,'Capacidad Financiera'!$B$13:$AB$58066,3,0))</f>
        <v/>
      </c>
      <c r="E56" s="211" t="e">
        <f>'Capacidad Financiera'!#REF!</f>
        <v>#REF!</v>
      </c>
      <c r="F56" s="196" t="str">
        <f>IF(ISERROR(VLOOKUP(E56,POA!$A$2:$D$7,2,0)),"",VLOOKUP(E56,POA!$A$2:$D$7,2,0))</f>
        <v/>
      </c>
      <c r="G56" s="196" t="str">
        <f>IF(ISERROR(VLOOKUP(E56,POA!$A$2:$D$7,3,0)),"",VLOOKUP(E56,POA!$A$2:$D$7,4,0))</f>
        <v/>
      </c>
      <c r="H56" s="211" t="str">
        <f>IF(ISERROR(VLOOKUP(E56,POA!$A$2:$D$2,3,0)),"",VLOOKUP(E56,POA!$A$2:$D$2,3,0))</f>
        <v/>
      </c>
      <c r="I56" s="212" t="str">
        <f>IF(H56="","",IF(H56&lt;12,(F56-G56),IF(H56&gt;=12,(((F56-G56)/H56)*12),"")))</f>
        <v/>
      </c>
      <c r="J56" s="213" t="str">
        <f>IF(IF(ISERROR(VLOOKUP(B56,'Cap Organización'!$B$14:$H$1048576,3,0)),"",VLOOKUP(B56,'Cap Organización'!$B$14:$H$1048576,3,0))=0,"",IF(ISERROR(VLOOKUP(B56,'Cap Organización'!$B$14:$H$1048576,3,0)),"",VLOOKUP(B56,'Cap Organización'!$B$14:$H$1048576,3,0)))</f>
        <v/>
      </c>
      <c r="K56" s="214" t="str">
        <f>IF(ISERROR(VLOOKUP(B56,'Puntaje Exp'!$B$14:$H$1048576,8,0)),"",VLOOKUP(B56,'Puntaje Exp'!$B$14:$H$1048576,8,0))</f>
        <v/>
      </c>
      <c r="L56" s="218" t="e">
        <f>+'Capacidad Financiera'!#REF!</f>
        <v>#REF!</v>
      </c>
      <c r="M56" s="218" t="str">
        <f>IF(ISERROR(VLOOKUP(L56,POA!$A$2:$F$7,6,0)),"",VLOOKUP(L56,POA!$A$2:$F$7,6,0))</f>
        <v/>
      </c>
      <c r="N56" s="214" t="str">
        <f>IF(ISERROR(VLOOKUP(B56,'Puntaje CT'!$B$14:$H$1048576,4,0)),"",VLOOKUP(B56,'Puntaje CT'!$B$14:$H$1048576,4,0))</f>
        <v/>
      </c>
      <c r="O56" s="214" t="str">
        <f>IF(ISERROR(VLOOKUP(B56,'Puntaje CF'!$B$14:$H$1048576,6,0)),"",VLOOKUP(B56,'Puntaje CF'!$B$14:$H$1048576,6,0))</f>
        <v/>
      </c>
      <c r="P56" s="215" t="str">
        <f>IF(IF(ISERROR(VLOOKUP(B56,'Saldo CtosEjecución'!$B$14:$H$1048576,3,0)),"",VLOOKUP(B56,'Saldo CtosEjecución'!$B$14:$H$1048576,3,0))=0,"",IF(ISERROR(VLOOKUP(B56,'Saldo CtosEjecución'!$B$14:$H$1048576,3,0)),"",VLOOKUP(B56,'Saldo CtosEjecución'!$B$14:$H$1048576,3,0)))</f>
        <v/>
      </c>
      <c r="Q56" s="216" t="str">
        <f>IF(OR(J56="",K56="",N56="",O56="",P56=""),"",(J56*((K56+N56+O56)/100))-P56)</f>
        <v/>
      </c>
      <c r="R56" s="217" t="e">
        <f>+IF(OR(Q54=0,E56="",I56=""),"",IF(Q54&gt;=I56,"HABIL","NO HABIL"))</f>
        <v>#REF!</v>
      </c>
    </row>
    <row r="57" spans="1:18" x14ac:dyDescent="0.2">
      <c r="B57" s="203" t="e">
        <f>+'Capacidad Financiera'!#REF!</f>
        <v>#REF!</v>
      </c>
      <c r="C57" s="66" t="str">
        <f>IF(ISERROR(VLOOKUP(B57,'Capacidad Financiera'!$B$13:$AB$58066,2,0)),"",VLOOKUP(B57,'Capacidad Financiera'!$B$13:$AB$58066,2,0))</f>
        <v/>
      </c>
      <c r="D57" s="210" t="str">
        <f>IF(ISERROR(VLOOKUP(B57,'Capacidad Financiera'!$B$13:$AB$58066,3,0)),"",VLOOKUP(B57,'Capacidad Financiera'!$B$13:$AB$58066,3,0))</f>
        <v/>
      </c>
      <c r="E57" s="211" t="e">
        <f>'Capacidad Financiera'!#REF!</f>
        <v>#REF!</v>
      </c>
      <c r="F57" s="196" t="str">
        <f>IF(ISERROR(VLOOKUP(E57,POA!$A$2:$D$7,2,0)),"",VLOOKUP(E57,POA!$A$2:$D$7,2,0))</f>
        <v/>
      </c>
      <c r="G57" s="196" t="str">
        <f>IF(ISERROR(VLOOKUP(E57,POA!$A$2:$D$7,3,0)),"",VLOOKUP(E57,POA!$A$2:$D$7,4,0))</f>
        <v/>
      </c>
      <c r="H57" s="211" t="str">
        <f>IF(ISERROR(VLOOKUP(E57,POA!$A$2:$D$2,3,0)),"",VLOOKUP(E57,POA!$A$2:$D$2,3,0))</f>
        <v/>
      </c>
      <c r="I57" s="212" t="str">
        <f>IF(H57="","",IF(H57&lt;12,(F57-G57),IF(H57&gt;=12,(((F57-G57)/H57)*12),"")))</f>
        <v/>
      </c>
      <c r="J57" s="213" t="str">
        <f>IF(IF(ISERROR(VLOOKUP(B57,'Cap Organización'!$B$14:$H$1048576,3,0)),"",VLOOKUP(B57,'Cap Organización'!$B$14:$H$1048576,3,0))=0,"",IF(ISERROR(VLOOKUP(B57,'Cap Organización'!$B$14:$H$1048576,3,0)),"",VLOOKUP(B57,'Cap Organización'!$B$14:$H$1048576,3,0)))</f>
        <v/>
      </c>
      <c r="K57" s="214" t="str">
        <f>IF(ISERROR(VLOOKUP(B57,'Puntaje Exp'!$B$14:$H$1048576,8,0)),"",VLOOKUP(B57,'Puntaje Exp'!$B$14:$H$1048576,8,0))</f>
        <v/>
      </c>
      <c r="L57" s="218" t="e">
        <f>+'Capacidad Financiera'!#REF!</f>
        <v>#REF!</v>
      </c>
      <c r="M57" s="218" t="str">
        <f>IF(ISERROR(VLOOKUP(L57,POA!$A$2:$F$7,6,0)),"",VLOOKUP(L57,POA!$A$2:$F$7,6,0))</f>
        <v/>
      </c>
      <c r="N57" s="214" t="str">
        <f>IF(ISERROR(VLOOKUP(B57,'Puntaje CT'!$B$14:$H$1048576,4,0)),"",VLOOKUP(B57,'Puntaje CT'!$B$14:$H$1048576,4,0))</f>
        <v/>
      </c>
      <c r="O57" s="214" t="str">
        <f>IF(ISERROR(VLOOKUP(B57,'Puntaje CF'!$B$14:$H$1048576,6,0)),"",VLOOKUP(B57,'Puntaje CF'!$B$14:$H$1048576,6,0))</f>
        <v/>
      </c>
      <c r="P57" s="215" t="str">
        <f>IF(IF(ISERROR(VLOOKUP(B57,'Saldo CtosEjecución'!$B$14:$H$1048576,3,0)),"",VLOOKUP(B57,'Saldo CtosEjecución'!$B$14:$H$1048576,3,0))=0,"",IF(ISERROR(VLOOKUP(B57,'Saldo CtosEjecución'!$B$14:$H$1048576,3,0)),"",VLOOKUP(B57,'Saldo CtosEjecución'!$B$14:$H$1048576,3,0)))</f>
        <v/>
      </c>
      <c r="Q57" s="216" t="str">
        <f t="shared" ref="Q57" si="18">IF(OR(J57="",K57="",N57="",O57="",P57=""),"",(J57*((K57+N57+O57)/100))-P57)</f>
        <v/>
      </c>
      <c r="R57" s="217" t="e">
        <f>+IF(OR(Q54=0,E57="",I57=""),"",IF(Q54&gt;=I57,"HABIL","NO HABIL"))</f>
        <v>#REF!</v>
      </c>
    </row>
    <row r="58" spans="1:18" x14ac:dyDescent="0.2">
      <c r="B58" s="203" t="e">
        <f>+'Capacidad Financiera'!#REF!</f>
        <v>#REF!</v>
      </c>
      <c r="C58" s="66" t="str">
        <f>IF(ISERROR(VLOOKUP(B58,'Capacidad Financiera'!$B$13:$AB$58066,2,0)),"",VLOOKUP(B58,'Capacidad Financiera'!$B$13:$AB$58066,2,0))</f>
        <v/>
      </c>
      <c r="D58" s="210" t="str">
        <f>IF(ISERROR(VLOOKUP(B58,'Capacidad Financiera'!$B$13:$AB$58066,3,0)),"",VLOOKUP(B58,'Capacidad Financiera'!$B$13:$AB$58066,3,0))</f>
        <v/>
      </c>
      <c r="E58" s="211" t="e">
        <f>'Capacidad Financiera'!#REF!</f>
        <v>#REF!</v>
      </c>
      <c r="F58" s="196" t="str">
        <f>IF(ISERROR(VLOOKUP(E58,POA!$A$2:$D$7,2,0)),"",VLOOKUP(E58,POA!$A$2:$D$7,2,0))</f>
        <v/>
      </c>
      <c r="G58" s="196" t="str">
        <f>IF(ISERROR(VLOOKUP(E58,POA!$A$2:$D$7,3,0)),"",VLOOKUP(E58,POA!$A$2:$D$7,4,0))</f>
        <v/>
      </c>
      <c r="H58" s="211" t="str">
        <f>IF(ISERROR(VLOOKUP(E58,POA!$A$2:$D$2,3,0)),"",VLOOKUP(E58,POA!$A$2:$D$2,3,0))</f>
        <v/>
      </c>
      <c r="I58" s="212" t="str">
        <f t="shared" ref="I58:I63" si="19">IF(H58="","",IF(H58&lt;12,(F58-G58),IF(H58&gt;=12,(((F58-G58)/H58)*12),"")))</f>
        <v/>
      </c>
      <c r="J58" s="213" t="str">
        <f>IF(IF(ISERROR(VLOOKUP(B58,'Cap Organización'!$B$14:$H$1048576,3,0)),"",VLOOKUP(B58,'Cap Organización'!$B$14:$H$1048576,3,0))=0,"",IF(ISERROR(VLOOKUP(B58,'Cap Organización'!$B$14:$H$1048576,3,0)),"",VLOOKUP(B58,'Cap Organización'!$B$14:$H$1048576,3,0)))</f>
        <v/>
      </c>
      <c r="K58" s="214" t="str">
        <f>IF(ISERROR(VLOOKUP(B58,'Puntaje Exp'!$B$14:$H$1048576,8,0)),"",VLOOKUP(B58,'Puntaje Exp'!$B$14:$H$1048576,8,0))</f>
        <v/>
      </c>
      <c r="L58" s="218" t="e">
        <f>+'Capacidad Financiera'!#REF!</f>
        <v>#REF!</v>
      </c>
      <c r="M58" s="218" t="str">
        <f>IF(ISERROR(VLOOKUP(L58,POA!$A$2:$F$7,6,0)),"",VLOOKUP(L58,POA!$A$2:$F$7,6,0))</f>
        <v/>
      </c>
      <c r="N58" s="214" t="str">
        <f>IF(ISERROR(VLOOKUP(B58,'Puntaje CT'!$B$14:$H$1048576,4,0)),"",VLOOKUP(B58,'Puntaje CT'!$B$14:$H$1048576,4,0))</f>
        <v/>
      </c>
      <c r="O58" s="214" t="str">
        <f>IF(ISERROR(VLOOKUP(B58,'Puntaje CF'!$B$14:$H$1048576,6,0)),"",VLOOKUP(B58,'Puntaje CF'!$B$14:$H$1048576,6,0))</f>
        <v/>
      </c>
      <c r="P58" s="215" t="str">
        <f>IF(IF(ISERROR(VLOOKUP(B58,'Saldo CtosEjecución'!$B$14:$H$1048576,3,0)),"",VLOOKUP(B58,'Saldo CtosEjecución'!$B$14:$H$1048576,3,0))=0,"",IF(ISERROR(VLOOKUP(B58,'Saldo CtosEjecución'!$B$14:$H$1048576,3,0)),"",VLOOKUP(B58,'Saldo CtosEjecución'!$B$14:$H$1048576,3,0)))</f>
        <v/>
      </c>
      <c r="Q58" s="216"/>
      <c r="R58" s="217" t="e">
        <f>+IF(OR(Q54=0,E58="",I58=""),"",IF(Q54&gt;=I58,"HABIL","NO HABIL"))</f>
        <v>#REF!</v>
      </c>
    </row>
    <row r="59" spans="1:18" x14ac:dyDescent="0.2">
      <c r="B59" s="203" t="e">
        <f>+'Capacidad Financiera'!#REF!</f>
        <v>#REF!</v>
      </c>
      <c r="C59" s="66" t="str">
        <f>IF(ISERROR(VLOOKUP(B59,'Capacidad Financiera'!$B$13:$AB$58066,2,0)),"",VLOOKUP(B59,'Capacidad Financiera'!$B$13:$AB$58066,2,0))</f>
        <v/>
      </c>
      <c r="D59" s="210" t="str">
        <f>IF(ISERROR(VLOOKUP(B59,'Capacidad Financiera'!$B$13:$AB$58066,3,0)),"",VLOOKUP(B59,'Capacidad Financiera'!$B$13:$AB$58066,3,0))</f>
        <v/>
      </c>
      <c r="E59" s="211" t="e">
        <f>'Capacidad Financiera'!#REF!</f>
        <v>#REF!</v>
      </c>
      <c r="F59" s="196" t="str">
        <f>IF(ISERROR(VLOOKUP(E59,POA!$A$2:$D$7,2,0)),"",VLOOKUP(E59,POA!$A$2:$D$7,2,0))</f>
        <v/>
      </c>
      <c r="G59" s="196" t="str">
        <f>IF(ISERROR(VLOOKUP(E59,POA!$A$2:$D$7,3,0)),"",VLOOKUP(E59,POA!$A$2:$D$7,4,0))</f>
        <v/>
      </c>
      <c r="H59" s="211" t="str">
        <f>IF(ISERROR(VLOOKUP(E59,POA!$A$2:$D$2,3,0)),"",VLOOKUP(E59,POA!$A$2:$D$2,3,0))</f>
        <v/>
      </c>
      <c r="I59" s="212" t="str">
        <f t="shared" si="19"/>
        <v/>
      </c>
      <c r="J59" s="213" t="str">
        <f>IF(IF(ISERROR(VLOOKUP(B59,'Cap Organización'!$B$14:$H$1048576,3,0)),"",VLOOKUP(B59,'Cap Organización'!$B$14:$H$1048576,3,0))=0,"",IF(ISERROR(VLOOKUP(B59,'Cap Organización'!$B$14:$H$1048576,3,0)),"",VLOOKUP(B59,'Cap Organización'!$B$14:$H$1048576,3,0)))</f>
        <v/>
      </c>
      <c r="K59" s="214" t="str">
        <f>IF(ISERROR(VLOOKUP(B59,'Puntaje Exp'!$B$14:$H$1048576,8,0)),"",VLOOKUP(B59,'Puntaje Exp'!$B$14:$H$1048576,8,0))</f>
        <v/>
      </c>
      <c r="L59" s="218" t="e">
        <f>+'Capacidad Financiera'!#REF!</f>
        <v>#REF!</v>
      </c>
      <c r="M59" s="218" t="str">
        <f>IF(ISERROR(VLOOKUP(L59,POA!$A$2:$F$7,6,0)),"",VLOOKUP(L59,POA!$A$2:$F$7,6,0))</f>
        <v/>
      </c>
      <c r="N59" s="214" t="str">
        <f>IF(ISERROR(VLOOKUP(B59,'Puntaje CT'!$B$14:$H$1048576,4,0)),"",VLOOKUP(B59,'Puntaje CT'!$B$14:$H$1048576,4,0))</f>
        <v/>
      </c>
      <c r="O59" s="214" t="str">
        <f>IF(ISERROR(VLOOKUP(B59,'Puntaje CF'!$B$14:$H$1048576,6,0)),"",VLOOKUP(B59,'Puntaje CF'!$B$14:$H$1048576,6,0))</f>
        <v/>
      </c>
      <c r="P59" s="215" t="str">
        <f>IF(IF(ISERROR(VLOOKUP(B59,'Saldo CtosEjecución'!$B$14:$H$1048576,3,0)),"",VLOOKUP(B59,'Saldo CtosEjecución'!$B$14:$H$1048576,3,0))=0,"",IF(ISERROR(VLOOKUP(B59,'Saldo CtosEjecución'!$B$14:$H$1048576,3,0)),"",VLOOKUP(B59,'Saldo CtosEjecución'!$B$14:$H$1048576,3,0)))</f>
        <v/>
      </c>
      <c r="Q59" s="216" t="str">
        <f t="shared" ref="Q59:Q63" si="20">IF(OR(J59="",K59="",N59="",O59="",P59=""),"",(J59*((K59+N59+O59)/100))-P59)</f>
        <v/>
      </c>
      <c r="R59" s="217" t="e">
        <f>+IF(OR(Q54=0,E59="",I59=""),"",IF(Q54&gt;=I59,"HABIL","NO HABIL"))</f>
        <v>#REF!</v>
      </c>
    </row>
    <row r="60" spans="1:18" x14ac:dyDescent="0.2">
      <c r="B60" s="203" t="e">
        <f>+'Capacidad Financiera'!#REF!</f>
        <v>#REF!</v>
      </c>
      <c r="C60" s="66" t="str">
        <f>IF(ISERROR(VLOOKUP(B60,'Capacidad Financiera'!$B$13:$AB$58066,2,0)),"",VLOOKUP(B60,'Capacidad Financiera'!$B$13:$AB$58066,2,0))</f>
        <v/>
      </c>
      <c r="D60" s="210" t="str">
        <f>IF(ISERROR(VLOOKUP(B60,'Capacidad Financiera'!$B$13:$AB$58066,3,0)),"",VLOOKUP(B60,'Capacidad Financiera'!$B$13:$AB$58066,3,0))</f>
        <v/>
      </c>
      <c r="E60" s="211" t="e">
        <f>'Capacidad Financiera'!#REF!</f>
        <v>#REF!</v>
      </c>
      <c r="F60" s="196" t="str">
        <f>IF(ISERROR(VLOOKUP(E60,POA!$A$2:$D$7,2,0)),"",VLOOKUP(E60,POA!$A$2:$D$7,2,0))</f>
        <v/>
      </c>
      <c r="G60" s="196" t="str">
        <f>IF(ISERROR(VLOOKUP(E60,POA!$A$2:$D$7,3,0)),"",VLOOKUP(E60,POA!$A$2:$D$7,4,0))</f>
        <v/>
      </c>
      <c r="H60" s="211" t="str">
        <f>IF(ISERROR(VLOOKUP(E60,POA!$A$2:$D$2,3,0)),"",VLOOKUP(E60,POA!$A$2:$D$2,3,0))</f>
        <v/>
      </c>
      <c r="I60" s="212" t="str">
        <f t="shared" si="19"/>
        <v/>
      </c>
      <c r="J60" s="213" t="str">
        <f>IF(IF(ISERROR(VLOOKUP(B60,'Cap Organización'!$B$14:$H$1048576,3,0)),"",VLOOKUP(B60,'Cap Organización'!$B$14:$H$1048576,3,0))=0,"",IF(ISERROR(VLOOKUP(B60,'Cap Organización'!$B$14:$H$1048576,3,0)),"",VLOOKUP(B60,'Cap Organización'!$B$14:$H$1048576,3,0)))</f>
        <v/>
      </c>
      <c r="K60" s="214" t="str">
        <f>IF(ISERROR(VLOOKUP(B60,'Puntaje Exp'!$B$14:$H$1048576,8,0)),"",VLOOKUP(B60,'Puntaje Exp'!$B$14:$H$1048576,8,0))</f>
        <v/>
      </c>
      <c r="L60" s="218" t="e">
        <f>+'Capacidad Financiera'!#REF!</f>
        <v>#REF!</v>
      </c>
      <c r="M60" s="218" t="str">
        <f>IF(ISERROR(VLOOKUP(L60,POA!$A$2:$F$7,6,0)),"",VLOOKUP(L60,POA!$A$2:$F$7,6,0))</f>
        <v/>
      </c>
      <c r="N60" s="214" t="str">
        <f>IF(ISERROR(VLOOKUP(B60,'Puntaje CT'!$B$14:$H$1048576,4,0)),"",VLOOKUP(B60,'Puntaje CT'!$B$14:$H$1048576,4,0))</f>
        <v/>
      </c>
      <c r="O60" s="214" t="str">
        <f>IF(ISERROR(VLOOKUP(B60,'Puntaje CF'!$B$14:$H$1048576,6,0)),"",VLOOKUP(B60,'Puntaje CF'!$B$14:$H$1048576,6,0))</f>
        <v/>
      </c>
      <c r="P60" s="215" t="str">
        <f>IF(IF(ISERROR(VLOOKUP(B60,'Saldo CtosEjecución'!$B$14:$H$1048576,3,0)),"",VLOOKUP(B60,'Saldo CtosEjecución'!$B$14:$H$1048576,3,0))=0,"",IF(ISERROR(VLOOKUP(B60,'Saldo CtosEjecución'!$B$14:$H$1048576,3,0)),"",VLOOKUP(B60,'Saldo CtosEjecución'!$B$14:$H$1048576,3,0)))</f>
        <v/>
      </c>
      <c r="Q60" s="216" t="str">
        <f t="shared" si="20"/>
        <v/>
      </c>
      <c r="R60" s="217" t="e">
        <f>+IF(OR(Q54=0,E60="",I60=""),"",IF(Q54&gt;=I60,"HABIL","NO HABIL"))</f>
        <v>#REF!</v>
      </c>
    </row>
    <row r="61" spans="1:18" x14ac:dyDescent="0.2">
      <c r="B61" s="203" t="e">
        <f>+'Capacidad Financiera'!#REF!</f>
        <v>#REF!</v>
      </c>
      <c r="C61" s="66" t="str">
        <f>IF(ISERROR(VLOOKUP(B61,'Capacidad Financiera'!$B$13:$AB$58066,2,0)),"",VLOOKUP(B61,'Capacidad Financiera'!$B$13:$AB$58066,2,0))</f>
        <v/>
      </c>
      <c r="D61" s="210" t="str">
        <f>IF(ISERROR(VLOOKUP(B61,'Capacidad Financiera'!$B$13:$AB$58066,3,0)),"",VLOOKUP(B61,'Capacidad Financiera'!$B$13:$AB$58066,3,0))</f>
        <v/>
      </c>
      <c r="E61" s="211" t="e">
        <f>'Capacidad Financiera'!#REF!</f>
        <v>#REF!</v>
      </c>
      <c r="F61" s="196" t="str">
        <f>IF(ISERROR(VLOOKUP(E61,POA!$A$2:$D$7,2,0)),"",VLOOKUP(E61,POA!$A$2:$D$7,2,0))</f>
        <v/>
      </c>
      <c r="G61" s="196" t="str">
        <f>IF(ISERROR(VLOOKUP(E61,POA!$A$2:$D$7,3,0)),"",VLOOKUP(E61,POA!$A$2:$D$7,4,0))</f>
        <v/>
      </c>
      <c r="H61" s="211" t="str">
        <f>IF(ISERROR(VLOOKUP(E61,POA!$A$2:$D$2,3,0)),"",VLOOKUP(E61,POA!$A$2:$D$2,3,0))</f>
        <v/>
      </c>
      <c r="I61" s="212" t="str">
        <f t="shared" si="19"/>
        <v/>
      </c>
      <c r="J61" s="213" t="str">
        <f>IF(IF(ISERROR(VLOOKUP(B61,'Cap Organización'!$B$14:$H$1048576,3,0)),"",VLOOKUP(B61,'Cap Organización'!$B$14:$H$1048576,3,0))=0,"",IF(ISERROR(VLOOKUP(B61,'Cap Organización'!$B$14:$H$1048576,3,0)),"",VLOOKUP(B61,'Cap Organización'!$B$14:$H$1048576,3,0)))</f>
        <v/>
      </c>
      <c r="K61" s="214" t="str">
        <f>IF(ISERROR(VLOOKUP(B61,'Puntaje Exp'!$B$14:$H$1048576,8,0)),"",VLOOKUP(B61,'Puntaje Exp'!$B$14:$H$1048576,8,0))</f>
        <v/>
      </c>
      <c r="L61" s="218" t="e">
        <f>+'Capacidad Financiera'!#REF!</f>
        <v>#REF!</v>
      </c>
      <c r="M61" s="218" t="str">
        <f>IF(ISERROR(VLOOKUP(L61,POA!$A$2:$F$7,6,0)),"",VLOOKUP(L61,POA!$A$2:$F$7,6,0))</f>
        <v/>
      </c>
      <c r="N61" s="214" t="str">
        <f>IF(ISERROR(VLOOKUP(B61,'Puntaje CT'!$B$14:$H$1048576,4,0)),"",VLOOKUP(B61,'Puntaje CT'!$B$14:$H$1048576,4,0))</f>
        <v/>
      </c>
      <c r="O61" s="214" t="str">
        <f>IF(ISERROR(VLOOKUP(B61,'Puntaje CF'!$B$14:$H$1048576,6,0)),"",VLOOKUP(B61,'Puntaje CF'!$B$14:$H$1048576,6,0))</f>
        <v/>
      </c>
      <c r="P61" s="215" t="str">
        <f>IF(IF(ISERROR(VLOOKUP(B61,'Saldo CtosEjecución'!$B$14:$H$1048576,3,0)),"",VLOOKUP(B61,'Saldo CtosEjecución'!$B$14:$H$1048576,3,0))=0,"",IF(ISERROR(VLOOKUP(B61,'Saldo CtosEjecución'!$B$14:$H$1048576,3,0)),"",VLOOKUP(B61,'Saldo CtosEjecución'!$B$14:$H$1048576,3,0)))</f>
        <v/>
      </c>
      <c r="Q61" s="216" t="str">
        <f t="shared" si="20"/>
        <v/>
      </c>
      <c r="R61" s="217" t="e">
        <f>+IF(OR(Q54=0,E61="",I61=""),"",IF(Q54&gt;=I61,"HABIL","NO HABIL"))</f>
        <v>#REF!</v>
      </c>
    </row>
    <row r="62" spans="1:18" x14ac:dyDescent="0.2">
      <c r="B62" s="203" t="e">
        <f>+'Capacidad Financiera'!#REF!</f>
        <v>#REF!</v>
      </c>
      <c r="C62" s="66" t="str">
        <f>IF(ISERROR(VLOOKUP(B62,'Capacidad Financiera'!$B$13:$AB$58066,2,0)),"",VLOOKUP(B62,'Capacidad Financiera'!$B$13:$AB$58066,2,0))</f>
        <v/>
      </c>
      <c r="D62" s="210" t="str">
        <f>IF(ISERROR(VLOOKUP(B62,'Capacidad Financiera'!$B$13:$AB$58066,3,0)),"",VLOOKUP(B62,'Capacidad Financiera'!$B$13:$AB$58066,3,0))</f>
        <v/>
      </c>
      <c r="E62" s="211" t="e">
        <f>'Capacidad Financiera'!#REF!</f>
        <v>#REF!</v>
      </c>
      <c r="F62" s="196" t="str">
        <f>IF(ISERROR(VLOOKUP(E62,POA!$A$2:$D$7,2,0)),"",VLOOKUP(E62,POA!$A$2:$D$7,2,0))</f>
        <v/>
      </c>
      <c r="G62" s="196" t="str">
        <f>IF(ISERROR(VLOOKUP(E62,POA!$A$2:$D$7,3,0)),"",VLOOKUP(E62,POA!$A$2:$D$7,4,0))</f>
        <v/>
      </c>
      <c r="H62" s="211" t="str">
        <f>IF(ISERROR(VLOOKUP(E62,POA!$A$2:$D$2,3,0)),"",VLOOKUP(E62,POA!$A$2:$D$2,3,0))</f>
        <v/>
      </c>
      <c r="I62" s="212" t="str">
        <f t="shared" si="19"/>
        <v/>
      </c>
      <c r="J62" s="213" t="str">
        <f>IF(IF(ISERROR(VLOOKUP(B62,'Cap Organización'!$B$14:$H$1048576,3,0)),"",VLOOKUP(B62,'Cap Organización'!$B$14:$H$1048576,3,0))=0,"",IF(ISERROR(VLOOKUP(B62,'Cap Organización'!$B$14:$H$1048576,3,0)),"",VLOOKUP(B62,'Cap Organización'!$B$14:$H$1048576,3,0)))</f>
        <v/>
      </c>
      <c r="K62" s="214" t="str">
        <f>IF(ISERROR(VLOOKUP(B62,'Puntaje Exp'!$B$14:$H$1048576,8,0)),"",VLOOKUP(B62,'Puntaje Exp'!$B$14:$H$1048576,8,0))</f>
        <v/>
      </c>
      <c r="L62" s="218" t="e">
        <f>+'Capacidad Financiera'!#REF!</f>
        <v>#REF!</v>
      </c>
      <c r="M62" s="218" t="str">
        <f>IF(ISERROR(VLOOKUP(L62,POA!$A$2:$F$7,6,0)),"",VLOOKUP(L62,POA!$A$2:$F$7,6,0))</f>
        <v/>
      </c>
      <c r="N62" s="214" t="str">
        <f>IF(ISERROR(VLOOKUP(B62,'Puntaje CT'!$B$14:$H$1048576,4,0)),"",VLOOKUP(B62,'Puntaje CT'!$B$14:$H$1048576,4,0))</f>
        <v/>
      </c>
      <c r="O62" s="214" t="str">
        <f>IF(ISERROR(VLOOKUP(B62,'Puntaje CF'!$B$14:$H$1048576,6,0)),"",VLOOKUP(B62,'Puntaje CF'!$B$14:$H$1048576,6,0))</f>
        <v/>
      </c>
      <c r="P62" s="215" t="str">
        <f>IF(IF(ISERROR(VLOOKUP(B62,'Saldo CtosEjecución'!$B$14:$H$1048576,3,0)),"",VLOOKUP(B62,'Saldo CtosEjecución'!$B$14:$H$1048576,3,0))=0,"",IF(ISERROR(VLOOKUP(B62,'Saldo CtosEjecución'!$B$14:$H$1048576,3,0)),"",VLOOKUP(B62,'Saldo CtosEjecución'!$B$14:$H$1048576,3,0)))</f>
        <v/>
      </c>
      <c r="Q62" s="216" t="str">
        <f t="shared" si="20"/>
        <v/>
      </c>
      <c r="R62" s="217" t="e">
        <f>+IF(OR(Q54=0,E62="",I62=""),"",IF(Q54&gt;=I62,"HABIL","NO HABIL"))</f>
        <v>#REF!</v>
      </c>
    </row>
    <row r="63" spans="1:18" ht="13.5" thickBot="1" x14ac:dyDescent="0.25">
      <c r="B63" s="205" t="e">
        <f>+'Capacidad Financiera'!#REF!</f>
        <v>#REF!</v>
      </c>
      <c r="C63" s="155" t="str">
        <f>IF(ISERROR(VLOOKUP(B63,'Capacidad Financiera'!$B$13:$AB$58066,2,0)),"",VLOOKUP(B63,'Capacidad Financiera'!$B$13:$AB$58066,2,0))</f>
        <v/>
      </c>
      <c r="D63" s="199" t="str">
        <f>IF(ISERROR(VLOOKUP(B63,'Capacidad Financiera'!$B$13:$AB$58066,3,0)),"",VLOOKUP(B63,'Capacidad Financiera'!$B$13:$AB$58066,3,0))</f>
        <v/>
      </c>
      <c r="E63" s="219" t="e">
        <f>'Capacidad Financiera'!#REF!</f>
        <v>#REF!</v>
      </c>
      <c r="F63" s="200" t="str">
        <f>IF(ISERROR(VLOOKUP(E63,POA!$A$2:$D$7,2,0)),"",VLOOKUP(E63,POA!$A$2:$D$7,2,0))</f>
        <v/>
      </c>
      <c r="G63" s="200" t="str">
        <f>IF(ISERROR(VLOOKUP(E63,POA!$A$2:$D$7,3,0)),"",VLOOKUP(E63,POA!$A$2:$D$7,4,0))</f>
        <v/>
      </c>
      <c r="H63" s="219" t="str">
        <f>IF(ISERROR(VLOOKUP(E63,POA!$A$2:$D$2,3,0)),"",VLOOKUP(E63,POA!$A$2:$D$2,3,0))</f>
        <v/>
      </c>
      <c r="I63" s="220" t="str">
        <f t="shared" si="19"/>
        <v/>
      </c>
      <c r="J63" s="221" t="str">
        <f>IF(IF(ISERROR(VLOOKUP(B63,'Cap Organización'!$B$14:$H$1048576,3,0)),"",VLOOKUP(B63,'Cap Organización'!$B$14:$H$1048576,3,0))=0,"",IF(ISERROR(VLOOKUP(B63,'Cap Organización'!$B$14:$H$1048576,3,0)),"",VLOOKUP(B63,'Cap Organización'!$B$14:$H$1048576,3,0)))</f>
        <v/>
      </c>
      <c r="K63" s="222" t="str">
        <f>IF(ISERROR(VLOOKUP(B63,'Puntaje Exp'!$B$14:$H$1048576,8,0)),"",VLOOKUP(B63,'Puntaje Exp'!$B$14:$H$1048576,8,0))</f>
        <v/>
      </c>
      <c r="L63" s="206" t="e">
        <f>+'Capacidad Financiera'!#REF!</f>
        <v>#REF!</v>
      </c>
      <c r="M63" s="206" t="str">
        <f>IF(ISERROR(VLOOKUP(L63,POA!$A$2:$F$7,6,0)),"",VLOOKUP(L63,POA!$A$2:$F$7,6,0))</f>
        <v/>
      </c>
      <c r="N63" s="222" t="str">
        <f>IF(ISERROR(VLOOKUP(B63,'Puntaje CT'!$B$14:$H$1048576,4,0)),"",VLOOKUP(B63,'Puntaje CT'!$B$14:$H$1048576,4,0))</f>
        <v/>
      </c>
      <c r="O63" s="222" t="str">
        <f>IF(ISERROR(VLOOKUP(B63,'Puntaje CF'!$B$14:$H$1048576,6,0)),"",VLOOKUP(B63,'Puntaje CF'!$B$14:$H$1048576,6,0))</f>
        <v/>
      </c>
      <c r="P63" s="221" t="str">
        <f>IF(IF(ISERROR(VLOOKUP(B63,'Saldo CtosEjecución'!$B$14:$H$1048576,3,0)),"",VLOOKUP(B63,'Saldo CtosEjecución'!$B$14:$H$1048576,3,0))=0,"",IF(ISERROR(VLOOKUP(B63,'Saldo CtosEjecución'!$B$14:$H$1048576,3,0)),"",VLOOKUP(B63,'Saldo CtosEjecución'!$B$14:$H$1048576,3,0)))</f>
        <v/>
      </c>
      <c r="Q63" s="223" t="str">
        <f t="shared" si="20"/>
        <v/>
      </c>
      <c r="R63" s="224" t="e">
        <f>+IF(OR(Q54=0,E63="",I63=""),"",IF(Q54&gt;=I63,"HABIL","NO HABIL"))</f>
        <v>#REF!</v>
      </c>
    </row>
    <row r="64" spans="1:18" ht="13.5" thickBot="1" x14ac:dyDescent="0.25">
      <c r="B64" s="157"/>
      <c r="C64" s="369"/>
      <c r="D64" s="369"/>
      <c r="E64" s="369"/>
      <c r="F64" s="369"/>
      <c r="G64" s="369"/>
      <c r="H64" s="369"/>
      <c r="I64" s="369"/>
      <c r="J64" s="369"/>
      <c r="K64" s="369"/>
      <c r="L64" s="369"/>
      <c r="M64" s="369"/>
      <c r="N64" s="369"/>
      <c r="O64" s="369"/>
      <c r="P64" s="369"/>
      <c r="Q64" s="369"/>
      <c r="R64" s="370"/>
    </row>
    <row r="65" spans="2:18" x14ac:dyDescent="0.2">
      <c r="B65" s="67"/>
      <c r="C65" s="68" t="str">
        <f>IF(ISERROR(VLOOKUP(B65,'Capacidad Financiera'!$B$13:$AB$58066,2,0)),"",VLOOKUP(B65,'Capacidad Financiera'!$B$13:$AB$58066,2,0))</f>
        <v/>
      </c>
      <c r="D65" s="69" t="str">
        <f>IF(ISERROR(VLOOKUP(B65,'Capacidad Financiera'!$B$13:$AB$58066,3,0)),"",VLOOKUP(B65,'Capacidad Financiera'!$B$13:$AB$58066,3,0))</f>
        <v/>
      </c>
      <c r="E65" s="71" t="e">
        <f>'Capacidad Financiera'!#REF!</f>
        <v>#REF!</v>
      </c>
      <c r="F65" s="70" t="str">
        <f>IF(ISERROR(VLOOKUP(E65,POA!$A$2:$D$7,2,0)),"",VLOOKUP(E65,POA!$A$2:$D$7,2,0))</f>
        <v/>
      </c>
      <c r="G65" s="70" t="str">
        <f>IF(ISERROR(VLOOKUP(E65,POA!$A$2:$D$7,3,0)),"",VLOOKUP(E65,POA!$A$2:$D$7,4,0))</f>
        <v/>
      </c>
      <c r="H65" s="71" t="str">
        <f>IF(ISERROR(VLOOKUP(E65,POA!$A$2:$D$2,3,0)),"",VLOOKUP(E65,POA!$A$2:$D$2,3,0))</f>
        <v/>
      </c>
      <c r="I65" s="68" t="str">
        <f>IF(H65="","",IF(H65&lt;12,(F65-G65),IF(H65&gt;=12,(((F65-G65)/H65)*12),"")))</f>
        <v/>
      </c>
      <c r="J65" s="71"/>
      <c r="K65" s="68"/>
      <c r="L65" s="68"/>
      <c r="M65" s="68">
        <f>+SUM(M66:M75)</f>
        <v>0</v>
      </c>
      <c r="N65" s="71" t="str">
        <f>IF(ISERROR(VLOOKUP(J65,POA!$A$2:$C$2,3,0)),"",VLOOKUP(J65,POA!$A$2:$C$2,3,0))</f>
        <v/>
      </c>
      <c r="O65" s="68" t="str">
        <f t="shared" ref="O65" si="21">IF(ISERROR(+K65/N65),"",(K65/N65))</f>
        <v/>
      </c>
      <c r="P65" s="73"/>
      <c r="Q65" s="73">
        <f>SUM(Q66:Q75)</f>
        <v>0</v>
      </c>
      <c r="R65" s="121" t="e">
        <f>+IF(OR(Q65=0,E65="",I65=""),"",IF(Q65&gt;=I65,"HABIL","NO HABIL"))</f>
        <v>#REF!</v>
      </c>
    </row>
    <row r="66" spans="2:18" x14ac:dyDescent="0.2">
      <c r="B66" s="203" t="e">
        <f>+'Capacidad Financiera'!#REF!</f>
        <v>#REF!</v>
      </c>
      <c r="C66" s="66" t="str">
        <f>IF(ISERROR(VLOOKUP(B66,'Capacidad Financiera'!$B$13:$AB$58066,2,0)),"",VLOOKUP(B66,'Capacidad Financiera'!$B$13:$AB$58066,2,0))</f>
        <v/>
      </c>
      <c r="D66" s="210" t="str">
        <f>IF(ISERROR(VLOOKUP(B66,'Capacidad Financiera'!$B$13:$AB$58066,3,0)),"",VLOOKUP(B66,'Capacidad Financiera'!$B$13:$AB$58066,3,0))</f>
        <v/>
      </c>
      <c r="E66" s="211" t="e">
        <f>'Capacidad Financiera'!#REF!</f>
        <v>#REF!</v>
      </c>
      <c r="F66" s="196" t="str">
        <f>IF(ISERROR(VLOOKUP(E66,POA!$A$2:$D$7,2,0)),"",VLOOKUP(E66,POA!$A$2:$D$7,2,0))</f>
        <v/>
      </c>
      <c r="G66" s="196" t="str">
        <f>IF(ISERROR(VLOOKUP(E66,POA!$A$2:$D$7,3,0)),"",VLOOKUP(E66,POA!$A$2:$D$7,4,0))</f>
        <v/>
      </c>
      <c r="H66" s="211" t="str">
        <f>IF(ISERROR(VLOOKUP(E66,POA!$A$2:$D$2,3,0)),"",VLOOKUP(E66,POA!$A$2:$D$2,3,0))</f>
        <v/>
      </c>
      <c r="I66" s="212" t="str">
        <f>IF(H66="","",IF(H66&lt;12,(F66-G66),IF(H66&gt;=12,(((F66-G66)/H66)*12),"")))</f>
        <v/>
      </c>
      <c r="J66" s="213" t="str">
        <f>IF(IF(ISERROR(VLOOKUP(B66,'Cap Organización'!$B$14:$H$1048576,3,0)),"",VLOOKUP(B66,'Cap Organización'!$B$14:$H$1048576,3,0))=0,"",IF(ISERROR(VLOOKUP(B66,'Cap Organización'!$B$14:$H$1048576,3,0)),"",VLOOKUP(B66,'Cap Organización'!$B$14:$H$1048576,3,0)))</f>
        <v/>
      </c>
      <c r="K66" s="214" t="str">
        <f>IF(ISERROR(VLOOKUP(B66,'Puntaje Exp'!$B$14:$H$1048576,8,0)),"",VLOOKUP(B66,'Puntaje Exp'!$B$14:$H$1048576,8,0))</f>
        <v/>
      </c>
      <c r="L66" s="214" t="e">
        <f>+'Capacidad Financiera'!#REF!</f>
        <v>#REF!</v>
      </c>
      <c r="M66" s="214" t="str">
        <f>IF(ISERROR(VLOOKUP(L66,POA!$A$2:$F$7,6,0)),"",VLOOKUP(L66,POA!$A$2:$F$7,6,0))</f>
        <v/>
      </c>
      <c r="N66" s="214" t="str">
        <f>IF(ISERROR(VLOOKUP(B66,'Puntaje CT'!$B$14:$H$1048576,4,0)),"",VLOOKUP(B66,'Puntaje CT'!$B$14:$H$1048576,4,0))</f>
        <v/>
      </c>
      <c r="O66" s="214" t="str">
        <f>IF(ISERROR(VLOOKUP(B66,'Puntaje CF'!$B$14:$H$1048576,6,0)),"",VLOOKUP(B66,'Puntaje CF'!$B$14:$H$1048576,6,0))</f>
        <v/>
      </c>
      <c r="P66" s="215" t="str">
        <f>IF(IF(ISERROR(VLOOKUP(B66,'Saldo CtosEjecución'!$B$14:$H$1048576,3,0)),"",VLOOKUP(B66,'Saldo CtosEjecución'!$B$14:$H$1048576,3,0))=0,"",IF(ISERROR(VLOOKUP(B66,'Saldo CtosEjecución'!$B$14:$H$1048576,3,0)),"",VLOOKUP(B66,'Saldo CtosEjecución'!$B$14:$H$1048576,3,0)))</f>
        <v/>
      </c>
      <c r="Q66" s="216" t="str">
        <f>IF(OR(J66="",K66="",N66="",O66="",P66=""),"",(J66*((K66+N66+O66)/100))-P66)</f>
        <v/>
      </c>
      <c r="R66" s="217" t="e">
        <f>+IF(OR(Q65=0,E66="",I66=""),"",IF(Q65&gt;=I66,"HABIL","NO HABIL"))</f>
        <v>#REF!</v>
      </c>
    </row>
    <row r="67" spans="2:18" x14ac:dyDescent="0.2">
      <c r="B67" s="203" t="e">
        <f>+'Capacidad Financiera'!#REF!</f>
        <v>#REF!</v>
      </c>
      <c r="C67" s="66" t="str">
        <f>IF(ISERROR(VLOOKUP(B67,'Capacidad Financiera'!$B$13:$AB$58066,2,0)),"",VLOOKUP(B67,'Capacidad Financiera'!$B$13:$AB$58066,2,0))</f>
        <v/>
      </c>
      <c r="D67" s="210" t="str">
        <f>IF(ISERROR(VLOOKUP(B67,'Capacidad Financiera'!$B$13:$AB$58066,3,0)),"",VLOOKUP(B67,'Capacidad Financiera'!$B$13:$AB$58066,3,0))</f>
        <v/>
      </c>
      <c r="E67" s="211" t="e">
        <f>'Capacidad Financiera'!#REF!</f>
        <v>#REF!</v>
      </c>
      <c r="F67" s="196" t="str">
        <f>IF(ISERROR(VLOOKUP(E67,POA!$A$2:$D$7,2,0)),"",VLOOKUP(E67,POA!$A$2:$D$7,2,0))</f>
        <v/>
      </c>
      <c r="G67" s="196" t="str">
        <f>IF(ISERROR(VLOOKUP(E67,POA!$A$2:$D$7,3,0)),"",VLOOKUP(E67,POA!$A$2:$D$7,4,0))</f>
        <v/>
      </c>
      <c r="H67" s="211" t="str">
        <f>IF(ISERROR(VLOOKUP(E67,POA!$A$2:$D$2,3,0)),"",VLOOKUP(E67,POA!$A$2:$D$2,3,0))</f>
        <v/>
      </c>
      <c r="I67" s="212" t="str">
        <f>IF(H67="","",IF(H67&lt;12,(F67-G67),IF(H67&gt;=12,(((F67-G67)/H67)*12),"")))</f>
        <v/>
      </c>
      <c r="J67" s="213" t="str">
        <f>IF(IF(ISERROR(VLOOKUP(B67,'Cap Organización'!$B$14:$H$1048576,3,0)),"",VLOOKUP(B67,'Cap Organización'!$B$14:$H$1048576,3,0))=0,"",IF(ISERROR(VLOOKUP(B67,'Cap Organización'!$B$14:$H$1048576,3,0)),"",VLOOKUP(B67,'Cap Organización'!$B$14:$H$1048576,3,0)))</f>
        <v/>
      </c>
      <c r="K67" s="214" t="str">
        <f>IF(ISERROR(VLOOKUP(B67,'Puntaje Exp'!$B$14:$H$1048576,8,0)),"",VLOOKUP(B67,'Puntaje Exp'!$B$14:$H$1048576,8,0))</f>
        <v/>
      </c>
      <c r="L67" s="218" t="e">
        <f>+'Capacidad Financiera'!#REF!</f>
        <v>#REF!</v>
      </c>
      <c r="M67" s="218" t="str">
        <f>IF(ISERROR(VLOOKUP(L67,POA!$A$2:$F$7,6,0)),"",VLOOKUP(L67,POA!$A$2:$F$7,6,0))</f>
        <v/>
      </c>
      <c r="N67" s="214" t="str">
        <f>IF(ISERROR(VLOOKUP(B67,'Puntaje CT'!$B$14:$H$1048576,4,0)),"",VLOOKUP(B67,'Puntaje CT'!$B$14:$H$1048576,4,0))</f>
        <v/>
      </c>
      <c r="O67" s="214" t="str">
        <f>IF(ISERROR(VLOOKUP(B67,'Puntaje CF'!$B$14:$H$1048576,6,0)),"",VLOOKUP(B67,'Puntaje CF'!$B$14:$H$1048576,6,0))</f>
        <v/>
      </c>
      <c r="P67" s="215" t="str">
        <f>IF(IF(ISERROR(VLOOKUP(B67,'Saldo CtosEjecución'!$B$14:$H$1048576,3,0)),"",VLOOKUP(B67,'Saldo CtosEjecución'!$B$14:$H$1048576,3,0))=0,"",IF(ISERROR(VLOOKUP(B67,'Saldo CtosEjecución'!$B$14:$H$1048576,3,0)),"",VLOOKUP(B67,'Saldo CtosEjecución'!$B$14:$H$1048576,3,0)))</f>
        <v/>
      </c>
      <c r="Q67" s="216" t="str">
        <f>IF(OR(J67="",K67="",N67="",O67="",P67=""),"",(J67*((K67+N67+O67)/100))-P67)</f>
        <v/>
      </c>
      <c r="R67" s="217" t="e">
        <f>+IF(OR(Q65=0,E67="",I67=""),"",IF(Q65&gt;=I67,"HABIL","NO HABIL"))</f>
        <v>#REF!</v>
      </c>
    </row>
    <row r="68" spans="2:18" x14ac:dyDescent="0.2">
      <c r="B68" s="203" t="e">
        <f>+'Capacidad Financiera'!#REF!</f>
        <v>#REF!</v>
      </c>
      <c r="C68" s="66" t="str">
        <f>IF(ISERROR(VLOOKUP(B68,'Capacidad Financiera'!$B$13:$AB$58066,2,0)),"",VLOOKUP(B68,'Capacidad Financiera'!$B$13:$AB$58066,2,0))</f>
        <v/>
      </c>
      <c r="D68" s="210" t="str">
        <f>IF(ISERROR(VLOOKUP(B68,'Capacidad Financiera'!$B$13:$AB$58066,3,0)),"",VLOOKUP(B68,'Capacidad Financiera'!$B$13:$AB$58066,3,0))</f>
        <v/>
      </c>
      <c r="E68" s="211" t="e">
        <f>'Capacidad Financiera'!#REF!</f>
        <v>#REF!</v>
      </c>
      <c r="F68" s="196" t="str">
        <f>IF(ISERROR(VLOOKUP(E68,POA!$A$2:$D$7,2,0)),"",VLOOKUP(E68,POA!$A$2:$D$7,2,0))</f>
        <v/>
      </c>
      <c r="G68" s="196" t="str">
        <f>IF(ISERROR(VLOOKUP(E68,POA!$A$2:$D$7,3,0)),"",VLOOKUP(E68,POA!$A$2:$D$7,4,0))</f>
        <v/>
      </c>
      <c r="H68" s="211" t="str">
        <f>IF(ISERROR(VLOOKUP(E68,POA!$A$2:$D$2,3,0)),"",VLOOKUP(E68,POA!$A$2:$D$2,3,0))</f>
        <v/>
      </c>
      <c r="I68" s="212" t="str">
        <f>IF(H68="","",IF(H68&lt;12,(F68-G68),IF(H68&gt;=12,(((F68-G68)/H68)*12),"")))</f>
        <v/>
      </c>
      <c r="J68" s="213" t="str">
        <f>IF(IF(ISERROR(VLOOKUP(B68,'Cap Organización'!$B$14:$H$1048576,3,0)),"",VLOOKUP(B68,'Cap Organización'!$B$14:$H$1048576,3,0))=0,"",IF(ISERROR(VLOOKUP(B68,'Cap Organización'!$B$14:$H$1048576,3,0)),"",VLOOKUP(B68,'Cap Organización'!$B$14:$H$1048576,3,0)))</f>
        <v/>
      </c>
      <c r="K68" s="214" t="str">
        <f>IF(ISERROR(VLOOKUP(B68,'Puntaje Exp'!$B$14:$H$1048576,8,0)),"",VLOOKUP(B68,'Puntaje Exp'!$B$14:$H$1048576,8,0))</f>
        <v/>
      </c>
      <c r="L68" s="218" t="e">
        <f>+'Capacidad Financiera'!#REF!</f>
        <v>#REF!</v>
      </c>
      <c r="M68" s="218" t="str">
        <f>IF(ISERROR(VLOOKUP(L68,POA!$A$2:$F$7,6,0)),"",VLOOKUP(L68,POA!$A$2:$F$7,6,0))</f>
        <v/>
      </c>
      <c r="N68" s="214" t="str">
        <f>IF(ISERROR(VLOOKUP(B68,'Puntaje CT'!$B$14:$H$1048576,4,0)),"",VLOOKUP(B68,'Puntaje CT'!$B$14:$H$1048576,4,0))</f>
        <v/>
      </c>
      <c r="O68" s="214" t="str">
        <f>IF(ISERROR(VLOOKUP(B68,'Puntaje CF'!$B$14:$H$1048576,6,0)),"",VLOOKUP(B68,'Puntaje CF'!$B$14:$H$1048576,6,0))</f>
        <v/>
      </c>
      <c r="P68" s="215" t="str">
        <f>IF(IF(ISERROR(VLOOKUP(B68,'Saldo CtosEjecución'!$B$14:$H$1048576,3,0)),"",VLOOKUP(B68,'Saldo CtosEjecución'!$B$14:$H$1048576,3,0))=0,"",IF(ISERROR(VLOOKUP(B68,'Saldo CtosEjecución'!$B$14:$H$1048576,3,0)),"",VLOOKUP(B68,'Saldo CtosEjecución'!$B$14:$H$1048576,3,0)))</f>
        <v/>
      </c>
      <c r="Q68" s="216" t="str">
        <f t="shared" ref="Q68" si="22">IF(OR(J68="",K68="",N68="",O68="",P68=""),"",(J68*((K68+N68+O68)/100))-P68)</f>
        <v/>
      </c>
      <c r="R68" s="217" t="e">
        <f>+IF(OR(Q65=0,E68="",I68=""),"",IF(Q65&gt;=I68,"HABIL","NO HABIL"))</f>
        <v>#REF!</v>
      </c>
    </row>
    <row r="69" spans="2:18" x14ac:dyDescent="0.2">
      <c r="B69" s="203" t="e">
        <f>+'Capacidad Financiera'!#REF!</f>
        <v>#REF!</v>
      </c>
      <c r="C69" s="66" t="str">
        <f>IF(ISERROR(VLOOKUP(B69,'Capacidad Financiera'!$B$13:$AB$58066,2,0)),"",VLOOKUP(B69,'Capacidad Financiera'!$B$13:$AB$58066,2,0))</f>
        <v/>
      </c>
      <c r="D69" s="210" t="str">
        <f>IF(ISERROR(VLOOKUP(B69,'Capacidad Financiera'!$B$13:$AB$58066,3,0)),"",VLOOKUP(B69,'Capacidad Financiera'!$B$13:$AB$58066,3,0))</f>
        <v/>
      </c>
      <c r="E69" s="211" t="e">
        <f>'Capacidad Financiera'!#REF!</f>
        <v>#REF!</v>
      </c>
      <c r="F69" s="196" t="str">
        <f>IF(ISERROR(VLOOKUP(E69,POA!$A$2:$D$7,2,0)),"",VLOOKUP(E69,POA!$A$2:$D$7,2,0))</f>
        <v/>
      </c>
      <c r="G69" s="196" t="str">
        <f>IF(ISERROR(VLOOKUP(E69,POA!$A$2:$D$7,3,0)),"",VLOOKUP(E69,POA!$A$2:$D$7,4,0))</f>
        <v/>
      </c>
      <c r="H69" s="211" t="str">
        <f>IF(ISERROR(VLOOKUP(E69,POA!$A$2:$D$2,3,0)),"",VLOOKUP(E69,POA!$A$2:$D$2,3,0))</f>
        <v/>
      </c>
      <c r="I69" s="212" t="str">
        <f t="shared" ref="I69:I74" si="23">IF(H69="","",IF(H69&lt;12,(F69-G69),IF(H69&gt;=12,(((F69-G69)/H69)*12),"")))</f>
        <v/>
      </c>
      <c r="J69" s="213" t="str">
        <f>IF(IF(ISERROR(VLOOKUP(B69,'Cap Organización'!$B$14:$H$1048576,3,0)),"",VLOOKUP(B69,'Cap Organización'!$B$14:$H$1048576,3,0))=0,"",IF(ISERROR(VLOOKUP(B69,'Cap Organización'!$B$14:$H$1048576,3,0)),"",VLOOKUP(B69,'Cap Organización'!$B$14:$H$1048576,3,0)))</f>
        <v/>
      </c>
      <c r="K69" s="214" t="str">
        <f>IF(ISERROR(VLOOKUP(B69,'Puntaje Exp'!$B$14:$H$1048576,8,0)),"",VLOOKUP(B69,'Puntaje Exp'!$B$14:$H$1048576,8,0))</f>
        <v/>
      </c>
      <c r="L69" s="218" t="e">
        <f>+'Capacidad Financiera'!#REF!</f>
        <v>#REF!</v>
      </c>
      <c r="M69" s="218" t="str">
        <f>IF(ISERROR(VLOOKUP(L69,POA!$A$2:$F$7,6,0)),"",VLOOKUP(L69,POA!$A$2:$F$7,6,0))</f>
        <v/>
      </c>
      <c r="N69" s="214" t="str">
        <f>IF(ISERROR(VLOOKUP(B69,'Puntaje CT'!$B$14:$H$1048576,4,0)),"",VLOOKUP(B69,'Puntaje CT'!$B$14:$H$1048576,4,0))</f>
        <v/>
      </c>
      <c r="O69" s="214" t="str">
        <f>IF(ISERROR(VLOOKUP(B69,'Puntaje CF'!$B$14:$H$1048576,6,0)),"",VLOOKUP(B69,'Puntaje CF'!$B$14:$H$1048576,6,0))</f>
        <v/>
      </c>
      <c r="P69" s="215" t="str">
        <f>IF(IF(ISERROR(VLOOKUP(B69,'Saldo CtosEjecución'!$B$14:$H$1048576,3,0)),"",VLOOKUP(B69,'Saldo CtosEjecución'!$B$14:$H$1048576,3,0))=0,"",IF(ISERROR(VLOOKUP(B69,'Saldo CtosEjecución'!$B$14:$H$1048576,3,0)),"",VLOOKUP(B69,'Saldo CtosEjecución'!$B$14:$H$1048576,3,0)))</f>
        <v/>
      </c>
      <c r="Q69" s="216"/>
      <c r="R69" s="217" t="e">
        <f>+IF(OR(Q65=0,E69="",I69=""),"",IF(Q65&gt;=I69,"HABIL","NO HABIL"))</f>
        <v>#REF!</v>
      </c>
    </row>
    <row r="70" spans="2:18" x14ac:dyDescent="0.2">
      <c r="B70" s="203" t="e">
        <f>+'Capacidad Financiera'!#REF!</f>
        <v>#REF!</v>
      </c>
      <c r="C70" s="66" t="str">
        <f>IF(ISERROR(VLOOKUP(B70,'Capacidad Financiera'!$B$13:$AB$58066,2,0)),"",VLOOKUP(B70,'Capacidad Financiera'!$B$13:$AB$58066,2,0))</f>
        <v/>
      </c>
      <c r="D70" s="210" t="str">
        <f>IF(ISERROR(VLOOKUP(B70,'Capacidad Financiera'!$B$13:$AB$58066,3,0)),"",VLOOKUP(B70,'Capacidad Financiera'!$B$13:$AB$58066,3,0))</f>
        <v/>
      </c>
      <c r="E70" s="211" t="e">
        <f>'Capacidad Financiera'!#REF!</f>
        <v>#REF!</v>
      </c>
      <c r="F70" s="196" t="str">
        <f>IF(ISERROR(VLOOKUP(E70,POA!$A$2:$D$7,2,0)),"",VLOOKUP(E70,POA!$A$2:$D$7,2,0))</f>
        <v/>
      </c>
      <c r="G70" s="196" t="str">
        <f>IF(ISERROR(VLOOKUP(E70,POA!$A$2:$D$7,3,0)),"",VLOOKUP(E70,POA!$A$2:$D$7,4,0))</f>
        <v/>
      </c>
      <c r="H70" s="211" t="str">
        <f>IF(ISERROR(VLOOKUP(E70,POA!$A$2:$D$2,3,0)),"",VLOOKUP(E70,POA!$A$2:$D$2,3,0))</f>
        <v/>
      </c>
      <c r="I70" s="212" t="str">
        <f t="shared" si="23"/>
        <v/>
      </c>
      <c r="J70" s="213" t="str">
        <f>IF(IF(ISERROR(VLOOKUP(B70,'Cap Organización'!$B$14:$H$1048576,3,0)),"",VLOOKUP(B70,'Cap Organización'!$B$14:$H$1048576,3,0))=0,"",IF(ISERROR(VLOOKUP(B70,'Cap Organización'!$B$14:$H$1048576,3,0)),"",VLOOKUP(B70,'Cap Organización'!$B$14:$H$1048576,3,0)))</f>
        <v/>
      </c>
      <c r="K70" s="214" t="str">
        <f>IF(ISERROR(VLOOKUP(B70,'Puntaje Exp'!$B$14:$H$1048576,8,0)),"",VLOOKUP(B70,'Puntaje Exp'!$B$14:$H$1048576,8,0))</f>
        <v/>
      </c>
      <c r="L70" s="218" t="e">
        <f>+'Capacidad Financiera'!#REF!</f>
        <v>#REF!</v>
      </c>
      <c r="M70" s="218" t="str">
        <f>IF(ISERROR(VLOOKUP(L70,POA!$A$2:$F$7,6,0)),"",VLOOKUP(L70,POA!$A$2:$F$7,6,0))</f>
        <v/>
      </c>
      <c r="N70" s="214" t="str">
        <f>IF(ISERROR(VLOOKUP(B70,'Puntaje CT'!$B$14:$H$1048576,4,0)),"",VLOOKUP(B70,'Puntaje CT'!$B$14:$H$1048576,4,0))</f>
        <v/>
      </c>
      <c r="O70" s="214" t="str">
        <f>IF(ISERROR(VLOOKUP(B70,'Puntaje CF'!$B$14:$H$1048576,6,0)),"",VLOOKUP(B70,'Puntaje CF'!$B$14:$H$1048576,6,0))</f>
        <v/>
      </c>
      <c r="P70" s="215" t="str">
        <f>IF(IF(ISERROR(VLOOKUP(B70,'Saldo CtosEjecución'!$B$14:$H$1048576,3,0)),"",VLOOKUP(B70,'Saldo CtosEjecución'!$B$14:$H$1048576,3,0))=0,"",IF(ISERROR(VLOOKUP(B70,'Saldo CtosEjecución'!$B$14:$H$1048576,3,0)),"",VLOOKUP(B70,'Saldo CtosEjecución'!$B$14:$H$1048576,3,0)))</f>
        <v/>
      </c>
      <c r="Q70" s="216" t="str">
        <f t="shared" ref="Q70:Q74" si="24">IF(OR(J70="",K70="",N70="",O70="",P70=""),"",(J70*((K70+N70+O70)/100))-P70)</f>
        <v/>
      </c>
      <c r="R70" s="217" t="e">
        <f>+IF(OR(Q65=0,E70="",I70=""),"",IF(Q65&gt;=I70,"HABIL","NO HABIL"))</f>
        <v>#REF!</v>
      </c>
    </row>
    <row r="71" spans="2:18" x14ac:dyDescent="0.2">
      <c r="B71" s="203" t="e">
        <f>+'Capacidad Financiera'!#REF!</f>
        <v>#REF!</v>
      </c>
      <c r="C71" s="66" t="str">
        <f>IF(ISERROR(VLOOKUP(B71,'Capacidad Financiera'!$B$13:$AB$58066,2,0)),"",VLOOKUP(B71,'Capacidad Financiera'!$B$13:$AB$58066,2,0))</f>
        <v/>
      </c>
      <c r="D71" s="210" t="str">
        <f>IF(ISERROR(VLOOKUP(B71,'Capacidad Financiera'!$B$13:$AB$58066,3,0)),"",VLOOKUP(B71,'Capacidad Financiera'!$B$13:$AB$58066,3,0))</f>
        <v/>
      </c>
      <c r="E71" s="211" t="e">
        <f>'Capacidad Financiera'!#REF!</f>
        <v>#REF!</v>
      </c>
      <c r="F71" s="196" t="str">
        <f>IF(ISERROR(VLOOKUP(E71,POA!$A$2:$D$7,2,0)),"",VLOOKUP(E71,POA!$A$2:$D$7,2,0))</f>
        <v/>
      </c>
      <c r="G71" s="196" t="str">
        <f>IF(ISERROR(VLOOKUP(E71,POA!$A$2:$D$7,3,0)),"",VLOOKUP(E71,POA!$A$2:$D$7,4,0))</f>
        <v/>
      </c>
      <c r="H71" s="211" t="str">
        <f>IF(ISERROR(VLOOKUP(E71,POA!$A$2:$D$2,3,0)),"",VLOOKUP(E71,POA!$A$2:$D$2,3,0))</f>
        <v/>
      </c>
      <c r="I71" s="212" t="str">
        <f t="shared" si="23"/>
        <v/>
      </c>
      <c r="J71" s="213" t="str">
        <f>IF(IF(ISERROR(VLOOKUP(B71,'Cap Organización'!$B$14:$H$1048576,3,0)),"",VLOOKUP(B71,'Cap Organización'!$B$14:$H$1048576,3,0))=0,"",IF(ISERROR(VLOOKUP(B71,'Cap Organización'!$B$14:$H$1048576,3,0)),"",VLOOKUP(B71,'Cap Organización'!$B$14:$H$1048576,3,0)))</f>
        <v/>
      </c>
      <c r="K71" s="214" t="str">
        <f>IF(ISERROR(VLOOKUP(B71,'Puntaje Exp'!$B$14:$H$1048576,8,0)),"",VLOOKUP(B71,'Puntaje Exp'!$B$14:$H$1048576,8,0))</f>
        <v/>
      </c>
      <c r="L71" s="218" t="e">
        <f>+'Capacidad Financiera'!#REF!</f>
        <v>#REF!</v>
      </c>
      <c r="M71" s="218" t="str">
        <f>IF(ISERROR(VLOOKUP(L71,POA!$A$2:$F$7,6,0)),"",VLOOKUP(L71,POA!$A$2:$F$7,6,0))</f>
        <v/>
      </c>
      <c r="N71" s="214" t="str">
        <f>IF(ISERROR(VLOOKUP(B71,'Puntaje CT'!$B$14:$H$1048576,4,0)),"",VLOOKUP(B71,'Puntaje CT'!$B$14:$H$1048576,4,0))</f>
        <v/>
      </c>
      <c r="O71" s="214" t="str">
        <f>IF(ISERROR(VLOOKUP(B71,'Puntaje CF'!$B$14:$H$1048576,6,0)),"",VLOOKUP(B71,'Puntaje CF'!$B$14:$H$1048576,6,0))</f>
        <v/>
      </c>
      <c r="P71" s="215" t="str">
        <f>IF(IF(ISERROR(VLOOKUP(B71,'Saldo CtosEjecución'!$B$14:$H$1048576,3,0)),"",VLOOKUP(B71,'Saldo CtosEjecución'!$B$14:$H$1048576,3,0))=0,"",IF(ISERROR(VLOOKUP(B71,'Saldo CtosEjecución'!$B$14:$H$1048576,3,0)),"",VLOOKUP(B71,'Saldo CtosEjecución'!$B$14:$H$1048576,3,0)))</f>
        <v/>
      </c>
      <c r="Q71" s="216" t="str">
        <f t="shared" si="24"/>
        <v/>
      </c>
      <c r="R71" s="217" t="e">
        <f>+IF(OR(Q65=0,E71="",I71=""),"",IF(Q65&gt;=I71,"HABIL","NO HABIL"))</f>
        <v>#REF!</v>
      </c>
    </row>
    <row r="72" spans="2:18" x14ac:dyDescent="0.2">
      <c r="B72" s="203" t="e">
        <f>+'Capacidad Financiera'!#REF!</f>
        <v>#REF!</v>
      </c>
      <c r="C72" s="66" t="str">
        <f>IF(ISERROR(VLOOKUP(B72,'Capacidad Financiera'!$B$13:$AB$58066,2,0)),"",VLOOKUP(B72,'Capacidad Financiera'!$B$13:$AB$58066,2,0))</f>
        <v/>
      </c>
      <c r="D72" s="210" t="str">
        <f>IF(ISERROR(VLOOKUP(B72,'Capacidad Financiera'!$B$13:$AB$58066,3,0)),"",VLOOKUP(B72,'Capacidad Financiera'!$B$13:$AB$58066,3,0))</f>
        <v/>
      </c>
      <c r="E72" s="211" t="e">
        <f>'Capacidad Financiera'!#REF!</f>
        <v>#REF!</v>
      </c>
      <c r="F72" s="196" t="str">
        <f>IF(ISERROR(VLOOKUP(E72,POA!$A$2:$D$7,2,0)),"",VLOOKUP(E72,POA!$A$2:$D$7,2,0))</f>
        <v/>
      </c>
      <c r="G72" s="196" t="str">
        <f>IF(ISERROR(VLOOKUP(E72,POA!$A$2:$D$7,3,0)),"",VLOOKUP(E72,POA!$A$2:$D$7,4,0))</f>
        <v/>
      </c>
      <c r="H72" s="211" t="str">
        <f>IF(ISERROR(VLOOKUP(E72,POA!$A$2:$D$2,3,0)),"",VLOOKUP(E72,POA!$A$2:$D$2,3,0))</f>
        <v/>
      </c>
      <c r="I72" s="212" t="str">
        <f t="shared" si="23"/>
        <v/>
      </c>
      <c r="J72" s="213" t="str">
        <f>IF(IF(ISERROR(VLOOKUP(B72,'Cap Organización'!$B$14:$H$1048576,3,0)),"",VLOOKUP(B72,'Cap Organización'!$B$14:$H$1048576,3,0))=0,"",IF(ISERROR(VLOOKUP(B72,'Cap Organización'!$B$14:$H$1048576,3,0)),"",VLOOKUP(B72,'Cap Organización'!$B$14:$H$1048576,3,0)))</f>
        <v/>
      </c>
      <c r="K72" s="214" t="str">
        <f>IF(ISERROR(VLOOKUP(B72,'Puntaje Exp'!$B$14:$H$1048576,8,0)),"",VLOOKUP(B72,'Puntaje Exp'!$B$14:$H$1048576,8,0))</f>
        <v/>
      </c>
      <c r="L72" s="218" t="e">
        <f>+'Capacidad Financiera'!#REF!</f>
        <v>#REF!</v>
      </c>
      <c r="M72" s="218" t="str">
        <f>IF(ISERROR(VLOOKUP(L72,POA!$A$2:$F$7,6,0)),"",VLOOKUP(L72,POA!$A$2:$F$7,6,0))</f>
        <v/>
      </c>
      <c r="N72" s="214" t="str">
        <f>IF(ISERROR(VLOOKUP(B72,'Puntaje CT'!$B$14:$H$1048576,4,0)),"",VLOOKUP(B72,'Puntaje CT'!$B$14:$H$1048576,4,0))</f>
        <v/>
      </c>
      <c r="O72" s="214" t="str">
        <f>IF(ISERROR(VLOOKUP(B72,'Puntaje CF'!$B$14:$H$1048576,6,0)),"",VLOOKUP(B72,'Puntaje CF'!$B$14:$H$1048576,6,0))</f>
        <v/>
      </c>
      <c r="P72" s="215" t="str">
        <f>IF(IF(ISERROR(VLOOKUP(B72,'Saldo CtosEjecución'!$B$14:$H$1048576,3,0)),"",VLOOKUP(B72,'Saldo CtosEjecución'!$B$14:$H$1048576,3,0))=0,"",IF(ISERROR(VLOOKUP(B72,'Saldo CtosEjecución'!$B$14:$H$1048576,3,0)),"",VLOOKUP(B72,'Saldo CtosEjecución'!$B$14:$H$1048576,3,0)))</f>
        <v/>
      </c>
      <c r="Q72" s="216" t="str">
        <f t="shared" si="24"/>
        <v/>
      </c>
      <c r="R72" s="217" t="e">
        <f>+IF(OR(Q65=0,E72="",I72=""),"",IF(Q65&gt;=I72,"HABIL","NO HABIL"))</f>
        <v>#REF!</v>
      </c>
    </row>
    <row r="73" spans="2:18" x14ac:dyDescent="0.2">
      <c r="B73" s="203" t="e">
        <f>+'Capacidad Financiera'!#REF!</f>
        <v>#REF!</v>
      </c>
      <c r="C73" s="66" t="str">
        <f>IF(ISERROR(VLOOKUP(B73,'Capacidad Financiera'!$B$13:$AB$58066,2,0)),"",VLOOKUP(B73,'Capacidad Financiera'!$B$13:$AB$58066,2,0))</f>
        <v/>
      </c>
      <c r="D73" s="210" t="str">
        <f>IF(ISERROR(VLOOKUP(B73,'Capacidad Financiera'!$B$13:$AB$58066,3,0)),"",VLOOKUP(B73,'Capacidad Financiera'!$B$13:$AB$58066,3,0))</f>
        <v/>
      </c>
      <c r="E73" s="211" t="e">
        <f>'Capacidad Financiera'!#REF!</f>
        <v>#REF!</v>
      </c>
      <c r="F73" s="196" t="str">
        <f>IF(ISERROR(VLOOKUP(E73,POA!$A$2:$D$7,2,0)),"",VLOOKUP(E73,POA!$A$2:$D$7,2,0))</f>
        <v/>
      </c>
      <c r="G73" s="196" t="str">
        <f>IF(ISERROR(VLOOKUP(E73,POA!$A$2:$D$7,3,0)),"",VLOOKUP(E73,POA!$A$2:$D$7,4,0))</f>
        <v/>
      </c>
      <c r="H73" s="211" t="str">
        <f>IF(ISERROR(VLOOKUP(E73,POA!$A$2:$D$2,3,0)),"",VLOOKUP(E73,POA!$A$2:$D$2,3,0))</f>
        <v/>
      </c>
      <c r="I73" s="212" t="str">
        <f t="shared" si="23"/>
        <v/>
      </c>
      <c r="J73" s="213" t="str">
        <f>IF(IF(ISERROR(VLOOKUP(B73,'Cap Organización'!$B$14:$H$1048576,3,0)),"",VLOOKUP(B73,'Cap Organización'!$B$14:$H$1048576,3,0))=0,"",IF(ISERROR(VLOOKUP(B73,'Cap Organización'!$B$14:$H$1048576,3,0)),"",VLOOKUP(B73,'Cap Organización'!$B$14:$H$1048576,3,0)))</f>
        <v/>
      </c>
      <c r="K73" s="214" t="str">
        <f>IF(ISERROR(VLOOKUP(B73,'Puntaje Exp'!$B$14:$H$1048576,8,0)),"",VLOOKUP(B73,'Puntaje Exp'!$B$14:$H$1048576,8,0))</f>
        <v/>
      </c>
      <c r="L73" s="218" t="e">
        <f>+'Capacidad Financiera'!#REF!</f>
        <v>#REF!</v>
      </c>
      <c r="M73" s="218" t="str">
        <f>IF(ISERROR(VLOOKUP(L73,POA!$A$2:$F$7,6,0)),"",VLOOKUP(L73,POA!$A$2:$F$7,6,0))</f>
        <v/>
      </c>
      <c r="N73" s="214" t="str">
        <f>IF(ISERROR(VLOOKUP(B73,'Puntaje CT'!$B$14:$H$1048576,4,0)),"",VLOOKUP(B73,'Puntaje CT'!$B$14:$H$1048576,4,0))</f>
        <v/>
      </c>
      <c r="O73" s="214" t="str">
        <f>IF(ISERROR(VLOOKUP(B73,'Puntaje CF'!$B$14:$H$1048576,6,0)),"",VLOOKUP(B73,'Puntaje CF'!$B$14:$H$1048576,6,0))</f>
        <v/>
      </c>
      <c r="P73" s="215" t="str">
        <f>IF(IF(ISERROR(VLOOKUP(B73,'Saldo CtosEjecución'!$B$14:$H$1048576,3,0)),"",VLOOKUP(B73,'Saldo CtosEjecución'!$B$14:$H$1048576,3,0))=0,"",IF(ISERROR(VLOOKUP(B73,'Saldo CtosEjecución'!$B$14:$H$1048576,3,0)),"",VLOOKUP(B73,'Saldo CtosEjecución'!$B$14:$H$1048576,3,0)))</f>
        <v/>
      </c>
      <c r="Q73" s="216" t="str">
        <f t="shared" si="24"/>
        <v/>
      </c>
      <c r="R73" s="217" t="e">
        <f>+IF(OR(Q65=0,E73="",I73=""),"",IF(Q65&gt;=I73,"HABIL","NO HABIL"))</f>
        <v>#REF!</v>
      </c>
    </row>
    <row r="74" spans="2:18" ht="13.5" thickBot="1" x14ac:dyDescent="0.25">
      <c r="B74" s="205" t="e">
        <f>+'Capacidad Financiera'!#REF!</f>
        <v>#REF!</v>
      </c>
      <c r="C74" s="155" t="str">
        <f>IF(ISERROR(VLOOKUP(B74,'Capacidad Financiera'!$B$13:$AB$58066,2,0)),"",VLOOKUP(B74,'Capacidad Financiera'!$B$13:$AB$58066,2,0))</f>
        <v/>
      </c>
      <c r="D74" s="199" t="str">
        <f>IF(ISERROR(VLOOKUP(B74,'Capacidad Financiera'!$B$13:$AB$58066,3,0)),"",VLOOKUP(B74,'Capacidad Financiera'!$B$13:$AB$58066,3,0))</f>
        <v/>
      </c>
      <c r="E74" s="219" t="e">
        <f>'Capacidad Financiera'!#REF!</f>
        <v>#REF!</v>
      </c>
      <c r="F74" s="200" t="str">
        <f>IF(ISERROR(VLOOKUP(E74,POA!$A$2:$D$7,2,0)),"",VLOOKUP(E74,POA!$A$2:$D$7,2,0))</f>
        <v/>
      </c>
      <c r="G74" s="200" t="str">
        <f>IF(ISERROR(VLOOKUP(E74,POA!$A$2:$D$7,3,0)),"",VLOOKUP(E74,POA!$A$2:$D$7,4,0))</f>
        <v/>
      </c>
      <c r="H74" s="219" t="str">
        <f>IF(ISERROR(VLOOKUP(E74,POA!$A$2:$D$2,3,0)),"",VLOOKUP(E74,POA!$A$2:$D$2,3,0))</f>
        <v/>
      </c>
      <c r="I74" s="220" t="str">
        <f t="shared" si="23"/>
        <v/>
      </c>
      <c r="J74" s="221" t="str">
        <f>IF(IF(ISERROR(VLOOKUP(B74,'Cap Organización'!$B$14:$H$1048576,3,0)),"",VLOOKUP(B74,'Cap Organización'!$B$14:$H$1048576,3,0))=0,"",IF(ISERROR(VLOOKUP(B74,'Cap Organización'!$B$14:$H$1048576,3,0)),"",VLOOKUP(B74,'Cap Organización'!$B$14:$H$1048576,3,0)))</f>
        <v/>
      </c>
      <c r="K74" s="222" t="str">
        <f>IF(ISERROR(VLOOKUP(B74,'Puntaje Exp'!$B$14:$H$1048576,8,0)),"",VLOOKUP(B74,'Puntaje Exp'!$B$14:$H$1048576,8,0))</f>
        <v/>
      </c>
      <c r="L74" s="206" t="e">
        <f>+'Capacidad Financiera'!#REF!</f>
        <v>#REF!</v>
      </c>
      <c r="M74" s="206" t="str">
        <f>IF(ISERROR(VLOOKUP(L74,POA!$A$2:$F$7,6,0)),"",VLOOKUP(L74,POA!$A$2:$F$7,6,0))</f>
        <v/>
      </c>
      <c r="N74" s="222" t="str">
        <f>IF(ISERROR(VLOOKUP(B74,'Puntaje CT'!$B$14:$H$1048576,4,0)),"",VLOOKUP(B74,'Puntaje CT'!$B$14:$H$1048576,4,0))</f>
        <v/>
      </c>
      <c r="O74" s="222" t="str">
        <f>IF(ISERROR(VLOOKUP(B74,'Puntaje CF'!$B$14:$H$1048576,6,0)),"",VLOOKUP(B74,'Puntaje CF'!$B$14:$H$1048576,6,0))</f>
        <v/>
      </c>
      <c r="P74" s="221" t="str">
        <f>IF(IF(ISERROR(VLOOKUP(B74,'Saldo CtosEjecución'!$B$14:$H$1048576,3,0)),"",VLOOKUP(B74,'Saldo CtosEjecución'!$B$14:$H$1048576,3,0))=0,"",IF(ISERROR(VLOOKUP(B74,'Saldo CtosEjecución'!$B$14:$H$1048576,3,0)),"",VLOOKUP(B74,'Saldo CtosEjecución'!$B$14:$H$1048576,3,0)))</f>
        <v/>
      </c>
      <c r="Q74" s="223" t="str">
        <f t="shared" si="24"/>
        <v/>
      </c>
      <c r="R74" s="224" t="e">
        <f>+IF(OR(Q65=0,E74="",I74=""),"",IF(Q65&gt;=I74,"HABIL","NO HABIL"))</f>
        <v>#REF!</v>
      </c>
    </row>
    <row r="75" spans="2:18" ht="13.5" thickBot="1" x14ac:dyDescent="0.25">
      <c r="B75" s="157"/>
      <c r="C75" s="369"/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70"/>
    </row>
    <row r="76" spans="2:18" x14ac:dyDescent="0.2">
      <c r="B76" s="67">
        <v>9</v>
      </c>
      <c r="C76" s="68" t="str">
        <f>IF(ISERROR(VLOOKUP(B76,'Capacidad Financiera'!$B$13:$AB$58066,2,0)),"",VLOOKUP(B76,'Capacidad Financiera'!$B$13:$AB$58066,2,0))</f>
        <v/>
      </c>
      <c r="D76" s="69" t="str">
        <f>IF(ISERROR(VLOOKUP(B76,'Capacidad Financiera'!$B$13:$AB$58066,3,0)),"",VLOOKUP(B76,'Capacidad Financiera'!$B$13:$AB$58066,3,0))</f>
        <v/>
      </c>
      <c r="E76" s="71" t="e">
        <f>'Capacidad Financiera'!#REF!</f>
        <v>#REF!</v>
      </c>
      <c r="F76" s="70" t="str">
        <f>IF(ISERROR(VLOOKUP(E76,POA!$A$2:$D$7,2,0)),"",VLOOKUP(E76,POA!$A$2:$D$7,2,0))</f>
        <v/>
      </c>
      <c r="G76" s="70" t="str">
        <f>IF(ISERROR(VLOOKUP(E76,POA!$A$2:$D$7,3,0)),"",VLOOKUP(E76,POA!$A$2:$D$7,4,0))</f>
        <v/>
      </c>
      <c r="H76" s="71" t="str">
        <f>IF(ISERROR(VLOOKUP(E76,POA!$A$2:$D$2,3,0)),"",VLOOKUP(E76,POA!$A$2:$D$2,3,0))</f>
        <v/>
      </c>
      <c r="I76" s="68" t="str">
        <f>IF(H76="","",IF(H76&lt;12,(F76-G76),IF(H76&gt;=12,(((F76-G76)/H76)*12),"")))</f>
        <v/>
      </c>
      <c r="J76" s="71"/>
      <c r="K76" s="68"/>
      <c r="L76" s="68"/>
      <c r="M76" s="68">
        <f>+SUM(M77:M86)</f>
        <v>0</v>
      </c>
      <c r="N76" s="71" t="str">
        <f>IF(ISERROR(VLOOKUP(J76,POA!$A$2:$C$2,3,0)),"",VLOOKUP(J76,POA!$A$2:$C$2,3,0))</f>
        <v/>
      </c>
      <c r="O76" s="68" t="str">
        <f t="shared" ref="O76" si="25">IF(ISERROR(+K76/N76),"",(K76/N76))</f>
        <v/>
      </c>
      <c r="P76" s="73"/>
      <c r="Q76" s="73">
        <f>SUM(Q77:Q86)</f>
        <v>0</v>
      </c>
      <c r="R76" s="121" t="e">
        <f>+IF(OR(Q76=0,E76="",I76=""),"",IF(Q76&gt;=I76,"HABIL","NO HABIL"))</f>
        <v>#REF!</v>
      </c>
    </row>
    <row r="77" spans="2:18" x14ac:dyDescent="0.2">
      <c r="B77" s="203" t="e">
        <f>+'Capacidad Financiera'!#REF!</f>
        <v>#REF!</v>
      </c>
      <c r="C77" s="66" t="str">
        <f>IF(ISERROR(VLOOKUP(B77,'Capacidad Financiera'!$B$13:$AB$58066,2,0)),"",VLOOKUP(B77,'Capacidad Financiera'!$B$13:$AB$58066,2,0))</f>
        <v/>
      </c>
      <c r="D77" s="210" t="str">
        <f>IF(ISERROR(VLOOKUP(B77,'Capacidad Financiera'!$B$13:$AB$58066,3,0)),"",VLOOKUP(B77,'Capacidad Financiera'!$B$13:$AB$58066,3,0))</f>
        <v/>
      </c>
      <c r="E77" s="211" t="e">
        <f>'Capacidad Financiera'!#REF!</f>
        <v>#REF!</v>
      </c>
      <c r="F77" s="196" t="str">
        <f>IF(ISERROR(VLOOKUP(E77,POA!$A$2:$D$7,2,0)),"",VLOOKUP(E77,POA!$A$2:$D$7,2,0))</f>
        <v/>
      </c>
      <c r="G77" s="196" t="str">
        <f>IF(ISERROR(VLOOKUP(E77,POA!$A$2:$D$7,3,0)),"",VLOOKUP(E77,POA!$A$2:$D$7,4,0))</f>
        <v/>
      </c>
      <c r="H77" s="211" t="str">
        <f>IF(ISERROR(VLOOKUP(E77,POA!$A$2:$D$2,3,0)),"",VLOOKUP(E77,POA!$A$2:$D$2,3,0))</f>
        <v/>
      </c>
      <c r="I77" s="212" t="str">
        <f>IF(H77="","",IF(H77&lt;12,(F77-G77),IF(H77&gt;=12,(((F77-G77)/H77)*12),"")))</f>
        <v/>
      </c>
      <c r="J77" s="213" t="str">
        <f>IF(IF(ISERROR(VLOOKUP(B77,'Cap Organización'!$B$14:$H$1048576,3,0)),"",VLOOKUP(B77,'Cap Organización'!$B$14:$H$1048576,3,0))=0,"",IF(ISERROR(VLOOKUP(B77,'Cap Organización'!$B$14:$H$1048576,3,0)),"",VLOOKUP(B77,'Cap Organización'!$B$14:$H$1048576,3,0)))</f>
        <v/>
      </c>
      <c r="K77" s="214" t="str">
        <f>IF(ISERROR(VLOOKUP(B77,'Puntaje Exp'!$B$14:$H$1048576,8,0)),"",VLOOKUP(B77,'Puntaje Exp'!$B$14:$H$1048576,8,0))</f>
        <v/>
      </c>
      <c r="L77" s="214" t="e">
        <f>+'Capacidad Financiera'!#REF!</f>
        <v>#REF!</v>
      </c>
      <c r="M77" s="214" t="str">
        <f>IF(ISERROR(VLOOKUP(L77,POA!$A$2:$F$7,6,0)),"",VLOOKUP(L77,POA!$A$2:$F$7,6,0))</f>
        <v/>
      </c>
      <c r="N77" s="214" t="str">
        <f>IF(ISERROR(VLOOKUP(B77,'Puntaje CT'!$B$14:$H$1048576,4,0)),"",VLOOKUP(B77,'Puntaje CT'!$B$14:$H$1048576,4,0))</f>
        <v/>
      </c>
      <c r="O77" s="214" t="str">
        <f>IF(ISERROR(VLOOKUP(B77,'Puntaje CF'!$B$14:$H$1048576,6,0)),"",VLOOKUP(B77,'Puntaje CF'!$B$14:$H$1048576,6,0))</f>
        <v/>
      </c>
      <c r="P77" s="215" t="str">
        <f>IF(IF(ISERROR(VLOOKUP(B77,'Saldo CtosEjecución'!$B$14:$H$1048576,3,0)),"",VLOOKUP(B77,'Saldo CtosEjecución'!$B$14:$H$1048576,3,0))=0,"",IF(ISERROR(VLOOKUP(B77,'Saldo CtosEjecución'!$B$14:$H$1048576,3,0)),"",VLOOKUP(B77,'Saldo CtosEjecución'!$B$14:$H$1048576,3,0)))</f>
        <v/>
      </c>
      <c r="Q77" s="216" t="str">
        <f>IF(OR(J77="",K77="",N77="",O77="",P77=""),"",(J77*((K77+N77+O77)/100))-P77)</f>
        <v/>
      </c>
      <c r="R77" s="217" t="e">
        <f>+IF(OR(Q76=0,E77="",I77=""),"",IF(Q76&gt;=I77,"HABIL","NO HABIL"))</f>
        <v>#REF!</v>
      </c>
    </row>
    <row r="78" spans="2:18" x14ac:dyDescent="0.2">
      <c r="B78" s="203" t="e">
        <f>+'Capacidad Financiera'!#REF!</f>
        <v>#REF!</v>
      </c>
      <c r="C78" s="66" t="str">
        <f>IF(ISERROR(VLOOKUP(B78,'Capacidad Financiera'!$B$13:$AB$58066,2,0)),"",VLOOKUP(B78,'Capacidad Financiera'!$B$13:$AB$58066,2,0))</f>
        <v/>
      </c>
      <c r="D78" s="210" t="str">
        <f>IF(ISERROR(VLOOKUP(B78,'Capacidad Financiera'!$B$13:$AB$58066,3,0)),"",VLOOKUP(B78,'Capacidad Financiera'!$B$13:$AB$58066,3,0))</f>
        <v/>
      </c>
      <c r="E78" s="211" t="e">
        <f>'Capacidad Financiera'!#REF!</f>
        <v>#REF!</v>
      </c>
      <c r="F78" s="196" t="str">
        <f>IF(ISERROR(VLOOKUP(E78,POA!$A$2:$D$7,2,0)),"",VLOOKUP(E78,POA!$A$2:$D$7,2,0))</f>
        <v/>
      </c>
      <c r="G78" s="196" t="str">
        <f>IF(ISERROR(VLOOKUP(E78,POA!$A$2:$D$7,3,0)),"",VLOOKUP(E78,POA!$A$2:$D$7,4,0))</f>
        <v/>
      </c>
      <c r="H78" s="211" t="str">
        <f>IF(ISERROR(VLOOKUP(E78,POA!$A$2:$D$2,3,0)),"",VLOOKUP(E78,POA!$A$2:$D$2,3,0))</f>
        <v/>
      </c>
      <c r="I78" s="212" t="str">
        <f>IF(H78="","",IF(H78&lt;12,(F78-G78),IF(H78&gt;=12,(((F78-G78)/H78)*12),"")))</f>
        <v/>
      </c>
      <c r="J78" s="213" t="str">
        <f>IF(IF(ISERROR(VLOOKUP(B78,'Cap Organización'!$B$14:$H$1048576,3,0)),"",VLOOKUP(B78,'Cap Organización'!$B$14:$H$1048576,3,0))=0,"",IF(ISERROR(VLOOKUP(B78,'Cap Organización'!$B$14:$H$1048576,3,0)),"",VLOOKUP(B78,'Cap Organización'!$B$14:$H$1048576,3,0)))</f>
        <v/>
      </c>
      <c r="K78" s="214" t="str">
        <f>IF(ISERROR(VLOOKUP(B78,'Puntaje Exp'!$B$14:$H$1048576,8,0)),"",VLOOKUP(B78,'Puntaje Exp'!$B$14:$H$1048576,8,0))</f>
        <v/>
      </c>
      <c r="L78" s="218" t="e">
        <f>+'Capacidad Financiera'!#REF!</f>
        <v>#REF!</v>
      </c>
      <c r="M78" s="218" t="str">
        <f>IF(ISERROR(VLOOKUP(L78,POA!$A$2:$F$7,6,0)),"",VLOOKUP(L78,POA!$A$2:$F$7,6,0))</f>
        <v/>
      </c>
      <c r="N78" s="214" t="str">
        <f>IF(ISERROR(VLOOKUP(B78,'Puntaje CT'!$B$14:$H$1048576,4,0)),"",VLOOKUP(B78,'Puntaje CT'!$B$14:$H$1048576,4,0))</f>
        <v/>
      </c>
      <c r="O78" s="214" t="str">
        <f>IF(ISERROR(VLOOKUP(B78,'Puntaje CF'!$B$14:$H$1048576,6,0)),"",VLOOKUP(B78,'Puntaje CF'!$B$14:$H$1048576,6,0))</f>
        <v/>
      </c>
      <c r="P78" s="215" t="str">
        <f>IF(IF(ISERROR(VLOOKUP(B78,'Saldo CtosEjecución'!$B$14:$H$1048576,3,0)),"",VLOOKUP(B78,'Saldo CtosEjecución'!$B$14:$H$1048576,3,0))=0,"",IF(ISERROR(VLOOKUP(B78,'Saldo CtosEjecución'!$B$14:$H$1048576,3,0)),"",VLOOKUP(B78,'Saldo CtosEjecución'!$B$14:$H$1048576,3,0)))</f>
        <v/>
      </c>
      <c r="Q78" s="216" t="str">
        <f>IF(OR(J78="",K78="",N78="",O78="",P78=""),"",(J78*((K78+N78+O78)/100))-P78)</f>
        <v/>
      </c>
      <c r="R78" s="217" t="e">
        <f>+IF(OR(Q76=0,E78="",I78=""),"",IF(Q76&gt;=I78,"HABIL","NO HABIL"))</f>
        <v>#REF!</v>
      </c>
    </row>
    <row r="79" spans="2:18" x14ac:dyDescent="0.2">
      <c r="B79" s="203" t="e">
        <f>+'Capacidad Financiera'!#REF!</f>
        <v>#REF!</v>
      </c>
      <c r="C79" s="66" t="str">
        <f>IF(ISERROR(VLOOKUP(B79,'Capacidad Financiera'!$B$13:$AB$58066,2,0)),"",VLOOKUP(B79,'Capacidad Financiera'!$B$13:$AB$58066,2,0))</f>
        <v/>
      </c>
      <c r="D79" s="210" t="str">
        <f>IF(ISERROR(VLOOKUP(B79,'Capacidad Financiera'!$B$13:$AB$58066,3,0)),"",VLOOKUP(B79,'Capacidad Financiera'!$B$13:$AB$58066,3,0))</f>
        <v/>
      </c>
      <c r="E79" s="211" t="e">
        <f>'Capacidad Financiera'!#REF!</f>
        <v>#REF!</v>
      </c>
      <c r="F79" s="196" t="str">
        <f>IF(ISERROR(VLOOKUP(E79,POA!$A$2:$D$7,2,0)),"",VLOOKUP(E79,POA!$A$2:$D$7,2,0))</f>
        <v/>
      </c>
      <c r="G79" s="196" t="str">
        <f>IF(ISERROR(VLOOKUP(E79,POA!$A$2:$D$7,3,0)),"",VLOOKUP(E79,POA!$A$2:$D$7,4,0))</f>
        <v/>
      </c>
      <c r="H79" s="211" t="str">
        <f>IF(ISERROR(VLOOKUP(E79,POA!$A$2:$D$2,3,0)),"",VLOOKUP(E79,POA!$A$2:$D$2,3,0))</f>
        <v/>
      </c>
      <c r="I79" s="212" t="str">
        <f>IF(H79="","",IF(H79&lt;12,(F79-G79),IF(H79&gt;=12,(((F79-G79)/H79)*12),"")))</f>
        <v/>
      </c>
      <c r="J79" s="213" t="str">
        <f>IF(IF(ISERROR(VLOOKUP(B79,'Cap Organización'!$B$14:$H$1048576,3,0)),"",VLOOKUP(B79,'Cap Organización'!$B$14:$H$1048576,3,0))=0,"",IF(ISERROR(VLOOKUP(B79,'Cap Organización'!$B$14:$H$1048576,3,0)),"",VLOOKUP(B79,'Cap Organización'!$B$14:$H$1048576,3,0)))</f>
        <v/>
      </c>
      <c r="K79" s="214" t="str">
        <f>IF(ISERROR(VLOOKUP(B79,'Puntaje Exp'!$B$14:$H$1048576,8,0)),"",VLOOKUP(B79,'Puntaje Exp'!$B$14:$H$1048576,8,0))</f>
        <v/>
      </c>
      <c r="L79" s="218" t="e">
        <f>+'Capacidad Financiera'!#REF!</f>
        <v>#REF!</v>
      </c>
      <c r="M79" s="218" t="str">
        <f>IF(ISERROR(VLOOKUP(L79,POA!$A$2:$F$7,6,0)),"",VLOOKUP(L79,POA!$A$2:$F$7,6,0))</f>
        <v/>
      </c>
      <c r="N79" s="214" t="str">
        <f>IF(ISERROR(VLOOKUP(B79,'Puntaje CT'!$B$14:$H$1048576,4,0)),"",VLOOKUP(B79,'Puntaje CT'!$B$14:$H$1048576,4,0))</f>
        <v/>
      </c>
      <c r="O79" s="214" t="str">
        <f>IF(ISERROR(VLOOKUP(B79,'Puntaje CF'!$B$14:$H$1048576,6,0)),"",VLOOKUP(B79,'Puntaje CF'!$B$14:$H$1048576,6,0))</f>
        <v/>
      </c>
      <c r="P79" s="215" t="str">
        <f>IF(IF(ISERROR(VLOOKUP(B79,'Saldo CtosEjecución'!$B$14:$H$1048576,3,0)),"",VLOOKUP(B79,'Saldo CtosEjecución'!$B$14:$H$1048576,3,0))=0,"",IF(ISERROR(VLOOKUP(B79,'Saldo CtosEjecución'!$B$14:$H$1048576,3,0)),"",VLOOKUP(B79,'Saldo CtosEjecución'!$B$14:$H$1048576,3,0)))</f>
        <v/>
      </c>
      <c r="Q79" s="216" t="str">
        <f t="shared" ref="Q79" si="26">IF(OR(J79="",K79="",N79="",O79="",P79=""),"",(J79*((K79+N79+O79)/100))-P79)</f>
        <v/>
      </c>
      <c r="R79" s="217" t="e">
        <f>+IF(OR(Q76=0,E79="",I79=""),"",IF(Q76&gt;=I79,"HABIL","NO HABIL"))</f>
        <v>#REF!</v>
      </c>
    </row>
    <row r="80" spans="2:18" x14ac:dyDescent="0.2">
      <c r="B80" s="203" t="e">
        <f>+'Capacidad Financiera'!#REF!</f>
        <v>#REF!</v>
      </c>
      <c r="C80" s="66" t="str">
        <f>IF(ISERROR(VLOOKUP(B80,'Capacidad Financiera'!$B$13:$AB$58066,2,0)),"",VLOOKUP(B80,'Capacidad Financiera'!$B$13:$AB$58066,2,0))</f>
        <v/>
      </c>
      <c r="D80" s="210" t="str">
        <f>IF(ISERROR(VLOOKUP(B80,'Capacidad Financiera'!$B$13:$AB$58066,3,0)),"",VLOOKUP(B80,'Capacidad Financiera'!$B$13:$AB$58066,3,0))</f>
        <v/>
      </c>
      <c r="E80" s="211" t="e">
        <f>'Capacidad Financiera'!#REF!</f>
        <v>#REF!</v>
      </c>
      <c r="F80" s="196" t="str">
        <f>IF(ISERROR(VLOOKUP(E80,POA!$A$2:$D$7,2,0)),"",VLOOKUP(E80,POA!$A$2:$D$7,2,0))</f>
        <v/>
      </c>
      <c r="G80" s="196" t="str">
        <f>IF(ISERROR(VLOOKUP(E80,POA!$A$2:$D$7,3,0)),"",VLOOKUP(E80,POA!$A$2:$D$7,4,0))</f>
        <v/>
      </c>
      <c r="H80" s="211" t="str">
        <f>IF(ISERROR(VLOOKUP(E80,POA!$A$2:$D$2,3,0)),"",VLOOKUP(E80,POA!$A$2:$D$2,3,0))</f>
        <v/>
      </c>
      <c r="I80" s="212" t="str">
        <f t="shared" ref="I80:I85" si="27">IF(H80="","",IF(H80&lt;12,(F80-G80),IF(H80&gt;=12,(((F80-G80)/H80)*12),"")))</f>
        <v/>
      </c>
      <c r="J80" s="213" t="str">
        <f>IF(IF(ISERROR(VLOOKUP(B80,'Cap Organización'!$B$14:$H$1048576,3,0)),"",VLOOKUP(B80,'Cap Organización'!$B$14:$H$1048576,3,0))=0,"",IF(ISERROR(VLOOKUP(B80,'Cap Organización'!$B$14:$H$1048576,3,0)),"",VLOOKUP(B80,'Cap Organización'!$B$14:$H$1048576,3,0)))</f>
        <v/>
      </c>
      <c r="K80" s="214" t="str">
        <f>IF(ISERROR(VLOOKUP(B80,'Puntaje Exp'!$B$14:$H$1048576,8,0)),"",VLOOKUP(B80,'Puntaje Exp'!$B$14:$H$1048576,8,0))</f>
        <v/>
      </c>
      <c r="L80" s="218" t="e">
        <f>+'Capacidad Financiera'!#REF!</f>
        <v>#REF!</v>
      </c>
      <c r="M80" s="218" t="str">
        <f>IF(ISERROR(VLOOKUP(L80,POA!$A$2:$F$7,6,0)),"",VLOOKUP(L80,POA!$A$2:$F$7,6,0))</f>
        <v/>
      </c>
      <c r="N80" s="214" t="str">
        <f>IF(ISERROR(VLOOKUP(B80,'Puntaje CT'!$B$14:$H$1048576,4,0)),"",VLOOKUP(B80,'Puntaje CT'!$B$14:$H$1048576,4,0))</f>
        <v/>
      </c>
      <c r="O80" s="214" t="str">
        <f>IF(ISERROR(VLOOKUP(B80,'Puntaje CF'!$B$14:$H$1048576,6,0)),"",VLOOKUP(B80,'Puntaje CF'!$B$14:$H$1048576,6,0))</f>
        <v/>
      </c>
      <c r="P80" s="215" t="str">
        <f>IF(IF(ISERROR(VLOOKUP(B80,'Saldo CtosEjecución'!$B$14:$H$1048576,3,0)),"",VLOOKUP(B80,'Saldo CtosEjecución'!$B$14:$H$1048576,3,0))=0,"",IF(ISERROR(VLOOKUP(B80,'Saldo CtosEjecución'!$B$14:$H$1048576,3,0)),"",VLOOKUP(B80,'Saldo CtosEjecución'!$B$14:$H$1048576,3,0)))</f>
        <v/>
      </c>
      <c r="Q80" s="216"/>
      <c r="R80" s="217" t="e">
        <f>+IF(OR(Q76=0,E80="",I80=""),"",IF(Q76&gt;=I80,"HABIL","NO HABIL"))</f>
        <v>#REF!</v>
      </c>
    </row>
    <row r="81" spans="2:18" x14ac:dyDescent="0.2">
      <c r="B81" s="203" t="e">
        <f>+'Capacidad Financiera'!#REF!</f>
        <v>#REF!</v>
      </c>
      <c r="C81" s="66" t="str">
        <f>IF(ISERROR(VLOOKUP(B81,'Capacidad Financiera'!$B$13:$AB$58066,2,0)),"",VLOOKUP(B81,'Capacidad Financiera'!$B$13:$AB$58066,2,0))</f>
        <v/>
      </c>
      <c r="D81" s="210" t="str">
        <f>IF(ISERROR(VLOOKUP(B81,'Capacidad Financiera'!$B$13:$AB$58066,3,0)),"",VLOOKUP(B81,'Capacidad Financiera'!$B$13:$AB$58066,3,0))</f>
        <v/>
      </c>
      <c r="E81" s="211" t="e">
        <f>'Capacidad Financiera'!#REF!</f>
        <v>#REF!</v>
      </c>
      <c r="F81" s="196" t="str">
        <f>IF(ISERROR(VLOOKUP(E81,POA!$A$2:$D$7,2,0)),"",VLOOKUP(E81,POA!$A$2:$D$7,2,0))</f>
        <v/>
      </c>
      <c r="G81" s="196" t="str">
        <f>IF(ISERROR(VLOOKUP(E81,POA!$A$2:$D$7,3,0)),"",VLOOKUP(E81,POA!$A$2:$D$7,4,0))</f>
        <v/>
      </c>
      <c r="H81" s="211" t="str">
        <f>IF(ISERROR(VLOOKUP(E81,POA!$A$2:$D$2,3,0)),"",VLOOKUP(E81,POA!$A$2:$D$2,3,0))</f>
        <v/>
      </c>
      <c r="I81" s="212" t="str">
        <f t="shared" si="27"/>
        <v/>
      </c>
      <c r="J81" s="213" t="str">
        <f>IF(IF(ISERROR(VLOOKUP(B81,'Cap Organización'!$B$14:$H$1048576,3,0)),"",VLOOKUP(B81,'Cap Organización'!$B$14:$H$1048576,3,0))=0,"",IF(ISERROR(VLOOKUP(B81,'Cap Organización'!$B$14:$H$1048576,3,0)),"",VLOOKUP(B81,'Cap Organización'!$B$14:$H$1048576,3,0)))</f>
        <v/>
      </c>
      <c r="K81" s="214" t="str">
        <f>IF(ISERROR(VLOOKUP(B81,'Puntaje Exp'!$B$14:$H$1048576,8,0)),"",VLOOKUP(B81,'Puntaje Exp'!$B$14:$H$1048576,8,0))</f>
        <v/>
      </c>
      <c r="L81" s="218" t="e">
        <f>+'Capacidad Financiera'!#REF!</f>
        <v>#REF!</v>
      </c>
      <c r="M81" s="218" t="str">
        <f>IF(ISERROR(VLOOKUP(L81,POA!$A$2:$F$7,6,0)),"",VLOOKUP(L81,POA!$A$2:$F$7,6,0))</f>
        <v/>
      </c>
      <c r="N81" s="214" t="str">
        <f>IF(ISERROR(VLOOKUP(B81,'Puntaje CT'!$B$14:$H$1048576,4,0)),"",VLOOKUP(B81,'Puntaje CT'!$B$14:$H$1048576,4,0))</f>
        <v/>
      </c>
      <c r="O81" s="214" t="str">
        <f>IF(ISERROR(VLOOKUP(B81,'Puntaje CF'!$B$14:$H$1048576,6,0)),"",VLOOKUP(B81,'Puntaje CF'!$B$14:$H$1048576,6,0))</f>
        <v/>
      </c>
      <c r="P81" s="215" t="str">
        <f>IF(IF(ISERROR(VLOOKUP(B81,'Saldo CtosEjecución'!$B$14:$H$1048576,3,0)),"",VLOOKUP(B81,'Saldo CtosEjecución'!$B$14:$H$1048576,3,0))=0,"",IF(ISERROR(VLOOKUP(B81,'Saldo CtosEjecución'!$B$14:$H$1048576,3,0)),"",VLOOKUP(B81,'Saldo CtosEjecución'!$B$14:$H$1048576,3,0)))</f>
        <v/>
      </c>
      <c r="Q81" s="216" t="str">
        <f t="shared" ref="Q81:Q85" si="28">IF(OR(J81="",K81="",N81="",O81="",P81=""),"",(J81*((K81+N81+O81)/100))-P81)</f>
        <v/>
      </c>
      <c r="R81" s="217" t="e">
        <f>+IF(OR(Q76=0,E81="",I81=""),"",IF(Q76&gt;=I81,"HABIL","NO HABIL"))</f>
        <v>#REF!</v>
      </c>
    </row>
    <row r="82" spans="2:18" x14ac:dyDescent="0.2">
      <c r="B82" s="203" t="e">
        <f>+'Capacidad Financiera'!#REF!</f>
        <v>#REF!</v>
      </c>
      <c r="C82" s="66" t="str">
        <f>IF(ISERROR(VLOOKUP(B82,'Capacidad Financiera'!$B$13:$AB$58066,2,0)),"",VLOOKUP(B82,'Capacidad Financiera'!$B$13:$AB$58066,2,0))</f>
        <v/>
      </c>
      <c r="D82" s="210" t="str">
        <f>IF(ISERROR(VLOOKUP(B82,'Capacidad Financiera'!$B$13:$AB$58066,3,0)),"",VLOOKUP(B82,'Capacidad Financiera'!$B$13:$AB$58066,3,0))</f>
        <v/>
      </c>
      <c r="E82" s="211" t="e">
        <f>'Capacidad Financiera'!#REF!</f>
        <v>#REF!</v>
      </c>
      <c r="F82" s="196" t="str">
        <f>IF(ISERROR(VLOOKUP(E82,POA!$A$2:$D$7,2,0)),"",VLOOKUP(E82,POA!$A$2:$D$7,2,0))</f>
        <v/>
      </c>
      <c r="G82" s="196" t="str">
        <f>IF(ISERROR(VLOOKUP(E82,POA!$A$2:$D$7,3,0)),"",VLOOKUP(E82,POA!$A$2:$D$7,4,0))</f>
        <v/>
      </c>
      <c r="H82" s="211" t="str">
        <f>IF(ISERROR(VLOOKUP(E82,POA!$A$2:$D$2,3,0)),"",VLOOKUP(E82,POA!$A$2:$D$2,3,0))</f>
        <v/>
      </c>
      <c r="I82" s="212" t="str">
        <f t="shared" si="27"/>
        <v/>
      </c>
      <c r="J82" s="213" t="str">
        <f>IF(IF(ISERROR(VLOOKUP(B82,'Cap Organización'!$B$14:$H$1048576,3,0)),"",VLOOKUP(B82,'Cap Organización'!$B$14:$H$1048576,3,0))=0,"",IF(ISERROR(VLOOKUP(B82,'Cap Organización'!$B$14:$H$1048576,3,0)),"",VLOOKUP(B82,'Cap Organización'!$B$14:$H$1048576,3,0)))</f>
        <v/>
      </c>
      <c r="K82" s="214" t="str">
        <f>IF(ISERROR(VLOOKUP(B82,'Puntaje Exp'!$B$14:$H$1048576,8,0)),"",VLOOKUP(B82,'Puntaje Exp'!$B$14:$H$1048576,8,0))</f>
        <v/>
      </c>
      <c r="L82" s="218" t="e">
        <f>+'Capacidad Financiera'!#REF!</f>
        <v>#REF!</v>
      </c>
      <c r="M82" s="218" t="str">
        <f>IF(ISERROR(VLOOKUP(L82,POA!$A$2:$F$7,6,0)),"",VLOOKUP(L82,POA!$A$2:$F$7,6,0))</f>
        <v/>
      </c>
      <c r="N82" s="214" t="str">
        <f>IF(ISERROR(VLOOKUP(B82,'Puntaje CT'!$B$14:$H$1048576,4,0)),"",VLOOKUP(B82,'Puntaje CT'!$B$14:$H$1048576,4,0))</f>
        <v/>
      </c>
      <c r="O82" s="214" t="str">
        <f>IF(ISERROR(VLOOKUP(B82,'Puntaje CF'!$B$14:$H$1048576,6,0)),"",VLOOKUP(B82,'Puntaje CF'!$B$14:$H$1048576,6,0))</f>
        <v/>
      </c>
      <c r="P82" s="215" t="str">
        <f>IF(IF(ISERROR(VLOOKUP(B82,'Saldo CtosEjecución'!$B$14:$H$1048576,3,0)),"",VLOOKUP(B82,'Saldo CtosEjecución'!$B$14:$H$1048576,3,0))=0,"",IF(ISERROR(VLOOKUP(B82,'Saldo CtosEjecución'!$B$14:$H$1048576,3,0)),"",VLOOKUP(B82,'Saldo CtosEjecución'!$B$14:$H$1048576,3,0)))</f>
        <v/>
      </c>
      <c r="Q82" s="216" t="str">
        <f t="shared" si="28"/>
        <v/>
      </c>
      <c r="R82" s="217" t="e">
        <f>+IF(OR(Q76=0,E82="",I82=""),"",IF(Q76&gt;=I82,"HABIL","NO HABIL"))</f>
        <v>#REF!</v>
      </c>
    </row>
    <row r="83" spans="2:18" x14ac:dyDescent="0.2">
      <c r="B83" s="203" t="e">
        <f>+'Capacidad Financiera'!#REF!</f>
        <v>#REF!</v>
      </c>
      <c r="C83" s="66" t="str">
        <f>IF(ISERROR(VLOOKUP(B83,'Capacidad Financiera'!$B$13:$AB$58066,2,0)),"",VLOOKUP(B83,'Capacidad Financiera'!$B$13:$AB$58066,2,0))</f>
        <v/>
      </c>
      <c r="D83" s="210" t="str">
        <f>IF(ISERROR(VLOOKUP(B83,'Capacidad Financiera'!$B$13:$AB$58066,3,0)),"",VLOOKUP(B83,'Capacidad Financiera'!$B$13:$AB$58066,3,0))</f>
        <v/>
      </c>
      <c r="E83" s="211" t="e">
        <f>'Capacidad Financiera'!#REF!</f>
        <v>#REF!</v>
      </c>
      <c r="F83" s="196" t="str">
        <f>IF(ISERROR(VLOOKUP(E83,POA!$A$2:$D$7,2,0)),"",VLOOKUP(E83,POA!$A$2:$D$7,2,0))</f>
        <v/>
      </c>
      <c r="G83" s="196" t="str">
        <f>IF(ISERROR(VLOOKUP(E83,POA!$A$2:$D$7,3,0)),"",VLOOKUP(E83,POA!$A$2:$D$7,4,0))</f>
        <v/>
      </c>
      <c r="H83" s="211" t="str">
        <f>IF(ISERROR(VLOOKUP(E83,POA!$A$2:$D$2,3,0)),"",VLOOKUP(E83,POA!$A$2:$D$2,3,0))</f>
        <v/>
      </c>
      <c r="I83" s="212" t="str">
        <f t="shared" si="27"/>
        <v/>
      </c>
      <c r="J83" s="213" t="str">
        <f>IF(IF(ISERROR(VLOOKUP(B83,'Cap Organización'!$B$14:$H$1048576,3,0)),"",VLOOKUP(B83,'Cap Organización'!$B$14:$H$1048576,3,0))=0,"",IF(ISERROR(VLOOKUP(B83,'Cap Organización'!$B$14:$H$1048576,3,0)),"",VLOOKUP(B83,'Cap Organización'!$B$14:$H$1048576,3,0)))</f>
        <v/>
      </c>
      <c r="K83" s="214" t="str">
        <f>IF(ISERROR(VLOOKUP(B83,'Puntaje Exp'!$B$14:$H$1048576,8,0)),"",VLOOKUP(B83,'Puntaje Exp'!$B$14:$H$1048576,8,0))</f>
        <v/>
      </c>
      <c r="L83" s="218" t="e">
        <f>+'Capacidad Financiera'!#REF!</f>
        <v>#REF!</v>
      </c>
      <c r="M83" s="218" t="str">
        <f>IF(ISERROR(VLOOKUP(L83,POA!$A$2:$F$7,6,0)),"",VLOOKUP(L83,POA!$A$2:$F$7,6,0))</f>
        <v/>
      </c>
      <c r="N83" s="214" t="str">
        <f>IF(ISERROR(VLOOKUP(B83,'Puntaje CT'!$B$14:$H$1048576,4,0)),"",VLOOKUP(B83,'Puntaje CT'!$B$14:$H$1048576,4,0))</f>
        <v/>
      </c>
      <c r="O83" s="214" t="str">
        <f>IF(ISERROR(VLOOKUP(B83,'Puntaje CF'!$B$14:$H$1048576,6,0)),"",VLOOKUP(B83,'Puntaje CF'!$B$14:$H$1048576,6,0))</f>
        <v/>
      </c>
      <c r="P83" s="215" t="str">
        <f>IF(IF(ISERROR(VLOOKUP(B83,'Saldo CtosEjecución'!$B$14:$H$1048576,3,0)),"",VLOOKUP(B83,'Saldo CtosEjecución'!$B$14:$H$1048576,3,0))=0,"",IF(ISERROR(VLOOKUP(B83,'Saldo CtosEjecución'!$B$14:$H$1048576,3,0)),"",VLOOKUP(B83,'Saldo CtosEjecución'!$B$14:$H$1048576,3,0)))</f>
        <v/>
      </c>
      <c r="Q83" s="216" t="str">
        <f t="shared" si="28"/>
        <v/>
      </c>
      <c r="R83" s="217" t="e">
        <f>+IF(OR(Q76=0,E83="",I83=""),"",IF(Q76&gt;=I83,"HABIL","NO HABIL"))</f>
        <v>#REF!</v>
      </c>
    </row>
    <row r="84" spans="2:18" x14ac:dyDescent="0.2">
      <c r="B84" s="203" t="e">
        <f>+'Capacidad Financiera'!#REF!</f>
        <v>#REF!</v>
      </c>
      <c r="C84" s="66" t="str">
        <f>IF(ISERROR(VLOOKUP(B84,'Capacidad Financiera'!$B$13:$AB$58066,2,0)),"",VLOOKUP(B84,'Capacidad Financiera'!$B$13:$AB$58066,2,0))</f>
        <v/>
      </c>
      <c r="D84" s="210" t="str">
        <f>IF(ISERROR(VLOOKUP(B84,'Capacidad Financiera'!$B$13:$AB$58066,3,0)),"",VLOOKUP(B84,'Capacidad Financiera'!$B$13:$AB$58066,3,0))</f>
        <v/>
      </c>
      <c r="E84" s="211" t="e">
        <f>'Capacidad Financiera'!#REF!</f>
        <v>#REF!</v>
      </c>
      <c r="F84" s="196" t="str">
        <f>IF(ISERROR(VLOOKUP(E84,POA!$A$2:$D$7,2,0)),"",VLOOKUP(E84,POA!$A$2:$D$7,2,0))</f>
        <v/>
      </c>
      <c r="G84" s="196" t="str">
        <f>IF(ISERROR(VLOOKUP(E84,POA!$A$2:$D$7,3,0)),"",VLOOKUP(E84,POA!$A$2:$D$7,4,0))</f>
        <v/>
      </c>
      <c r="H84" s="211" t="str">
        <f>IF(ISERROR(VLOOKUP(E84,POA!$A$2:$D$2,3,0)),"",VLOOKUP(E84,POA!$A$2:$D$2,3,0))</f>
        <v/>
      </c>
      <c r="I84" s="212" t="str">
        <f t="shared" si="27"/>
        <v/>
      </c>
      <c r="J84" s="213" t="str">
        <f>IF(IF(ISERROR(VLOOKUP(B84,'Cap Organización'!$B$14:$H$1048576,3,0)),"",VLOOKUP(B84,'Cap Organización'!$B$14:$H$1048576,3,0))=0,"",IF(ISERROR(VLOOKUP(B84,'Cap Organización'!$B$14:$H$1048576,3,0)),"",VLOOKUP(B84,'Cap Organización'!$B$14:$H$1048576,3,0)))</f>
        <v/>
      </c>
      <c r="K84" s="214" t="str">
        <f>IF(ISERROR(VLOOKUP(B84,'Puntaje Exp'!$B$14:$H$1048576,8,0)),"",VLOOKUP(B84,'Puntaje Exp'!$B$14:$H$1048576,8,0))</f>
        <v/>
      </c>
      <c r="L84" s="218" t="e">
        <f>+'Capacidad Financiera'!#REF!</f>
        <v>#REF!</v>
      </c>
      <c r="M84" s="218" t="str">
        <f>IF(ISERROR(VLOOKUP(L84,POA!$A$2:$F$7,6,0)),"",VLOOKUP(L84,POA!$A$2:$F$7,6,0))</f>
        <v/>
      </c>
      <c r="N84" s="214" t="str">
        <f>IF(ISERROR(VLOOKUP(B84,'Puntaje CT'!$B$14:$H$1048576,4,0)),"",VLOOKUP(B84,'Puntaje CT'!$B$14:$H$1048576,4,0))</f>
        <v/>
      </c>
      <c r="O84" s="214" t="str">
        <f>IF(ISERROR(VLOOKUP(B84,'Puntaje CF'!$B$14:$H$1048576,6,0)),"",VLOOKUP(B84,'Puntaje CF'!$B$14:$H$1048576,6,0))</f>
        <v/>
      </c>
      <c r="P84" s="215" t="str">
        <f>IF(IF(ISERROR(VLOOKUP(B84,'Saldo CtosEjecución'!$B$14:$H$1048576,3,0)),"",VLOOKUP(B84,'Saldo CtosEjecución'!$B$14:$H$1048576,3,0))=0,"",IF(ISERROR(VLOOKUP(B84,'Saldo CtosEjecución'!$B$14:$H$1048576,3,0)),"",VLOOKUP(B84,'Saldo CtosEjecución'!$B$14:$H$1048576,3,0)))</f>
        <v/>
      </c>
      <c r="Q84" s="216" t="str">
        <f t="shared" si="28"/>
        <v/>
      </c>
      <c r="R84" s="217" t="e">
        <f>+IF(OR(Q76=0,E84="",I84=""),"",IF(Q76&gt;=I84,"HABIL","NO HABIL"))</f>
        <v>#REF!</v>
      </c>
    </row>
    <row r="85" spans="2:18" ht="13.5" thickBot="1" x14ac:dyDescent="0.25">
      <c r="B85" s="205" t="e">
        <f>+'Capacidad Financiera'!#REF!</f>
        <v>#REF!</v>
      </c>
      <c r="C85" s="155" t="str">
        <f>IF(ISERROR(VLOOKUP(B85,'Capacidad Financiera'!$B$13:$AB$58066,2,0)),"",VLOOKUP(B85,'Capacidad Financiera'!$B$13:$AB$58066,2,0))</f>
        <v/>
      </c>
      <c r="D85" s="199" t="str">
        <f>IF(ISERROR(VLOOKUP(B85,'Capacidad Financiera'!$B$13:$AB$58066,3,0)),"",VLOOKUP(B85,'Capacidad Financiera'!$B$13:$AB$58066,3,0))</f>
        <v/>
      </c>
      <c r="E85" s="219" t="e">
        <f>'Capacidad Financiera'!#REF!</f>
        <v>#REF!</v>
      </c>
      <c r="F85" s="200" t="str">
        <f>IF(ISERROR(VLOOKUP(E85,POA!$A$2:$D$7,2,0)),"",VLOOKUP(E85,POA!$A$2:$D$7,2,0))</f>
        <v/>
      </c>
      <c r="G85" s="200" t="str">
        <f>IF(ISERROR(VLOOKUP(E85,POA!$A$2:$D$7,3,0)),"",VLOOKUP(E85,POA!$A$2:$D$7,4,0))</f>
        <v/>
      </c>
      <c r="H85" s="219" t="str">
        <f>IF(ISERROR(VLOOKUP(E85,POA!$A$2:$D$2,3,0)),"",VLOOKUP(E85,POA!$A$2:$D$2,3,0))</f>
        <v/>
      </c>
      <c r="I85" s="220" t="str">
        <f t="shared" si="27"/>
        <v/>
      </c>
      <c r="J85" s="221" t="str">
        <f>IF(IF(ISERROR(VLOOKUP(B85,'Cap Organización'!$B$14:$H$1048576,3,0)),"",VLOOKUP(B85,'Cap Organización'!$B$14:$H$1048576,3,0))=0,"",IF(ISERROR(VLOOKUP(B85,'Cap Organización'!$B$14:$H$1048576,3,0)),"",VLOOKUP(B85,'Cap Organización'!$B$14:$H$1048576,3,0)))</f>
        <v/>
      </c>
      <c r="K85" s="222" t="str">
        <f>IF(ISERROR(VLOOKUP(B85,'Puntaje Exp'!$B$14:$H$1048576,8,0)),"",VLOOKUP(B85,'Puntaje Exp'!$B$14:$H$1048576,8,0))</f>
        <v/>
      </c>
      <c r="L85" s="206" t="e">
        <f>+'Capacidad Financiera'!#REF!</f>
        <v>#REF!</v>
      </c>
      <c r="M85" s="206" t="str">
        <f>IF(ISERROR(VLOOKUP(L85,POA!$A$2:$F$7,6,0)),"",VLOOKUP(L85,POA!$A$2:$F$7,6,0))</f>
        <v/>
      </c>
      <c r="N85" s="222" t="str">
        <f>IF(ISERROR(VLOOKUP(B85,'Puntaje CT'!$B$14:$H$1048576,4,0)),"",VLOOKUP(B85,'Puntaje CT'!$B$14:$H$1048576,4,0))</f>
        <v/>
      </c>
      <c r="O85" s="222" t="str">
        <f>IF(ISERROR(VLOOKUP(B85,'Puntaje CF'!$B$14:$H$1048576,6,0)),"",VLOOKUP(B85,'Puntaje CF'!$B$14:$H$1048576,6,0))</f>
        <v/>
      </c>
      <c r="P85" s="221" t="str">
        <f>IF(IF(ISERROR(VLOOKUP(B85,'Saldo CtosEjecución'!$B$14:$H$1048576,3,0)),"",VLOOKUP(B85,'Saldo CtosEjecución'!$B$14:$H$1048576,3,0))=0,"",IF(ISERROR(VLOOKUP(B85,'Saldo CtosEjecución'!$B$14:$H$1048576,3,0)),"",VLOOKUP(B85,'Saldo CtosEjecución'!$B$14:$H$1048576,3,0)))</f>
        <v/>
      </c>
      <c r="Q85" s="223" t="str">
        <f t="shared" si="28"/>
        <v/>
      </c>
      <c r="R85" s="224" t="e">
        <f>+IF(OR(Q76=0,E85="",I85=""),"",IF(Q76&gt;=I85,"HABIL","NO HABIL"))</f>
        <v>#REF!</v>
      </c>
    </row>
    <row r="86" spans="2:18" ht="13.5" thickBot="1" x14ac:dyDescent="0.25">
      <c r="B86" s="157"/>
      <c r="C86" s="369"/>
      <c r="D86" s="369"/>
      <c r="E86" s="369"/>
      <c r="F86" s="369"/>
      <c r="G86" s="369"/>
      <c r="H86" s="369"/>
      <c r="I86" s="369"/>
      <c r="J86" s="369"/>
      <c r="K86" s="369"/>
      <c r="L86" s="369"/>
      <c r="M86" s="369"/>
      <c r="N86" s="369"/>
      <c r="O86" s="369"/>
      <c r="P86" s="369"/>
      <c r="Q86" s="369"/>
      <c r="R86" s="370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7">
    <mergeCell ref="C31:R31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N11:N12"/>
    <mergeCell ref="B10:B12"/>
    <mergeCell ref="C10:C12"/>
    <mergeCell ref="D11:D12"/>
    <mergeCell ref="E10:E12"/>
    <mergeCell ref="H10:H12"/>
    <mergeCell ref="C42:R42"/>
    <mergeCell ref="C53:R53"/>
    <mergeCell ref="C64:R64"/>
    <mergeCell ref="C75:R75"/>
    <mergeCell ref="C86:R86"/>
  </mergeCells>
  <phoneticPr fontId="22" type="noConversion"/>
  <conditionalFormatting sqref="R9 D9:I9">
    <cfRule type="expression" dxfId="174" priority="4393" stopIfTrue="1">
      <formula>IF(#REF!-INT(#REF!)&gt;0,TRUE,FALSE)</formula>
    </cfRule>
  </conditionalFormatting>
  <conditionalFormatting sqref="C9 K9:Q9 C13:C22">
    <cfRule type="cellIs" dxfId="173" priority="4394" stopIfTrue="1" operator="equal">
      <formula>"NO ADMISIBLE"</formula>
    </cfRule>
  </conditionalFormatting>
  <conditionalFormatting sqref="L17:M17 L22:M22 D22 D15:D19">
    <cfRule type="expression" dxfId="172" priority="4392" stopIfTrue="1">
      <formula>IF(#REF!-INT(#REF!)&gt;0,TRUE,FALSE)</formula>
    </cfRule>
  </conditionalFormatting>
  <conditionalFormatting sqref="R13:R22">
    <cfRule type="cellIs" dxfId="171" priority="4389" stopIfTrue="1" operator="equal">
      <formula>"NO ADMISIBLE"</formula>
    </cfRule>
    <cfRule type="cellIs" dxfId="170" priority="4390" stopIfTrue="1" operator="equal">
      <formula>"ADMISIBLE"</formula>
    </cfRule>
  </conditionalFormatting>
  <conditionalFormatting sqref="R13:R22">
    <cfRule type="cellIs" dxfId="169" priority="4388" stopIfTrue="1" operator="equal">
      <formula>"PENDIENTE"</formula>
    </cfRule>
  </conditionalFormatting>
  <conditionalFormatting sqref="D14 K14:O14 Q14">
    <cfRule type="expression" dxfId="168" priority="4383" stopIfTrue="1">
      <formula>IF(#REF!-INT(#REF!)&gt;0,TRUE,FALSE)</formula>
    </cfRule>
  </conditionalFormatting>
  <conditionalFormatting sqref="D13:Q13 E18:F18 E19 D20:Q20 I21:I22 E21:E22 I14:I19 E14:E17">
    <cfRule type="expression" dxfId="167" priority="4398" stopIfTrue="1">
      <formula>IF(#REF!-INT(#REF!)&gt;0,TRUE,FALSE)</formula>
    </cfRule>
  </conditionalFormatting>
  <conditionalFormatting sqref="F19 F21:F22 F14:F17">
    <cfRule type="expression" dxfId="166" priority="1891" stopIfTrue="1">
      <formula>IF(#REF!-INT(#REF!)&gt;0,TRUE,FALSE)</formula>
    </cfRule>
  </conditionalFormatting>
  <conditionalFormatting sqref="G21:G22 G14:G19">
    <cfRule type="expression" dxfId="165" priority="1890" stopIfTrue="1">
      <formula>IF(#REF!-INT(#REF!)&gt;0,TRUE,FALSE)</formula>
    </cfRule>
  </conditionalFormatting>
  <conditionalFormatting sqref="H21:H22 H14:H19">
    <cfRule type="expression" dxfId="164" priority="1889" stopIfTrue="1">
      <formula>IF(#REF!-INT(#REF!)&gt;0,TRUE,FALSE)</formula>
    </cfRule>
  </conditionalFormatting>
  <conditionalFormatting sqref="J14 J16:J17 J19 J21:J22">
    <cfRule type="expression" dxfId="163" priority="1888" stopIfTrue="1">
      <formula>IF(#REF!-INT(#REF!)&gt;0,TRUE,FALSE)</formula>
    </cfRule>
  </conditionalFormatting>
  <conditionalFormatting sqref="K17 K22">
    <cfRule type="expression" dxfId="162" priority="1887" stopIfTrue="1">
      <formula>IF(#REF!-INT(#REF!)&gt;0,TRUE,FALSE)</formula>
    </cfRule>
  </conditionalFormatting>
  <conditionalFormatting sqref="N17 N22">
    <cfRule type="expression" dxfId="161" priority="1886" stopIfTrue="1">
      <formula>IF(#REF!-INT(#REF!)&gt;0,TRUE,FALSE)</formula>
    </cfRule>
  </conditionalFormatting>
  <conditionalFormatting sqref="O17 O22">
    <cfRule type="expression" dxfId="160" priority="1885" stopIfTrue="1">
      <formula>IF(#REF!-INT(#REF!)&gt;0,TRUE,FALSE)</formula>
    </cfRule>
  </conditionalFormatting>
  <conditionalFormatting sqref="Q17 Q22">
    <cfRule type="expression" dxfId="159" priority="1884" stopIfTrue="1">
      <formula>IF(#REF!-INT(#REF!)&gt;0,TRUE,FALSE)</formula>
    </cfRule>
  </conditionalFormatting>
  <conditionalFormatting sqref="P14 P16:P17 P19 P21:P22">
    <cfRule type="expression" dxfId="158" priority="1883" stopIfTrue="1">
      <formula>IF(#REF!-INT(#REF!)&gt;0,TRUE,FALSE)</formula>
    </cfRule>
  </conditionalFormatting>
  <conditionalFormatting sqref="B14:R14 B16:C17 F15:I17 E16:E17 R15:R17 D15:D19 B19:C19 G18:I19 E19:F19 J16:Q17 B21:R22 J19:R19">
    <cfRule type="expression" dxfId="157" priority="375">
      <formula>MOD(ROW(),2)=0</formula>
    </cfRule>
  </conditionalFormatting>
  <conditionalFormatting sqref="C23:C24">
    <cfRule type="cellIs" dxfId="156" priority="167" stopIfTrue="1" operator="equal">
      <formula>"NO ADMISIBLE"</formula>
    </cfRule>
  </conditionalFormatting>
  <conditionalFormatting sqref="R23:R24">
    <cfRule type="cellIs" dxfId="155" priority="164" stopIfTrue="1" operator="equal">
      <formula>"NO ADMISIBLE"</formula>
    </cfRule>
    <cfRule type="cellIs" dxfId="154" priority="165" stopIfTrue="1" operator="equal">
      <formula>"ADMISIBLE"</formula>
    </cfRule>
  </conditionalFormatting>
  <conditionalFormatting sqref="R23:R24">
    <cfRule type="cellIs" dxfId="153" priority="163" stopIfTrue="1" operator="equal">
      <formula>"PENDIENTE"</formula>
    </cfRule>
  </conditionalFormatting>
  <conditionalFormatting sqref="D24 L24:O24 Q24">
    <cfRule type="expression" dxfId="152" priority="162" stopIfTrue="1">
      <formula>IF(#REF!-INT(#REF!)&gt;0,TRUE,FALSE)</formula>
    </cfRule>
  </conditionalFormatting>
  <conditionalFormatting sqref="D23:Q23 I24 E24">
    <cfRule type="expression" dxfId="151" priority="168" stopIfTrue="1">
      <formula>IF(#REF!-INT(#REF!)&gt;0,TRUE,FALSE)</formula>
    </cfRule>
  </conditionalFormatting>
  <conditionalFormatting sqref="F24">
    <cfRule type="expression" dxfId="150" priority="161" stopIfTrue="1">
      <formula>IF(#REF!-INT(#REF!)&gt;0,TRUE,FALSE)</formula>
    </cfRule>
  </conditionalFormatting>
  <conditionalFormatting sqref="G24">
    <cfRule type="expression" dxfId="149" priority="160" stopIfTrue="1">
      <formula>IF(#REF!-INT(#REF!)&gt;0,TRUE,FALSE)</formula>
    </cfRule>
  </conditionalFormatting>
  <conditionalFormatting sqref="H24">
    <cfRule type="expression" dxfId="148" priority="159" stopIfTrue="1">
      <formula>IF(#REF!-INT(#REF!)&gt;0,TRUE,FALSE)</formula>
    </cfRule>
  </conditionalFormatting>
  <conditionalFormatting sqref="J24">
    <cfRule type="expression" dxfId="147" priority="158" stopIfTrue="1">
      <formula>IF(#REF!-INT(#REF!)&gt;0,TRUE,FALSE)</formula>
    </cfRule>
  </conditionalFormatting>
  <conditionalFormatting sqref="P24">
    <cfRule type="expression" dxfId="146" priority="153" stopIfTrue="1">
      <formula>IF(#REF!-INT(#REF!)&gt;0,TRUE,FALSE)</formula>
    </cfRule>
  </conditionalFormatting>
  <conditionalFormatting sqref="B24:J24 L24:R24">
    <cfRule type="expression" dxfId="145" priority="152">
      <formula>MOD(ROW(),2)=0</formula>
    </cfRule>
  </conditionalFormatting>
  <conditionalFormatting sqref="C25:C27">
    <cfRule type="cellIs" dxfId="144" priority="150" stopIfTrue="1" operator="equal">
      <formula>"NO ADMISIBLE"</formula>
    </cfRule>
  </conditionalFormatting>
  <conditionalFormatting sqref="L27:M27 D27">
    <cfRule type="expression" dxfId="143" priority="149" stopIfTrue="1">
      <formula>IF(#REF!-INT(#REF!)&gt;0,TRUE,FALSE)</formula>
    </cfRule>
  </conditionalFormatting>
  <conditionalFormatting sqref="R25:R27">
    <cfRule type="cellIs" dxfId="142" priority="147" stopIfTrue="1" operator="equal">
      <formula>"NO ADMISIBLE"</formula>
    </cfRule>
    <cfRule type="cellIs" dxfId="141" priority="148" stopIfTrue="1" operator="equal">
      <formula>"ADMISIBLE"</formula>
    </cfRule>
  </conditionalFormatting>
  <conditionalFormatting sqref="R25:R27">
    <cfRule type="cellIs" dxfId="140" priority="146" stopIfTrue="1" operator="equal">
      <formula>"PENDIENTE"</formula>
    </cfRule>
  </conditionalFormatting>
  <conditionalFormatting sqref="D26 L26:O26 Q26">
    <cfRule type="expression" dxfId="139" priority="145" stopIfTrue="1">
      <formula>IF(#REF!-INT(#REF!)&gt;0,TRUE,FALSE)</formula>
    </cfRule>
  </conditionalFormatting>
  <conditionalFormatting sqref="D25:Q25 I26:I27 E26:E27">
    <cfRule type="expression" dxfId="138" priority="151" stopIfTrue="1">
      <formula>IF(#REF!-INT(#REF!)&gt;0,TRUE,FALSE)</formula>
    </cfRule>
  </conditionalFormatting>
  <conditionalFormatting sqref="F26:F27">
    <cfRule type="expression" dxfId="137" priority="144" stopIfTrue="1">
      <formula>IF(#REF!-INT(#REF!)&gt;0,TRUE,FALSE)</formula>
    </cfRule>
  </conditionalFormatting>
  <conditionalFormatting sqref="G26:G27">
    <cfRule type="expression" dxfId="136" priority="143" stopIfTrue="1">
      <formula>IF(#REF!-INT(#REF!)&gt;0,TRUE,FALSE)</formula>
    </cfRule>
  </conditionalFormatting>
  <conditionalFormatting sqref="H26:H27">
    <cfRule type="expression" dxfId="135" priority="142" stopIfTrue="1">
      <formula>IF(#REF!-INT(#REF!)&gt;0,TRUE,FALSE)</formula>
    </cfRule>
  </conditionalFormatting>
  <conditionalFormatting sqref="J26:J27">
    <cfRule type="expression" dxfId="134" priority="141" stopIfTrue="1">
      <formula>IF(#REF!-INT(#REF!)&gt;0,TRUE,FALSE)</formula>
    </cfRule>
  </conditionalFormatting>
  <conditionalFormatting sqref="N27">
    <cfRule type="expression" dxfId="133" priority="139" stopIfTrue="1">
      <formula>IF(#REF!-INT(#REF!)&gt;0,TRUE,FALSE)</formula>
    </cfRule>
  </conditionalFormatting>
  <conditionalFormatting sqref="O27">
    <cfRule type="expression" dxfId="132" priority="138" stopIfTrue="1">
      <formula>IF(#REF!-INT(#REF!)&gt;0,TRUE,FALSE)</formula>
    </cfRule>
  </conditionalFormatting>
  <conditionalFormatting sqref="Q27">
    <cfRule type="expression" dxfId="131" priority="137" stopIfTrue="1">
      <formula>IF(#REF!-INT(#REF!)&gt;0,TRUE,FALSE)</formula>
    </cfRule>
  </conditionalFormatting>
  <conditionalFormatting sqref="P26:P27">
    <cfRule type="expression" dxfId="130" priority="136" stopIfTrue="1">
      <formula>IF(#REF!-INT(#REF!)&gt;0,TRUE,FALSE)</formula>
    </cfRule>
  </conditionalFormatting>
  <conditionalFormatting sqref="B26:J27 L26:R27">
    <cfRule type="expression" dxfId="129" priority="135">
      <formula>MOD(ROW(),2)=0</formula>
    </cfRule>
  </conditionalFormatting>
  <conditionalFormatting sqref="C28:C30">
    <cfRule type="cellIs" dxfId="128" priority="133" stopIfTrue="1" operator="equal">
      <formula>"NO ADMISIBLE"</formula>
    </cfRule>
  </conditionalFormatting>
  <conditionalFormatting sqref="L30:M30 D30">
    <cfRule type="expression" dxfId="127" priority="132" stopIfTrue="1">
      <formula>IF(#REF!-INT(#REF!)&gt;0,TRUE,FALSE)</formula>
    </cfRule>
  </conditionalFormatting>
  <conditionalFormatting sqref="R28:R30">
    <cfRule type="cellIs" dxfId="126" priority="130" stopIfTrue="1" operator="equal">
      <formula>"NO ADMISIBLE"</formula>
    </cfRule>
    <cfRule type="cellIs" dxfId="125" priority="131" stopIfTrue="1" operator="equal">
      <formula>"ADMISIBLE"</formula>
    </cfRule>
  </conditionalFormatting>
  <conditionalFormatting sqref="R28:R30">
    <cfRule type="cellIs" dxfId="124" priority="129" stopIfTrue="1" operator="equal">
      <formula>"PENDIENTE"</formula>
    </cfRule>
  </conditionalFormatting>
  <conditionalFormatting sqref="D29 L29:O29 Q29">
    <cfRule type="expression" dxfId="123" priority="128" stopIfTrue="1">
      <formula>IF(#REF!-INT(#REF!)&gt;0,TRUE,FALSE)</formula>
    </cfRule>
  </conditionalFormatting>
  <conditionalFormatting sqref="D28:Q28 I29:I30 E29:E30">
    <cfRule type="expression" dxfId="122" priority="134" stopIfTrue="1">
      <formula>IF(#REF!-INT(#REF!)&gt;0,TRUE,FALSE)</formula>
    </cfRule>
  </conditionalFormatting>
  <conditionalFormatting sqref="F29:F30">
    <cfRule type="expression" dxfId="121" priority="127" stopIfTrue="1">
      <formula>IF(#REF!-INT(#REF!)&gt;0,TRUE,FALSE)</formula>
    </cfRule>
  </conditionalFormatting>
  <conditionalFormatting sqref="G29:G30">
    <cfRule type="expression" dxfId="120" priority="126" stopIfTrue="1">
      <formula>IF(#REF!-INT(#REF!)&gt;0,TRUE,FALSE)</formula>
    </cfRule>
  </conditionalFormatting>
  <conditionalFormatting sqref="H29:H30">
    <cfRule type="expression" dxfId="119" priority="125" stopIfTrue="1">
      <formula>IF(#REF!-INT(#REF!)&gt;0,TRUE,FALSE)</formula>
    </cfRule>
  </conditionalFormatting>
  <conditionalFormatting sqref="J29:J30">
    <cfRule type="expression" dxfId="118" priority="124" stopIfTrue="1">
      <formula>IF(#REF!-INT(#REF!)&gt;0,TRUE,FALSE)</formula>
    </cfRule>
  </conditionalFormatting>
  <conditionalFormatting sqref="N30">
    <cfRule type="expression" dxfId="117" priority="122" stopIfTrue="1">
      <formula>IF(#REF!-INT(#REF!)&gt;0,TRUE,FALSE)</formula>
    </cfRule>
  </conditionalFormatting>
  <conditionalFormatting sqref="O30">
    <cfRule type="expression" dxfId="116" priority="121" stopIfTrue="1">
      <formula>IF(#REF!-INT(#REF!)&gt;0,TRUE,FALSE)</formula>
    </cfRule>
  </conditionalFormatting>
  <conditionalFormatting sqref="Q30">
    <cfRule type="expression" dxfId="115" priority="120" stopIfTrue="1">
      <formula>IF(#REF!-INT(#REF!)&gt;0,TRUE,FALSE)</formula>
    </cfRule>
  </conditionalFormatting>
  <conditionalFormatting sqref="P29:P30">
    <cfRule type="expression" dxfId="114" priority="119" stopIfTrue="1">
      <formula>IF(#REF!-INT(#REF!)&gt;0,TRUE,FALSE)</formula>
    </cfRule>
  </conditionalFormatting>
  <conditionalFormatting sqref="B29:J30 L29:R30">
    <cfRule type="expression" dxfId="113" priority="118">
      <formula>MOD(ROW(),2)=0</formula>
    </cfRule>
  </conditionalFormatting>
  <conditionalFormatting sqref="C32:C41">
    <cfRule type="cellIs" dxfId="112" priority="116" stopIfTrue="1" operator="equal">
      <formula>"NO ADMISIBLE"</formula>
    </cfRule>
  </conditionalFormatting>
  <conditionalFormatting sqref="L34:M41 D34:D41">
    <cfRule type="expression" dxfId="111" priority="115" stopIfTrue="1">
      <formula>IF(#REF!-INT(#REF!)&gt;0,TRUE,FALSE)</formula>
    </cfRule>
  </conditionalFormatting>
  <conditionalFormatting sqref="R32:R41">
    <cfRule type="cellIs" dxfId="110" priority="113" stopIfTrue="1" operator="equal">
      <formula>"NO ADMISIBLE"</formula>
    </cfRule>
    <cfRule type="cellIs" dxfId="109" priority="114" stopIfTrue="1" operator="equal">
      <formula>"ADMISIBLE"</formula>
    </cfRule>
  </conditionalFormatting>
  <conditionalFormatting sqref="R32:R41">
    <cfRule type="cellIs" dxfId="108" priority="112" stopIfTrue="1" operator="equal">
      <formula>"PENDIENTE"</formula>
    </cfRule>
  </conditionalFormatting>
  <conditionalFormatting sqref="D33 K33:O33 Q33">
    <cfRule type="expression" dxfId="107" priority="111" stopIfTrue="1">
      <formula>IF(#REF!-INT(#REF!)&gt;0,TRUE,FALSE)</formula>
    </cfRule>
  </conditionalFormatting>
  <conditionalFormatting sqref="D32:Q32 I33:I41 E33:E41">
    <cfRule type="expression" dxfId="106" priority="117" stopIfTrue="1">
      <formula>IF(#REF!-INT(#REF!)&gt;0,TRUE,FALSE)</formula>
    </cfRule>
  </conditionalFormatting>
  <conditionalFormatting sqref="F33:F41">
    <cfRule type="expression" dxfId="105" priority="110" stopIfTrue="1">
      <formula>IF(#REF!-INT(#REF!)&gt;0,TRUE,FALSE)</formula>
    </cfRule>
  </conditionalFormatting>
  <conditionalFormatting sqref="G33:G41">
    <cfRule type="expression" dxfId="104" priority="109" stopIfTrue="1">
      <formula>IF(#REF!-INT(#REF!)&gt;0,TRUE,FALSE)</formula>
    </cfRule>
  </conditionalFormatting>
  <conditionalFormatting sqref="H33:H41">
    <cfRule type="expression" dxfId="103" priority="108" stopIfTrue="1">
      <formula>IF(#REF!-INT(#REF!)&gt;0,TRUE,FALSE)</formula>
    </cfRule>
  </conditionalFormatting>
  <conditionalFormatting sqref="J33:J41">
    <cfRule type="expression" dxfId="102" priority="107" stopIfTrue="1">
      <formula>IF(#REF!-INT(#REF!)&gt;0,TRUE,FALSE)</formula>
    </cfRule>
  </conditionalFormatting>
  <conditionalFormatting sqref="K34:K41">
    <cfRule type="expression" dxfId="101" priority="106" stopIfTrue="1">
      <formula>IF(#REF!-INT(#REF!)&gt;0,TRUE,FALSE)</formula>
    </cfRule>
  </conditionalFormatting>
  <conditionalFormatting sqref="N34:N41">
    <cfRule type="expression" dxfId="100" priority="105" stopIfTrue="1">
      <formula>IF(#REF!-INT(#REF!)&gt;0,TRUE,FALSE)</formula>
    </cfRule>
  </conditionalFormatting>
  <conditionalFormatting sqref="O34:O41">
    <cfRule type="expression" dxfId="99" priority="104" stopIfTrue="1">
      <formula>IF(#REF!-INT(#REF!)&gt;0,TRUE,FALSE)</formula>
    </cfRule>
  </conditionalFormatting>
  <conditionalFormatting sqref="Q34:Q41">
    <cfRule type="expression" dxfId="98" priority="103" stopIfTrue="1">
      <formula>IF(#REF!-INT(#REF!)&gt;0,TRUE,FALSE)</formula>
    </cfRule>
  </conditionalFormatting>
  <conditionalFormatting sqref="P33:P41">
    <cfRule type="expression" dxfId="97" priority="102" stopIfTrue="1">
      <formula>IF(#REF!-INT(#REF!)&gt;0,TRUE,FALSE)</formula>
    </cfRule>
  </conditionalFormatting>
  <conditionalFormatting sqref="B33:R41">
    <cfRule type="expression" dxfId="96" priority="101">
      <formula>MOD(ROW(),2)=0</formula>
    </cfRule>
  </conditionalFormatting>
  <conditionalFormatting sqref="C43:C52">
    <cfRule type="cellIs" dxfId="95" priority="99" stopIfTrue="1" operator="equal">
      <formula>"NO ADMISIBLE"</formula>
    </cfRule>
  </conditionalFormatting>
  <conditionalFormatting sqref="L45:M52 D45:D52">
    <cfRule type="expression" dxfId="94" priority="98" stopIfTrue="1">
      <formula>IF(#REF!-INT(#REF!)&gt;0,TRUE,FALSE)</formula>
    </cfRule>
  </conditionalFormatting>
  <conditionalFormatting sqref="R43:R52">
    <cfRule type="cellIs" dxfId="93" priority="96" stopIfTrue="1" operator="equal">
      <formula>"NO ADMISIBLE"</formula>
    </cfRule>
    <cfRule type="cellIs" dxfId="92" priority="97" stopIfTrue="1" operator="equal">
      <formula>"ADMISIBLE"</formula>
    </cfRule>
  </conditionalFormatting>
  <conditionalFormatting sqref="R43:R52">
    <cfRule type="cellIs" dxfId="91" priority="95" stopIfTrue="1" operator="equal">
      <formula>"PENDIENTE"</formula>
    </cfRule>
  </conditionalFormatting>
  <conditionalFormatting sqref="D44 K44:O44 Q44">
    <cfRule type="expression" dxfId="90" priority="94" stopIfTrue="1">
      <formula>IF(#REF!-INT(#REF!)&gt;0,TRUE,FALSE)</formula>
    </cfRule>
  </conditionalFormatting>
  <conditionalFormatting sqref="D43:Q43 I44:I52 E44:E52">
    <cfRule type="expression" dxfId="89" priority="100" stopIfTrue="1">
      <formula>IF(#REF!-INT(#REF!)&gt;0,TRUE,FALSE)</formula>
    </cfRule>
  </conditionalFormatting>
  <conditionalFormatting sqref="F44:F52">
    <cfRule type="expression" dxfId="88" priority="93" stopIfTrue="1">
      <formula>IF(#REF!-INT(#REF!)&gt;0,TRUE,FALSE)</formula>
    </cfRule>
  </conditionalFormatting>
  <conditionalFormatting sqref="G44:G52">
    <cfRule type="expression" dxfId="87" priority="92" stopIfTrue="1">
      <formula>IF(#REF!-INT(#REF!)&gt;0,TRUE,FALSE)</formula>
    </cfRule>
  </conditionalFormatting>
  <conditionalFormatting sqref="H44:H52">
    <cfRule type="expression" dxfId="86" priority="91" stopIfTrue="1">
      <formula>IF(#REF!-INT(#REF!)&gt;0,TRUE,FALSE)</formula>
    </cfRule>
  </conditionalFormatting>
  <conditionalFormatting sqref="J44:J52">
    <cfRule type="expression" dxfId="85" priority="90" stopIfTrue="1">
      <formula>IF(#REF!-INT(#REF!)&gt;0,TRUE,FALSE)</formula>
    </cfRule>
  </conditionalFormatting>
  <conditionalFormatting sqref="K45:K52">
    <cfRule type="expression" dxfId="84" priority="89" stopIfTrue="1">
      <formula>IF(#REF!-INT(#REF!)&gt;0,TRUE,FALSE)</formula>
    </cfRule>
  </conditionalFormatting>
  <conditionalFormatting sqref="N45:N52">
    <cfRule type="expression" dxfId="83" priority="88" stopIfTrue="1">
      <formula>IF(#REF!-INT(#REF!)&gt;0,TRUE,FALSE)</formula>
    </cfRule>
  </conditionalFormatting>
  <conditionalFormatting sqref="O45:O52">
    <cfRule type="expression" dxfId="82" priority="87" stopIfTrue="1">
      <formula>IF(#REF!-INT(#REF!)&gt;0,TRUE,FALSE)</formula>
    </cfRule>
  </conditionalFormatting>
  <conditionalFormatting sqref="Q45:Q52">
    <cfRule type="expression" dxfId="81" priority="86" stopIfTrue="1">
      <formula>IF(#REF!-INT(#REF!)&gt;0,TRUE,FALSE)</formula>
    </cfRule>
  </conditionalFormatting>
  <conditionalFormatting sqref="P44:P52">
    <cfRule type="expression" dxfId="80" priority="85" stopIfTrue="1">
      <formula>IF(#REF!-INT(#REF!)&gt;0,TRUE,FALSE)</formula>
    </cfRule>
  </conditionalFormatting>
  <conditionalFormatting sqref="B44:R52">
    <cfRule type="expression" dxfId="79" priority="84">
      <formula>MOD(ROW(),2)=0</formula>
    </cfRule>
  </conditionalFormatting>
  <conditionalFormatting sqref="C54:C63">
    <cfRule type="cellIs" dxfId="78" priority="82" stopIfTrue="1" operator="equal">
      <formula>"NO ADMISIBLE"</formula>
    </cfRule>
  </conditionalFormatting>
  <conditionalFormatting sqref="L56:M63 D56:D63">
    <cfRule type="expression" dxfId="77" priority="81" stopIfTrue="1">
      <formula>IF(#REF!-INT(#REF!)&gt;0,TRUE,FALSE)</formula>
    </cfRule>
  </conditionalFormatting>
  <conditionalFormatting sqref="R54:R63">
    <cfRule type="cellIs" dxfId="76" priority="79" stopIfTrue="1" operator="equal">
      <formula>"NO ADMISIBLE"</formula>
    </cfRule>
    <cfRule type="cellIs" dxfId="75" priority="80" stopIfTrue="1" operator="equal">
      <formula>"ADMISIBLE"</formula>
    </cfRule>
  </conditionalFormatting>
  <conditionalFormatting sqref="R54:R63">
    <cfRule type="cellIs" dxfId="74" priority="78" stopIfTrue="1" operator="equal">
      <formula>"PENDIENTE"</formula>
    </cfRule>
  </conditionalFormatting>
  <conditionalFormatting sqref="D55 K55:O55 Q55">
    <cfRule type="expression" dxfId="73" priority="77" stopIfTrue="1">
      <formula>IF(#REF!-INT(#REF!)&gt;0,TRUE,FALSE)</formula>
    </cfRule>
  </conditionalFormatting>
  <conditionalFormatting sqref="D54:Q54 I55:I63 E55:E63">
    <cfRule type="expression" dxfId="72" priority="83" stopIfTrue="1">
      <formula>IF(#REF!-INT(#REF!)&gt;0,TRUE,FALSE)</formula>
    </cfRule>
  </conditionalFormatting>
  <conditionalFormatting sqref="F55:F63">
    <cfRule type="expression" dxfId="71" priority="76" stopIfTrue="1">
      <formula>IF(#REF!-INT(#REF!)&gt;0,TRUE,FALSE)</formula>
    </cfRule>
  </conditionalFormatting>
  <conditionalFormatting sqref="G55:G63">
    <cfRule type="expression" dxfId="70" priority="75" stopIfTrue="1">
      <formula>IF(#REF!-INT(#REF!)&gt;0,TRUE,FALSE)</formula>
    </cfRule>
  </conditionalFormatting>
  <conditionalFormatting sqref="H55:H63">
    <cfRule type="expression" dxfId="69" priority="74" stopIfTrue="1">
      <formula>IF(#REF!-INT(#REF!)&gt;0,TRUE,FALSE)</formula>
    </cfRule>
  </conditionalFormatting>
  <conditionalFormatting sqref="J55:J63">
    <cfRule type="expression" dxfId="68" priority="73" stopIfTrue="1">
      <formula>IF(#REF!-INT(#REF!)&gt;0,TRUE,FALSE)</formula>
    </cfRule>
  </conditionalFormatting>
  <conditionalFormatting sqref="K56:K63">
    <cfRule type="expression" dxfId="67" priority="72" stopIfTrue="1">
      <formula>IF(#REF!-INT(#REF!)&gt;0,TRUE,FALSE)</formula>
    </cfRule>
  </conditionalFormatting>
  <conditionalFormatting sqref="N56:N63">
    <cfRule type="expression" dxfId="66" priority="71" stopIfTrue="1">
      <formula>IF(#REF!-INT(#REF!)&gt;0,TRUE,FALSE)</formula>
    </cfRule>
  </conditionalFormatting>
  <conditionalFormatting sqref="O56:O63">
    <cfRule type="expression" dxfId="65" priority="70" stopIfTrue="1">
      <formula>IF(#REF!-INT(#REF!)&gt;0,TRUE,FALSE)</formula>
    </cfRule>
  </conditionalFormatting>
  <conditionalFormatting sqref="Q56:Q63">
    <cfRule type="expression" dxfId="64" priority="69" stopIfTrue="1">
      <formula>IF(#REF!-INT(#REF!)&gt;0,TRUE,FALSE)</formula>
    </cfRule>
  </conditionalFormatting>
  <conditionalFormatting sqref="P55:P63">
    <cfRule type="expression" dxfId="63" priority="68" stopIfTrue="1">
      <formula>IF(#REF!-INT(#REF!)&gt;0,TRUE,FALSE)</formula>
    </cfRule>
  </conditionalFormatting>
  <conditionalFormatting sqref="B55:R63">
    <cfRule type="expression" dxfId="62" priority="67">
      <formula>MOD(ROW(),2)=0</formula>
    </cfRule>
  </conditionalFormatting>
  <conditionalFormatting sqref="C65:C74">
    <cfRule type="cellIs" dxfId="61" priority="65" stopIfTrue="1" operator="equal">
      <formula>"NO ADMISIBLE"</formula>
    </cfRule>
  </conditionalFormatting>
  <conditionalFormatting sqref="L67:M74 D67:D74">
    <cfRule type="expression" dxfId="60" priority="64" stopIfTrue="1">
      <formula>IF(#REF!-INT(#REF!)&gt;0,TRUE,FALSE)</formula>
    </cfRule>
  </conditionalFormatting>
  <conditionalFormatting sqref="R65:R74">
    <cfRule type="cellIs" dxfId="59" priority="62" stopIfTrue="1" operator="equal">
      <formula>"NO ADMISIBLE"</formula>
    </cfRule>
    <cfRule type="cellIs" dxfId="58" priority="63" stopIfTrue="1" operator="equal">
      <formula>"ADMISIBLE"</formula>
    </cfRule>
  </conditionalFormatting>
  <conditionalFormatting sqref="R65:R74">
    <cfRule type="cellIs" dxfId="57" priority="61" stopIfTrue="1" operator="equal">
      <formula>"PENDIENTE"</formula>
    </cfRule>
  </conditionalFormatting>
  <conditionalFormatting sqref="D66 K66:O66 Q66">
    <cfRule type="expression" dxfId="56" priority="60" stopIfTrue="1">
      <formula>IF(#REF!-INT(#REF!)&gt;0,TRUE,FALSE)</formula>
    </cfRule>
  </conditionalFormatting>
  <conditionalFormatting sqref="D65:Q65 I66:I74 E66:E74">
    <cfRule type="expression" dxfId="55" priority="66" stopIfTrue="1">
      <formula>IF(#REF!-INT(#REF!)&gt;0,TRUE,FALSE)</formula>
    </cfRule>
  </conditionalFormatting>
  <conditionalFormatting sqref="F66:F74">
    <cfRule type="expression" dxfId="54" priority="59" stopIfTrue="1">
      <formula>IF(#REF!-INT(#REF!)&gt;0,TRUE,FALSE)</formula>
    </cfRule>
  </conditionalFormatting>
  <conditionalFormatting sqref="G66:G74">
    <cfRule type="expression" dxfId="53" priority="58" stopIfTrue="1">
      <formula>IF(#REF!-INT(#REF!)&gt;0,TRUE,FALSE)</formula>
    </cfRule>
  </conditionalFormatting>
  <conditionalFormatting sqref="H66:H74">
    <cfRule type="expression" dxfId="52" priority="57" stopIfTrue="1">
      <formula>IF(#REF!-INT(#REF!)&gt;0,TRUE,FALSE)</formula>
    </cfRule>
  </conditionalFormatting>
  <conditionalFormatting sqref="J66:J74">
    <cfRule type="expression" dxfId="51" priority="56" stopIfTrue="1">
      <formula>IF(#REF!-INT(#REF!)&gt;0,TRUE,FALSE)</formula>
    </cfRule>
  </conditionalFormatting>
  <conditionalFormatting sqref="K67:K74">
    <cfRule type="expression" dxfId="50" priority="55" stopIfTrue="1">
      <formula>IF(#REF!-INT(#REF!)&gt;0,TRUE,FALSE)</formula>
    </cfRule>
  </conditionalFormatting>
  <conditionalFormatting sqref="N67:N74">
    <cfRule type="expression" dxfId="49" priority="54" stopIfTrue="1">
      <formula>IF(#REF!-INT(#REF!)&gt;0,TRUE,FALSE)</formula>
    </cfRule>
  </conditionalFormatting>
  <conditionalFormatting sqref="O67:O74">
    <cfRule type="expression" dxfId="48" priority="53" stopIfTrue="1">
      <formula>IF(#REF!-INT(#REF!)&gt;0,TRUE,FALSE)</formula>
    </cfRule>
  </conditionalFormatting>
  <conditionalFormatting sqref="Q67:Q74">
    <cfRule type="expression" dxfId="47" priority="52" stopIfTrue="1">
      <formula>IF(#REF!-INT(#REF!)&gt;0,TRUE,FALSE)</formula>
    </cfRule>
  </conditionalFormatting>
  <conditionalFormatting sqref="P66:P74">
    <cfRule type="expression" dxfId="46" priority="51" stopIfTrue="1">
      <formula>IF(#REF!-INT(#REF!)&gt;0,TRUE,FALSE)</formula>
    </cfRule>
  </conditionalFormatting>
  <conditionalFormatting sqref="B66:R74">
    <cfRule type="expression" dxfId="45" priority="50">
      <formula>MOD(ROW(),2)=0</formula>
    </cfRule>
  </conditionalFormatting>
  <conditionalFormatting sqref="C76:C85">
    <cfRule type="cellIs" dxfId="44" priority="48" stopIfTrue="1" operator="equal">
      <formula>"NO ADMISIBLE"</formula>
    </cfRule>
  </conditionalFormatting>
  <conditionalFormatting sqref="L78:M85 D78:D85">
    <cfRule type="expression" dxfId="43" priority="47" stopIfTrue="1">
      <formula>IF(#REF!-INT(#REF!)&gt;0,TRUE,FALSE)</formula>
    </cfRule>
  </conditionalFormatting>
  <conditionalFormatting sqref="R76:R85">
    <cfRule type="cellIs" dxfId="42" priority="45" stopIfTrue="1" operator="equal">
      <formula>"NO ADMISIBLE"</formula>
    </cfRule>
    <cfRule type="cellIs" dxfId="41" priority="46" stopIfTrue="1" operator="equal">
      <formula>"ADMISIBLE"</formula>
    </cfRule>
  </conditionalFormatting>
  <conditionalFormatting sqref="R76:R85">
    <cfRule type="cellIs" dxfId="40" priority="44" stopIfTrue="1" operator="equal">
      <formula>"PENDIENTE"</formula>
    </cfRule>
  </conditionalFormatting>
  <conditionalFormatting sqref="D77 K77:O77 Q77">
    <cfRule type="expression" dxfId="39" priority="43" stopIfTrue="1">
      <formula>IF(#REF!-INT(#REF!)&gt;0,TRUE,FALSE)</formula>
    </cfRule>
  </conditionalFormatting>
  <conditionalFormatting sqref="D76:Q76 I77:I85 E77:E85">
    <cfRule type="expression" dxfId="38" priority="49" stopIfTrue="1">
      <formula>IF(#REF!-INT(#REF!)&gt;0,TRUE,FALSE)</formula>
    </cfRule>
  </conditionalFormatting>
  <conditionalFormatting sqref="F77:F85">
    <cfRule type="expression" dxfId="37" priority="42" stopIfTrue="1">
      <formula>IF(#REF!-INT(#REF!)&gt;0,TRUE,FALSE)</formula>
    </cfRule>
  </conditionalFormatting>
  <conditionalFormatting sqref="G77:G85">
    <cfRule type="expression" dxfId="36" priority="41" stopIfTrue="1">
      <formula>IF(#REF!-INT(#REF!)&gt;0,TRUE,FALSE)</formula>
    </cfRule>
  </conditionalFormatting>
  <conditionalFormatting sqref="H77:H85">
    <cfRule type="expression" dxfId="35" priority="40" stopIfTrue="1">
      <formula>IF(#REF!-INT(#REF!)&gt;0,TRUE,FALSE)</formula>
    </cfRule>
  </conditionalFormatting>
  <conditionalFormatting sqref="J77:J85">
    <cfRule type="expression" dxfId="34" priority="39" stopIfTrue="1">
      <formula>IF(#REF!-INT(#REF!)&gt;0,TRUE,FALSE)</formula>
    </cfRule>
  </conditionalFormatting>
  <conditionalFormatting sqref="K78:K85">
    <cfRule type="expression" dxfId="33" priority="38" stopIfTrue="1">
      <formula>IF(#REF!-INT(#REF!)&gt;0,TRUE,FALSE)</formula>
    </cfRule>
  </conditionalFormatting>
  <conditionalFormatting sqref="N78:N85">
    <cfRule type="expression" dxfId="32" priority="37" stopIfTrue="1">
      <formula>IF(#REF!-INT(#REF!)&gt;0,TRUE,FALSE)</formula>
    </cfRule>
  </conditionalFormatting>
  <conditionalFormatting sqref="O78:O85">
    <cfRule type="expression" dxfId="31" priority="36" stopIfTrue="1">
      <formula>IF(#REF!-INT(#REF!)&gt;0,TRUE,FALSE)</formula>
    </cfRule>
  </conditionalFormatting>
  <conditionalFormatting sqref="Q78:Q85">
    <cfRule type="expression" dxfId="30" priority="35" stopIfTrue="1">
      <formula>IF(#REF!-INT(#REF!)&gt;0,TRUE,FALSE)</formula>
    </cfRule>
  </conditionalFormatting>
  <conditionalFormatting sqref="P77:P85">
    <cfRule type="expression" dxfId="29" priority="34" stopIfTrue="1">
      <formula>IF(#REF!-INT(#REF!)&gt;0,TRUE,FALSE)</formula>
    </cfRule>
  </conditionalFormatting>
  <conditionalFormatting sqref="B77:R85">
    <cfRule type="expression" dxfId="28" priority="33">
      <formula>MOD(ROW(),2)=0</formula>
    </cfRule>
  </conditionalFormatting>
  <conditionalFormatting sqref="K16:O16 Q16">
    <cfRule type="expression" dxfId="27" priority="29" stopIfTrue="1">
      <formula>IF(#REF!-INT(#REF!)&gt;0,TRUE,FALSE)</formula>
    </cfRule>
  </conditionalFormatting>
  <conditionalFormatting sqref="J15:Q15">
    <cfRule type="expression" dxfId="26" priority="30" stopIfTrue="1">
      <formula>IF(#REF!-INT(#REF!)&gt;0,TRUE,FALSE)</formula>
    </cfRule>
  </conditionalFormatting>
  <conditionalFormatting sqref="K19:O19 Q19">
    <cfRule type="expression" dxfId="25" priority="27" stopIfTrue="1">
      <formula>IF(#REF!-INT(#REF!)&gt;0,TRUE,FALSE)</formula>
    </cfRule>
  </conditionalFormatting>
  <conditionalFormatting sqref="J18:Q18">
    <cfRule type="expression" dxfId="24" priority="28" stopIfTrue="1">
      <formula>IF(#REF!-INT(#REF!)&gt;0,TRUE,FALSE)</formula>
    </cfRule>
  </conditionalFormatting>
  <conditionalFormatting sqref="D21 K21:O21 Q21">
    <cfRule type="expression" dxfId="23" priority="26" stopIfTrue="1">
      <formula>IF(#REF!-INT(#REF!)&gt;0,TRUE,FALSE)</formula>
    </cfRule>
  </conditionalFormatting>
  <conditionalFormatting sqref="K16">
    <cfRule type="expression" dxfId="22" priority="25" stopIfTrue="1">
      <formula>IF(#REF!-INT(#REF!)&gt;0,TRUE,FALSE)</formula>
    </cfRule>
  </conditionalFormatting>
  <conditionalFormatting sqref="K17">
    <cfRule type="expression" dxfId="21" priority="24" stopIfTrue="1">
      <formula>IF(#REF!-INT(#REF!)&gt;0,TRUE,FALSE)</formula>
    </cfRule>
  </conditionalFormatting>
  <conditionalFormatting sqref="K19">
    <cfRule type="expression" dxfId="20" priority="23" stopIfTrue="1">
      <formula>IF(#REF!-INT(#REF!)&gt;0,TRUE,FALSE)</formula>
    </cfRule>
  </conditionalFormatting>
  <conditionalFormatting sqref="K21">
    <cfRule type="expression" dxfId="19" priority="22" stopIfTrue="1">
      <formula>IF(#REF!-INT(#REF!)&gt;0,TRUE,FALSE)</formula>
    </cfRule>
  </conditionalFormatting>
  <conditionalFormatting sqref="K22">
    <cfRule type="expression" dxfId="18" priority="21" stopIfTrue="1">
      <formula>IF(#REF!-INT(#REF!)&gt;0,TRUE,FALSE)</formula>
    </cfRule>
  </conditionalFormatting>
  <conditionalFormatting sqref="K24">
    <cfRule type="expression" dxfId="17" priority="16" stopIfTrue="1">
      <formula>IF(#REF!-INT(#REF!)&gt;0,TRUE,FALSE)</formula>
    </cfRule>
  </conditionalFormatting>
  <conditionalFormatting sqref="K24">
    <cfRule type="expression" dxfId="16" priority="15">
      <formula>MOD(ROW(),2)=0</formula>
    </cfRule>
  </conditionalFormatting>
  <conditionalFormatting sqref="K24">
    <cfRule type="expression" dxfId="15" priority="14" stopIfTrue="1">
      <formula>IF(#REF!-INT(#REF!)&gt;0,TRUE,FALSE)</formula>
    </cfRule>
  </conditionalFormatting>
  <conditionalFormatting sqref="K26">
    <cfRule type="expression" dxfId="14" priority="13" stopIfTrue="1">
      <formula>IF(#REF!-INT(#REF!)&gt;0,TRUE,FALSE)</formula>
    </cfRule>
  </conditionalFormatting>
  <conditionalFormatting sqref="K26">
    <cfRule type="expression" dxfId="13" priority="12">
      <formula>MOD(ROW(),2)=0</formula>
    </cfRule>
  </conditionalFormatting>
  <conditionalFormatting sqref="K26">
    <cfRule type="expression" dxfId="12" priority="11" stopIfTrue="1">
      <formula>IF(#REF!-INT(#REF!)&gt;0,TRUE,FALSE)</formula>
    </cfRule>
  </conditionalFormatting>
  <conditionalFormatting sqref="K27">
    <cfRule type="expression" dxfId="11" priority="10" stopIfTrue="1">
      <formula>IF(#REF!-INT(#REF!)&gt;0,TRUE,FALSE)</formula>
    </cfRule>
  </conditionalFormatting>
  <conditionalFormatting sqref="K27">
    <cfRule type="expression" dxfId="10" priority="9">
      <formula>MOD(ROW(),2)=0</formula>
    </cfRule>
  </conditionalFormatting>
  <conditionalFormatting sqref="K27">
    <cfRule type="expression" dxfId="9" priority="8" stopIfTrue="1">
      <formula>IF(#REF!-INT(#REF!)&gt;0,TRUE,FALSE)</formula>
    </cfRule>
  </conditionalFormatting>
  <conditionalFormatting sqref="K29">
    <cfRule type="expression" dxfId="8" priority="7" stopIfTrue="1">
      <formula>IF(#REF!-INT(#REF!)&gt;0,TRUE,FALSE)</formula>
    </cfRule>
  </conditionalFormatting>
  <conditionalFormatting sqref="K29">
    <cfRule type="expression" dxfId="7" priority="6">
      <formula>MOD(ROW(),2)=0</formula>
    </cfRule>
  </conditionalFormatting>
  <conditionalFormatting sqref="K29">
    <cfRule type="expression" dxfId="6" priority="5" stopIfTrue="1">
      <formula>IF(#REF!-INT(#REF!)&gt;0,TRUE,FALSE)</formula>
    </cfRule>
  </conditionalFormatting>
  <conditionalFormatting sqref="K30">
    <cfRule type="expression" dxfId="5" priority="4" stopIfTrue="1">
      <formula>IF(#REF!-INT(#REF!)&gt;0,TRUE,FALSE)</formula>
    </cfRule>
  </conditionalFormatting>
  <conditionalFormatting sqref="K30">
    <cfRule type="expression" dxfId="4" priority="3">
      <formula>MOD(ROW(),2)=0</formula>
    </cfRule>
  </conditionalFormatting>
  <conditionalFormatting sqref="K30">
    <cfRule type="expression" dxfId="3" priority="2" stopIfTrue="1">
      <formula>IF(#REF!-INT(#REF!)&gt;0,TRUE,FALSE)</formula>
    </cfRule>
  </conditionalFormatting>
  <conditionalFormatting sqref="Q19">
    <cfRule type="expression" dxfId="0" priority="1" stopIfTrue="1">
      <formula>IF(#REF!-INT(#REF!)&gt;0,TRUE,FALSE)</formula>
    </cfRule>
  </conditionalFormatting>
  <dataValidations disablePrompts="1"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9">
    <tabColor rgb="FF0000FF"/>
  </sheetPr>
  <dimension ref="B1:K4"/>
  <sheetViews>
    <sheetView showGridLines="0" workbookViewId="0">
      <selection activeCell="B3" sqref="B3"/>
    </sheetView>
  </sheetViews>
  <sheetFormatPr baseColWidth="10" defaultRowHeight="12.75" x14ac:dyDescent="0.2"/>
  <cols>
    <col min="1" max="1" width="1.42578125" customWidth="1"/>
    <col min="2" max="2" width="6.140625" style="128" customWidth="1"/>
    <col min="3" max="3" width="42.7109375" customWidth="1"/>
    <col min="4" max="4" width="19.28515625" customWidth="1"/>
    <col min="5" max="5" width="22.28515625" customWidth="1"/>
    <col min="6" max="6" width="17.7109375" customWidth="1"/>
    <col min="7" max="7" width="1.85546875" customWidth="1"/>
    <col min="8" max="8" width="12.140625" customWidth="1"/>
    <col min="9" max="10" width="7.7109375" customWidth="1"/>
  </cols>
  <sheetData>
    <row r="1" spans="2:11" ht="30" customHeight="1" x14ac:dyDescent="0.2">
      <c r="B1" s="391" t="str">
        <f>"RESUMEN DE EVALUACION "&amp;'Capacidad Financiera'!B4</f>
        <v>RESUMEN DE EVALUACION PROCESO No. SA-MC-DT-MAG-001-2024</v>
      </c>
      <c r="C1" s="391"/>
      <c r="D1" s="391"/>
      <c r="E1" s="391"/>
      <c r="F1" s="391"/>
      <c r="K1" s="135"/>
    </row>
    <row r="2" spans="2:11" x14ac:dyDescent="0.2">
      <c r="B2" s="225" t="s">
        <v>249</v>
      </c>
      <c r="C2" s="226" t="s">
        <v>252</v>
      </c>
      <c r="D2" s="226" t="s">
        <v>253</v>
      </c>
      <c r="E2" s="226" t="s">
        <v>254</v>
      </c>
      <c r="F2" s="226" t="s">
        <v>255</v>
      </c>
      <c r="G2" s="152"/>
      <c r="H2" s="152"/>
      <c r="I2" s="152"/>
      <c r="J2" s="152"/>
    </row>
    <row r="3" spans="2:11" ht="6.75" customHeight="1" x14ac:dyDescent="0.2">
      <c r="B3" s="158"/>
      <c r="C3" s="122"/>
      <c r="D3" s="159"/>
      <c r="E3" s="159"/>
      <c r="F3" s="159"/>
    </row>
    <row r="4" spans="2:11" x14ac:dyDescent="0.2">
      <c r="B4" s="158"/>
      <c r="C4" s="122"/>
      <c r="D4" s="159"/>
      <c r="E4" s="159"/>
      <c r="F4" s="159"/>
    </row>
  </sheetData>
  <mergeCells count="1">
    <mergeCell ref="B1:F1"/>
  </mergeCells>
  <conditionalFormatting sqref="B4:F4">
    <cfRule type="expression" dxfId="2" priority="1">
      <formula>MOD(ROW(),2)=0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6</v>
      </c>
    </row>
    <row r="3" spans="1:2" ht="45" x14ac:dyDescent="0.2">
      <c r="A3" s="13" t="s">
        <v>7</v>
      </c>
      <c r="B3" s="14" t="s">
        <v>8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113</v>
      </c>
      <c r="B5" s="18">
        <v>16097532669.306931</v>
      </c>
    </row>
    <row r="6" spans="1:2" s="19" customFormat="1" ht="13.5" outlineLevel="1" x14ac:dyDescent="0.2">
      <c r="A6" s="17" t="s">
        <v>114</v>
      </c>
      <c r="B6" s="18">
        <v>18724260670</v>
      </c>
    </row>
    <row r="7" spans="1:2" s="19" customFormat="1" ht="13.5" outlineLevel="1" x14ac:dyDescent="0.2">
      <c r="A7" s="17" t="s">
        <v>115</v>
      </c>
      <c r="B7" s="18">
        <v>15886461489</v>
      </c>
    </row>
    <row r="8" spans="1:2" s="19" customFormat="1" ht="13.5" outlineLevel="1" x14ac:dyDescent="0.2">
      <c r="A8" s="17" t="s">
        <v>116</v>
      </c>
      <c r="B8" s="18">
        <v>18533406621</v>
      </c>
    </row>
    <row r="9" spans="1:2" s="19" customFormat="1" ht="13.5" outlineLevel="1" x14ac:dyDescent="0.2">
      <c r="A9" s="17" t="s">
        <v>117</v>
      </c>
      <c r="B9" s="18">
        <v>14971945628</v>
      </c>
    </row>
    <row r="10" spans="1:2" s="19" customFormat="1" ht="13.5" outlineLevel="1" x14ac:dyDescent="0.2">
      <c r="A10" s="17" t="s">
        <v>118</v>
      </c>
      <c r="B10" s="18">
        <v>16484340849</v>
      </c>
    </row>
    <row r="11" spans="1:2" s="19" customFormat="1" ht="13.5" outlineLevel="1" x14ac:dyDescent="0.2">
      <c r="A11" s="17" t="s">
        <v>119</v>
      </c>
      <c r="B11" s="18">
        <v>16686919713.999998</v>
      </c>
    </row>
    <row r="12" spans="1:2" s="19" customFormat="1" ht="13.5" outlineLevel="1" x14ac:dyDescent="0.2">
      <c r="A12" s="17" t="s">
        <v>120</v>
      </c>
      <c r="B12" s="18">
        <v>11566305868</v>
      </c>
    </row>
    <row r="13" spans="1:2" s="19" customFormat="1" ht="13.5" outlineLevel="1" x14ac:dyDescent="0.2">
      <c r="A13" s="17" t="s">
        <v>121</v>
      </c>
      <c r="B13" s="18">
        <v>6300474910</v>
      </c>
    </row>
    <row r="14" spans="1:2" s="19" customFormat="1" ht="13.5" outlineLevel="1" x14ac:dyDescent="0.2">
      <c r="A14" s="17" t="s">
        <v>9</v>
      </c>
      <c r="B14" s="18">
        <v>1428162158.4158416</v>
      </c>
    </row>
    <row r="15" spans="1:2" s="19" customFormat="1" ht="13.5" outlineLevel="1" x14ac:dyDescent="0.2">
      <c r="A15" s="17" t="s">
        <v>10</v>
      </c>
      <c r="B15" s="18">
        <v>1292851961.3861387</v>
      </c>
    </row>
    <row r="16" spans="1:2" s="19" customFormat="1" ht="13.5" outlineLevel="1" x14ac:dyDescent="0.2">
      <c r="A16" s="17" t="s">
        <v>11</v>
      </c>
      <c r="B16" s="36">
        <v>14200237260</v>
      </c>
    </row>
    <row r="17" spans="1:2" s="19" customFormat="1" ht="13.5" outlineLevel="1" x14ac:dyDescent="0.2">
      <c r="A17" s="17" t="s">
        <v>12</v>
      </c>
      <c r="B17" s="18">
        <v>14388115033</v>
      </c>
    </row>
    <row r="18" spans="1:2" s="19" customFormat="1" ht="13.5" outlineLevel="1" x14ac:dyDescent="0.2">
      <c r="A18" s="17" t="s">
        <v>13</v>
      </c>
      <c r="B18" s="18">
        <v>7076050599</v>
      </c>
    </row>
    <row r="19" spans="1:2" s="19" customFormat="1" ht="13.5" outlineLevel="1" x14ac:dyDescent="0.2">
      <c r="A19" s="17" t="s">
        <v>14</v>
      </c>
      <c r="B19" s="18">
        <v>20893814942</v>
      </c>
    </row>
    <row r="20" spans="1:2" s="19" customFormat="1" ht="13.5" outlineLevel="1" x14ac:dyDescent="0.2">
      <c r="A20" s="17" t="s">
        <v>15</v>
      </c>
      <c r="B20" s="36">
        <v>8810989120</v>
      </c>
    </row>
    <row r="21" spans="1:2" s="19" customFormat="1" ht="13.5" outlineLevel="1" x14ac:dyDescent="0.2">
      <c r="A21" s="17" t="s">
        <v>16</v>
      </c>
      <c r="B21" s="18">
        <v>5818381842</v>
      </c>
    </row>
    <row r="22" spans="1:2" s="19" customFormat="1" ht="13.5" outlineLevel="1" x14ac:dyDescent="0.2">
      <c r="A22" s="17" t="s">
        <v>17</v>
      </c>
      <c r="B22" s="18">
        <v>9650261634</v>
      </c>
    </row>
    <row r="23" spans="1:2" s="19" customFormat="1" ht="13.5" outlineLevel="1" x14ac:dyDescent="0.2">
      <c r="A23" s="17" t="s">
        <v>18</v>
      </c>
      <c r="B23" s="18">
        <v>5385776414</v>
      </c>
    </row>
    <row r="24" spans="1:2" s="19" customFormat="1" ht="13.5" outlineLevel="1" x14ac:dyDescent="0.2">
      <c r="A24" s="17" t="s">
        <v>19</v>
      </c>
      <c r="B24" s="18">
        <v>5759505844</v>
      </c>
    </row>
    <row r="25" spans="1:2" s="19" customFormat="1" ht="13.5" outlineLevel="1" x14ac:dyDescent="0.2">
      <c r="A25" s="17" t="s">
        <v>20</v>
      </c>
      <c r="B25" s="18">
        <v>11365045650</v>
      </c>
    </row>
    <row r="26" spans="1:2" s="19" customFormat="1" ht="13.5" outlineLevel="1" x14ac:dyDescent="0.2">
      <c r="A26" s="17" t="s">
        <v>21</v>
      </c>
      <c r="B26" s="18">
        <v>15652530637</v>
      </c>
    </row>
    <row r="27" spans="1:2" s="19" customFormat="1" ht="13.5" outlineLevel="1" x14ac:dyDescent="0.2">
      <c r="A27" s="17" t="s">
        <v>22</v>
      </c>
      <c r="B27" s="18">
        <v>5772808797</v>
      </c>
    </row>
    <row r="28" spans="1:2" s="19" customFormat="1" ht="13.5" outlineLevel="1" x14ac:dyDescent="0.2">
      <c r="A28" s="17" t="s">
        <v>23</v>
      </c>
      <c r="B28" s="18">
        <v>7512106130</v>
      </c>
    </row>
    <row r="29" spans="1:2" s="19" customFormat="1" ht="13.5" outlineLevel="1" x14ac:dyDescent="0.2">
      <c r="A29" s="17" t="s">
        <v>24</v>
      </c>
      <c r="B29" s="18">
        <v>9347559589</v>
      </c>
    </row>
    <row r="30" spans="1:2" s="19" customFormat="1" ht="13.5" outlineLevel="1" x14ac:dyDescent="0.2">
      <c r="A30" s="17" t="s">
        <v>25</v>
      </c>
      <c r="B30" s="18">
        <v>19825977010</v>
      </c>
    </row>
    <row r="31" spans="1:2" s="19" customFormat="1" ht="13.5" outlineLevel="1" x14ac:dyDescent="0.2">
      <c r="A31" s="17" t="s">
        <v>26</v>
      </c>
      <c r="B31" s="18">
        <v>9200191515</v>
      </c>
    </row>
    <row r="32" spans="1:2" s="19" customFormat="1" ht="13.5" outlineLevel="1" x14ac:dyDescent="0.2">
      <c r="A32" s="17" t="s">
        <v>27</v>
      </c>
      <c r="B32" s="18">
        <v>18743806542</v>
      </c>
    </row>
    <row r="33" spans="1:2" s="19" customFormat="1" ht="13.5" outlineLevel="1" x14ac:dyDescent="0.2">
      <c r="A33" s="17" t="s">
        <v>28</v>
      </c>
      <c r="B33" s="18">
        <v>12488203547</v>
      </c>
    </row>
    <row r="34" spans="1:2" s="19" customFormat="1" ht="13.5" outlineLevel="1" x14ac:dyDescent="0.2">
      <c r="A34" s="17" t="s">
        <v>29</v>
      </c>
      <c r="B34" s="18">
        <v>12337277639</v>
      </c>
    </row>
    <row r="35" spans="1:2" s="19" customFormat="1" ht="13.5" outlineLevel="1" x14ac:dyDescent="0.2">
      <c r="A35" s="17" t="s">
        <v>30</v>
      </c>
      <c r="B35" s="18">
        <v>16198497482.999998</v>
      </c>
    </row>
    <row r="36" spans="1:2" s="19" customFormat="1" ht="13.5" outlineLevel="1" x14ac:dyDescent="0.2">
      <c r="A36" s="17" t="s">
        <v>31</v>
      </c>
      <c r="B36" s="18">
        <v>17764576319</v>
      </c>
    </row>
    <row r="37" spans="1:2" s="19" customFormat="1" ht="13.5" outlineLevel="1" x14ac:dyDescent="0.2">
      <c r="A37" s="17" t="s">
        <v>32</v>
      </c>
      <c r="B37" s="18">
        <v>22882731815</v>
      </c>
    </row>
    <row r="38" spans="1:2" s="19" customFormat="1" ht="13.5" outlineLevel="1" x14ac:dyDescent="0.2">
      <c r="A38" s="17" t="s">
        <v>33</v>
      </c>
      <c r="B38" s="18">
        <v>7383905477</v>
      </c>
    </row>
    <row r="39" spans="1:2" s="19" customFormat="1" ht="13.5" outlineLevel="1" x14ac:dyDescent="0.2">
      <c r="A39" s="17" t="s">
        <v>34</v>
      </c>
      <c r="B39" s="18">
        <v>12423743774</v>
      </c>
    </row>
    <row r="40" spans="1:2" s="19" customFormat="1" ht="13.5" outlineLevel="1" x14ac:dyDescent="0.2">
      <c r="A40" s="17" t="s">
        <v>35</v>
      </c>
      <c r="B40" s="18">
        <v>14187262851</v>
      </c>
    </row>
    <row r="41" spans="1:2" s="19" customFormat="1" ht="13.5" outlineLevel="1" x14ac:dyDescent="0.2">
      <c r="A41" s="17" t="s">
        <v>36</v>
      </c>
      <c r="B41" s="18">
        <v>9099377756</v>
      </c>
    </row>
    <row r="42" spans="1:2" s="19" customFormat="1" ht="13.5" outlineLevel="1" x14ac:dyDescent="0.2">
      <c r="A42" s="17" t="s">
        <v>37</v>
      </c>
      <c r="B42" s="18">
        <v>7416098511</v>
      </c>
    </row>
    <row r="43" spans="1:2" s="19" customFormat="1" ht="13.5" outlineLevel="1" x14ac:dyDescent="0.2">
      <c r="A43" s="17" t="s">
        <v>38</v>
      </c>
      <c r="B43" s="18">
        <v>16654736652</v>
      </c>
    </row>
    <row r="44" spans="1:2" s="19" customFormat="1" ht="13.5" outlineLevel="1" x14ac:dyDescent="0.2">
      <c r="A44" s="17" t="s">
        <v>39</v>
      </c>
      <c r="B44" s="18">
        <v>12006016561</v>
      </c>
    </row>
    <row r="45" spans="1:2" s="19" customFormat="1" ht="13.5" outlineLevel="1" x14ac:dyDescent="0.2">
      <c r="A45" s="17" t="s">
        <v>40</v>
      </c>
      <c r="B45" s="18">
        <v>14602426835</v>
      </c>
    </row>
    <row r="46" spans="1:2" s="19" customFormat="1" ht="13.5" outlineLevel="1" x14ac:dyDescent="0.2">
      <c r="A46" s="17" t="s">
        <v>41</v>
      </c>
      <c r="B46" s="18">
        <v>16600395825</v>
      </c>
    </row>
    <row r="47" spans="1:2" s="19" customFormat="1" ht="13.5" outlineLevel="1" x14ac:dyDescent="0.2">
      <c r="A47" s="17" t="s">
        <v>42</v>
      </c>
      <c r="B47" s="18">
        <v>9490692823</v>
      </c>
    </row>
    <row r="48" spans="1:2" s="19" customFormat="1" ht="13.5" outlineLevel="1" x14ac:dyDescent="0.2">
      <c r="A48" s="17" t="s">
        <v>43</v>
      </c>
      <c r="B48" s="18">
        <v>14966356774</v>
      </c>
    </row>
    <row r="49" spans="1:2" s="19" customFormat="1" ht="13.5" outlineLevel="1" x14ac:dyDescent="0.2">
      <c r="A49" s="17" t="s">
        <v>44</v>
      </c>
      <c r="B49" s="18">
        <v>16628059484</v>
      </c>
    </row>
    <row r="50" spans="1:2" s="19" customFormat="1" ht="13.5" outlineLevel="1" x14ac:dyDescent="0.2">
      <c r="A50" s="17" t="s">
        <v>45</v>
      </c>
      <c r="B50" s="18">
        <v>11545020876</v>
      </c>
    </row>
    <row r="51" spans="1:2" s="19" customFormat="1" ht="13.5" outlineLevel="1" x14ac:dyDescent="0.2">
      <c r="A51" s="17" t="s">
        <v>46</v>
      </c>
      <c r="B51" s="18">
        <v>11069859631</v>
      </c>
    </row>
    <row r="52" spans="1:2" s="19" customFormat="1" ht="13.5" outlineLevel="1" x14ac:dyDescent="0.2">
      <c r="A52" s="17" t="s">
        <v>47</v>
      </c>
      <c r="B52" s="18">
        <v>16462254401</v>
      </c>
    </row>
    <row r="53" spans="1:2" s="19" customFormat="1" ht="13.5" outlineLevel="1" x14ac:dyDescent="0.2">
      <c r="A53" s="17" t="s">
        <v>48</v>
      </c>
      <c r="B53" s="18">
        <v>29122451003</v>
      </c>
    </row>
    <row r="54" spans="1:2" s="19" customFormat="1" ht="13.5" outlineLevel="1" x14ac:dyDescent="0.2">
      <c r="A54" s="17" t="s">
        <v>49</v>
      </c>
      <c r="B54" s="18">
        <v>19110837484</v>
      </c>
    </row>
    <row r="55" spans="1:2" s="19" customFormat="1" ht="13.5" outlineLevel="1" x14ac:dyDescent="0.2">
      <c r="A55" s="17" t="s">
        <v>50</v>
      </c>
      <c r="B55" s="18">
        <v>14355039068</v>
      </c>
    </row>
    <row r="56" spans="1:2" s="19" customFormat="1" ht="13.5" outlineLevel="1" x14ac:dyDescent="0.2">
      <c r="A56" s="17" t="s">
        <v>51</v>
      </c>
      <c r="B56" s="18">
        <v>10742553232</v>
      </c>
    </row>
    <row r="57" spans="1:2" s="19" customFormat="1" ht="13.5" outlineLevel="1" x14ac:dyDescent="0.2">
      <c r="A57" s="17" t="s">
        <v>52</v>
      </c>
      <c r="B57" s="18">
        <v>12944688820</v>
      </c>
    </row>
    <row r="58" spans="1:2" s="19" customFormat="1" ht="13.5" outlineLevel="1" x14ac:dyDescent="0.2">
      <c r="A58" s="17" t="s">
        <v>53</v>
      </c>
      <c r="B58" s="18">
        <v>11689433662</v>
      </c>
    </row>
    <row r="59" spans="1:2" s="19" customFormat="1" ht="13.5" outlineLevel="1" x14ac:dyDescent="0.2">
      <c r="A59" s="17" t="s">
        <v>54</v>
      </c>
      <c r="B59" s="18">
        <v>11397659254</v>
      </c>
    </row>
    <row r="60" spans="1:2" s="19" customFormat="1" ht="13.5" outlineLevel="1" x14ac:dyDescent="0.2">
      <c r="A60" s="17" t="s">
        <v>55</v>
      </c>
      <c r="B60" s="18">
        <v>16236395384</v>
      </c>
    </row>
    <row r="61" spans="1:2" s="19" customFormat="1" ht="13.5" outlineLevel="1" x14ac:dyDescent="0.2">
      <c r="A61" s="17" t="s">
        <v>56</v>
      </c>
      <c r="B61" s="18">
        <v>6151462908.9075203</v>
      </c>
    </row>
    <row r="62" spans="1:2" s="19" customFormat="1" ht="13.5" outlineLevel="1" x14ac:dyDescent="0.2">
      <c r="A62" s="17" t="s">
        <v>57</v>
      </c>
      <c r="B62" s="18">
        <v>24188206629</v>
      </c>
    </row>
    <row r="63" spans="1:2" s="19" customFormat="1" ht="13.5" outlineLevel="1" x14ac:dyDescent="0.2">
      <c r="A63" s="17" t="s">
        <v>58</v>
      </c>
      <c r="B63" s="18">
        <v>22229863427</v>
      </c>
    </row>
    <row r="64" spans="1:2" s="19" customFormat="1" ht="13.5" outlineLevel="1" x14ac:dyDescent="0.2">
      <c r="A64" s="17" t="s">
        <v>59</v>
      </c>
      <c r="B64" s="18">
        <v>23200278421</v>
      </c>
    </row>
    <row r="65" spans="1:2" s="19" customFormat="1" ht="13.5" outlineLevel="1" x14ac:dyDescent="0.2">
      <c r="A65" s="17" t="s">
        <v>60</v>
      </c>
      <c r="B65" s="18">
        <v>33729146012</v>
      </c>
    </row>
    <row r="66" spans="1:2" s="19" customFormat="1" ht="13.5" outlineLevel="1" x14ac:dyDescent="0.2">
      <c r="A66" s="17" t="s">
        <v>61</v>
      </c>
      <c r="B66" s="18">
        <v>25741331764</v>
      </c>
    </row>
    <row r="67" spans="1:2" s="19" customFormat="1" ht="13.5" outlineLevel="1" x14ac:dyDescent="0.2">
      <c r="A67" s="17" t="s">
        <v>62</v>
      </c>
      <c r="B67" s="18">
        <v>10895316694.06304</v>
      </c>
    </row>
    <row r="68" spans="1:2" s="19" customFormat="1" ht="13.5" outlineLevel="1" x14ac:dyDescent="0.2">
      <c r="A68" s="17" t="s">
        <v>63</v>
      </c>
      <c r="B68" s="18">
        <v>15574902572</v>
      </c>
    </row>
    <row r="69" spans="1:2" s="16" customFormat="1" ht="13.5" outlineLevel="1" x14ac:dyDescent="0.2">
      <c r="A69" s="17" t="s">
        <v>64</v>
      </c>
      <c r="B69" s="18">
        <v>11085498362</v>
      </c>
    </row>
    <row r="70" spans="1:2" s="19" customFormat="1" ht="13.5" outlineLevel="1" x14ac:dyDescent="0.2">
      <c r="A70" s="17" t="s">
        <v>65</v>
      </c>
      <c r="B70" s="18">
        <v>15569378930</v>
      </c>
    </row>
    <row r="71" spans="1:2" s="19" customFormat="1" ht="13.5" outlineLevel="1" x14ac:dyDescent="0.2">
      <c r="A71" s="17" t="s">
        <v>66</v>
      </c>
      <c r="B71" s="18">
        <v>19872456988.21376</v>
      </c>
    </row>
    <row r="72" spans="1:2" s="19" customFormat="1" ht="13.5" outlineLevel="1" x14ac:dyDescent="0.2">
      <c r="A72" s="17" t="s">
        <v>67</v>
      </c>
      <c r="B72" s="18">
        <v>9279916346</v>
      </c>
    </row>
    <row r="73" spans="1:2" s="19" customFormat="1" ht="13.5" outlineLevel="1" x14ac:dyDescent="0.2">
      <c r="A73" s="17" t="s">
        <v>68</v>
      </c>
      <c r="B73" s="18">
        <v>11879598172</v>
      </c>
    </row>
    <row r="74" spans="1:2" s="19" customFormat="1" ht="13.5" outlineLevel="1" x14ac:dyDescent="0.2">
      <c r="A74" s="17" t="s">
        <v>69</v>
      </c>
      <c r="B74" s="18">
        <v>14944234555</v>
      </c>
    </row>
    <row r="75" spans="1:2" s="19" customFormat="1" ht="13.5" outlineLevel="1" x14ac:dyDescent="0.2">
      <c r="A75" s="17" t="s">
        <v>70</v>
      </c>
      <c r="B75" s="18">
        <v>8486287813</v>
      </c>
    </row>
    <row r="76" spans="1:2" s="19" customFormat="1" ht="13.5" outlineLevel="1" x14ac:dyDescent="0.2">
      <c r="A76" s="17" t="s">
        <v>71</v>
      </c>
      <c r="B76" s="18">
        <v>7048832262</v>
      </c>
    </row>
    <row r="77" spans="1:2" s="19" customFormat="1" ht="13.5" outlineLevel="1" x14ac:dyDescent="0.2">
      <c r="A77" s="17" t="s">
        <v>72</v>
      </c>
      <c r="B77" s="18">
        <v>5348779190</v>
      </c>
    </row>
    <row r="78" spans="1:2" s="19" customFormat="1" ht="13.5" outlineLevel="1" x14ac:dyDescent="0.2">
      <c r="A78" s="17" t="s">
        <v>73</v>
      </c>
      <c r="B78" s="18">
        <v>5466387046</v>
      </c>
    </row>
    <row r="79" spans="1:2" s="19" customFormat="1" ht="13.5" outlineLevel="1" x14ac:dyDescent="0.2">
      <c r="A79" s="17" t="s">
        <v>74</v>
      </c>
      <c r="B79" s="18">
        <v>16518448889</v>
      </c>
    </row>
    <row r="80" spans="1:2" s="19" customFormat="1" ht="13.5" outlineLevel="1" x14ac:dyDescent="0.2">
      <c r="A80" s="17" t="s">
        <v>75</v>
      </c>
      <c r="B80" s="18">
        <v>8675202615</v>
      </c>
    </row>
    <row r="81" spans="1:2" s="19" customFormat="1" ht="13.5" outlineLevel="1" x14ac:dyDescent="0.2">
      <c r="A81" s="17" t="s">
        <v>76</v>
      </c>
      <c r="B81" s="18">
        <v>16760013498</v>
      </c>
    </row>
    <row r="82" spans="1:2" s="19" customFormat="1" ht="13.5" outlineLevel="1" x14ac:dyDescent="0.2">
      <c r="A82" s="17" t="s">
        <v>77</v>
      </c>
      <c r="B82" s="18">
        <v>12438755743</v>
      </c>
    </row>
    <row r="83" spans="1:2" s="19" customFormat="1" ht="13.5" outlineLevel="1" x14ac:dyDescent="0.2">
      <c r="A83" s="17" t="s">
        <v>78</v>
      </c>
      <c r="B83" s="18">
        <v>14593425402</v>
      </c>
    </row>
    <row r="84" spans="1:2" s="19" customFormat="1" ht="13.5" outlineLevel="1" x14ac:dyDescent="0.2">
      <c r="A84" s="17" t="s">
        <v>79</v>
      </c>
      <c r="B84" s="18">
        <v>6689468251</v>
      </c>
    </row>
    <row r="85" spans="1:2" s="19" customFormat="1" ht="13.5" outlineLevel="1" x14ac:dyDescent="0.2">
      <c r="A85" s="17" t="s">
        <v>80</v>
      </c>
      <c r="B85" s="18">
        <v>8186369892</v>
      </c>
    </row>
    <row r="86" spans="1:2" s="19" customFormat="1" ht="13.5" outlineLevel="1" x14ac:dyDescent="0.2">
      <c r="A86" s="17" t="s">
        <v>81</v>
      </c>
      <c r="B86" s="18">
        <v>28561249598</v>
      </c>
    </row>
    <row r="87" spans="1:2" s="19" customFormat="1" ht="13.5" outlineLevel="1" x14ac:dyDescent="0.2">
      <c r="A87" s="17" t="s">
        <v>82</v>
      </c>
      <c r="B87" s="18">
        <v>34980509996</v>
      </c>
    </row>
    <row r="88" spans="1:2" s="19" customFormat="1" ht="13.5" outlineLevel="1" x14ac:dyDescent="0.2">
      <c r="A88" s="17" t="s">
        <v>83</v>
      </c>
      <c r="B88" s="18">
        <v>6950846586</v>
      </c>
    </row>
    <row r="89" spans="1:2" s="19" customFormat="1" ht="13.5" outlineLevel="1" x14ac:dyDescent="0.2">
      <c r="A89" s="17" t="s">
        <v>84</v>
      </c>
      <c r="B89" s="18">
        <v>11116163961</v>
      </c>
    </row>
    <row r="90" spans="1:2" s="19" customFormat="1" ht="13.5" outlineLevel="1" x14ac:dyDescent="0.2">
      <c r="A90" s="17" t="s">
        <v>85</v>
      </c>
      <c r="B90" s="18">
        <v>21274070645</v>
      </c>
    </row>
    <row r="91" spans="1:2" s="19" customFormat="1" ht="13.5" outlineLevel="1" x14ac:dyDescent="0.2">
      <c r="A91" s="17" t="s">
        <v>86</v>
      </c>
      <c r="B91" s="18">
        <v>2826770201</v>
      </c>
    </row>
    <row r="92" spans="1:2" s="19" customFormat="1" ht="13.5" outlineLevel="1" x14ac:dyDescent="0.2">
      <c r="A92" s="17" t="s">
        <v>87</v>
      </c>
      <c r="B92" s="18">
        <v>4775546619</v>
      </c>
    </row>
    <row r="93" spans="1:2" s="19" customFormat="1" ht="13.5" outlineLevel="1" x14ac:dyDescent="0.2">
      <c r="A93" s="17" t="s">
        <v>88</v>
      </c>
      <c r="B93" s="18">
        <v>23755514236</v>
      </c>
    </row>
    <row r="94" spans="1:2" s="19" customFormat="1" ht="13.5" outlineLevel="1" x14ac:dyDescent="0.2">
      <c r="A94" s="17" t="s">
        <v>89</v>
      </c>
      <c r="B94" s="18">
        <v>22463613073</v>
      </c>
    </row>
    <row r="95" spans="1:2" s="19" customFormat="1" ht="13.5" outlineLevel="1" x14ac:dyDescent="0.2">
      <c r="A95" s="17" t="s">
        <v>90</v>
      </c>
      <c r="B95" s="18">
        <v>20949816946</v>
      </c>
    </row>
    <row r="96" spans="1:2" s="19" customFormat="1" ht="13.5" outlineLevel="1" x14ac:dyDescent="0.2">
      <c r="A96" s="17" t="s">
        <v>91</v>
      </c>
      <c r="B96" s="18">
        <v>14104036918</v>
      </c>
    </row>
    <row r="97" spans="1:2" s="19" customFormat="1" ht="13.5" outlineLevel="1" x14ac:dyDescent="0.2">
      <c r="A97" s="17" t="s">
        <v>92</v>
      </c>
      <c r="B97" s="18">
        <v>1396272140.5940592</v>
      </c>
    </row>
    <row r="98" spans="1:2" s="19" customFormat="1" ht="13.5" outlineLevel="1" x14ac:dyDescent="0.2">
      <c r="A98" s="17" t="s">
        <v>93</v>
      </c>
      <c r="B98" s="18">
        <v>1211346171.2871287</v>
      </c>
    </row>
    <row r="99" spans="1:2" s="19" customFormat="1" ht="13.5" outlineLevel="1" x14ac:dyDescent="0.2">
      <c r="A99" s="17" t="s">
        <v>94</v>
      </c>
      <c r="B99" s="18">
        <v>1239693623.7623763</v>
      </c>
    </row>
    <row r="100" spans="1:2" s="19" customFormat="1" ht="13.5" outlineLevel="1" x14ac:dyDescent="0.2">
      <c r="A100" s="17" t="s">
        <v>95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12</vt:i4>
      </vt:variant>
    </vt:vector>
  </HeadingPairs>
  <TitlesOfParts>
    <vt:vector size="24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OPCIONAL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Mercedes Perez Perez</dc:creator>
  <cp:lastModifiedBy>Jorge Luis Garizao Cantillo</cp:lastModifiedBy>
  <cp:lastPrinted>2022-10-07T19:55:22Z</cp:lastPrinted>
  <dcterms:created xsi:type="dcterms:W3CDTF">2022-09-04T20:19:45Z</dcterms:created>
  <dcterms:modified xsi:type="dcterms:W3CDTF">2024-06-21T19:28:49Z</dcterms:modified>
</cp:coreProperties>
</file>