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09"/>
  <workbookPr/>
  <mc:AlternateContent xmlns:mc="http://schemas.openxmlformats.org/markup-compatibility/2006">
    <mc:Choice Requires="x15">
      <x15ac:absPath xmlns:x15ac="http://schemas.microsoft.com/office/spreadsheetml/2010/11/ac" url="C:\Users\William Sanchez\Desktop\PROYECTO 4 FANNY GONZALEZ\INFORMES EJECUTIVOS\"/>
    </mc:Choice>
  </mc:AlternateContent>
  <xr:revisionPtr revIDLastSave="0" documentId="11_E2EB8E660C884475401B4C708D3ECD466283CB7A" xr6:coauthVersionLast="47" xr6:coauthVersionMax="47" xr10:uidLastSave="{00000000-0000-0000-0000-000000000000}"/>
  <bookViews>
    <workbookView xWindow="0" yWindow="0" windowWidth="20490" windowHeight="7650" tabRatio="878" firstSheet="2" activeTab="2" xr2:uid="{00000000-000D-0000-FFFF-FFFF00000000}"/>
  </bookViews>
  <sheets>
    <sheet name="FORMATO AIU" sheetId="11" r:id="rId1"/>
    <sheet name="AVANCE DE OBRA " sheetId="10" r:id="rId2"/>
    <sheet name="Informe ejecutivo 6" sheetId="5" r:id="rId3"/>
  </sheets>
  <externalReferences>
    <externalReference r:id="rId4"/>
    <externalReference r:id="rId5"/>
  </externalReferences>
  <definedNames>
    <definedName name="_Fill" localSheetId="1" hidden="1">#REF!</definedName>
    <definedName name="_Fill" hidden="1">#REF!</definedName>
    <definedName name="_xlnm.Print_Area" localSheetId="0">'FORMATO AIU'!$A$1:$G$111</definedName>
    <definedName name="_xlnm.Print_Area" localSheetId="2">'Informe ejecutivo 6'!$A$1:$L$277</definedName>
    <definedName name="B" localSheetId="1" hidden="1">#REF!</definedName>
    <definedName name="B" hidden="1">#REF!</definedName>
    <definedName name="Costos_Directos" localSheetId="1">#REF!</definedName>
    <definedName name="Costos_Directos" localSheetId="0">#REF!</definedName>
    <definedName name="Costos_Directos">#REF!</definedName>
    <definedName name="Costos_Indirectos" localSheetId="1">#REF!</definedName>
    <definedName name="Costos_Indirectos" localSheetId="0">#REF!</definedName>
    <definedName name="Costos_Indirectos">#REF!</definedName>
    <definedName name="presentacion" localSheetId="1">#REF!</definedName>
    <definedName name="presentacion" localSheetId="0">#REF!</definedName>
    <definedName name="presentacion">#REF!</definedName>
    <definedName name="Salario_minimo" localSheetId="1">#REF!</definedName>
    <definedName name="Salario_minimo" localSheetId="0">#REF!</definedName>
    <definedName name="Salario_minimo">#REF!</definedName>
    <definedName name="Subsidio_de_transporte" localSheetId="1">#REF!</definedName>
    <definedName name="Subsidio_de_transporte" localSheetId="0">#REF!</definedName>
    <definedName name="Subsidio_de_transporte">#REF!</definedName>
    <definedName name="_xlnm.Print_Titles" localSheetId="1">'AVANCE DE OBRA '!$4:$4</definedName>
    <definedName name="_xlnm.Print_Titles" localSheetId="0">'FORMATO AIU'!$1:$15</definedName>
    <definedName name="Total_Proyecto" localSheetId="1">#REF!</definedName>
    <definedName name="Total_Proyecto" localSheetId="0">#REF!</definedName>
    <definedName name="Total_Proyecto">#REF!</definedName>
    <definedName name="TV" localSheetId="1">#REF!</definedName>
    <definedName name="TV" localSheetId="0">#REF!</definedName>
    <definedName name="TV">#REF!</definedName>
    <definedName name="wrn.GENERAL." hidden="1">{"TAB1",#N/A,TRUE,"GENERAL";"TAB2",#N/A,TRUE,"GENERAL";"TAB3",#N/A,TRUE,"GENERAL";"TAB4",#N/A,TRUE,"GENERAL";"TAB5",#N/A,TRUE,"GENERAL"}</definedName>
    <definedName name="wrn.via." hidden="1">{"via1",#N/A,TRUE,"general";"via2",#N/A,TRUE,"general";"via3",#N/A,TRUE,"general"}</definedName>
    <definedName name="yuf" hidden="1">{"TAB1",#N/A,TRUE,"GENERAL";"TAB2",#N/A,TRUE,"GENERAL";"TAB3",#N/A,TRUE,"GENERAL";"TAB4",#N/A,TRUE,"GENERAL";"TAB5",#N/A,TRUE,"GENERAL"}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55" i="10" l="1"/>
  <c r="W45" i="10"/>
  <c r="W20" i="10"/>
  <c r="Z8" i="10"/>
  <c r="Z9" i="10"/>
  <c r="Z10" i="10"/>
  <c r="Z11" i="10"/>
  <c r="Z17" i="10"/>
  <c r="Z19" i="10"/>
  <c r="Z23" i="10"/>
  <c r="Z24" i="10"/>
  <c r="Z30" i="10"/>
  <c r="Z31" i="10"/>
  <c r="Z32" i="10"/>
  <c r="Z34" i="10"/>
  <c r="Z38" i="10"/>
  <c r="Z39" i="10"/>
  <c r="Z40" i="10"/>
  <c r="Z41" i="10"/>
  <c r="Z42" i="10"/>
  <c r="Z43" i="10"/>
  <c r="Z44" i="10"/>
  <c r="Z46" i="10"/>
  <c r="Z47" i="10"/>
  <c r="Z51" i="10"/>
  <c r="Z52" i="10"/>
  <c r="Z53" i="10"/>
  <c r="Z54" i="10"/>
  <c r="Z55" i="10"/>
  <c r="Z56" i="10"/>
  <c r="Z57" i="10"/>
  <c r="Z58" i="10"/>
  <c r="Z60" i="10"/>
  <c r="Z63" i="10"/>
  <c r="Z64" i="10"/>
  <c r="Z65" i="10"/>
  <c r="Z66" i="10"/>
  <c r="Z68" i="10"/>
  <c r="Z69" i="10"/>
  <c r="Z72" i="10"/>
  <c r="Z73" i="10"/>
  <c r="Z74" i="10"/>
  <c r="Z75" i="10"/>
  <c r="Z76" i="10"/>
  <c r="W7" i="10"/>
  <c r="X11" i="10"/>
  <c r="X17" i="10"/>
  <c r="X24" i="10"/>
  <c r="X31" i="10"/>
  <c r="X32" i="10"/>
  <c r="X38" i="10"/>
  <c r="Y38" i="10" s="1"/>
  <c r="X41" i="10"/>
  <c r="X47" i="10"/>
  <c r="Y47" i="10" s="1"/>
  <c r="X52" i="10"/>
  <c r="X53" i="10"/>
  <c r="X54" i="10"/>
  <c r="Y54" i="10" s="1"/>
  <c r="X60" i="10"/>
  <c r="X64" i="10"/>
  <c r="X72" i="10"/>
  <c r="Y72" i="10"/>
  <c r="Y64" i="10"/>
  <c r="Y60" i="10"/>
  <c r="Y52" i="10"/>
  <c r="Y41" i="10"/>
  <c r="Y32" i="10"/>
  <c r="Y31" i="10"/>
  <c r="Y24" i="10"/>
  <c r="Y17" i="10"/>
  <c r="Y11" i="10"/>
  <c r="J38" i="5" l="1"/>
  <c r="T71" i="10" l="1"/>
  <c r="Z71" i="10" s="1"/>
  <c r="T62" i="10"/>
  <c r="Z62" i="10" s="1"/>
  <c r="T21" i="10"/>
  <c r="T20" i="10"/>
  <c r="U11" i="10"/>
  <c r="U17" i="10"/>
  <c r="V17" i="10" s="1"/>
  <c r="U24" i="10"/>
  <c r="U31" i="10"/>
  <c r="U32" i="10"/>
  <c r="U38" i="10"/>
  <c r="V38" i="10" s="1"/>
  <c r="U41" i="10"/>
  <c r="V41" i="10" s="1"/>
  <c r="U47" i="10"/>
  <c r="U52" i="10"/>
  <c r="V52" i="10" s="1"/>
  <c r="U54" i="10"/>
  <c r="V54" i="10" s="1"/>
  <c r="U60" i="10"/>
  <c r="V60" i="10" s="1"/>
  <c r="U64" i="10"/>
  <c r="U72" i="10"/>
  <c r="V11" i="10"/>
  <c r="V24" i="10"/>
  <c r="V31" i="10"/>
  <c r="V32" i="10"/>
  <c r="V47" i="10"/>
  <c r="V64" i="10"/>
  <c r="V72" i="10"/>
  <c r="R11" i="10" l="1"/>
  <c r="R17" i="10"/>
  <c r="R24" i="10"/>
  <c r="R31" i="10"/>
  <c r="R32" i="10"/>
  <c r="R38" i="10"/>
  <c r="R41" i="10"/>
  <c r="R47" i="10"/>
  <c r="R52" i="10"/>
  <c r="R53" i="10"/>
  <c r="R54" i="10"/>
  <c r="R60" i="10"/>
  <c r="R64" i="10"/>
  <c r="R72" i="10"/>
  <c r="Q45" i="10"/>
  <c r="Z45" i="10" s="1"/>
  <c r="Q26" i="10"/>
  <c r="Q25" i="10"/>
  <c r="Q14" i="10"/>
  <c r="Q7" i="10"/>
  <c r="E92" i="5" l="1"/>
  <c r="E98" i="5"/>
  <c r="E104" i="5"/>
  <c r="E105" i="5"/>
  <c r="N29" i="10"/>
  <c r="N26" i="10"/>
  <c r="Z26" i="10" s="1"/>
  <c r="O11" i="10" l="1"/>
  <c r="O17" i="10"/>
  <c r="O24" i="10"/>
  <c r="O31" i="10"/>
  <c r="O32" i="10"/>
  <c r="O38" i="10"/>
  <c r="O41" i="10"/>
  <c r="O47" i="10"/>
  <c r="O52" i="10"/>
  <c r="O54" i="10"/>
  <c r="O60" i="10"/>
  <c r="O64" i="10"/>
  <c r="O72" i="10"/>
  <c r="E48" i="5" l="1"/>
  <c r="L11" i="10" l="1"/>
  <c r="L17" i="10"/>
  <c r="L24" i="10"/>
  <c r="L31" i="10"/>
  <c r="L32" i="10"/>
  <c r="L38" i="10"/>
  <c r="L41" i="10"/>
  <c r="L47" i="10"/>
  <c r="L52" i="10"/>
  <c r="L54" i="10"/>
  <c r="L60" i="10"/>
  <c r="L64" i="10"/>
  <c r="L72" i="10"/>
  <c r="K28" i="10"/>
  <c r="N28" i="10" s="1"/>
  <c r="K22" i="10"/>
  <c r="N22" i="10" s="1"/>
  <c r="K21" i="10"/>
  <c r="K20" i="10"/>
  <c r="K18" i="10"/>
  <c r="Z18" i="10" s="1"/>
  <c r="K16" i="10"/>
  <c r="Z16" i="10" s="1"/>
  <c r="K15" i="10"/>
  <c r="N15" i="10" s="1"/>
  <c r="K14" i="10"/>
  <c r="Z14" i="10" s="1"/>
  <c r="K13" i="10"/>
  <c r="Z13" i="10" s="1"/>
  <c r="AA24" i="10"/>
  <c r="AA31" i="10"/>
  <c r="AA32" i="10"/>
  <c r="AA38" i="10"/>
  <c r="AA41" i="10"/>
  <c r="AA47" i="10"/>
  <c r="AA52" i="10"/>
  <c r="AA54" i="10"/>
  <c r="AA60" i="10"/>
  <c r="AA64" i="10"/>
  <c r="AA72" i="10"/>
  <c r="K12" i="10"/>
  <c r="N12" i="10" l="1"/>
  <c r="Z12" i="10" s="1"/>
  <c r="N20" i="10"/>
  <c r="Z20" i="10" s="1"/>
  <c r="N21" i="10"/>
  <c r="Z21" i="10" s="1"/>
  <c r="E76" i="10"/>
  <c r="X76" i="10" s="1"/>
  <c r="Y76" i="10" s="1"/>
  <c r="E75" i="10"/>
  <c r="X75" i="10" s="1"/>
  <c r="Y75" i="10" s="1"/>
  <c r="E74" i="10"/>
  <c r="X74" i="10" s="1"/>
  <c r="Y74" i="10" s="1"/>
  <c r="E73" i="10"/>
  <c r="X73" i="10" s="1"/>
  <c r="Y73" i="10" s="1"/>
  <c r="E71" i="10"/>
  <c r="X71" i="10" s="1"/>
  <c r="Y71" i="10" s="1"/>
  <c r="E70" i="10"/>
  <c r="X70" i="10" s="1"/>
  <c r="Y70" i="10" s="1"/>
  <c r="E69" i="10"/>
  <c r="X69" i="10" s="1"/>
  <c r="Y69" i="10" s="1"/>
  <c r="E68" i="10"/>
  <c r="X68" i="10" s="1"/>
  <c r="Y68" i="10" s="1"/>
  <c r="E67" i="10"/>
  <c r="X67" i="10" s="1"/>
  <c r="Y67" i="10" s="1"/>
  <c r="E66" i="10"/>
  <c r="X66" i="10" s="1"/>
  <c r="Y66" i="10" s="1"/>
  <c r="E65" i="10"/>
  <c r="X65" i="10" s="1"/>
  <c r="Y65" i="10" s="1"/>
  <c r="E63" i="10"/>
  <c r="X63" i="10" s="1"/>
  <c r="Y63" i="10" s="1"/>
  <c r="E62" i="10"/>
  <c r="X62" i="10" s="1"/>
  <c r="Y62" i="10" s="1"/>
  <c r="E61" i="10"/>
  <c r="X61" i="10" s="1"/>
  <c r="Y61" i="10" s="1"/>
  <c r="E59" i="10"/>
  <c r="X59" i="10" s="1"/>
  <c r="Y59" i="10" s="1"/>
  <c r="E58" i="10"/>
  <c r="X58" i="10" s="1"/>
  <c r="Y58" i="10" s="1"/>
  <c r="E57" i="10"/>
  <c r="X57" i="10" s="1"/>
  <c r="Y57" i="10" s="1"/>
  <c r="E56" i="10"/>
  <c r="X56" i="10" s="1"/>
  <c r="Y56" i="10" s="1"/>
  <c r="E55" i="10"/>
  <c r="X55" i="10" s="1"/>
  <c r="Y55" i="10" s="1"/>
  <c r="E51" i="10"/>
  <c r="X51" i="10" s="1"/>
  <c r="Y51" i="10" s="1"/>
  <c r="E50" i="10"/>
  <c r="X50" i="10" s="1"/>
  <c r="Y50" i="10" s="1"/>
  <c r="E49" i="10"/>
  <c r="X49" i="10" s="1"/>
  <c r="Y49" i="10" s="1"/>
  <c r="E48" i="10"/>
  <c r="X48" i="10" s="1"/>
  <c r="Y48" i="10" s="1"/>
  <c r="E46" i="10"/>
  <c r="X46" i="10" s="1"/>
  <c r="Y46" i="10" s="1"/>
  <c r="E45" i="10"/>
  <c r="X45" i="10" s="1"/>
  <c r="Y45" i="10" s="1"/>
  <c r="E44" i="10"/>
  <c r="X44" i="10" s="1"/>
  <c r="Y44" i="10" s="1"/>
  <c r="E43" i="10"/>
  <c r="X43" i="10" s="1"/>
  <c r="Y43" i="10" s="1"/>
  <c r="E42" i="10"/>
  <c r="X42" i="10" s="1"/>
  <c r="Y42" i="10" s="1"/>
  <c r="E40" i="10"/>
  <c r="X40" i="10" s="1"/>
  <c r="Y40" i="10" s="1"/>
  <c r="E39" i="10"/>
  <c r="X39" i="10" s="1"/>
  <c r="Y39" i="10" s="1"/>
  <c r="E37" i="10"/>
  <c r="X37" i="10" s="1"/>
  <c r="Y37" i="10" s="1"/>
  <c r="E36" i="10"/>
  <c r="X36" i="10" s="1"/>
  <c r="Y36" i="10" s="1"/>
  <c r="E35" i="10"/>
  <c r="X35" i="10" s="1"/>
  <c r="Y35" i="10" s="1"/>
  <c r="E34" i="10"/>
  <c r="X34" i="10" s="1"/>
  <c r="Y34" i="10" s="1"/>
  <c r="E33" i="10"/>
  <c r="X33" i="10" s="1"/>
  <c r="Y33" i="10" s="1"/>
  <c r="E30" i="10"/>
  <c r="X30" i="10" s="1"/>
  <c r="Y30" i="10" s="1"/>
  <c r="E29" i="10"/>
  <c r="X29" i="10" s="1"/>
  <c r="Y29" i="10" s="1"/>
  <c r="E28" i="10"/>
  <c r="X28" i="10" s="1"/>
  <c r="Y28" i="10" s="1"/>
  <c r="E27" i="10"/>
  <c r="X27" i="10" s="1"/>
  <c r="Y27" i="10" s="1"/>
  <c r="E26" i="10"/>
  <c r="X26" i="10" s="1"/>
  <c r="Y26" i="10" s="1"/>
  <c r="E25" i="10"/>
  <c r="X25" i="10" s="1"/>
  <c r="Y25" i="10" s="1"/>
  <c r="E23" i="10"/>
  <c r="X23" i="10" s="1"/>
  <c r="Y23" i="10" s="1"/>
  <c r="E22" i="10"/>
  <c r="X22" i="10" s="1"/>
  <c r="Y22" i="10" s="1"/>
  <c r="E21" i="10"/>
  <c r="X21" i="10" s="1"/>
  <c r="Y21" i="10" s="1"/>
  <c r="E20" i="10"/>
  <c r="X20" i="10" s="1"/>
  <c r="Y20" i="10" s="1"/>
  <c r="E19" i="10"/>
  <c r="X19" i="10" s="1"/>
  <c r="Y19" i="10" s="1"/>
  <c r="E18" i="10"/>
  <c r="X18" i="10" s="1"/>
  <c r="Y18" i="10" s="1"/>
  <c r="E16" i="10"/>
  <c r="X16" i="10" s="1"/>
  <c r="Y16" i="10" s="1"/>
  <c r="E15" i="10"/>
  <c r="X15" i="10" s="1"/>
  <c r="Y15" i="10" s="1"/>
  <c r="E14" i="10"/>
  <c r="X14" i="10" s="1"/>
  <c r="Y14" i="10" s="1"/>
  <c r="E13" i="10"/>
  <c r="X13" i="10" s="1"/>
  <c r="Y13" i="10" s="1"/>
  <c r="E12" i="10"/>
  <c r="X12" i="10" s="1"/>
  <c r="Y12" i="10" s="1"/>
  <c r="E10" i="10"/>
  <c r="X10" i="10" s="1"/>
  <c r="Y10" i="10" s="1"/>
  <c r="E9" i="10"/>
  <c r="X9" i="10" s="1"/>
  <c r="Y9" i="10" s="1"/>
  <c r="E8" i="10"/>
  <c r="X8" i="10" s="1"/>
  <c r="Y8" i="10" s="1"/>
  <c r="E7" i="10"/>
  <c r="X7" i="10" s="1"/>
  <c r="G90" i="11"/>
  <c r="G89" i="11"/>
  <c r="G88" i="11"/>
  <c r="G87" i="11"/>
  <c r="G85" i="11"/>
  <c r="G84" i="11"/>
  <c r="G83" i="11"/>
  <c r="G82" i="11"/>
  <c r="G81" i="11"/>
  <c r="G80" i="11"/>
  <c r="G79" i="11"/>
  <c r="G77" i="11"/>
  <c r="G76" i="11"/>
  <c r="G75" i="11"/>
  <c r="G73" i="11"/>
  <c r="G72" i="11"/>
  <c r="E71" i="11"/>
  <c r="G71" i="11" s="1"/>
  <c r="G70" i="11"/>
  <c r="G69" i="11"/>
  <c r="A69" i="11"/>
  <c r="A70" i="11" s="1"/>
  <c r="A71" i="11" s="1"/>
  <c r="A72" i="11" s="1"/>
  <c r="A73" i="11" s="1"/>
  <c r="A75" i="11" s="1"/>
  <c r="A76" i="11" s="1"/>
  <c r="A77" i="11" s="1"/>
  <c r="A79" i="11" s="1"/>
  <c r="A80" i="11" s="1"/>
  <c r="A81" i="11" s="1"/>
  <c r="A82" i="11" s="1"/>
  <c r="A83" i="11" s="1"/>
  <c r="A84" i="11" s="1"/>
  <c r="A85" i="11" s="1"/>
  <c r="A87" i="11" s="1"/>
  <c r="A88" i="11" s="1"/>
  <c r="A89" i="11" s="1"/>
  <c r="A90" i="11" s="1"/>
  <c r="G64" i="11"/>
  <c r="G63" i="11"/>
  <c r="G62" i="11"/>
  <c r="G61" i="11"/>
  <c r="G59" i="11"/>
  <c r="G58" i="11"/>
  <c r="G57" i="11"/>
  <c r="G56" i="11"/>
  <c r="G55" i="11"/>
  <c r="G53" i="11"/>
  <c r="G52" i="11"/>
  <c r="G50" i="11"/>
  <c r="G49" i="11"/>
  <c r="G48" i="11"/>
  <c r="G47" i="11"/>
  <c r="G46" i="11"/>
  <c r="A46" i="11"/>
  <c r="A47" i="11" s="1"/>
  <c r="A48" i="11" s="1"/>
  <c r="A49" i="11" s="1"/>
  <c r="A50" i="11" s="1"/>
  <c r="A52" i="11" s="1"/>
  <c r="A53" i="11" s="1"/>
  <c r="A55" i="11" s="1"/>
  <c r="A56" i="11" s="1"/>
  <c r="A57" i="11" s="1"/>
  <c r="A58" i="11" s="1"/>
  <c r="A59" i="11" s="1"/>
  <c r="A61" i="11" s="1"/>
  <c r="A62" i="11" s="1"/>
  <c r="A63" i="11" s="1"/>
  <c r="A64" i="11" s="1"/>
  <c r="G41" i="11"/>
  <c r="G40" i="11"/>
  <c r="G39" i="11"/>
  <c r="G38" i="11"/>
  <c r="G37" i="11"/>
  <c r="G36" i="11"/>
  <c r="G34" i="11"/>
  <c r="G33" i="11"/>
  <c r="G32" i="11"/>
  <c r="G31" i="11"/>
  <c r="G30" i="11"/>
  <c r="G29" i="11"/>
  <c r="G27" i="11"/>
  <c r="G26" i="11"/>
  <c r="G25" i="11"/>
  <c r="G24" i="11"/>
  <c r="G23" i="11"/>
  <c r="G21" i="11"/>
  <c r="G20" i="11"/>
  <c r="G19" i="11"/>
  <c r="G18" i="11"/>
  <c r="A18" i="11"/>
  <c r="A19" i="11" s="1"/>
  <c r="A20" i="11" s="1"/>
  <c r="A21" i="11" s="1"/>
  <c r="A23" i="11" s="1"/>
  <c r="A24" i="11" s="1"/>
  <c r="A25" i="11" s="1"/>
  <c r="A26" i="11" s="1"/>
  <c r="A27" i="11" s="1"/>
  <c r="A29" i="11" s="1"/>
  <c r="A30" i="11" s="1"/>
  <c r="A31" i="11" s="1"/>
  <c r="A32" i="11" s="1"/>
  <c r="A33" i="11" s="1"/>
  <c r="A34" i="11" s="1"/>
  <c r="A36" i="11" s="1"/>
  <c r="A37" i="11" s="1"/>
  <c r="A38" i="11" s="1"/>
  <c r="A39" i="11" s="1"/>
  <c r="A40" i="11" s="1"/>
  <c r="A41" i="11" s="1"/>
  <c r="R22" i="10" l="1"/>
  <c r="S22" i="10" s="1"/>
  <c r="U22" i="10"/>
  <c r="V22" i="10" s="1"/>
  <c r="R55" i="10"/>
  <c r="S55" i="10" s="1"/>
  <c r="U55" i="10"/>
  <c r="V55" i="10" s="1"/>
  <c r="R7" i="10"/>
  <c r="S7" i="10" s="1"/>
  <c r="U7" i="10"/>
  <c r="V7" i="10" s="1"/>
  <c r="R16" i="10"/>
  <c r="S16" i="10" s="1"/>
  <c r="U16" i="10"/>
  <c r="V16" i="10" s="1"/>
  <c r="R26" i="10"/>
  <c r="S26" i="10" s="1"/>
  <c r="U26" i="10"/>
  <c r="V26" i="10" s="1"/>
  <c r="R36" i="10"/>
  <c r="S36" i="10" s="1"/>
  <c r="U36" i="10"/>
  <c r="V36" i="10" s="1"/>
  <c r="R46" i="10"/>
  <c r="S46" i="10" s="1"/>
  <c r="U46" i="10"/>
  <c r="V46" i="10" s="1"/>
  <c r="R58" i="10"/>
  <c r="S58" i="10" s="1"/>
  <c r="U58" i="10"/>
  <c r="V58" i="10" s="1"/>
  <c r="R68" i="10"/>
  <c r="S68" i="10" s="1"/>
  <c r="U68" i="10"/>
  <c r="V68" i="10" s="1"/>
  <c r="R13" i="10"/>
  <c r="S13" i="10" s="1"/>
  <c r="U13" i="10"/>
  <c r="V13" i="10" s="1"/>
  <c r="R33" i="10"/>
  <c r="S33" i="10" s="1"/>
  <c r="U33" i="10"/>
  <c r="V33" i="10" s="1"/>
  <c r="R8" i="10"/>
  <c r="S8" i="10" s="1"/>
  <c r="U8" i="10"/>
  <c r="V8" i="10" s="1"/>
  <c r="R18" i="10"/>
  <c r="S18" i="10" s="1"/>
  <c r="U18" i="10"/>
  <c r="V18" i="10" s="1"/>
  <c r="R27" i="10"/>
  <c r="S27" i="10" s="1"/>
  <c r="U27" i="10"/>
  <c r="V27" i="10" s="1"/>
  <c r="R37" i="10"/>
  <c r="S37" i="10" s="1"/>
  <c r="U37" i="10"/>
  <c r="V37" i="10" s="1"/>
  <c r="R48" i="10"/>
  <c r="S48" i="10" s="1"/>
  <c r="U48" i="10"/>
  <c r="V48" i="10" s="1"/>
  <c r="R59" i="10"/>
  <c r="S59" i="10" s="1"/>
  <c r="U59" i="10"/>
  <c r="V59" i="10" s="1"/>
  <c r="R69" i="10"/>
  <c r="S69" i="10" s="1"/>
  <c r="U69" i="10"/>
  <c r="V69" i="10" s="1"/>
  <c r="R9" i="10"/>
  <c r="S9" i="10" s="1"/>
  <c r="U9" i="10"/>
  <c r="V9" i="10" s="1"/>
  <c r="R19" i="10"/>
  <c r="S19" i="10" s="1"/>
  <c r="U19" i="10"/>
  <c r="V19" i="10" s="1"/>
  <c r="R28" i="10"/>
  <c r="S28" i="10" s="1"/>
  <c r="U28" i="10"/>
  <c r="V28" i="10" s="1"/>
  <c r="R39" i="10"/>
  <c r="S39" i="10" s="1"/>
  <c r="U39" i="10"/>
  <c r="V39" i="10" s="1"/>
  <c r="R49" i="10"/>
  <c r="S49" i="10" s="1"/>
  <c r="U49" i="10"/>
  <c r="V49" i="10" s="1"/>
  <c r="R61" i="10"/>
  <c r="S61" i="10" s="1"/>
  <c r="U61" i="10"/>
  <c r="V61" i="10" s="1"/>
  <c r="R70" i="10"/>
  <c r="S70" i="10" s="1"/>
  <c r="U70" i="10"/>
  <c r="V70" i="10" s="1"/>
  <c r="R20" i="10"/>
  <c r="S20" i="10" s="1"/>
  <c r="U20" i="10"/>
  <c r="V20" i="10" s="1"/>
  <c r="R29" i="10"/>
  <c r="S29" i="10" s="1"/>
  <c r="U29" i="10"/>
  <c r="V29" i="10" s="1"/>
  <c r="R40" i="10"/>
  <c r="S40" i="10" s="1"/>
  <c r="U40" i="10"/>
  <c r="V40" i="10" s="1"/>
  <c r="R50" i="10"/>
  <c r="S50" i="10" s="1"/>
  <c r="U50" i="10"/>
  <c r="V50" i="10" s="1"/>
  <c r="R62" i="10"/>
  <c r="S62" i="10" s="1"/>
  <c r="U62" i="10"/>
  <c r="V62" i="10" s="1"/>
  <c r="R71" i="10"/>
  <c r="S71" i="10" s="1"/>
  <c r="U71" i="10"/>
  <c r="V71" i="10" s="1"/>
  <c r="R10" i="10"/>
  <c r="S10" i="10" s="1"/>
  <c r="U10" i="10"/>
  <c r="V10" i="10" s="1"/>
  <c r="R12" i="10"/>
  <c r="S12" i="10" s="1"/>
  <c r="U12" i="10"/>
  <c r="V12" i="10" s="1"/>
  <c r="R21" i="10"/>
  <c r="S21" i="10" s="1"/>
  <c r="U21" i="10"/>
  <c r="V21" i="10" s="1"/>
  <c r="R30" i="10"/>
  <c r="S30" i="10" s="1"/>
  <c r="U30" i="10"/>
  <c r="V30" i="10" s="1"/>
  <c r="R42" i="10"/>
  <c r="S42" i="10" s="1"/>
  <c r="U42" i="10"/>
  <c r="V42" i="10" s="1"/>
  <c r="R51" i="10"/>
  <c r="S51" i="10" s="1"/>
  <c r="U51" i="10"/>
  <c r="V51" i="10" s="1"/>
  <c r="R63" i="10"/>
  <c r="S63" i="10" s="1"/>
  <c r="U63" i="10"/>
  <c r="V63" i="10" s="1"/>
  <c r="R73" i="10"/>
  <c r="S73" i="10" s="1"/>
  <c r="U73" i="10"/>
  <c r="V73" i="10" s="1"/>
  <c r="R74" i="10"/>
  <c r="S74" i="10" s="1"/>
  <c r="U74" i="10"/>
  <c r="V74" i="10" s="1"/>
  <c r="R43" i="10"/>
  <c r="S43" i="10" s="1"/>
  <c r="U43" i="10"/>
  <c r="V43" i="10" s="1"/>
  <c r="R14" i="10"/>
  <c r="S14" i="10" s="1"/>
  <c r="U14" i="10"/>
  <c r="V14" i="10" s="1"/>
  <c r="R23" i="10"/>
  <c r="S23" i="10" s="1"/>
  <c r="U23" i="10"/>
  <c r="V23" i="10" s="1"/>
  <c r="R34" i="10"/>
  <c r="S34" i="10" s="1"/>
  <c r="U34" i="10"/>
  <c r="V34" i="10" s="1"/>
  <c r="R44" i="10"/>
  <c r="S44" i="10" s="1"/>
  <c r="U44" i="10"/>
  <c r="V44" i="10" s="1"/>
  <c r="R56" i="10"/>
  <c r="S56" i="10" s="1"/>
  <c r="U56" i="10"/>
  <c r="V56" i="10" s="1"/>
  <c r="R66" i="10"/>
  <c r="S66" i="10" s="1"/>
  <c r="U66" i="10"/>
  <c r="V66" i="10" s="1"/>
  <c r="R75" i="10"/>
  <c r="S75" i="10" s="1"/>
  <c r="U75" i="10"/>
  <c r="V75" i="10" s="1"/>
  <c r="R65" i="10"/>
  <c r="S65" i="10" s="1"/>
  <c r="U65" i="10"/>
  <c r="V65" i="10" s="1"/>
  <c r="R15" i="10"/>
  <c r="S15" i="10" s="1"/>
  <c r="U15" i="10"/>
  <c r="V15" i="10" s="1"/>
  <c r="R25" i="10"/>
  <c r="S25" i="10" s="1"/>
  <c r="U25" i="10"/>
  <c r="V25" i="10" s="1"/>
  <c r="R35" i="10"/>
  <c r="S35" i="10" s="1"/>
  <c r="U35" i="10"/>
  <c r="V35" i="10" s="1"/>
  <c r="R45" i="10"/>
  <c r="S45" i="10" s="1"/>
  <c r="U45" i="10"/>
  <c r="V45" i="10" s="1"/>
  <c r="R57" i="10"/>
  <c r="S57" i="10" s="1"/>
  <c r="U57" i="10"/>
  <c r="V57" i="10" s="1"/>
  <c r="R67" i="10"/>
  <c r="S67" i="10" s="1"/>
  <c r="U67" i="10"/>
  <c r="V67" i="10" s="1"/>
  <c r="R76" i="10"/>
  <c r="S76" i="10" s="1"/>
  <c r="U76" i="10"/>
  <c r="V76" i="10" s="1"/>
  <c r="L37" i="10"/>
  <c r="M37" i="10" s="1"/>
  <c r="O37" i="10"/>
  <c r="P37" i="10" s="1"/>
  <c r="L28" i="10"/>
  <c r="M28" i="10" s="1"/>
  <c r="O28" i="10"/>
  <c r="P28" i="10" s="1"/>
  <c r="L70" i="10"/>
  <c r="M70" i="10" s="1"/>
  <c r="O70" i="10"/>
  <c r="P70" i="10" s="1"/>
  <c r="L10" i="10"/>
  <c r="M10" i="10" s="1"/>
  <c r="O10" i="10"/>
  <c r="P10" i="10" s="1"/>
  <c r="L20" i="10"/>
  <c r="M20" i="10" s="1"/>
  <c r="O20" i="10"/>
  <c r="P20" i="10" s="1"/>
  <c r="L29" i="10"/>
  <c r="M29" i="10" s="1"/>
  <c r="O29" i="10"/>
  <c r="P29" i="10" s="1"/>
  <c r="L40" i="10"/>
  <c r="M40" i="10" s="1"/>
  <c r="O40" i="10"/>
  <c r="P40" i="10" s="1"/>
  <c r="L50" i="10"/>
  <c r="M50" i="10" s="1"/>
  <c r="O50" i="10"/>
  <c r="P50" i="10" s="1"/>
  <c r="L62" i="10"/>
  <c r="M62" i="10" s="1"/>
  <c r="O62" i="10"/>
  <c r="P62" i="10" s="1"/>
  <c r="L71" i="10"/>
  <c r="M71" i="10" s="1"/>
  <c r="O71" i="10"/>
  <c r="P71" i="10" s="1"/>
  <c r="L18" i="10"/>
  <c r="M18" i="10" s="1"/>
  <c r="O18" i="10"/>
  <c r="P18" i="10" s="1"/>
  <c r="L48" i="10"/>
  <c r="M48" i="10" s="1"/>
  <c r="O48" i="10"/>
  <c r="P48" i="10" s="1"/>
  <c r="L49" i="10"/>
  <c r="M49" i="10" s="1"/>
  <c r="O49" i="10"/>
  <c r="P49" i="10" s="1"/>
  <c r="L22" i="10"/>
  <c r="M22" i="10" s="1"/>
  <c r="O22" i="10"/>
  <c r="P22" i="10" s="1"/>
  <c r="L65" i="10"/>
  <c r="M65" i="10" s="1"/>
  <c r="O65" i="10"/>
  <c r="P65" i="10" s="1"/>
  <c r="L74" i="10"/>
  <c r="M74" i="10" s="1"/>
  <c r="O74" i="10"/>
  <c r="P74" i="10" s="1"/>
  <c r="L43" i="10"/>
  <c r="M43" i="10" s="1"/>
  <c r="O43" i="10"/>
  <c r="P43" i="10" s="1"/>
  <c r="L14" i="10"/>
  <c r="M14" i="10" s="1"/>
  <c r="O14" i="10"/>
  <c r="P14" i="10" s="1"/>
  <c r="L23" i="10"/>
  <c r="M23" i="10" s="1"/>
  <c r="O23" i="10"/>
  <c r="P23" i="10" s="1"/>
  <c r="L34" i="10"/>
  <c r="M34" i="10" s="1"/>
  <c r="O34" i="10"/>
  <c r="P34" i="10" s="1"/>
  <c r="L44" i="10"/>
  <c r="M44" i="10" s="1"/>
  <c r="O44" i="10"/>
  <c r="P44" i="10" s="1"/>
  <c r="L56" i="10"/>
  <c r="M56" i="10" s="1"/>
  <c r="O56" i="10"/>
  <c r="P56" i="10" s="1"/>
  <c r="L66" i="10"/>
  <c r="M66" i="10" s="1"/>
  <c r="O66" i="10"/>
  <c r="P66" i="10" s="1"/>
  <c r="L75" i="10"/>
  <c r="M75" i="10" s="1"/>
  <c r="O75" i="10"/>
  <c r="P75" i="10" s="1"/>
  <c r="L27" i="10"/>
  <c r="M27" i="10" s="1"/>
  <c r="O27" i="10"/>
  <c r="P27" i="10" s="1"/>
  <c r="L59" i="10"/>
  <c r="M59" i="10" s="1"/>
  <c r="O59" i="10"/>
  <c r="P59" i="10" s="1"/>
  <c r="L9" i="10"/>
  <c r="M9" i="10" s="1"/>
  <c r="O9" i="10"/>
  <c r="P9" i="10" s="1"/>
  <c r="L39" i="10"/>
  <c r="M39" i="10" s="1"/>
  <c r="O39" i="10"/>
  <c r="P39" i="10" s="1"/>
  <c r="L21" i="10"/>
  <c r="M21" i="10" s="1"/>
  <c r="O21" i="10"/>
  <c r="P21" i="10" s="1"/>
  <c r="L42" i="10"/>
  <c r="M42" i="10" s="1"/>
  <c r="O42" i="10"/>
  <c r="P42" i="10" s="1"/>
  <c r="L73" i="10"/>
  <c r="M73" i="10" s="1"/>
  <c r="O73" i="10"/>
  <c r="P73" i="10" s="1"/>
  <c r="L13" i="10"/>
  <c r="M13" i="10" s="1"/>
  <c r="O13" i="10"/>
  <c r="P13" i="10" s="1"/>
  <c r="L33" i="10"/>
  <c r="M33" i="10" s="1"/>
  <c r="O33" i="10"/>
  <c r="P33" i="10" s="1"/>
  <c r="L15" i="10"/>
  <c r="M15" i="10" s="1"/>
  <c r="O15" i="10"/>
  <c r="P15" i="10" s="1"/>
  <c r="L25" i="10"/>
  <c r="M25" i="10" s="1"/>
  <c r="O25" i="10"/>
  <c r="P25" i="10" s="1"/>
  <c r="L35" i="10"/>
  <c r="M35" i="10" s="1"/>
  <c r="O35" i="10"/>
  <c r="P35" i="10" s="1"/>
  <c r="L45" i="10"/>
  <c r="M45" i="10" s="1"/>
  <c r="O45" i="10"/>
  <c r="P45" i="10" s="1"/>
  <c r="L57" i="10"/>
  <c r="M57" i="10" s="1"/>
  <c r="O57" i="10"/>
  <c r="P57" i="10" s="1"/>
  <c r="L67" i="10"/>
  <c r="M67" i="10" s="1"/>
  <c r="O67" i="10"/>
  <c r="P67" i="10" s="1"/>
  <c r="L76" i="10"/>
  <c r="M76" i="10" s="1"/>
  <c r="O76" i="10"/>
  <c r="P76" i="10" s="1"/>
  <c r="L8" i="10"/>
  <c r="M8" i="10" s="1"/>
  <c r="O8" i="10"/>
  <c r="P8" i="10" s="1"/>
  <c r="L69" i="10"/>
  <c r="M69" i="10" s="1"/>
  <c r="O69" i="10"/>
  <c r="P69" i="10" s="1"/>
  <c r="L19" i="10"/>
  <c r="M19" i="10" s="1"/>
  <c r="O19" i="10"/>
  <c r="P19" i="10" s="1"/>
  <c r="L61" i="10"/>
  <c r="M61" i="10" s="1"/>
  <c r="O61" i="10"/>
  <c r="P61" i="10" s="1"/>
  <c r="L12" i="10"/>
  <c r="M12" i="10" s="1"/>
  <c r="O12" i="10"/>
  <c r="P12" i="10" s="1"/>
  <c r="L30" i="10"/>
  <c r="M30" i="10" s="1"/>
  <c r="O30" i="10"/>
  <c r="P30" i="10" s="1"/>
  <c r="L51" i="10"/>
  <c r="M51" i="10" s="1"/>
  <c r="O51" i="10"/>
  <c r="P51" i="10" s="1"/>
  <c r="L63" i="10"/>
  <c r="M63" i="10" s="1"/>
  <c r="O63" i="10"/>
  <c r="P63" i="10" s="1"/>
  <c r="L55" i="10"/>
  <c r="M55" i="10" s="1"/>
  <c r="O55" i="10"/>
  <c r="P55" i="10" s="1"/>
  <c r="L7" i="10"/>
  <c r="M7" i="10" s="1"/>
  <c r="O7" i="10"/>
  <c r="P7" i="10" s="1"/>
  <c r="L16" i="10"/>
  <c r="M16" i="10" s="1"/>
  <c r="O16" i="10"/>
  <c r="P16" i="10" s="1"/>
  <c r="L26" i="10"/>
  <c r="M26" i="10" s="1"/>
  <c r="O26" i="10"/>
  <c r="P26" i="10" s="1"/>
  <c r="L36" i="10"/>
  <c r="M36" i="10" s="1"/>
  <c r="O36" i="10"/>
  <c r="P36" i="10" s="1"/>
  <c r="L46" i="10"/>
  <c r="M46" i="10" s="1"/>
  <c r="O46" i="10"/>
  <c r="P46" i="10" s="1"/>
  <c r="L58" i="10"/>
  <c r="M58" i="10" s="1"/>
  <c r="O58" i="10"/>
  <c r="P58" i="10" s="1"/>
  <c r="L68" i="10"/>
  <c r="M68" i="10" s="1"/>
  <c r="O68" i="10"/>
  <c r="P68" i="10" s="1"/>
  <c r="I19" i="10"/>
  <c r="J19" i="10" s="1"/>
  <c r="AA19" i="10"/>
  <c r="AB19" i="10" s="1"/>
  <c r="E71" i="5" s="1"/>
  <c r="I39" i="10"/>
  <c r="J39" i="10" s="1"/>
  <c r="AA39" i="10"/>
  <c r="AB39" i="10" s="1"/>
  <c r="E90" i="5" s="1"/>
  <c r="I20" i="10"/>
  <c r="J20" i="10" s="1"/>
  <c r="AA20" i="10"/>
  <c r="AB20" i="10" s="1"/>
  <c r="E72" i="5" s="1"/>
  <c r="I12" i="10"/>
  <c r="J12" i="10" s="1"/>
  <c r="AA12" i="10"/>
  <c r="AB12" i="10" s="1"/>
  <c r="E65" i="5" s="1"/>
  <c r="I21" i="10"/>
  <c r="J21" i="10" s="1"/>
  <c r="AA21" i="10"/>
  <c r="AB21" i="10" s="1"/>
  <c r="E73" i="5" s="1"/>
  <c r="I30" i="10"/>
  <c r="J30" i="10" s="1"/>
  <c r="AA30" i="10"/>
  <c r="AB30" i="10" s="1"/>
  <c r="E83" i="5" s="1"/>
  <c r="I42" i="10"/>
  <c r="J42" i="10" s="1"/>
  <c r="AA42" i="10"/>
  <c r="AB42" i="10" s="1"/>
  <c r="E93" i="5" s="1"/>
  <c r="I51" i="10"/>
  <c r="J51" i="10" s="1"/>
  <c r="AA51" i="10"/>
  <c r="AB51" i="10" s="1"/>
  <c r="I63" i="10"/>
  <c r="J63" i="10" s="1"/>
  <c r="AA63" i="10"/>
  <c r="AB63" i="10" s="1"/>
  <c r="E109" i="5" s="1"/>
  <c r="I73" i="10"/>
  <c r="J73" i="10" s="1"/>
  <c r="AA73" i="10"/>
  <c r="AB73" i="10" s="1"/>
  <c r="E117" i="5" s="1"/>
  <c r="I13" i="10"/>
  <c r="J13" i="10" s="1"/>
  <c r="AA13" i="10"/>
  <c r="AB13" i="10" s="1"/>
  <c r="E66" i="5" s="1"/>
  <c r="I22" i="10"/>
  <c r="J22" i="10" s="1"/>
  <c r="AA22" i="10"/>
  <c r="AB22" i="10" s="1"/>
  <c r="E74" i="5" s="1"/>
  <c r="I33" i="10"/>
  <c r="J33" i="10" s="1"/>
  <c r="AA33" i="10"/>
  <c r="AB33" i="10" s="1"/>
  <c r="E85" i="5" s="1"/>
  <c r="I43" i="10"/>
  <c r="J43" i="10" s="1"/>
  <c r="AA43" i="10"/>
  <c r="AB43" i="10" s="1"/>
  <c r="E94" i="5" s="1"/>
  <c r="I55" i="10"/>
  <c r="J55" i="10" s="1"/>
  <c r="AA55" i="10"/>
  <c r="AB55" i="10" s="1"/>
  <c r="I65" i="10"/>
  <c r="J65" i="10" s="1"/>
  <c r="AA65" i="10"/>
  <c r="AB65" i="10" s="1"/>
  <c r="E110" i="5" s="1"/>
  <c r="I74" i="10"/>
  <c r="J74" i="10" s="1"/>
  <c r="AA74" i="10"/>
  <c r="AB74" i="10" s="1"/>
  <c r="E118" i="5" s="1"/>
  <c r="I29" i="10"/>
  <c r="J29" i="10" s="1"/>
  <c r="AA29" i="10"/>
  <c r="AB29" i="10" s="1"/>
  <c r="E82" i="5" s="1"/>
  <c r="I50" i="10"/>
  <c r="J50" i="10" s="1"/>
  <c r="AA50" i="10"/>
  <c r="AB50" i="10" s="1"/>
  <c r="E99" i="5" s="1"/>
  <c r="I71" i="10"/>
  <c r="J71" i="10" s="1"/>
  <c r="AA71" i="10"/>
  <c r="AB71" i="10" s="1"/>
  <c r="E116" i="5" s="1"/>
  <c r="I23" i="10"/>
  <c r="J23" i="10" s="1"/>
  <c r="AA23" i="10"/>
  <c r="AB23" i="10" s="1"/>
  <c r="E75" i="5" s="1"/>
  <c r="I75" i="10"/>
  <c r="J75" i="10" s="1"/>
  <c r="AA75" i="10"/>
  <c r="AB75" i="10" s="1"/>
  <c r="E119" i="5" s="1"/>
  <c r="I76" i="10"/>
  <c r="J76" i="10" s="1"/>
  <c r="AA76" i="10"/>
  <c r="AB76" i="10" s="1"/>
  <c r="E120" i="5" s="1"/>
  <c r="I16" i="10"/>
  <c r="J16" i="10" s="1"/>
  <c r="AA16" i="10"/>
  <c r="AB16" i="10" s="1"/>
  <c r="E69" i="5" s="1"/>
  <c r="I26" i="10"/>
  <c r="J26" i="10" s="1"/>
  <c r="AA26" i="10"/>
  <c r="AB26" i="10" s="1"/>
  <c r="E79" i="5" s="1"/>
  <c r="I36" i="10"/>
  <c r="J36" i="10" s="1"/>
  <c r="AA36" i="10"/>
  <c r="AB36" i="10" s="1"/>
  <c r="E88" i="5" s="1"/>
  <c r="I46" i="10"/>
  <c r="J46" i="10" s="1"/>
  <c r="AA46" i="10"/>
  <c r="AB46" i="10" s="1"/>
  <c r="E97" i="5" s="1"/>
  <c r="I58" i="10"/>
  <c r="J58" i="10" s="1"/>
  <c r="AA58" i="10"/>
  <c r="AB58" i="10" s="1"/>
  <c r="I68" i="10"/>
  <c r="J68" i="10" s="1"/>
  <c r="AA68" i="10"/>
  <c r="AB68" i="10" s="1"/>
  <c r="E113" i="5" s="1"/>
  <c r="I9" i="10"/>
  <c r="J9" i="10" s="1"/>
  <c r="AA9" i="10"/>
  <c r="AB9" i="10" s="1"/>
  <c r="E63" i="5" s="1"/>
  <c r="I28" i="10"/>
  <c r="J28" i="10" s="1"/>
  <c r="AA28" i="10"/>
  <c r="AB28" i="10" s="1"/>
  <c r="E81" i="5" s="1"/>
  <c r="I49" i="10"/>
  <c r="J49" i="10" s="1"/>
  <c r="AA49" i="10"/>
  <c r="AB49" i="10" s="1"/>
  <c r="E100" i="5" s="1"/>
  <c r="I61" i="10"/>
  <c r="J61" i="10" s="1"/>
  <c r="AA61" i="10"/>
  <c r="AB61" i="10" s="1"/>
  <c r="I70" i="10"/>
  <c r="J70" i="10" s="1"/>
  <c r="AA70" i="10"/>
  <c r="AB70" i="10" s="1"/>
  <c r="E115" i="5" s="1"/>
  <c r="I10" i="10"/>
  <c r="J10" i="10" s="1"/>
  <c r="AA10" i="10"/>
  <c r="AB10" i="10" s="1"/>
  <c r="E64" i="5" s="1"/>
  <c r="I40" i="10"/>
  <c r="J40" i="10" s="1"/>
  <c r="AA40" i="10"/>
  <c r="AB40" i="10" s="1"/>
  <c r="E91" i="5" s="1"/>
  <c r="I62" i="10"/>
  <c r="J62" i="10" s="1"/>
  <c r="AA62" i="10"/>
  <c r="AB62" i="10" s="1"/>
  <c r="E108" i="5" s="1"/>
  <c r="I14" i="10"/>
  <c r="J14" i="10" s="1"/>
  <c r="AA14" i="10"/>
  <c r="AB14" i="10" s="1"/>
  <c r="E67" i="5" s="1"/>
  <c r="I34" i="10"/>
  <c r="J34" i="10" s="1"/>
  <c r="AA34" i="10"/>
  <c r="AB34" i="10" s="1"/>
  <c r="E86" i="5" s="1"/>
  <c r="I44" i="10"/>
  <c r="J44" i="10" s="1"/>
  <c r="AA44" i="10"/>
  <c r="AB44" i="10" s="1"/>
  <c r="I56" i="10"/>
  <c r="J56" i="10" s="1"/>
  <c r="AA56" i="10"/>
  <c r="AB56" i="10" s="1"/>
  <c r="I66" i="10"/>
  <c r="J66" i="10" s="1"/>
  <c r="AA66" i="10"/>
  <c r="AB66" i="10" s="1"/>
  <c r="E111" i="5" s="1"/>
  <c r="I15" i="10"/>
  <c r="J15" i="10" s="1"/>
  <c r="AA15" i="10"/>
  <c r="AB15" i="10" s="1"/>
  <c r="E68" i="5" s="1"/>
  <c r="I25" i="10"/>
  <c r="J25" i="10" s="1"/>
  <c r="AA25" i="10"/>
  <c r="AB25" i="10" s="1"/>
  <c r="E77" i="5" s="1"/>
  <c r="I35" i="10"/>
  <c r="J35" i="10" s="1"/>
  <c r="AA35" i="10"/>
  <c r="AB35" i="10" s="1"/>
  <c r="E87" i="5" s="1"/>
  <c r="I45" i="10"/>
  <c r="J45" i="10" s="1"/>
  <c r="AA45" i="10"/>
  <c r="AB45" i="10" s="1"/>
  <c r="I57" i="10"/>
  <c r="J57" i="10" s="1"/>
  <c r="AA57" i="10"/>
  <c r="AB57" i="10" s="1"/>
  <c r="I67" i="10"/>
  <c r="J67" i="10" s="1"/>
  <c r="AA67" i="10"/>
  <c r="AB67" i="10" s="1"/>
  <c r="E112" i="5" s="1"/>
  <c r="I8" i="10"/>
  <c r="J8" i="10" s="1"/>
  <c r="AA8" i="10"/>
  <c r="AB8" i="10" s="1"/>
  <c r="E62" i="5" s="1"/>
  <c r="I18" i="10"/>
  <c r="J18" i="10" s="1"/>
  <c r="AA18" i="10"/>
  <c r="AB18" i="10" s="1"/>
  <c r="E70" i="5" s="1"/>
  <c r="I27" i="10"/>
  <c r="J27" i="10" s="1"/>
  <c r="AA27" i="10"/>
  <c r="AB27" i="10" s="1"/>
  <c r="E80" i="5" s="1"/>
  <c r="I37" i="10"/>
  <c r="J37" i="10" s="1"/>
  <c r="AA37" i="10"/>
  <c r="AB37" i="10" s="1"/>
  <c r="E89" i="5" s="1"/>
  <c r="I48" i="10"/>
  <c r="J48" i="10" s="1"/>
  <c r="AA48" i="10"/>
  <c r="AB48" i="10" s="1"/>
  <c r="I59" i="10"/>
  <c r="J59" i="10" s="1"/>
  <c r="AA59" i="10"/>
  <c r="AB59" i="10" s="1"/>
  <c r="I69" i="10"/>
  <c r="J69" i="10" s="1"/>
  <c r="AA69" i="10"/>
  <c r="AB69" i="10" s="1"/>
  <c r="E114" i="5" s="1"/>
  <c r="I7" i="10"/>
  <c r="J7" i="10" s="1"/>
  <c r="AA7" i="10"/>
  <c r="G42" i="11"/>
  <c r="G91" i="11"/>
  <c r="G65" i="11"/>
  <c r="U78" i="10" l="1"/>
  <c r="R78" i="10"/>
  <c r="E106" i="5"/>
  <c r="E102" i="5"/>
  <c r="E96" i="5"/>
  <c r="E95" i="5"/>
  <c r="E107" i="5"/>
  <c r="E103" i="5"/>
  <c r="O78" i="10"/>
  <c r="L78" i="10"/>
  <c r="L79" i="10" s="1"/>
  <c r="I78" i="10"/>
  <c r="G93" i="11"/>
  <c r="G95" i="11" s="1"/>
  <c r="B120" i="5"/>
  <c r="B119" i="5"/>
  <c r="B118" i="5"/>
  <c r="B117" i="5"/>
  <c r="B116" i="5"/>
  <c r="B115" i="5"/>
  <c r="B114" i="5"/>
  <c r="B113" i="5"/>
  <c r="B112" i="5"/>
  <c r="B111" i="5"/>
  <c r="B110" i="5"/>
  <c r="B109" i="5"/>
  <c r="B108" i="5"/>
  <c r="B107" i="5"/>
  <c r="B106" i="5"/>
  <c r="B105" i="5"/>
  <c r="B104" i="5"/>
  <c r="R79" i="10" l="1"/>
  <c r="R81" i="10"/>
  <c r="R82" i="10" s="1"/>
  <c r="R80" i="10"/>
  <c r="U81" i="10"/>
  <c r="U82" i="10" s="1"/>
  <c r="U80" i="10"/>
  <c r="U79" i="10"/>
  <c r="T83" i="10"/>
  <c r="L80" i="10"/>
  <c r="L81" i="10"/>
  <c r="L82" i="10" s="1"/>
  <c r="O79" i="10"/>
  <c r="O81" i="10"/>
  <c r="O82" i="10" s="1"/>
  <c r="O80" i="10"/>
  <c r="G97" i="11"/>
  <c r="G99" i="11" s="1"/>
  <c r="G96" i="11"/>
  <c r="B103" i="5"/>
  <c r="B102" i="5"/>
  <c r="B100" i="5"/>
  <c r="B99" i="5"/>
  <c r="B98" i="5"/>
  <c r="B97" i="5"/>
  <c r="B96" i="5"/>
  <c r="B95" i="5"/>
  <c r="B94" i="5"/>
  <c r="B93" i="5"/>
  <c r="B92" i="5"/>
  <c r="B91" i="5"/>
  <c r="B90" i="5"/>
  <c r="B89" i="5"/>
  <c r="B88" i="5"/>
  <c r="B87" i="5"/>
  <c r="B86" i="5"/>
  <c r="B85" i="5"/>
  <c r="B83" i="5"/>
  <c r="B82" i="5"/>
  <c r="B81" i="5"/>
  <c r="B80" i="5"/>
  <c r="B79" i="5"/>
  <c r="B77" i="5"/>
  <c r="B75" i="5"/>
  <c r="B74" i="5"/>
  <c r="B73" i="5"/>
  <c r="B72" i="5"/>
  <c r="B71" i="5"/>
  <c r="B70" i="5"/>
  <c r="B69" i="5"/>
  <c r="B68" i="5"/>
  <c r="B67" i="5"/>
  <c r="B66" i="5"/>
  <c r="B65" i="5"/>
  <c r="B64" i="5"/>
  <c r="B63" i="5"/>
  <c r="I81" i="10"/>
  <c r="I82" i="10" s="1"/>
  <c r="F76" i="10"/>
  <c r="D120" i="5" s="1"/>
  <c r="F75" i="10"/>
  <c r="D119" i="5" s="1"/>
  <c r="F74" i="10"/>
  <c r="D118" i="5" s="1"/>
  <c r="F73" i="10"/>
  <c r="D117" i="5" s="1"/>
  <c r="F71" i="10"/>
  <c r="D116" i="5" s="1"/>
  <c r="F70" i="10"/>
  <c r="D115" i="5" s="1"/>
  <c r="F69" i="10"/>
  <c r="D114" i="5" s="1"/>
  <c r="F68" i="10"/>
  <c r="D113" i="5" s="1"/>
  <c r="F67" i="10"/>
  <c r="D112" i="5" s="1"/>
  <c r="F66" i="10"/>
  <c r="D111" i="5" s="1"/>
  <c r="F65" i="10"/>
  <c r="D110" i="5" s="1"/>
  <c r="F63" i="10"/>
  <c r="D109" i="5" s="1"/>
  <c r="F62" i="10"/>
  <c r="D108" i="5" s="1"/>
  <c r="F61" i="10"/>
  <c r="D107" i="5" s="1"/>
  <c r="F59" i="10"/>
  <c r="D106" i="5" s="1"/>
  <c r="F58" i="10"/>
  <c r="D105" i="5" s="1"/>
  <c r="D57" i="10"/>
  <c r="F57" i="10" s="1"/>
  <c r="D104" i="5" s="1"/>
  <c r="F56" i="10"/>
  <c r="D103" i="5" s="1"/>
  <c r="F55" i="10"/>
  <c r="D102" i="5" s="1"/>
  <c r="F51" i="10"/>
  <c r="D100" i="5" s="1"/>
  <c r="F50" i="10"/>
  <c r="D99" i="5" s="1"/>
  <c r="F49" i="10"/>
  <c r="D98" i="5" s="1"/>
  <c r="F48" i="10"/>
  <c r="D97" i="5" s="1"/>
  <c r="F46" i="10"/>
  <c r="D96" i="5" s="1"/>
  <c r="F45" i="10"/>
  <c r="D95" i="5" s="1"/>
  <c r="F44" i="10"/>
  <c r="D94" i="5" s="1"/>
  <c r="F43" i="10"/>
  <c r="D93" i="5" s="1"/>
  <c r="F42" i="10"/>
  <c r="D92" i="5" s="1"/>
  <c r="F40" i="10"/>
  <c r="D91" i="5" s="1"/>
  <c r="F39" i="10"/>
  <c r="D90" i="5" s="1"/>
  <c r="F37" i="10"/>
  <c r="D89" i="5" s="1"/>
  <c r="F36" i="10"/>
  <c r="D88" i="5" s="1"/>
  <c r="F35" i="10"/>
  <c r="D87" i="5" s="1"/>
  <c r="F34" i="10"/>
  <c r="D86" i="5" s="1"/>
  <c r="F33" i="10"/>
  <c r="D85" i="5" s="1"/>
  <c r="F30" i="10"/>
  <c r="D83" i="5" s="1"/>
  <c r="F29" i="10"/>
  <c r="D82" i="5" s="1"/>
  <c r="F28" i="10"/>
  <c r="D81" i="5" s="1"/>
  <c r="F27" i="10"/>
  <c r="D80" i="5" s="1"/>
  <c r="F26" i="10"/>
  <c r="D79" i="5" s="1"/>
  <c r="F25" i="10"/>
  <c r="D77" i="5" s="1"/>
  <c r="F23" i="10"/>
  <c r="D75" i="5" s="1"/>
  <c r="F22" i="10"/>
  <c r="D74" i="5" s="1"/>
  <c r="F21" i="10"/>
  <c r="D73" i="5" s="1"/>
  <c r="F20" i="10"/>
  <c r="D72" i="5" s="1"/>
  <c r="F19" i="10"/>
  <c r="D71" i="5" s="1"/>
  <c r="F18" i="10"/>
  <c r="D70" i="5" s="1"/>
  <c r="F16" i="10"/>
  <c r="D69" i="5" s="1"/>
  <c r="F15" i="10"/>
  <c r="D68" i="5" s="1"/>
  <c r="F14" i="10"/>
  <c r="D67" i="5" s="1"/>
  <c r="F13" i="10"/>
  <c r="D66" i="5" s="1"/>
  <c r="F12" i="10"/>
  <c r="D65" i="5" s="1"/>
  <c r="F10" i="10"/>
  <c r="D64" i="5" s="1"/>
  <c r="F9" i="10"/>
  <c r="D63" i="5" s="1"/>
  <c r="F8" i="10"/>
  <c r="D62" i="5" s="1"/>
  <c r="F7" i="10"/>
  <c r="N83" i="10" l="1"/>
  <c r="Q83" i="10"/>
  <c r="K83" i="10"/>
  <c r="G98" i="11"/>
  <c r="G100" i="11" s="1"/>
  <c r="C16" i="5" s="1"/>
  <c r="F78" i="10"/>
  <c r="F79" i="10" s="1"/>
  <c r="D61" i="5"/>
  <c r="I79" i="10"/>
  <c r="I80" i="10"/>
  <c r="H83" i="10" l="1"/>
  <c r="F80" i="10"/>
  <c r="F81" i="10"/>
  <c r="F82" i="10" s="1"/>
  <c r="C264" i="5"/>
  <c r="C265" i="5"/>
  <c r="E83" i="10" l="1"/>
  <c r="H29" i="5"/>
  <c r="J43" i="5" l="1"/>
  <c r="E78" i="5"/>
  <c r="D78" i="5"/>
  <c r="D123" i="5" s="1"/>
  <c r="C19" i="5"/>
  <c r="J31" i="5" s="1"/>
  <c r="F29" i="5"/>
  <c r="K29" i="5" s="1"/>
  <c r="C49" i="5" s="1"/>
  <c r="C50" i="5" s="1"/>
  <c r="C23" i="5"/>
  <c r="J44" i="5"/>
  <c r="J41" i="5"/>
  <c r="E125" i="5"/>
  <c r="D125" i="5"/>
  <c r="B78" i="5"/>
  <c r="H49" i="5"/>
  <c r="J49" i="5" s="1"/>
  <c r="H48" i="5"/>
  <c r="J48" i="5" s="1"/>
  <c r="H47" i="5"/>
  <c r="J47" i="5" s="1"/>
  <c r="J46" i="5"/>
  <c r="J45" i="5"/>
  <c r="J42" i="5"/>
  <c r="J40" i="5"/>
  <c r="J39" i="5"/>
  <c r="J36" i="5"/>
  <c r="D126" i="5" l="1"/>
  <c r="D124" i="5"/>
  <c r="D127" i="5"/>
  <c r="D128" i="5" s="1"/>
  <c r="K49" i="5"/>
  <c r="K48" i="5"/>
  <c r="K43" i="5"/>
  <c r="H50" i="5"/>
  <c r="K38" i="5"/>
  <c r="J50" i="5"/>
  <c r="K41" i="5"/>
  <c r="K45" i="5"/>
  <c r="K39" i="5"/>
  <c r="K46" i="5"/>
  <c r="K42" i="5"/>
  <c r="G50" i="5"/>
  <c r="K44" i="5"/>
  <c r="K40" i="5"/>
  <c r="K47" i="5"/>
  <c r="F54" i="5" l="1"/>
  <c r="K54" i="5" s="1"/>
  <c r="K50" i="5"/>
  <c r="J33" i="5"/>
  <c r="F55" i="5" l="1"/>
  <c r="K55" i="5" s="1"/>
  <c r="D129" i="5"/>
  <c r="D130" i="5" s="1"/>
  <c r="Y7" i="10"/>
  <c r="X78" i="10" s="1"/>
  <c r="X80" i="10" s="1"/>
  <c r="Z7" i="10"/>
  <c r="AB7" i="10" s="1"/>
  <c r="AA78" i="10" l="1"/>
  <c r="E61" i="5"/>
  <c r="E123" i="5" s="1"/>
  <c r="X79" i="10"/>
  <c r="X81" i="10"/>
  <c r="X82" i="10" s="1"/>
  <c r="E124" i="5" l="1"/>
  <c r="E126" i="5"/>
  <c r="E127" i="5"/>
  <c r="E128" i="5" s="1"/>
  <c r="W83" i="10"/>
  <c r="AA81" i="10"/>
  <c r="AA82" i="10" s="1"/>
  <c r="AA80" i="10"/>
  <c r="AA79" i="10"/>
  <c r="Z83" i="10" l="1"/>
  <c r="E129" i="5"/>
  <c r="E130" i="5" s="1"/>
  <c r="D49" i="5" s="1"/>
  <c r="D50" i="5" s="1"/>
  <c r="E50" i="5" s="1"/>
  <c r="E49"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William Sanchez</author>
    <author>Equipo</author>
  </authors>
  <commentList>
    <comment ref="G37" authorId="0" shapeId="0" xr:uid="{00000000-0006-0000-0200-000001000000}">
      <text>
        <r>
          <rPr>
            <sz val="11"/>
            <color rgb="FF000000"/>
            <rFont val="Calibri"/>
            <family val="2"/>
          </rPr>
          <t>VALOR TOTAL DEL ACTA, INCLUYENDO IVA</t>
        </r>
      </text>
    </comment>
    <comment ref="E61" authorId="1" shapeId="0" xr:uid="{00000000-0006-0000-0200-000002000000}">
      <text>
        <r>
          <rPr>
            <b/>
            <sz val="9"/>
            <color indexed="81"/>
            <rFont val="Tahoma"/>
            <charset val="1"/>
          </rPr>
          <t>William Sanchez:</t>
        </r>
        <r>
          <rPr>
            <sz val="9"/>
            <color indexed="81"/>
            <rFont val="Tahoma"/>
            <charset val="1"/>
          </rPr>
          <t xml:space="preserve">
Suministro de 200 lamparas</t>
        </r>
      </text>
    </comment>
    <comment ref="E62" authorId="2" shapeId="0" xr:uid="{00000000-0006-0000-0200-000003000000}">
      <text>
        <r>
          <rPr>
            <b/>
            <sz val="9"/>
            <color indexed="81"/>
            <rFont val="Tahoma"/>
            <family val="2"/>
          </rPr>
          <t>Equipo:</t>
        </r>
        <r>
          <rPr>
            <sz val="9"/>
            <color indexed="81"/>
            <rFont val="Tahoma"/>
            <family val="2"/>
          </rPr>
          <t xml:space="preserve">
Equivale al 70% aprox de la compra de equipos</t>
        </r>
      </text>
    </comment>
    <comment ref="E65" authorId="1" shapeId="0" xr:uid="{00000000-0006-0000-0200-000004000000}">
      <text>
        <r>
          <rPr>
            <b/>
            <sz val="9"/>
            <color indexed="81"/>
            <rFont val="Tahoma"/>
            <charset val="1"/>
          </rPr>
          <t>William Sanchez:</t>
        </r>
        <r>
          <rPr>
            <sz val="9"/>
            <color indexed="81"/>
            <rFont val="Tahoma"/>
            <charset val="1"/>
          </rPr>
          <t xml:space="preserve">
audiencia 316 12 lamparas, audiencia 315 12 lamparaas, audiencia 314 12 lamaparas, audiencia 313 9 lamparas, audiencia 312 10 lamparas , audiencia 311 12  lamparas, audiencia 317  11 lamparas</t>
        </r>
      </text>
    </comment>
    <comment ref="E72" authorId="2" shapeId="0" xr:uid="{00000000-0006-0000-0200-000005000000}">
      <text>
        <r>
          <rPr>
            <b/>
            <sz val="9"/>
            <color indexed="81"/>
            <rFont val="Tahoma"/>
            <family val="2"/>
          </rPr>
          <t>Equipo:</t>
        </r>
        <r>
          <rPr>
            <sz val="9"/>
            <color indexed="81"/>
            <rFont val="Tahoma"/>
            <family val="2"/>
          </rPr>
          <t xml:space="preserve">
70% avance</t>
        </r>
      </text>
    </comment>
  </commentList>
</comments>
</file>

<file path=xl/sharedStrings.xml><?xml version="1.0" encoding="utf-8"?>
<sst xmlns="http://schemas.openxmlformats.org/spreadsheetml/2006/main" count="476" uniqueCount="224">
  <si>
    <t xml:space="preserve">COTIZACIÓN </t>
  </si>
  <si>
    <t>CLIENTE</t>
  </si>
  <si>
    <t>RAMA JUDICIAL DE MANIZALES</t>
  </si>
  <si>
    <t>RONEY BARTOLO</t>
  </si>
  <si>
    <t>FECHA</t>
  </si>
  <si>
    <t>VALIDEZ</t>
  </si>
  <si>
    <t>MANIZALES</t>
  </si>
  <si>
    <t>ENTREGA</t>
  </si>
  <si>
    <t>UBICACIÓN</t>
  </si>
  <si>
    <t>COT.</t>
  </si>
  <si>
    <t>CONDICIONES DE PAGO</t>
  </si>
  <si>
    <t>90 DIAS</t>
  </si>
  <si>
    <t>PALACIO DE JUSTICIA - EDIFICIO FANNY GONZALEZ</t>
  </si>
  <si>
    <t>0172C.02.24</t>
  </si>
  <si>
    <t>CONTRATO</t>
  </si>
  <si>
    <t>MODERNIZACIÓN DE LUMINARIAS  FASE #4</t>
  </si>
  <si>
    <t>ITEM</t>
  </si>
  <si>
    <t>MARCA</t>
  </si>
  <si>
    <t>DESCRIPCIÓN</t>
  </si>
  <si>
    <t>UNIDAD</t>
  </si>
  <si>
    <t>CANT.</t>
  </si>
  <si>
    <t>VLR.UNIT.</t>
  </si>
  <si>
    <t>VLR. TOTAL</t>
  </si>
  <si>
    <t>CAPÍTULO 1 - PISO 2</t>
  </si>
  <si>
    <t>SUMINISTRO DE LUMINARIAS NUEVAS - LUMINARIAS EN OFICINAS Y PASILLOS</t>
  </si>
  <si>
    <t>Suministro e instalación de Luminaria-PANEL LED de 610X600X80 SOBREPONER 50W</t>
  </si>
  <si>
    <t>UN</t>
  </si>
  <si>
    <t>Suministro e instalación de Luminaria EMERGENCIA LED</t>
  </si>
  <si>
    <t>Suministro e instalación  de Luminaria - HERMETICA  IT 1OO AQ DUNA LENS E10 660X95X100 SOBRE PONER18W</t>
  </si>
  <si>
    <t>Suministro  e  instalación  de Luminaria BALA LED REDONDA 22W pasillos</t>
  </si>
  <si>
    <t>ADECUACIONES EN OFICINA Y EDIFICIO - ELECTRICAS DE REDES EXISTENTES</t>
  </si>
  <si>
    <t>Retiro de Luminaria Existente de 60x60</t>
  </si>
  <si>
    <t xml:space="preserve">Retiro de Luminaria Existente bala led de 22 w  en pasillos </t>
  </si>
  <si>
    <t>Suspensión aislada de punto eléctrico existente</t>
  </si>
  <si>
    <t>Reubicación de punto eléctrico</t>
  </si>
  <si>
    <t>Adecuación de Alimentación de luminarias existentes para unificar circuito de emergencia y circuito Normal</t>
  </si>
  <si>
    <t>ELECTRICAS DE CONTROL DE ALUMBRADO</t>
  </si>
  <si>
    <t>Suministro e instalación de sensor provolt</t>
  </si>
  <si>
    <t xml:space="preserve">Suministro e instalación de Botonera 4 botones para atenuar luminarias a través de sensor </t>
  </si>
  <si>
    <t>Suministro e instalación de interconexión de control de lampara a lampara con cable de control de 2x20 AWG que va en las luminarias que utilizan  atenuador de  0-10v</t>
  </si>
  <si>
    <t>ML</t>
  </si>
  <si>
    <t>Suministro e instalación de encauchetado 3x16AWG desde caja de paso hasta luminaria con accesorios de fijación y empalme eléctrico</t>
  </si>
  <si>
    <t>Suministro e instalación de salida para iluminación en zona de iluminación de lámparas de emergencia para cumplir requerimiento RETILAP. No incluye tubería, ni circuitos de alimentación.</t>
  </si>
  <si>
    <t>Suministro e instalación interruptor sencillo.</t>
  </si>
  <si>
    <t>OBRAS CIVILES</t>
  </si>
  <si>
    <t>Reparación de hueco de luminaria retirada</t>
  </si>
  <si>
    <t>Reparación de techo en oficinas por adecuaciones realizadas para salidas eléctricas en control</t>
  </si>
  <si>
    <t>M2</t>
  </si>
  <si>
    <t>Reparación de muro afectado por interruptor de encendido por luminarias nuevas</t>
  </si>
  <si>
    <t>Pintura de Techo zonas afectadas por hueco de luminaria</t>
  </si>
  <si>
    <t>Pintura de muro zonas afectadas por interruptor de encendido por luminarias nuevas en archivos</t>
  </si>
  <si>
    <t>Pintura de Techo zonas afectadas por adecuaciones realizadas para salidas eléctricas en control</t>
  </si>
  <si>
    <t>SUBTOTAL</t>
  </si>
  <si>
    <t xml:space="preserve">CAPÍTULO 2 - PISO 4 </t>
  </si>
  <si>
    <t xml:space="preserve">Suministro  e  instalación  de Luminaria BALA LED REDONDA 22W </t>
  </si>
  <si>
    <t>Suministro e instalación de Luminaria - CCCE 36 de descolgar</t>
  </si>
  <si>
    <t>Retiro de Luminaria Colgante</t>
  </si>
  <si>
    <t>Pintura de muro zonas afectadas por interruptor de encendido por luminarias nuevas</t>
  </si>
  <si>
    <t>CAPÍTULO 3 - SOTANO 1</t>
  </si>
  <si>
    <t>Retiro de Luminaria Existente de 2 x 32 w</t>
  </si>
  <si>
    <t xml:space="preserve">Suministro e instalación DPS tipo 2 tablero de emergencia eléctrico </t>
  </si>
  <si>
    <t>Suministro e instalación de salida para iluminación en zona de iluminación de lámparas de emergencia para cumplir requerimiento RETILAP.  incluye tubería, y circuitos de alimentación.</t>
  </si>
  <si>
    <t>Suministro e instalación de salida para interruptor sencillo en zona de iluminación de archivo incluye afectación civil rompiendo pared para la ubicación del mismo.</t>
  </si>
  <si>
    <t xml:space="preserve">OBRAS CIVILES </t>
  </si>
  <si>
    <t>Total costos directos</t>
  </si>
  <si>
    <t>AIU</t>
  </si>
  <si>
    <t>ADMINISTRACION</t>
  </si>
  <si>
    <t>IMPREVISTOS</t>
  </si>
  <si>
    <t>UTILIDAD</t>
  </si>
  <si>
    <t>Subtotal</t>
  </si>
  <si>
    <t>IVA SOBRE UTILIDAD</t>
  </si>
  <si>
    <t>TOTAL PROPUESTA</t>
  </si>
  <si>
    <t>OBSERVACIONES</t>
  </si>
  <si>
    <t>° Los items cotizados se pagarán sobre elementos ejecutados.</t>
  </si>
  <si>
    <t>° Cualquier actividad adicional no contemplada en esta cotización , se cotizará y se enviará para aprobación.</t>
  </si>
  <si>
    <t>REVISÓ:</t>
  </si>
  <si>
    <t>ELABORÓ:</t>
  </si>
  <si>
    <t>Ing. JORGE ALBERTO CARDONA C.</t>
  </si>
  <si>
    <t>Ing. TOMÁS CARDONA O.</t>
  </si>
  <si>
    <t>Gerente General</t>
  </si>
  <si>
    <t>Director Comercial</t>
  </si>
  <si>
    <t xml:space="preserve">FORMATO PROPUESTA ECONÓMICA CON MAYORES CANTIDADES PISO 4- PISO 2-SÓTANO 1 </t>
  </si>
  <si>
    <r>
      <rPr>
        <b/>
        <sz val="11"/>
        <rFont val="Arial"/>
        <family val="2"/>
      </rPr>
      <t xml:space="preserve">Dirección Seccional de Administración Judicial de Manizales
</t>
    </r>
    <r>
      <rPr>
        <sz val="11"/>
        <rFont val="Arial MT"/>
        <family val="2"/>
      </rPr>
      <t>Calle 27 No. 17-19 piso 9º Manizales</t>
    </r>
  </si>
  <si>
    <t>AVANCE DE OBRA 1 mayo-7</t>
  </si>
  <si>
    <t>AVANCE DE OBRA 2 mayo-8mayo14</t>
  </si>
  <si>
    <t>AVANCE DE OBRA 3  mayo-15 mayo 23</t>
  </si>
  <si>
    <t>AVANCE DE OBRA 4  mayo-24 mayo 29</t>
  </si>
  <si>
    <t xml:space="preserve">AVANCE DE OBRA 5  29 DE MAYO AL 05 DE JUNIO </t>
  </si>
  <si>
    <t xml:space="preserve">AVANCE DE OBRA 6  07  DE  JUNIO O AL 13 DE JUNIO </t>
  </si>
  <si>
    <t>AVANCE TOTAL DE OBRA 4  mayo  29</t>
  </si>
  <si>
    <r>
      <rPr>
        <i/>
        <sz val="11"/>
        <color rgb="FFFFFFFF"/>
        <rFont val="Arial"/>
        <family val="2"/>
      </rPr>
      <t>ITEM</t>
    </r>
  </si>
  <si>
    <r>
      <rPr>
        <i/>
        <sz val="11"/>
        <color rgb="FFFFFFFF"/>
        <rFont val="Arial"/>
        <family val="2"/>
      </rPr>
      <t>DESCRIPCIÓN</t>
    </r>
  </si>
  <si>
    <r>
      <rPr>
        <i/>
        <sz val="11"/>
        <color rgb="FFFFFFFF"/>
        <rFont val="Arial"/>
        <family val="2"/>
      </rPr>
      <t>UNIDAD</t>
    </r>
  </si>
  <si>
    <r>
      <rPr>
        <i/>
        <sz val="11"/>
        <color rgb="FFFFFFFF"/>
        <rFont val="Arial"/>
        <family val="2"/>
      </rPr>
      <t>CANT.</t>
    </r>
  </si>
  <si>
    <r>
      <rPr>
        <i/>
        <sz val="11"/>
        <color rgb="FFFFFFFF"/>
        <rFont val="Arial"/>
        <family val="2"/>
      </rPr>
      <t>VLR.UNIT.</t>
    </r>
  </si>
  <si>
    <r>
      <rPr>
        <i/>
        <sz val="11"/>
        <color rgb="FFFFFFFF"/>
        <rFont val="Arial"/>
        <family val="2"/>
      </rPr>
      <t>VLR. TOTAL</t>
    </r>
  </si>
  <si>
    <r>
      <rPr>
        <i/>
        <sz val="11"/>
        <color rgb="FFFFFFFF"/>
        <rFont val="Arial"/>
        <family val="2"/>
      </rPr>
      <t>ADECUACIONES EN OFICINA Y EDIFICIO - ELECTRICAS DE REDES EXISTENTES</t>
    </r>
  </si>
  <si>
    <r>
      <rPr>
        <i/>
        <sz val="11"/>
        <color rgb="FFFFFFFF"/>
        <rFont val="Arial"/>
        <family val="2"/>
      </rPr>
      <t>ELECTRICAS DE CONTROL DE ALUMBRADO</t>
    </r>
  </si>
  <si>
    <r>
      <rPr>
        <i/>
        <sz val="11"/>
        <color rgb="FFFFFFFF"/>
        <rFont val="Arial"/>
        <family val="2"/>
      </rPr>
      <t>OBRAS CIVILES</t>
    </r>
  </si>
  <si>
    <t>CAPÍTULO 2- PISO 4</t>
  </si>
  <si>
    <r>
      <rPr>
        <i/>
        <sz val="11"/>
        <color rgb="FFFFFFFF"/>
        <rFont val="Arial"/>
        <family val="2"/>
      </rPr>
      <t>SUMINISTRO DE LUMINARIAS NUEVAS - LUMINARIAS EN OFICINAS Y PASILLOS</t>
    </r>
  </si>
  <si>
    <t>Suministro  e  instalación  de Luminaria Bombillas LED – CCCE</t>
  </si>
  <si>
    <t>CAPÍTULO 3- SOTANO 1</t>
  </si>
  <si>
    <t>COSTO DIRECTO</t>
  </si>
  <si>
    <t>IVA (SOBRE UTILIDAD)</t>
  </si>
  <si>
    <t>COSTO TOTAL</t>
  </si>
  <si>
    <t>INFORME EJECUTIVO 6 -7 DE JUNIO  AL 13   DE  JUNIO</t>
  </si>
  <si>
    <t xml:space="preserve">RESUMEN  GERENCIAL </t>
  </si>
  <si>
    <t>INFORME DE INTERVENTORIA No.:</t>
  </si>
  <si>
    <t>FECHA DEL INFORME:</t>
  </si>
  <si>
    <t>CONTRATO DE OBRA</t>
  </si>
  <si>
    <t>CE-17-2024</t>
  </si>
  <si>
    <t>Objeto:</t>
  </si>
  <si>
    <t xml:space="preserve">Contratar en nombre de la NACIÓN – CONSEJO SUPERIOR DE LA JUDICATURA – DIRECCIÓN SECCIONAL DE ADMINISTRACIÓN JUDICIAL DE MANIZALES - CALDAS,ALCANCE DEL OBJETO CONTRACTUAL. De acuerdo a la oferta económica presentada por el CONTRATISTA, los valores unitarios para realizar la  Cuarta fase de la MODERNIZACIÓN AL SISTEMA DE ILUMINACIÓN DE LAS OFICINAS DEL PALACIO DE JUSTICIA “FANNY GONZALEZ FRANCO” DE MANIZALES CALDAS – PISOS 2 y SÓTANO UNO 
</t>
  </si>
  <si>
    <t>Contrato No:</t>
  </si>
  <si>
    <t>Contratista:</t>
  </si>
  <si>
    <t>GLOBAL ASTI</t>
  </si>
  <si>
    <t>Nit:</t>
  </si>
  <si>
    <t>Valor Inicial:</t>
  </si>
  <si>
    <t>Adición 1</t>
  </si>
  <si>
    <t>Adición 2</t>
  </si>
  <si>
    <t>Valor total del contrato:</t>
  </si>
  <si>
    <t>Plazo</t>
  </si>
  <si>
    <t>Fecha de inicio</t>
  </si>
  <si>
    <t xml:space="preserve">Fecha de vencimiento: </t>
  </si>
  <si>
    <t>Plazo total del contrato:</t>
  </si>
  <si>
    <t>AVANCES DEL CONTRATO</t>
  </si>
  <si>
    <t xml:space="preserve"> AVANCE GENERAL DEL PROYECTO</t>
  </si>
  <si>
    <t>EJECUCION EN PLAZO</t>
  </si>
  <si>
    <t>CONTRACTUAL</t>
  </si>
  <si>
    <t>EJECUCION</t>
  </si>
  <si>
    <t>%</t>
  </si>
  <si>
    <t>DATOS FINANCIEROS</t>
  </si>
  <si>
    <t>Vr. CONTRATO:</t>
  </si>
  <si>
    <t>Vr. TOTAL PAGADO EN ACTAS:</t>
  </si>
  <si>
    <t>SALDO POR PAGAR CONTRATO:</t>
  </si>
  <si>
    <t>Vr. ANTICIPO:</t>
  </si>
  <si>
    <t>TOTAL AMORTIZADO ANTICIPO:</t>
  </si>
  <si>
    <t>|</t>
  </si>
  <si>
    <t>ACTA No.</t>
  </si>
  <si>
    <t>IVA</t>
  </si>
  <si>
    <t>TOTAL NETO</t>
  </si>
  <si>
    <t>% EJECUCIÓN</t>
  </si>
  <si>
    <t>FECHA DEL ACTA</t>
  </si>
  <si>
    <t>%PROGRAM.</t>
  </si>
  <si>
    <t>%EJECUT.</t>
  </si>
  <si>
    <t>DIFERENCIA</t>
  </si>
  <si>
    <t>Acumulado anterior</t>
  </si>
  <si>
    <t>Durante el periodo</t>
  </si>
  <si>
    <t>Acumulado Actual</t>
  </si>
  <si>
    <t>TOTALES</t>
  </si>
  <si>
    <t>RESUMEN GENERAL DEL ESTADO DEL CONTRATO</t>
  </si>
  <si>
    <t>Valor facturado a la fecha es de:</t>
  </si>
  <si>
    <t xml:space="preserve">Equivalente al: </t>
  </si>
  <si>
    <t>El valor por ejecutar a la fecha es de:</t>
  </si>
  <si>
    <t xml:space="preserve">SEGUIMIENTO PROGRAMACIÓN CONSTRUCCIÒN POR CAPITULOS </t>
  </si>
  <si>
    <t xml:space="preserve">ITEM </t>
  </si>
  <si>
    <t>DESCRIPCION</t>
  </si>
  <si>
    <t>PROGRAMADO</t>
  </si>
  <si>
    <t>EJECUTADO</t>
  </si>
  <si>
    <t>CAPITULO 1 PISO2</t>
  </si>
  <si>
    <t>CAPITULO 2 PISO 4</t>
  </si>
  <si>
    <t>CAPITULO 3 SÓTANO UNO</t>
  </si>
  <si>
    <t>-</t>
  </si>
  <si>
    <t>TOTAL COSTO DIRECTO</t>
  </si>
  <si>
    <t>ADMINISTRACION  23%</t>
  </si>
  <si>
    <t>IMPREVISTOS          2%</t>
  </si>
  <si>
    <t>UTILIDAD                  5%</t>
  </si>
  <si>
    <t>IVA 19% SOBRE U</t>
  </si>
  <si>
    <t>TOTAL</t>
  </si>
  <si>
    <t>Avances financieros</t>
  </si>
  <si>
    <t>PERSONAL EN OBRA</t>
  </si>
  <si>
    <t>Empleos Administrativos:</t>
  </si>
  <si>
    <t>Empleos Operativos</t>
  </si>
  <si>
    <t>De la Región</t>
  </si>
  <si>
    <t>Fuera de la Región</t>
  </si>
  <si>
    <t>SEGUIMIENTO Y OBSERVACIONES AL DESARROLLO EN LA EJECUCIÓN DEL CONTRATO</t>
  </si>
  <si>
    <t>ACTIVIDADES EJECUTADAS EN EL PERIODO</t>
  </si>
  <si>
    <t>ACTIVIDADES CORRESPONDIENTES A LAS OBRA ELECTRICAS Y CIVILES DEL 7  DE JUNIO  AL 14 DE JUNIO  DE 2024</t>
  </si>
  <si>
    <t xml:space="preserve">Durante estos dias se realizaron las siguientes actividades:
Viernes 7  de junio: Se  termina de instalar las luminarias en el archivo del sótano uno , en la cocineta del piso 4 , en el archivo del piso 4 .Martes 11 de junio: Se realiza el cambio de luminarias en las oficinas del sótano uno en archivo y se realizan las adecuaciones de pintura. Se realiza observación al contratista respecto a la iluminación del archivo B del sótano uno, el cual muestra espacios oscuros, esto se debe corregir .Miércoles 12 de junio: Se realiza el cambio de luminarias en las salas de audiencia 220, 221, 223, 224 , se instalan las luminarias en el almacén del sótano uno y se  instalan las luminarias en la oficina y entrada del INPEC.Jueves 13 de junio: Se realiza el cambio de luminarias en la oficina 206 y la sala de estar de los jueces.Viernes  14 de junio: Se realiza el cambio de luminarias en el pasillo del gimnasio en el sótano uno  y se continúan con las obras civiles en el  almacén en sótano uno
</t>
  </si>
  <si>
    <t>ACTIVIDADES DE LA SEGURIDAD INDUSTRIAL</t>
  </si>
  <si>
    <t xml:space="preserve">Actividades sst  realizadas durante los 15 dias  de inicio de obra, entre las que se encuentran;(Revisiones, verificaciones y seguimiento del SG-SST y bioseguridad  por parte de interventoría y contratista, (contrato CE 17-2024)   </t>
  </si>
  <si>
    <t>Se verifica documentación y sistema de seguridad social para aprobación de ingreso e inicio de actividades para el personal ayudante nuevo, durante la semana.</t>
  </si>
  <si>
    <t>Se evidencia inducción y capacitación del personal nuevo del contratista y entrega de implementos de seguridad.</t>
  </si>
  <si>
    <t>Se realiza inspección general: orden y limpieza, señalización, cerramiento y acopio de escombros.(se evidencio cumplimiento del compromiso de: punto ecologico, y señalizacion de la obra).</t>
  </si>
  <si>
    <t>Se inspecciona uso correcto de los elementos de protección personal y de bioseguridad y observación del comportamiento seguro en obra especialmente en los trabajos de los pileros.(diario).</t>
  </si>
  <si>
    <t>Se inspecciona equipo de emergencia; camilla, extintor y botiquín para primeros auxilios.(diario)</t>
  </si>
  <si>
    <t>Se asiste al comité de obra donde se dejan registrados los compromisos y mejoras del componente sst y en general.</t>
  </si>
  <si>
    <t>No se registran incidentes, ni accidentes laborales durante la semana.</t>
  </si>
  <si>
    <t>La ampliación y evidencia de las actividades mencionadas, se observan en los registros fotográficos SST.</t>
  </si>
  <si>
    <t>Las charlas de seguridad realizadas en la semana son: Mayo 2: Aspectos de seguridad y salud en el trabajo. Mayo 6 : Socialización del PONDS del Palacio de Justicia.</t>
  </si>
  <si>
    <t>ACTIVIDADES A REALIZAR EN LA SIGUIENTE SEMANA</t>
  </si>
  <si>
    <t>Continuar con la instalación de luminarias y obras civiles en las oficinas del piso 2 de las salas de audiencia del costado de la calle 22</t>
  </si>
  <si>
    <t>Selección ambiental de todos las lamparas retiradas , para buscar su uso final con Colombianet.</t>
  </si>
  <si>
    <t>CAMBIO -OTROSI AL CONTRATO---SIMULACION</t>
  </si>
  <si>
    <t>AVANCES, ATRASOS Y MEDIDAS DE CONTINGENCIA</t>
  </si>
  <si>
    <t>El contratista se encuentra con un avance  fisco programado del 78,57 % y un avance fisico real de  90,32 , dando  un adelanto  del  11,5%,  En cuanto al avance financiero ha hecho el primer corte de obra por valor del 50%  . Durante el periodo avanso significativamente , debido a la llegada de luminarias al proyecto, por parte de ILTEC, se espera continue en la curva ascendente del proyecto.</t>
  </si>
  <si>
    <t>REQUERIMIENTO DE RECURSOS ADICIONALES</t>
  </si>
  <si>
    <t>REGISTRO FOTOGRÁFICO</t>
  </si>
  <si>
    <t>Instalación de luminarias Archivo Sótano UNO</t>
  </si>
  <si>
    <t>Instalación de luminarias COCINETA PIASO 4</t>
  </si>
  <si>
    <t>LUMINARIAS ALMACEN PISO 4</t>
  </si>
  <si>
    <t>LUMINARIAS ARCHIVO PISO 4</t>
  </si>
  <si>
    <t>ARCHIVO SÓTANO UNO</t>
  </si>
  <si>
    <t>SALA DE AUDIENCIA 220</t>
  </si>
  <si>
    <t>SALA DE AUDIENCIA 221</t>
  </si>
  <si>
    <t>SALA DE AUDIENCIA 223</t>
  </si>
  <si>
    <t>SEGUIMIENTO A LA PROGRAMACIÓN</t>
  </si>
  <si>
    <t xml:space="preserve">SEMANA </t>
  </si>
  <si>
    <t xml:space="preserve">PROGRAMADO </t>
  </si>
  <si>
    <t>SEMANA 1</t>
  </si>
  <si>
    <t>SEMANA 2</t>
  </si>
  <si>
    <t>SEMANA 3</t>
  </si>
  <si>
    <t>SEMANA 4</t>
  </si>
  <si>
    <t>SEMANA 5</t>
  </si>
  <si>
    <t>SEMANA 6</t>
  </si>
  <si>
    <t>SEMANA 7</t>
  </si>
  <si>
    <t>SEMANA 8</t>
  </si>
  <si>
    <t xml:space="preserve">ATENTAMENTE </t>
  </si>
  <si>
    <t xml:space="preserve"> Cordialmente:  </t>
  </si>
  <si>
    <t>ALEXANDER BEDOYA DUQUE</t>
  </si>
  <si>
    <t>WILLIAM SANCHEZ NAVARRO</t>
  </si>
  <si>
    <t>DIRECTOR DE INTERVENTORIA</t>
  </si>
  <si>
    <t>RESIDENTE  DE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</si>
</sst>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3" formatCode="_-* #,##0.00_-;\-* #,##0.00_-;_-* &quot;-&quot;??_-;_-@_-"/>
    <numFmt numFmtId="164" formatCode="_-&quot;$&quot;\ * #,##0_-;\-&quot;$&quot;\ * #,##0_-;_-&quot;$&quot;\ * &quot;-&quot;_-;_-@_-"/>
    <numFmt numFmtId="165" formatCode="_-&quot;$&quot;\ * #,##0.00_-;\-&quot;$&quot;\ * #,##0.00_-;_-&quot;$&quot;\ * &quot;-&quot;??_-;_-@_-"/>
    <numFmt numFmtId="166" formatCode="_-&quot;$&quot;* #,##0.00_-;\-&quot;$&quot;* #,##0.00_-;_-&quot;$&quot;* &quot;-&quot;??_-;_-@_-"/>
    <numFmt numFmtId="167" formatCode="&quot;$&quot;\ #,##0"/>
    <numFmt numFmtId="168" formatCode="[$-F800]dddd\,\ mmmm\ dd\,\ yyyy"/>
    <numFmt numFmtId="169" formatCode="_([$$-240A]\ * #,##0_);_([$$-240A]\ * \(#,##0\);_([$$-240A]\ * &quot;-&quot;??_);_(@_)"/>
    <numFmt numFmtId="170" formatCode="&quot;$&quot;\ #,##0.00"/>
    <numFmt numFmtId="171" formatCode="dd\-mm\-yy"/>
    <numFmt numFmtId="172" formatCode="[$$-240A]#,##0"/>
    <numFmt numFmtId="173" formatCode="&quot;$&quot;#,##0.00"/>
    <numFmt numFmtId="174" formatCode="_-&quot;$&quot;* #,##0_-;\-&quot;$&quot;* #,##0_-;_-&quot;$&quot;* &quot;-&quot;_-;_-@_-"/>
    <numFmt numFmtId="175" formatCode="#,##0.00\ ;\-#,##0.00\ ;&quot; -&quot;#\ ;@\ "/>
    <numFmt numFmtId="176" formatCode="&quot;$&quot;\ #,##0.0"/>
    <numFmt numFmtId="177" formatCode="0.0%"/>
    <numFmt numFmtId="178" formatCode="_(&quot;$&quot;* #,##0.00_);_(&quot;$&quot;* \(#,##0.00\);_(&quot;$&quot;* &quot;-&quot;??_);_(@_)"/>
    <numFmt numFmtId="179" formatCode="_-&quot;$&quot;\ * #,##0_-;\-&quot;$&quot;\ * #,##0_-;_-&quot;$&quot;\ * &quot;-&quot;??_-;_-@_-"/>
    <numFmt numFmtId="180" formatCode="_(* #,##0_);_(* \(#,##0\);_(* &quot;-&quot;_);_(@_)"/>
    <numFmt numFmtId="181" formatCode="_-* #,##0.00_-;\-* #,##0.00_-;_-* &quot;-&quot;_-;_-@_-"/>
    <numFmt numFmtId="182" formatCode="_(&quot;$&quot;* #,##0_);_(&quot;$&quot;* \(#,##0\);_(&quot;$&quot;* &quot;-&quot;_);_(@_)"/>
    <numFmt numFmtId="183" formatCode="0.0"/>
    <numFmt numFmtId="184" formatCode="dd/mmm"/>
    <numFmt numFmtId="185" formatCode="dd&quot;. &quot;mmm\ yy"/>
    <numFmt numFmtId="186" formatCode="&quot;$&quot;#,##0.0"/>
    <numFmt numFmtId="187" formatCode="&quot;$ &quot;#,##0"/>
    <numFmt numFmtId="188" formatCode="[$$-240A]\ #,##0"/>
    <numFmt numFmtId="189" formatCode="[$$-240A]\ #,##0.00"/>
    <numFmt numFmtId="190" formatCode="&quot;° La presente oferta tiene una validez de&quot;\ 0\ &quot;días.&quot;"/>
    <numFmt numFmtId="191" formatCode="[$$-409]#,##0.00;[Red][$$-409]#,##0.00"/>
  </numFmts>
  <fonts count="89">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u/>
      <sz val="10"/>
      <color theme="10"/>
      <name val="Arial"/>
      <family val="2"/>
    </font>
    <font>
      <b/>
      <sz val="14"/>
      <color theme="1"/>
      <name val="Arial"/>
      <family val="2"/>
    </font>
    <font>
      <sz val="14"/>
      <color theme="1"/>
      <name val="Arial"/>
      <family val="2"/>
    </font>
    <font>
      <sz val="11"/>
      <color rgb="FF000000"/>
      <name val="Arial"/>
      <family val="2"/>
    </font>
    <font>
      <b/>
      <sz val="10"/>
      <color theme="1"/>
      <name val="Calibri"/>
      <family val="2"/>
      <scheme val="minor"/>
    </font>
    <font>
      <sz val="11"/>
      <color rgb="FF000000"/>
      <name val="Calibri"/>
      <family val="2"/>
    </font>
    <font>
      <b/>
      <sz val="11"/>
      <color rgb="FF000000"/>
      <name val="Calibri"/>
      <family val="2"/>
    </font>
    <font>
      <sz val="11"/>
      <name val="Calibri"/>
      <family val="2"/>
    </font>
    <font>
      <b/>
      <sz val="12"/>
      <color rgb="FF000000"/>
      <name val="Calibri"/>
      <family val="2"/>
    </font>
    <font>
      <b/>
      <sz val="18"/>
      <color rgb="FF000000"/>
      <name val="Calibri"/>
      <family val="2"/>
    </font>
    <font>
      <b/>
      <sz val="8"/>
      <color rgb="FF000000"/>
      <name val="Calibri"/>
      <family val="2"/>
    </font>
    <font>
      <sz val="9"/>
      <color rgb="FF000000"/>
      <name val="Calibri"/>
      <family val="2"/>
    </font>
    <font>
      <sz val="8"/>
      <color rgb="FF000000"/>
      <name val="Calibri"/>
      <family val="2"/>
    </font>
    <font>
      <b/>
      <sz val="11"/>
      <name val="Calibri"/>
      <family val="2"/>
    </font>
    <font>
      <sz val="12"/>
      <color rgb="FF000000"/>
      <name val="Calibri"/>
      <family val="2"/>
    </font>
    <font>
      <sz val="12"/>
      <color theme="1"/>
      <name val="Arial"/>
      <family val="2"/>
    </font>
    <font>
      <sz val="10"/>
      <color rgb="FF000000"/>
      <name val="Calibri"/>
      <family val="2"/>
    </font>
    <font>
      <sz val="12"/>
      <name val="Arial"/>
      <family val="2"/>
    </font>
    <font>
      <sz val="12"/>
      <color rgb="FF000000"/>
      <name val="Arial"/>
      <family val="2"/>
    </font>
    <font>
      <sz val="10"/>
      <name val="Calibri"/>
      <family val="2"/>
    </font>
    <font>
      <b/>
      <sz val="12"/>
      <color theme="1"/>
      <name val="Calibri"/>
      <family val="2"/>
      <scheme val="minor"/>
    </font>
    <font>
      <sz val="8"/>
      <color theme="1"/>
      <name val="Calibri"/>
      <family val="2"/>
      <scheme val="minor"/>
    </font>
    <font>
      <sz val="14"/>
      <color rgb="FF000000"/>
      <name val="Arial Black"/>
      <family val="2"/>
    </font>
    <font>
      <sz val="18"/>
      <color theme="1"/>
      <name val="Calibri"/>
      <family val="2"/>
      <scheme val="minor"/>
    </font>
    <font>
      <sz val="11"/>
      <name val="Calibri"/>
      <family val="2"/>
      <scheme val="minor"/>
    </font>
    <font>
      <sz val="10"/>
      <name val="Calibri"/>
      <family val="2"/>
      <scheme val="minor"/>
    </font>
    <font>
      <sz val="11"/>
      <color theme="1"/>
      <name val="Arial"/>
      <family val="2"/>
    </font>
    <font>
      <b/>
      <u/>
      <sz val="11"/>
      <color rgb="FF000000"/>
      <name val="Calibri"/>
      <family val="2"/>
    </font>
    <font>
      <sz val="10"/>
      <name val="Arial"/>
      <family val="2"/>
    </font>
    <font>
      <b/>
      <sz val="12"/>
      <name val="Arial"/>
      <family val="2"/>
    </font>
    <font>
      <b/>
      <sz val="12"/>
      <color rgb="FF000000"/>
      <name val="Arial"/>
      <family val="2"/>
    </font>
    <font>
      <b/>
      <sz val="14"/>
      <color rgb="FF000000"/>
      <name val="Calibri"/>
      <family val="2"/>
    </font>
    <font>
      <sz val="14"/>
      <name val="Calibri"/>
      <family val="2"/>
    </font>
    <font>
      <sz val="14"/>
      <color rgb="FF000000"/>
      <name val="Calibri"/>
      <family val="2"/>
    </font>
    <font>
      <b/>
      <sz val="14"/>
      <color theme="1"/>
      <name val="Calibri"/>
      <family val="2"/>
      <scheme val="minor"/>
    </font>
    <font>
      <sz val="14"/>
      <color theme="1"/>
      <name val="Calibri"/>
      <family val="2"/>
      <scheme val="minor"/>
    </font>
    <font>
      <sz val="14"/>
      <color rgb="FF000000"/>
      <name val="Calibri"/>
      <family val="2"/>
      <scheme val="minor"/>
    </font>
    <font>
      <b/>
      <sz val="14"/>
      <color rgb="FF000000"/>
      <name val="Calibri"/>
      <family val="2"/>
      <scheme val="minor"/>
    </font>
    <font>
      <b/>
      <sz val="14"/>
      <color rgb="FF000000"/>
      <name val="Arial"/>
      <family val="2"/>
    </font>
    <font>
      <b/>
      <sz val="14"/>
      <name val="Calibri"/>
      <family val="2"/>
    </font>
    <font>
      <sz val="9"/>
      <color indexed="81"/>
      <name val="Tahoma"/>
      <family val="2"/>
    </font>
    <font>
      <b/>
      <sz val="9"/>
      <color indexed="81"/>
      <name val="Tahoma"/>
      <family val="2"/>
    </font>
    <font>
      <sz val="9"/>
      <color indexed="81"/>
      <name val="Tahoma"/>
      <charset val="1"/>
    </font>
    <font>
      <b/>
      <sz val="9"/>
      <color indexed="81"/>
      <name val="Tahoma"/>
      <charset val="1"/>
    </font>
    <font>
      <sz val="10"/>
      <color rgb="FF000000"/>
      <name val="Times New Roman"/>
      <charset val="204"/>
    </font>
    <font>
      <b/>
      <sz val="11"/>
      <name val="Arial"/>
      <family val="2"/>
    </font>
    <font>
      <sz val="11"/>
      <name val="Arial MT"/>
      <family val="2"/>
    </font>
    <font>
      <sz val="11"/>
      <name val="Arial MT"/>
    </font>
    <font>
      <i/>
      <sz val="11"/>
      <name val="Arial"/>
      <family val="2"/>
    </font>
    <font>
      <i/>
      <sz val="11"/>
      <color rgb="FFFFFFFF"/>
      <name val="Arial"/>
      <family val="2"/>
    </font>
    <font>
      <i/>
      <sz val="11"/>
      <color rgb="FF000000"/>
      <name val="Arial"/>
      <family val="2"/>
    </font>
    <font>
      <sz val="10"/>
      <color rgb="FF000000"/>
      <name val="Times New Roman"/>
      <family val="1"/>
    </font>
    <font>
      <b/>
      <i/>
      <sz val="11"/>
      <color rgb="FF000000"/>
      <name val="Arial"/>
      <family val="2"/>
    </font>
    <font>
      <b/>
      <i/>
      <sz val="11"/>
      <name val="Arial"/>
      <family val="2"/>
    </font>
    <font>
      <b/>
      <sz val="10"/>
      <color rgb="FF000000"/>
      <name val="Arial"/>
      <family val="2"/>
    </font>
    <font>
      <sz val="14"/>
      <name val="Calibri"/>
      <family val="2"/>
      <scheme val="minor"/>
    </font>
    <font>
      <sz val="11"/>
      <name val="Arial"/>
      <family val="2"/>
    </font>
    <font>
      <sz val="10"/>
      <color rgb="FF000000"/>
      <name val="Arial Narrow"/>
      <family val="2"/>
    </font>
    <font>
      <i/>
      <sz val="14"/>
      <color rgb="FF000000"/>
      <name val="Calibri"/>
      <family val="2"/>
      <scheme val="minor"/>
    </font>
    <font>
      <sz val="12"/>
      <color theme="1"/>
      <name val="Calibri"/>
      <family val="2"/>
      <scheme val="minor"/>
    </font>
    <font>
      <sz val="10"/>
      <name val="Arial"/>
    </font>
    <font>
      <b/>
      <sz val="14"/>
      <name val="Arial"/>
      <family val="2"/>
    </font>
    <font>
      <sz val="18"/>
      <name val="Arial Rounded MT Bold"/>
      <family val="2"/>
    </font>
    <font>
      <sz val="12"/>
      <color indexed="9"/>
      <name val="Arial Rounded MT Bold"/>
      <family val="2"/>
    </font>
    <font>
      <sz val="12"/>
      <color indexed="8"/>
      <name val="Arial Rounded MT Bold"/>
      <family val="2"/>
    </font>
    <font>
      <sz val="10"/>
      <color indexed="8"/>
      <name val="Arial Rounded MT Bold"/>
      <family val="2"/>
    </font>
    <font>
      <sz val="14"/>
      <color indexed="8"/>
      <name val="Arial Rounded MT Bold"/>
      <family val="2"/>
    </font>
    <font>
      <sz val="12"/>
      <name val="Arial Rounded MT Bold"/>
      <family val="2"/>
    </font>
    <font>
      <b/>
      <sz val="12"/>
      <color theme="0"/>
      <name val="Arial"/>
      <family val="2"/>
    </font>
    <font>
      <sz val="12"/>
      <name val="Times New Roman"/>
      <family val="1"/>
    </font>
    <font>
      <b/>
      <sz val="12"/>
      <color indexed="8"/>
      <name val="Arial"/>
      <family val="2"/>
    </font>
    <font>
      <sz val="11"/>
      <color indexed="8"/>
      <name val="Arial"/>
      <family val="2"/>
    </font>
    <font>
      <sz val="8"/>
      <name val="Arial"/>
      <family val="2"/>
    </font>
    <font>
      <sz val="16"/>
      <name val="Arial Rounded MT Bold"/>
      <family val="2"/>
    </font>
    <font>
      <sz val="14"/>
      <name val="Arial Rounded MT Bold"/>
      <family val="2"/>
    </font>
    <font>
      <sz val="11"/>
      <name val="Arial Rounded MT Bold"/>
      <family val="2"/>
    </font>
    <font>
      <sz val="8"/>
      <color indexed="14"/>
      <name val="Arial"/>
      <family val="2"/>
    </font>
    <font>
      <sz val="10"/>
      <name val="Arial Rounded MT Bold"/>
      <family val="2"/>
    </font>
    <font>
      <sz val="14"/>
      <name val="Arial"/>
      <family val="2"/>
    </font>
    <font>
      <b/>
      <sz val="16"/>
      <name val="Arial Rounded MT Bold"/>
      <family val="2"/>
    </font>
    <font>
      <b/>
      <sz val="12"/>
      <color indexed="9"/>
      <name val="Arial Rounded MT Bold"/>
      <family val="2"/>
    </font>
    <font>
      <sz val="9"/>
      <name val="Arial"/>
      <family val="2"/>
    </font>
    <font>
      <b/>
      <sz val="9"/>
      <color indexed="8"/>
      <name val="Arial"/>
      <family val="2"/>
    </font>
    <font>
      <sz val="9"/>
      <color indexed="8"/>
      <name val="Arial"/>
      <family val="2"/>
    </font>
    <font>
      <sz val="10"/>
      <color indexed="8"/>
      <name val="Arial"/>
      <family val="2"/>
    </font>
  </fonts>
  <fills count="2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rgb="FFFFFFFF"/>
      </patternFill>
    </fill>
    <fill>
      <patternFill patternType="solid">
        <fgColor rgb="FFA5A5A5"/>
        <bgColor rgb="FFA5A5A5"/>
      </patternFill>
    </fill>
    <fill>
      <patternFill patternType="solid">
        <fgColor rgb="FFD8D8D8"/>
        <bgColor rgb="FFD8D8D8"/>
      </patternFill>
    </fill>
    <fill>
      <patternFill patternType="solid">
        <fgColor rgb="FFF2F2F2"/>
        <bgColor rgb="FFF2F2F2"/>
      </patternFill>
    </fill>
    <fill>
      <patternFill patternType="solid">
        <fgColor rgb="FFFFFFFF"/>
        <bgColor rgb="FFFFFFFF"/>
      </patternFill>
    </fill>
    <fill>
      <patternFill patternType="solid">
        <fgColor rgb="FF808080"/>
      </patternFill>
    </fill>
    <fill>
      <patternFill patternType="solid">
        <fgColor rgb="FFB3B3B3"/>
      </patternFill>
    </fill>
    <fill>
      <patternFill patternType="solid">
        <fgColor rgb="FF92D050"/>
        <bgColor indexed="64"/>
      </patternFill>
    </fill>
    <fill>
      <patternFill patternType="solid">
        <fgColor rgb="FF808080"/>
        <bgColor indexed="31"/>
      </patternFill>
    </fill>
    <fill>
      <patternFill patternType="solid">
        <fgColor theme="0"/>
        <bgColor indexed="26"/>
      </patternFill>
    </fill>
    <fill>
      <patternFill patternType="solid">
        <fgColor rgb="FFB3B3B3"/>
        <bgColor indexed="64"/>
      </patternFill>
    </fill>
    <fill>
      <patternFill patternType="solid">
        <fgColor theme="1" tint="0.499984740745262"/>
        <bgColor indexed="64"/>
      </patternFill>
    </fill>
    <fill>
      <patternFill patternType="solid">
        <fgColor rgb="FFB3B3B3"/>
        <bgColor indexed="31"/>
      </patternFill>
    </fill>
    <fill>
      <patternFill patternType="solid">
        <fgColor rgb="FFFFFF00"/>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theme="7" tint="-0.249977111117893"/>
        <bgColor indexed="64"/>
      </patternFill>
    </fill>
    <fill>
      <patternFill patternType="solid">
        <fgColor theme="3" tint="0.39997558519241921"/>
        <bgColor indexed="64"/>
      </patternFill>
    </fill>
    <fill>
      <patternFill patternType="solid">
        <fgColor theme="5" tint="-0.249977111117893"/>
        <bgColor indexed="64"/>
      </patternFill>
    </fill>
  </fills>
  <borders count="122">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rgb="FF000000"/>
      </bottom>
      <diagonal/>
    </border>
    <border>
      <left/>
      <right/>
      <top/>
      <bottom style="medium">
        <color rgb="FF000000"/>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medium">
        <color indexed="64"/>
      </right>
      <top style="medium">
        <color rgb="FF000000"/>
      </top>
      <bottom/>
      <diagonal/>
    </border>
    <border>
      <left/>
      <right style="thin">
        <color rgb="FF000000"/>
      </right>
      <top/>
      <bottom/>
      <diagonal/>
    </border>
    <border>
      <left style="thin">
        <color rgb="FF000000"/>
      </left>
      <right/>
      <top/>
      <bottom/>
      <diagonal/>
    </border>
    <border>
      <left style="medium">
        <color indexed="64"/>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indexed="64"/>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bottom style="medium">
        <color rgb="FF000000"/>
      </bottom>
      <diagonal/>
    </border>
    <border>
      <left style="medium">
        <color indexed="64"/>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medium">
        <color indexed="64"/>
      </right>
      <top style="thin">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style="thin">
        <color rgb="FF000000"/>
      </left>
      <right/>
      <top style="medium">
        <color rgb="FF000000"/>
      </top>
      <bottom style="thin">
        <color rgb="FF000000"/>
      </bottom>
      <diagonal/>
    </border>
    <border>
      <left/>
      <right style="medium">
        <color indexed="64"/>
      </right>
      <top style="thin">
        <color rgb="FF000000"/>
      </top>
      <bottom style="medium">
        <color rgb="FF000000"/>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auto="1"/>
      </left>
      <right/>
      <top style="medium">
        <color indexed="64"/>
      </top>
      <bottom style="hair">
        <color auto="1"/>
      </bottom>
      <diagonal/>
    </border>
    <border>
      <left/>
      <right/>
      <top style="medium">
        <color auto="1"/>
      </top>
      <bottom style="hair">
        <color auto="1"/>
      </bottom>
      <diagonal/>
    </border>
    <border>
      <left/>
      <right style="medium">
        <color auto="1"/>
      </right>
      <top style="medium">
        <color indexed="64"/>
      </top>
      <bottom style="hair">
        <color auto="1"/>
      </bottom>
      <diagonal/>
    </border>
    <border>
      <left style="medium">
        <color auto="1"/>
      </left>
      <right/>
      <top style="hair">
        <color auto="1"/>
      </top>
      <bottom style="hair">
        <color auto="1"/>
      </bottom>
      <diagonal/>
    </border>
    <border>
      <left/>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style="thin">
        <color indexed="64"/>
      </bottom>
      <diagonal/>
    </border>
    <border>
      <left/>
      <right/>
      <top style="hair">
        <color auto="1"/>
      </top>
      <bottom style="thin">
        <color indexed="64"/>
      </bottom>
      <diagonal/>
    </border>
    <border>
      <left/>
      <right style="medium">
        <color auto="1"/>
      </right>
      <top style="hair">
        <color auto="1"/>
      </top>
      <bottom style="thin">
        <color indexed="64"/>
      </bottom>
      <diagonal/>
    </border>
    <border>
      <left style="medium">
        <color auto="1"/>
      </left>
      <right/>
      <top style="thin">
        <color indexed="64"/>
      </top>
      <bottom style="hair">
        <color auto="1"/>
      </bottom>
      <diagonal/>
    </border>
    <border>
      <left/>
      <right/>
      <top style="thin">
        <color indexed="64"/>
      </top>
      <bottom style="hair">
        <color auto="1"/>
      </bottom>
      <diagonal/>
    </border>
    <border>
      <left/>
      <right style="medium">
        <color auto="1"/>
      </right>
      <top style="thin">
        <color indexed="64"/>
      </top>
      <bottom style="hair">
        <color auto="1"/>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right/>
      <top style="thin">
        <color rgb="FF000000"/>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s>
  <cellStyleXfs count="31">
    <xf numFmtId="0" fontId="0" fillId="0" borderId="0"/>
    <xf numFmtId="9" fontId="1" fillId="0" borderId="0" applyFont="0" applyFill="0" applyBorder="0" applyAlignment="0" applyProtection="0"/>
    <xf numFmtId="0" fontId="3" fillId="0" borderId="0"/>
    <xf numFmtId="0" fontId="3" fillId="0" borderId="0"/>
    <xf numFmtId="0" fontId="4" fillId="0" borderId="0" applyNumberForma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6" fontId="3" fillId="0" borderId="0" applyFont="0" applyFill="0" applyBorder="0" applyAlignment="0" applyProtection="0"/>
    <xf numFmtId="0" fontId="9" fillId="0" borderId="0"/>
    <xf numFmtId="9" fontId="9" fillId="0" borderId="0" applyFont="0" applyFill="0" applyBorder="0" applyAlignment="0" applyProtection="0"/>
    <xf numFmtId="0" fontId="32" fillId="0" borderId="0"/>
    <xf numFmtId="164" fontId="3" fillId="0" borderId="0" applyFont="0" applyFill="0" applyBorder="0" applyAlignment="0" applyProtection="0"/>
    <xf numFmtId="165" fontId="32" fillId="0" borderId="0" applyFont="0" applyFill="0" applyBorder="0" applyAlignment="0" applyProtection="0"/>
    <xf numFmtId="164" fontId="3" fillId="0" borderId="0" applyFont="0" applyFill="0" applyBorder="0" applyAlignment="0" applyProtection="0"/>
    <xf numFmtId="43" fontId="3" fillId="0" borderId="0" applyFont="0" applyFill="0" applyBorder="0" applyAlignment="0" applyProtection="0"/>
    <xf numFmtId="174" fontId="3" fillId="0" borderId="0" applyFont="0" applyFill="0" applyBorder="0" applyAlignment="0" applyProtection="0"/>
    <xf numFmtId="175" fontId="3" fillId="0" borderId="0" applyFill="0" applyBorder="0" applyAlignment="0" applyProtection="0"/>
    <xf numFmtId="0" fontId="48" fillId="0" borderId="0"/>
    <xf numFmtId="165" fontId="55" fillId="0" borderId="0" applyFont="0" applyFill="0" applyBorder="0" applyAlignment="0" applyProtection="0"/>
    <xf numFmtId="9" fontId="55" fillId="0" borderId="0" applyFont="0" applyFill="0" applyBorder="0" applyAlignment="0" applyProtection="0"/>
    <xf numFmtId="0" fontId="55" fillId="0" borderId="0"/>
    <xf numFmtId="178" fontId="55" fillId="0" borderId="0" applyFont="0" applyFill="0" applyBorder="0" applyAlignment="0" applyProtection="0"/>
    <xf numFmtId="180" fontId="55" fillId="0" borderId="0" applyFont="0" applyFill="0" applyBorder="0" applyAlignment="0" applyProtection="0"/>
    <xf numFmtId="182" fontId="55" fillId="0" borderId="0" applyFont="0" applyFill="0" applyBorder="0" applyAlignment="0" applyProtection="0"/>
    <xf numFmtId="9" fontId="55" fillId="0" borderId="0" applyFont="0" applyFill="0" applyBorder="0" applyAlignment="0" applyProtection="0"/>
    <xf numFmtId="0" fontId="63" fillId="0" borderId="0"/>
    <xf numFmtId="0" fontId="64" fillId="0" borderId="0"/>
    <xf numFmtId="0" fontId="3" fillId="0" borderId="0"/>
    <xf numFmtId="0" fontId="73" fillId="0" borderId="0"/>
    <xf numFmtId="180" fontId="3" fillId="0" borderId="0" applyFont="0" applyFill="0" applyBorder="0" applyAlignment="0" applyProtection="0"/>
    <xf numFmtId="9" fontId="3" fillId="0" borderId="0" applyFill="0" applyBorder="0" applyAlignment="0" applyProtection="0"/>
  </cellStyleXfs>
  <cellXfs count="577">
    <xf numFmtId="0" fontId="0" fillId="0" borderId="0" xfId="0"/>
    <xf numFmtId="0" fontId="9" fillId="0" borderId="0" xfId="8" applyAlignment="1">
      <alignment vertical="center" wrapText="1"/>
    </xf>
    <xf numFmtId="0" fontId="9" fillId="0" borderId="0" xfId="8"/>
    <xf numFmtId="0" fontId="14" fillId="0" borderId="15" xfId="8" applyFont="1" applyBorder="1" applyAlignment="1">
      <alignment horizontal="center" vertical="center" wrapText="1"/>
    </xf>
    <xf numFmtId="0" fontId="14" fillId="0" borderId="0" xfId="8" applyFont="1" applyAlignment="1">
      <alignment horizontal="center" vertical="center" wrapText="1"/>
    </xf>
    <xf numFmtId="0" fontId="15" fillId="0" borderId="0" xfId="8" applyFont="1" applyAlignment="1">
      <alignment vertical="center" wrapText="1"/>
    </xf>
    <xf numFmtId="0" fontId="14" fillId="0" borderId="16" xfId="8" applyFont="1" applyBorder="1" applyAlignment="1">
      <alignment horizontal="center" vertical="center" wrapText="1"/>
    </xf>
    <xf numFmtId="0" fontId="16" fillId="0" borderId="0" xfId="8" applyFont="1" applyAlignment="1">
      <alignment vertical="center" wrapText="1"/>
    </xf>
    <xf numFmtId="0" fontId="18" fillId="0" borderId="0" xfId="8" applyFont="1" applyAlignment="1">
      <alignment vertical="center" wrapText="1"/>
    </xf>
    <xf numFmtId="0" fontId="16" fillId="0" borderId="15" xfId="8" applyFont="1" applyBorder="1" applyAlignment="1">
      <alignment vertical="center" wrapText="1"/>
    </xf>
    <xf numFmtId="0" fontId="16" fillId="0" borderId="0" xfId="8" applyFont="1" applyAlignment="1">
      <alignment horizontal="center" vertical="center" wrapText="1"/>
    </xf>
    <xf numFmtId="0" fontId="16" fillId="0" borderId="16" xfId="8" applyFont="1" applyBorder="1" applyAlignment="1">
      <alignment vertical="center" wrapText="1"/>
    </xf>
    <xf numFmtId="0" fontId="20" fillId="0" borderId="0" xfId="8" applyFont="1" applyAlignment="1">
      <alignment vertical="center" wrapText="1"/>
    </xf>
    <xf numFmtId="0" fontId="7" fillId="0" borderId="0" xfId="8" applyFont="1"/>
    <xf numFmtId="0" fontId="25" fillId="0" borderId="0" xfId="8" applyFont="1" applyAlignment="1">
      <alignment vertical="center" wrapText="1"/>
    </xf>
    <xf numFmtId="0" fontId="25" fillId="0" borderId="16" xfId="8" applyFont="1" applyBorder="1" applyAlignment="1">
      <alignment vertical="center" wrapText="1"/>
    </xf>
    <xf numFmtId="0" fontId="23" fillId="0" borderId="0" xfId="8" applyFont="1" applyAlignment="1">
      <alignment vertical="center" wrapText="1"/>
    </xf>
    <xf numFmtId="0" fontId="23" fillId="0" borderId="0" xfId="8" applyFont="1" applyAlignment="1">
      <alignment horizontal="center" vertical="center" wrapText="1"/>
    </xf>
    <xf numFmtId="10" fontId="26" fillId="0" borderId="0" xfId="8" applyNumberFormat="1" applyFont="1" applyAlignment="1">
      <alignment horizontal="center" vertical="center"/>
    </xf>
    <xf numFmtId="0" fontId="27" fillId="0" borderId="0" xfId="0" applyFont="1"/>
    <xf numFmtId="0" fontId="0" fillId="0" borderId="0" xfId="0" applyAlignment="1">
      <alignment horizontal="center" vertical="center"/>
    </xf>
    <xf numFmtId="0" fontId="0" fillId="0" borderId="0" xfId="0" applyAlignment="1">
      <alignment horizontal="center"/>
    </xf>
    <xf numFmtId="0" fontId="25" fillId="0" borderId="15" xfId="8" applyFont="1" applyBorder="1" applyAlignment="1">
      <alignment vertical="center" wrapText="1"/>
    </xf>
    <xf numFmtId="0" fontId="25" fillId="0" borderId="0" xfId="8" applyFont="1" applyAlignment="1">
      <alignment horizontal="center" vertical="center" wrapText="1"/>
    </xf>
    <xf numFmtId="10" fontId="0" fillId="0" borderId="0" xfId="0" applyNumberFormat="1" applyAlignment="1">
      <alignment horizontal="center" vertical="center"/>
    </xf>
    <xf numFmtId="10" fontId="0" fillId="0" borderId="0" xfId="0" applyNumberFormat="1" applyAlignment="1">
      <alignment horizontal="center"/>
    </xf>
    <xf numFmtId="0" fontId="10" fillId="0" borderId="23" xfId="8" applyFont="1" applyBorder="1" applyAlignment="1">
      <alignment horizontal="center" vertical="center" wrapText="1"/>
    </xf>
    <xf numFmtId="0" fontId="10" fillId="0" borderId="31" xfId="8" applyFont="1" applyBorder="1" applyAlignment="1">
      <alignment horizontal="center" vertical="center" wrapText="1"/>
    </xf>
    <xf numFmtId="0" fontId="10" fillId="0" borderId="32" xfId="8" applyFont="1" applyBorder="1" applyAlignment="1">
      <alignment horizontal="center" vertical="center" wrapText="1"/>
    </xf>
    <xf numFmtId="0" fontId="10" fillId="0" borderId="15" xfId="8" applyFont="1" applyBorder="1" applyAlignment="1">
      <alignment horizontal="center" vertical="center" wrapText="1"/>
    </xf>
    <xf numFmtId="0" fontId="10" fillId="0" borderId="0" xfId="8" applyFont="1" applyAlignment="1">
      <alignment horizontal="center" vertical="center" wrapText="1"/>
    </xf>
    <xf numFmtId="0" fontId="10" fillId="0" borderId="16" xfId="8" applyFont="1" applyBorder="1" applyAlignment="1">
      <alignment horizontal="center" vertical="center" wrapText="1"/>
    </xf>
    <xf numFmtId="0" fontId="31" fillId="0" borderId="0" xfId="8" applyFont="1" applyAlignment="1">
      <alignment horizontal="center" vertical="center" wrapText="1"/>
    </xf>
    <xf numFmtId="0" fontId="10" fillId="0" borderId="0" xfId="8" applyFont="1" applyAlignment="1">
      <alignment vertical="center" wrapText="1"/>
    </xf>
    <xf numFmtId="0" fontId="10" fillId="0" borderId="75" xfId="8" applyFont="1" applyBorder="1" applyAlignment="1">
      <alignment horizontal="center" vertical="center" wrapText="1"/>
    </xf>
    <xf numFmtId="0" fontId="10" fillId="0" borderId="4" xfId="8" applyFont="1" applyBorder="1" applyAlignment="1">
      <alignment horizontal="center" vertical="center" wrapText="1"/>
    </xf>
    <xf numFmtId="0" fontId="10" fillId="0" borderId="2" xfId="8" applyFont="1" applyBorder="1" applyAlignment="1">
      <alignment horizontal="center" vertical="center" wrapText="1"/>
    </xf>
    <xf numFmtId="1" fontId="29" fillId="2" borderId="81" xfId="8" applyNumberFormat="1" applyFont="1" applyFill="1" applyBorder="1" applyAlignment="1" applyProtection="1">
      <alignment horizontal="center" vertical="center" wrapText="1"/>
      <protection locked="0"/>
    </xf>
    <xf numFmtId="1" fontId="29" fillId="2" borderId="77" xfId="8" applyNumberFormat="1" applyFont="1" applyFill="1" applyBorder="1" applyAlignment="1">
      <alignment horizontal="center" vertical="center" wrapText="1"/>
    </xf>
    <xf numFmtId="0" fontId="37" fillId="0" borderId="15" xfId="8" applyFont="1" applyBorder="1" applyAlignment="1">
      <alignment vertical="center" wrapText="1"/>
    </xf>
    <xf numFmtId="0" fontId="37" fillId="0" borderId="0" xfId="8" applyFont="1" applyAlignment="1">
      <alignment vertical="center" wrapText="1"/>
    </xf>
    <xf numFmtId="0" fontId="37" fillId="0" borderId="0" xfId="8" applyFont="1" applyAlignment="1">
      <alignment horizontal="center" vertical="center" wrapText="1"/>
    </xf>
    <xf numFmtId="0" fontId="37" fillId="0" borderId="16" xfId="8" applyFont="1" applyBorder="1" applyAlignment="1">
      <alignment vertical="center" wrapText="1"/>
    </xf>
    <xf numFmtId="0" fontId="39" fillId="0" borderId="6" xfId="8" applyFont="1" applyBorder="1" applyAlignment="1">
      <alignment horizontal="center" vertical="center" wrapText="1"/>
    </xf>
    <xf numFmtId="0" fontId="39" fillId="0" borderId="7" xfId="8" applyFont="1" applyBorder="1" applyAlignment="1">
      <alignment vertical="center" wrapText="1"/>
    </xf>
    <xf numFmtId="9" fontId="39" fillId="0" borderId="7" xfId="9" applyFont="1" applyBorder="1" applyAlignment="1">
      <alignment horizontal="center" vertical="center" wrapText="1"/>
    </xf>
    <xf numFmtId="0" fontId="39" fillId="0" borderId="17" xfId="8" applyFont="1" applyBorder="1" applyAlignment="1">
      <alignment vertical="center" wrapText="1"/>
    </xf>
    <xf numFmtId="0" fontId="38" fillId="3" borderId="72" xfId="8" applyFont="1" applyFill="1" applyBorder="1" applyAlignment="1">
      <alignment vertical="center" wrapText="1"/>
    </xf>
    <xf numFmtId="0" fontId="38" fillId="3" borderId="13" xfId="8" applyFont="1" applyFill="1" applyBorder="1" applyAlignment="1">
      <alignment horizontal="center" vertical="center" wrapText="1"/>
    </xf>
    <xf numFmtId="0" fontId="39" fillId="0" borderId="0" xfId="8" applyFont="1" applyAlignment="1">
      <alignment vertical="center" wrapText="1"/>
    </xf>
    <xf numFmtId="0" fontId="39" fillId="0" borderId="16" xfId="8" applyFont="1" applyBorder="1" applyAlignment="1">
      <alignment vertical="center" wrapText="1"/>
    </xf>
    <xf numFmtId="0" fontId="39" fillId="0" borderId="72" xfId="8" applyFont="1" applyBorder="1" applyAlignment="1">
      <alignment horizontal="center" vertical="center" wrapText="1"/>
    </xf>
    <xf numFmtId="167" fontId="39" fillId="2" borderId="13" xfId="8" applyNumberFormat="1" applyFont="1" applyFill="1" applyBorder="1" applyAlignment="1">
      <alignment horizontal="center" vertical="center" wrapText="1"/>
    </xf>
    <xf numFmtId="167" fontId="38" fillId="4" borderId="13" xfId="8" applyNumberFormat="1" applyFont="1" applyFill="1" applyBorder="1" applyAlignment="1">
      <alignment horizontal="center" vertical="center" wrapText="1"/>
    </xf>
    <xf numFmtId="173" fontId="39" fillId="2" borderId="13" xfId="8" applyNumberFormat="1" applyFont="1" applyFill="1" applyBorder="1" applyAlignment="1">
      <alignment horizontal="center" vertical="center" wrapText="1"/>
    </xf>
    <xf numFmtId="0" fontId="37" fillId="4" borderId="74" xfId="8" applyFont="1" applyFill="1" applyBorder="1"/>
    <xf numFmtId="10" fontId="42" fillId="4" borderId="13" xfId="8" applyNumberFormat="1" applyFont="1" applyFill="1" applyBorder="1" applyAlignment="1">
      <alignment horizontal="center" vertical="center"/>
    </xf>
    <xf numFmtId="0" fontId="37" fillId="0" borderId="15" xfId="8" applyFont="1" applyBorder="1"/>
    <xf numFmtId="0" fontId="37" fillId="0" borderId="0" xfId="8" applyFont="1"/>
    <xf numFmtId="0" fontId="39" fillId="0" borderId="75" xfId="8" applyFont="1" applyBorder="1" applyAlignment="1">
      <alignment horizontal="center" vertical="center" wrapText="1"/>
    </xf>
    <xf numFmtId="0" fontId="39" fillId="0" borderId="4" xfId="8" applyFont="1" applyBorder="1" applyAlignment="1">
      <alignment vertical="center" wrapText="1"/>
    </xf>
    <xf numFmtId="9" fontId="39" fillId="0" borderId="4" xfId="9" applyFont="1" applyBorder="1" applyAlignment="1">
      <alignment horizontal="center" vertical="center" wrapText="1"/>
    </xf>
    <xf numFmtId="0" fontId="39" fillId="0" borderId="2" xfId="8" applyFont="1" applyBorder="1" applyAlignment="1">
      <alignment vertical="center" wrapText="1"/>
    </xf>
    <xf numFmtId="0" fontId="35" fillId="8" borderId="58" xfId="8" applyFont="1" applyFill="1" applyBorder="1" applyAlignment="1">
      <alignment horizontal="center" vertical="center" wrapText="1"/>
    </xf>
    <xf numFmtId="0" fontId="35" fillId="8" borderId="59" xfId="8" applyFont="1" applyFill="1" applyBorder="1" applyAlignment="1">
      <alignment horizontal="center" vertical="center" wrapText="1"/>
    </xf>
    <xf numFmtId="0" fontId="35" fillId="8" borderId="60" xfId="8" applyFont="1" applyFill="1" applyBorder="1" applyAlignment="1">
      <alignment horizontal="center" vertical="center" wrapText="1"/>
    </xf>
    <xf numFmtId="0" fontId="43" fillId="0" borderId="61" xfId="8" applyFont="1" applyBorder="1" applyAlignment="1">
      <alignment horizontal="center" vertical="center" wrapText="1"/>
    </xf>
    <xf numFmtId="167" fontId="36" fillId="2" borderId="62" xfId="8" applyNumberFormat="1" applyFont="1" applyFill="1" applyBorder="1" applyAlignment="1">
      <alignment horizontal="center" vertical="center" wrapText="1"/>
    </xf>
    <xf numFmtId="167" fontId="36" fillId="0" borderId="62" xfId="8" applyNumberFormat="1" applyFont="1" applyBorder="1" applyAlignment="1">
      <alignment horizontal="center" vertical="center" wrapText="1"/>
    </xf>
    <xf numFmtId="10" fontId="36" fillId="0" borderId="62" xfId="8" applyNumberFormat="1" applyFont="1" applyBorder="1" applyAlignment="1">
      <alignment horizontal="center" vertical="center" wrapText="1"/>
    </xf>
    <xf numFmtId="171" fontId="43" fillId="0" borderId="63" xfId="8" applyNumberFormat="1" applyFont="1" applyBorder="1" applyAlignment="1">
      <alignment horizontal="center" vertical="center" wrapText="1"/>
    </xf>
    <xf numFmtId="0" fontId="36" fillId="0" borderId="64" xfId="8" applyFont="1" applyBorder="1" applyAlignment="1">
      <alignment horizontal="center" vertical="center" wrapText="1"/>
    </xf>
    <xf numFmtId="167" fontId="36" fillId="2" borderId="65" xfId="8" applyNumberFormat="1" applyFont="1" applyFill="1" applyBorder="1" applyAlignment="1">
      <alignment horizontal="center" vertical="center" wrapText="1"/>
    </xf>
    <xf numFmtId="167" fontId="36" fillId="0" borderId="65" xfId="8" applyNumberFormat="1" applyFont="1" applyBorder="1" applyAlignment="1">
      <alignment horizontal="center" vertical="center" wrapText="1"/>
    </xf>
    <xf numFmtId="10" fontId="36" fillId="0" borderId="65" xfId="8" applyNumberFormat="1" applyFont="1" applyBorder="1" applyAlignment="1">
      <alignment horizontal="center" vertical="center" wrapText="1"/>
    </xf>
    <xf numFmtId="171" fontId="36" fillId="0" borderId="66" xfId="8" applyNumberFormat="1" applyFont="1" applyBorder="1" applyAlignment="1">
      <alignment horizontal="center" vertical="center" wrapText="1"/>
    </xf>
    <xf numFmtId="0" fontId="37" fillId="0" borderId="64" xfId="8" applyFont="1" applyBorder="1" applyAlignment="1">
      <alignment horizontal="center" vertical="center" wrapText="1"/>
    </xf>
    <xf numFmtId="167" fontId="37" fillId="0" borderId="65" xfId="8" applyNumberFormat="1" applyFont="1" applyBorder="1" applyAlignment="1">
      <alignment horizontal="center" vertical="center" wrapText="1"/>
    </xf>
    <xf numFmtId="171" fontId="37" fillId="0" borderId="66" xfId="8" applyNumberFormat="1" applyFont="1" applyBorder="1" applyAlignment="1">
      <alignment horizontal="center" vertical="center" wrapText="1"/>
    </xf>
    <xf numFmtId="167" fontId="36" fillId="2" borderId="106" xfId="8" applyNumberFormat="1" applyFont="1" applyFill="1" applyBorder="1" applyAlignment="1">
      <alignment horizontal="center" vertical="center" wrapText="1"/>
    </xf>
    <xf numFmtId="167" fontId="36" fillId="2" borderId="107" xfId="8" applyNumberFormat="1" applyFont="1" applyFill="1" applyBorder="1" applyAlignment="1">
      <alignment horizontal="center" vertical="center" wrapText="1"/>
    </xf>
    <xf numFmtId="0" fontId="35" fillId="9" borderId="100" xfId="8" applyFont="1" applyFill="1" applyBorder="1" applyAlignment="1">
      <alignment horizontal="center" vertical="center" wrapText="1"/>
    </xf>
    <xf numFmtId="0" fontId="35" fillId="9" borderId="101" xfId="8" applyFont="1" applyFill="1" applyBorder="1" applyAlignment="1">
      <alignment horizontal="center" vertical="center" wrapText="1"/>
    </xf>
    <xf numFmtId="0" fontId="37" fillId="0" borderId="40" xfId="8" applyFont="1" applyBorder="1" applyAlignment="1">
      <alignment horizontal="center" vertical="center" wrapText="1"/>
    </xf>
    <xf numFmtId="10" fontId="37" fillId="6" borderId="65" xfId="8" applyNumberFormat="1" applyFont="1" applyFill="1" applyBorder="1" applyAlignment="1">
      <alignment horizontal="center" vertical="center" wrapText="1"/>
    </xf>
    <xf numFmtId="10" fontId="37" fillId="6" borderId="66" xfId="8" applyNumberFormat="1" applyFont="1" applyFill="1" applyBorder="1" applyAlignment="1">
      <alignment horizontal="center" vertical="center" wrapText="1"/>
    </xf>
    <xf numFmtId="10" fontId="37" fillId="6" borderId="104" xfId="8" applyNumberFormat="1" applyFont="1" applyFill="1" applyBorder="1" applyAlignment="1">
      <alignment horizontal="center" vertical="center" wrapText="1"/>
    </xf>
    <xf numFmtId="10" fontId="37" fillId="6" borderId="105" xfId="8" applyNumberFormat="1" applyFont="1" applyFill="1" applyBorder="1" applyAlignment="1">
      <alignment horizontal="center" vertical="center" wrapText="1"/>
    </xf>
    <xf numFmtId="0" fontId="35" fillId="0" borderId="44" xfId="8" applyFont="1" applyBorder="1" applyAlignment="1">
      <alignment horizontal="center" vertical="center" wrapText="1"/>
    </xf>
    <xf numFmtId="172" fontId="35" fillId="0" borderId="68" xfId="8" applyNumberFormat="1" applyFont="1" applyBorder="1" applyAlignment="1">
      <alignment horizontal="center" vertical="center" wrapText="1"/>
    </xf>
    <xf numFmtId="10" fontId="35" fillId="0" borderId="68" xfId="1" applyNumberFormat="1" applyFont="1" applyBorder="1" applyAlignment="1">
      <alignment horizontal="center" vertical="center" wrapText="1"/>
    </xf>
    <xf numFmtId="10" fontId="35" fillId="0" borderId="69" xfId="8" applyNumberFormat="1" applyFont="1" applyBorder="1" applyAlignment="1">
      <alignment horizontal="center" vertical="center" wrapText="1"/>
    </xf>
    <xf numFmtId="0" fontId="37" fillId="0" borderId="16" xfId="8" applyFont="1" applyBorder="1"/>
    <xf numFmtId="10" fontId="9" fillId="0" borderId="0" xfId="8" applyNumberFormat="1" applyAlignment="1">
      <alignment vertical="center" wrapText="1"/>
    </xf>
    <xf numFmtId="9" fontId="9" fillId="0" borderId="0" xfId="8" applyNumberFormat="1" applyAlignment="1">
      <alignment vertical="center" wrapText="1"/>
    </xf>
    <xf numFmtId="1" fontId="29" fillId="2" borderId="76" xfId="8" applyNumberFormat="1" applyFont="1" applyFill="1" applyBorder="1" applyAlignment="1" applyProtection="1">
      <alignment horizontal="center" vertical="center" wrapText="1"/>
      <protection locked="0"/>
    </xf>
    <xf numFmtId="1" fontId="29" fillId="2" borderId="80" xfId="8" applyNumberFormat="1" applyFont="1" applyFill="1" applyBorder="1" applyAlignment="1" applyProtection="1">
      <alignment horizontal="center" vertical="center" wrapText="1"/>
      <protection locked="0"/>
    </xf>
    <xf numFmtId="0" fontId="36" fillId="0" borderId="42" xfId="8" applyFont="1" applyBorder="1"/>
    <xf numFmtId="0" fontId="12" fillId="2" borderId="7" xfId="8" applyFont="1" applyFill="1" applyBorder="1" applyAlignment="1">
      <alignment horizontal="center" vertical="center" wrapText="1"/>
    </xf>
    <xf numFmtId="0" fontId="12" fillId="2" borderId="0" xfId="8" applyFont="1" applyFill="1" applyAlignment="1">
      <alignment horizontal="center" vertical="center" wrapText="1"/>
    </xf>
    <xf numFmtId="0" fontId="13" fillId="6" borderId="0" xfId="8" applyFont="1" applyFill="1" applyAlignment="1">
      <alignment horizontal="center" vertical="center" wrapText="1"/>
    </xf>
    <xf numFmtId="167" fontId="36" fillId="2" borderId="59" xfId="8" applyNumberFormat="1" applyFont="1" applyFill="1" applyBorder="1" applyAlignment="1">
      <alignment horizontal="center" vertical="center" wrapText="1"/>
    </xf>
    <xf numFmtId="176" fontId="9" fillId="0" borderId="0" xfId="8" applyNumberFormat="1" applyAlignment="1">
      <alignment vertical="center" wrapText="1"/>
    </xf>
    <xf numFmtId="170" fontId="9" fillId="0" borderId="0" xfId="8" applyNumberFormat="1" applyAlignment="1">
      <alignment vertical="center" wrapText="1"/>
    </xf>
    <xf numFmtId="170" fontId="23" fillId="0" borderId="0" xfId="8" applyNumberFormat="1" applyFont="1" applyAlignment="1">
      <alignment horizontal="center" vertical="center" wrapText="1"/>
    </xf>
    <xf numFmtId="0" fontId="38" fillId="2" borderId="72" xfId="8" applyFont="1" applyFill="1" applyBorder="1" applyAlignment="1">
      <alignment vertical="center" wrapText="1"/>
    </xf>
    <xf numFmtId="170" fontId="39" fillId="2" borderId="13" xfId="8" applyNumberFormat="1" applyFont="1" applyFill="1" applyBorder="1" applyAlignment="1">
      <alignment horizontal="center" vertical="center" wrapText="1"/>
    </xf>
    <xf numFmtId="0" fontId="41" fillId="0" borderId="12" xfId="8" applyFont="1" applyBorder="1" applyAlignment="1">
      <alignment vertical="center" wrapText="1"/>
    </xf>
    <xf numFmtId="177" fontId="41" fillId="0" borderId="14" xfId="1" applyNumberFormat="1" applyFont="1" applyBorder="1" applyAlignment="1">
      <alignment vertical="center" wrapText="1"/>
    </xf>
    <xf numFmtId="10" fontId="41" fillId="0" borderId="14" xfId="8" applyNumberFormat="1" applyFont="1" applyBorder="1" applyAlignment="1">
      <alignment vertical="center" wrapText="1"/>
    </xf>
    <xf numFmtId="0" fontId="40" fillId="0" borderId="12" xfId="8" applyFont="1" applyBorder="1" applyAlignment="1">
      <alignment vertical="center" wrapText="1"/>
    </xf>
    <xf numFmtId="10" fontId="40" fillId="0" borderId="14" xfId="8" applyNumberFormat="1" applyFont="1" applyBorder="1" applyAlignment="1">
      <alignment vertical="center" wrapText="1"/>
    </xf>
    <xf numFmtId="9" fontId="41" fillId="0" borderId="14" xfId="8" applyNumberFormat="1" applyFont="1" applyBorder="1" applyAlignment="1">
      <alignment vertical="center" wrapText="1"/>
    </xf>
    <xf numFmtId="0" fontId="59" fillId="0" borderId="12" xfId="17" applyFont="1" applyBorder="1" applyAlignment="1">
      <alignment horizontal="center" vertical="center" wrapText="1"/>
    </xf>
    <xf numFmtId="0" fontId="59" fillId="0" borderId="14" xfId="17" applyFont="1" applyBorder="1" applyAlignment="1">
      <alignment horizontal="center" vertical="center" wrapText="1"/>
    </xf>
    <xf numFmtId="0" fontId="55" fillId="0" borderId="0" xfId="20" applyAlignment="1">
      <alignment horizontal="left" vertical="top"/>
    </xf>
    <xf numFmtId="0" fontId="52" fillId="11" borderId="13" xfId="20" applyFont="1" applyFill="1" applyBorder="1" applyAlignment="1">
      <alignment horizontal="center" vertical="center" wrapText="1"/>
    </xf>
    <xf numFmtId="1" fontId="56" fillId="12" borderId="13" xfId="20" applyNumberFormat="1" applyFont="1" applyFill="1" applyBorder="1" applyAlignment="1">
      <alignment horizontal="center" vertical="center" shrinkToFit="1"/>
    </xf>
    <xf numFmtId="0" fontId="52" fillId="11" borderId="13" xfId="20" applyFont="1" applyFill="1" applyBorder="1" applyAlignment="1">
      <alignment vertical="center"/>
    </xf>
    <xf numFmtId="2" fontId="54" fillId="0" borderId="13" xfId="20" applyNumberFormat="1" applyFont="1" applyBorder="1" applyAlignment="1">
      <alignment horizontal="center" vertical="center" shrinkToFit="1"/>
    </xf>
    <xf numFmtId="0" fontId="52" fillId="0" borderId="13" xfId="20" applyFont="1" applyBorder="1" applyAlignment="1">
      <alignment horizontal="left" vertical="center" wrapText="1"/>
    </xf>
    <xf numFmtId="0" fontId="52" fillId="0" borderId="13" xfId="20" applyFont="1" applyBorder="1" applyAlignment="1">
      <alignment horizontal="center" vertical="center" wrapText="1"/>
    </xf>
    <xf numFmtId="2" fontId="54" fillId="2" borderId="13" xfId="20" applyNumberFormat="1" applyFont="1" applyFill="1" applyBorder="1" applyAlignment="1">
      <alignment horizontal="center" vertical="center" shrinkToFit="1"/>
    </xf>
    <xf numFmtId="179" fontId="54" fillId="2" borderId="13" xfId="21" applyNumberFormat="1" applyFont="1" applyFill="1" applyBorder="1" applyAlignment="1">
      <alignment horizontal="left" vertical="center" wrapText="1"/>
    </xf>
    <xf numFmtId="178" fontId="54" fillId="0" borderId="13" xfId="20" applyNumberFormat="1" applyFont="1" applyBorder="1" applyAlignment="1">
      <alignment horizontal="left" vertical="center" wrapText="1"/>
    </xf>
    <xf numFmtId="178" fontId="54" fillId="2" borderId="13" xfId="21" applyFont="1" applyFill="1" applyBorder="1" applyAlignment="1">
      <alignment horizontal="left" vertical="center" wrapText="1"/>
    </xf>
    <xf numFmtId="178" fontId="54" fillId="2" borderId="13" xfId="21" applyFont="1" applyFill="1" applyBorder="1" applyAlignment="1">
      <alignment horizontal="left" vertical="center"/>
    </xf>
    <xf numFmtId="0" fontId="52" fillId="2" borderId="13" xfId="20" applyFont="1" applyFill="1" applyBorder="1" applyAlignment="1">
      <alignment horizontal="left" vertical="center" wrapText="1"/>
    </xf>
    <xf numFmtId="0" fontId="52" fillId="12" borderId="13" xfId="20" applyFont="1" applyFill="1" applyBorder="1" applyAlignment="1">
      <alignment vertical="center" wrapText="1"/>
    </xf>
    <xf numFmtId="179" fontId="54" fillId="2" borderId="13" xfId="21" applyNumberFormat="1" applyFont="1" applyFill="1" applyBorder="1" applyAlignment="1">
      <alignment horizontal="left" vertical="center"/>
    </xf>
    <xf numFmtId="0" fontId="60" fillId="0" borderId="65" xfId="20" applyFont="1" applyBorder="1" applyAlignment="1">
      <alignment horizontal="left" vertical="center" wrapText="1"/>
    </xf>
    <xf numFmtId="0" fontId="60" fillId="0" borderId="13" xfId="20" applyFont="1" applyBorder="1" applyAlignment="1">
      <alignment horizontal="center" vertical="center" wrapText="1"/>
    </xf>
    <xf numFmtId="181" fontId="60" fillId="2" borderId="65" xfId="22" applyNumberFormat="1" applyFont="1" applyFill="1" applyBorder="1" applyAlignment="1">
      <alignment horizontal="center" vertical="center" wrapText="1"/>
    </xf>
    <xf numFmtId="0" fontId="52" fillId="0" borderId="65" xfId="20" applyFont="1" applyBorder="1" applyAlignment="1">
      <alignment horizontal="center" vertical="center" wrapText="1"/>
    </xf>
    <xf numFmtId="181" fontId="52" fillId="2" borderId="65" xfId="22" applyNumberFormat="1" applyFont="1" applyFill="1" applyBorder="1" applyAlignment="1">
      <alignment horizontal="center" vertical="center" wrapText="1"/>
    </xf>
    <xf numFmtId="181" fontId="52" fillId="0" borderId="65" xfId="22" applyNumberFormat="1" applyFont="1" applyFill="1" applyBorder="1" applyAlignment="1">
      <alignment horizontal="center" vertical="center" wrapText="1"/>
    </xf>
    <xf numFmtId="182" fontId="54" fillId="2" borderId="65" xfId="23" applyFont="1" applyFill="1" applyBorder="1" applyAlignment="1">
      <alignment horizontal="center" vertical="center" wrapText="1"/>
    </xf>
    <xf numFmtId="0" fontId="60" fillId="0" borderId="13" xfId="20" applyFont="1" applyBorder="1" applyAlignment="1">
      <alignment horizontal="left" vertical="center" wrapText="1"/>
    </xf>
    <xf numFmtId="2" fontId="7" fillId="0" borderId="65" xfId="20" applyNumberFormat="1" applyFont="1" applyBorder="1" applyAlignment="1">
      <alignment horizontal="center" vertical="center" shrinkToFit="1"/>
    </xf>
    <xf numFmtId="0" fontId="60" fillId="0" borderId="65" xfId="20" applyFont="1" applyBorder="1" applyAlignment="1">
      <alignment horizontal="center" vertical="center" wrapText="1"/>
    </xf>
    <xf numFmtId="181" fontId="60" fillId="0" borderId="65" xfId="22" applyNumberFormat="1" applyFont="1" applyFill="1" applyBorder="1" applyAlignment="1">
      <alignment horizontal="center" vertical="center" wrapText="1"/>
    </xf>
    <xf numFmtId="2" fontId="54" fillId="0" borderId="65" xfId="20" applyNumberFormat="1" applyFont="1" applyBorder="1" applyAlignment="1">
      <alignment horizontal="center" vertical="center" shrinkToFit="1"/>
    </xf>
    <xf numFmtId="178" fontId="54" fillId="0" borderId="13" xfId="21" applyFont="1" applyFill="1" applyBorder="1" applyAlignment="1">
      <alignment horizontal="left" vertical="center"/>
    </xf>
    <xf numFmtId="2" fontId="7" fillId="0" borderId="59" xfId="20" applyNumberFormat="1" applyFont="1" applyBorder="1" applyAlignment="1">
      <alignment horizontal="center" vertical="center" shrinkToFit="1"/>
    </xf>
    <xf numFmtId="0" fontId="60" fillId="2" borderId="109" xfId="20" applyFont="1" applyFill="1" applyBorder="1" applyAlignment="1">
      <alignment horizontal="left" vertical="center" wrapText="1"/>
    </xf>
    <xf numFmtId="0" fontId="52" fillId="0" borderId="109" xfId="20" applyFont="1" applyBorder="1" applyAlignment="1">
      <alignment horizontal="center" vertical="center" wrapText="1"/>
    </xf>
    <xf numFmtId="2" fontId="54" fillId="0" borderId="109" xfId="20" applyNumberFormat="1" applyFont="1" applyBorder="1" applyAlignment="1">
      <alignment horizontal="center" vertical="center" shrinkToFit="1"/>
    </xf>
    <xf numFmtId="178" fontId="54" fillId="2" borderId="109" xfId="21" applyFont="1" applyFill="1" applyBorder="1" applyAlignment="1">
      <alignment horizontal="left" vertical="center"/>
    </xf>
    <xf numFmtId="2" fontId="7" fillId="0" borderId="13" xfId="20" applyNumberFormat="1" applyFont="1" applyBorder="1" applyAlignment="1">
      <alignment horizontal="center" vertical="center" shrinkToFit="1"/>
    </xf>
    <xf numFmtId="183" fontId="61" fillId="0" borderId="0" xfId="20" applyNumberFormat="1" applyFont="1" applyAlignment="1">
      <alignment horizontal="center" vertical="center" shrinkToFit="1"/>
    </xf>
    <xf numFmtId="0" fontId="60" fillId="0" borderId="0" xfId="20" applyFont="1" applyAlignment="1">
      <alignment horizontal="left" vertical="center" wrapText="1"/>
    </xf>
    <xf numFmtId="0" fontId="60" fillId="0" borderId="0" xfId="20" applyFont="1" applyAlignment="1">
      <alignment horizontal="center" vertical="center" wrapText="1"/>
    </xf>
    <xf numFmtId="181" fontId="60" fillId="0" borderId="0" xfId="22" applyNumberFormat="1" applyFont="1" applyFill="1" applyBorder="1" applyAlignment="1">
      <alignment horizontal="center" vertical="center" wrapText="1"/>
    </xf>
    <xf numFmtId="182" fontId="7" fillId="0" borderId="0" xfId="23" applyFont="1" applyFill="1" applyBorder="1" applyAlignment="1">
      <alignment horizontal="center" vertical="center" wrapText="1"/>
    </xf>
    <xf numFmtId="182" fontId="7" fillId="0" borderId="0" xfId="23" applyFont="1" applyFill="1" applyBorder="1" applyAlignment="1">
      <alignment horizontal="left" vertical="center" wrapText="1"/>
    </xf>
    <xf numFmtId="0" fontId="54" fillId="0" borderId="13" xfId="20" applyFont="1" applyBorder="1" applyAlignment="1">
      <alignment horizontal="left" vertical="center" wrapText="1"/>
    </xf>
    <xf numFmtId="178" fontId="56" fillId="0" borderId="13" xfId="20" applyNumberFormat="1" applyFont="1" applyBorder="1" applyAlignment="1">
      <alignment horizontal="left" vertical="center" wrapText="1"/>
    </xf>
    <xf numFmtId="10" fontId="7" fillId="0" borderId="13" xfId="24" applyNumberFormat="1" applyFont="1" applyFill="1" applyBorder="1" applyAlignment="1">
      <alignment horizontal="center" vertical="center"/>
    </xf>
    <xf numFmtId="10" fontId="7" fillId="0" borderId="13" xfId="24" applyNumberFormat="1" applyFont="1" applyFill="1" applyBorder="1" applyAlignment="1">
      <alignment horizontal="center" vertical="center" shrinkToFit="1"/>
    </xf>
    <xf numFmtId="178" fontId="54" fillId="0" borderId="13" xfId="21" applyFont="1" applyFill="1" applyBorder="1" applyAlignment="1">
      <alignment horizontal="left" vertical="center" wrapText="1"/>
    </xf>
    <xf numFmtId="0" fontId="55" fillId="0" borderId="0" xfId="20" applyAlignment="1">
      <alignment vertical="top" wrapText="1"/>
    </xf>
    <xf numFmtId="0" fontId="58" fillId="0" borderId="0" xfId="20" applyFont="1" applyAlignment="1">
      <alignment horizontal="left" vertical="top"/>
    </xf>
    <xf numFmtId="0" fontId="52" fillId="13" borderId="13" xfId="20" applyFont="1" applyFill="1" applyBorder="1" applyAlignment="1">
      <alignment horizontal="center" vertical="center" wrapText="1"/>
    </xf>
    <xf numFmtId="0" fontId="52" fillId="11" borderId="12" xfId="20" applyFont="1" applyFill="1" applyBorder="1" applyAlignment="1">
      <alignment vertical="center"/>
    </xf>
    <xf numFmtId="178" fontId="54" fillId="0" borderId="12" xfId="20" applyNumberFormat="1" applyFont="1" applyBorder="1" applyAlignment="1">
      <alignment horizontal="left" vertical="center" wrapText="1"/>
    </xf>
    <xf numFmtId="0" fontId="52" fillId="12" borderId="12" xfId="20" applyFont="1" applyFill="1" applyBorder="1" applyAlignment="1">
      <alignment vertical="center" wrapText="1"/>
    </xf>
    <xf numFmtId="0" fontId="52" fillId="11" borderId="12" xfId="20" applyFont="1" applyFill="1" applyBorder="1" applyAlignment="1">
      <alignment horizontal="center" vertical="center" wrapText="1"/>
    </xf>
    <xf numFmtId="182" fontId="54" fillId="0" borderId="41" xfId="23" applyFont="1" applyFill="1" applyBorder="1" applyAlignment="1">
      <alignment horizontal="left" vertical="center" wrapText="1"/>
    </xf>
    <xf numFmtId="0" fontId="55" fillId="0" borderId="13" xfId="20" applyBorder="1" applyAlignment="1">
      <alignment horizontal="left" vertical="top"/>
    </xf>
    <xf numFmtId="178" fontId="55" fillId="0" borderId="13" xfId="20" applyNumberFormat="1" applyBorder="1" applyAlignment="1">
      <alignment horizontal="left" vertical="top"/>
    </xf>
    <xf numFmtId="0" fontId="55" fillId="13" borderId="13" xfId="20" applyFill="1" applyBorder="1" applyAlignment="1">
      <alignment horizontal="left" vertical="top"/>
    </xf>
    <xf numFmtId="0" fontId="49" fillId="0" borderId="0" xfId="20" applyFont="1" applyAlignment="1">
      <alignment horizontal="center" vertical="top" wrapText="1"/>
    </xf>
    <xf numFmtId="0" fontId="55" fillId="0" borderId="0" xfId="20" applyAlignment="1">
      <alignment horizontal="left" vertical="top" wrapText="1" indent="2"/>
    </xf>
    <xf numFmtId="0" fontId="51" fillId="0" borderId="0" xfId="20" applyFont="1" applyAlignment="1">
      <alignment horizontal="left" vertical="top" wrapText="1" indent="2"/>
    </xf>
    <xf numFmtId="0" fontId="52" fillId="12" borderId="0" xfId="20" applyFont="1" applyFill="1" applyAlignment="1">
      <alignment horizontal="left" vertical="center" wrapText="1"/>
    </xf>
    <xf numFmtId="182" fontId="54" fillId="0" borderId="0" xfId="23" applyFont="1" applyFill="1" applyBorder="1" applyAlignment="1">
      <alignment horizontal="left" vertical="center" wrapText="1"/>
    </xf>
    <xf numFmtId="0" fontId="53" fillId="11" borderId="13" xfId="20" applyFont="1" applyFill="1" applyBorder="1" applyAlignment="1">
      <alignment vertical="center"/>
    </xf>
    <xf numFmtId="178" fontId="62" fillId="0" borderId="12" xfId="20" applyNumberFormat="1" applyFont="1" applyBorder="1" applyAlignment="1">
      <alignment horizontal="left" vertical="center" wrapText="1"/>
    </xf>
    <xf numFmtId="0" fontId="19" fillId="2" borderId="0" xfId="25" applyFont="1" applyFill="1"/>
    <xf numFmtId="0" fontId="19" fillId="0" borderId="0" xfId="25" applyFont="1"/>
    <xf numFmtId="0" fontId="65" fillId="2" borderId="0" xfId="26" applyFont="1" applyFill="1" applyAlignment="1">
      <alignment vertical="center"/>
    </xf>
    <xf numFmtId="0" fontId="67" fillId="2" borderId="0" xfId="26" applyFont="1" applyFill="1"/>
    <xf numFmtId="0" fontId="67" fillId="2" borderId="0" xfId="26" applyFont="1" applyFill="1" applyAlignment="1">
      <alignment horizontal="right"/>
    </xf>
    <xf numFmtId="184" fontId="67" fillId="2" borderId="0" xfId="26" applyNumberFormat="1" applyFont="1" applyFill="1"/>
    <xf numFmtId="0" fontId="68" fillId="2" borderId="0" xfId="26" applyFont="1" applyFill="1"/>
    <xf numFmtId="0" fontId="67" fillId="14" borderId="113" xfId="26" applyFont="1" applyFill="1" applyBorder="1" applyAlignment="1">
      <alignment horizontal="center"/>
    </xf>
    <xf numFmtId="185" fontId="68" fillId="2" borderId="113" xfId="26" applyNumberFormat="1" applyFont="1" applyFill="1" applyBorder="1" applyAlignment="1">
      <alignment horizontal="center"/>
    </xf>
    <xf numFmtId="49" fontId="68" fillId="15" borderId="13" xfId="27" applyNumberFormat="1" applyFont="1" applyFill="1" applyBorder="1" applyAlignment="1" applyProtection="1">
      <alignment horizontal="center" vertical="center" wrapText="1"/>
      <protection locked="0"/>
    </xf>
    <xf numFmtId="0" fontId="19" fillId="0" borderId="0" xfId="25" applyFont="1" applyAlignment="1">
      <alignment vertical="center"/>
    </xf>
    <xf numFmtId="0" fontId="67" fillId="14" borderId="13" xfId="26" applyFont="1" applyFill="1" applyBorder="1" applyAlignment="1">
      <alignment horizontal="center" vertical="center" wrapText="1"/>
    </xf>
    <xf numFmtId="0" fontId="21" fillId="16" borderId="12" xfId="26" applyFont="1" applyFill="1" applyBorder="1" applyAlignment="1">
      <alignment horizontal="center" vertical="center" wrapText="1"/>
    </xf>
    <xf numFmtId="0" fontId="19" fillId="2" borderId="13" xfId="25" applyFont="1" applyFill="1" applyBorder="1" applyAlignment="1">
      <alignment horizontal="center" vertical="center" wrapText="1"/>
    </xf>
    <xf numFmtId="0" fontId="60" fillId="0" borderId="13" xfId="26" applyFont="1" applyBorder="1" applyAlignment="1">
      <alignment horizontal="left" vertical="center" wrapText="1"/>
    </xf>
    <xf numFmtId="0" fontId="60" fillId="0" borderId="13" xfId="26" applyFont="1" applyBorder="1" applyAlignment="1">
      <alignment horizontal="center" vertical="center" wrapText="1"/>
    </xf>
    <xf numFmtId="1" fontId="7" fillId="2" borderId="13" xfId="26" applyNumberFormat="1" applyFont="1" applyFill="1" applyBorder="1" applyAlignment="1">
      <alignment horizontal="center" vertical="center" shrinkToFit="1"/>
    </xf>
    <xf numFmtId="167" fontId="30" fillId="0" borderId="13" xfId="26" applyNumberFormat="1" applyFont="1" applyBorder="1" applyAlignment="1">
      <alignment horizontal="right" vertical="center" wrapText="1"/>
    </xf>
    <xf numFmtId="186" fontId="19" fillId="2" borderId="13" xfId="25" applyNumberFormat="1" applyFont="1" applyFill="1" applyBorder="1" applyAlignment="1">
      <alignment horizontal="right" vertical="center" wrapText="1"/>
    </xf>
    <xf numFmtId="1" fontId="7" fillId="0" borderId="13" xfId="26" applyNumberFormat="1" applyFont="1" applyBorder="1" applyAlignment="1">
      <alignment horizontal="center" vertical="center" shrinkToFit="1"/>
    </xf>
    <xf numFmtId="2" fontId="19" fillId="2" borderId="13" xfId="25" applyNumberFormat="1" applyFont="1" applyFill="1" applyBorder="1" applyAlignment="1">
      <alignment horizontal="center" vertical="center" wrapText="1"/>
    </xf>
    <xf numFmtId="0" fontId="60" fillId="2" borderId="13" xfId="26" applyFont="1" applyFill="1" applyBorder="1" applyAlignment="1">
      <alignment horizontal="left" vertical="center" wrapText="1"/>
    </xf>
    <xf numFmtId="0" fontId="72" fillId="18" borderId="12" xfId="26" applyFont="1" applyFill="1" applyBorder="1" applyAlignment="1">
      <alignment horizontal="center" vertical="center" wrapText="1"/>
    </xf>
    <xf numFmtId="0" fontId="72" fillId="18" borderId="11" xfId="26" applyFont="1" applyFill="1" applyBorder="1" applyAlignment="1">
      <alignment horizontal="center" vertical="center" wrapText="1"/>
    </xf>
    <xf numFmtId="0" fontId="71" fillId="18" borderId="11" xfId="26" applyFont="1" applyFill="1" applyBorder="1" applyAlignment="1">
      <alignment horizontal="center" vertical="center" wrapText="1"/>
    </xf>
    <xf numFmtId="176" fontId="33" fillId="18" borderId="14" xfId="26" applyNumberFormat="1" applyFont="1" applyFill="1" applyBorder="1" applyAlignment="1">
      <alignment horizontal="right" vertical="center" wrapText="1"/>
    </xf>
    <xf numFmtId="0" fontId="30" fillId="0" borderId="0" xfId="26" applyFont="1" applyAlignment="1">
      <alignment vertical="center"/>
    </xf>
    <xf numFmtId="0" fontId="19" fillId="2" borderId="0" xfId="25" applyFont="1" applyFill="1" applyAlignment="1">
      <alignment horizontal="center" vertical="center" wrapText="1"/>
    </xf>
    <xf numFmtId="3" fontId="74" fillId="2" borderId="0" xfId="28" applyNumberFormat="1" applyFont="1" applyFill="1" applyAlignment="1" applyProtection="1">
      <alignment horizontal="left" vertical="center" wrapText="1"/>
      <protection locked="0"/>
    </xf>
    <xf numFmtId="0" fontId="19" fillId="2" borderId="0" xfId="25" applyFont="1" applyFill="1" applyAlignment="1">
      <alignment horizontal="center" vertical="center"/>
    </xf>
    <xf numFmtId="167" fontId="30" fillId="2" borderId="0" xfId="26" applyNumberFormat="1" applyFont="1" applyFill="1" applyAlignment="1">
      <alignment horizontal="right" vertical="center" wrapText="1"/>
    </xf>
    <xf numFmtId="186" fontId="19" fillId="2" borderId="0" xfId="25" applyNumberFormat="1" applyFont="1" applyFill="1" applyAlignment="1">
      <alignment horizontal="right" vertical="center" wrapText="1"/>
    </xf>
    <xf numFmtId="0" fontId="33" fillId="16" borderId="12" xfId="26" applyFont="1" applyFill="1" applyBorder="1" applyAlignment="1">
      <alignment horizontal="center" vertical="center" wrapText="1"/>
    </xf>
    <xf numFmtId="3" fontId="75" fillId="2" borderId="13" xfId="28" applyNumberFormat="1" applyFont="1" applyFill="1" applyBorder="1" applyAlignment="1" applyProtection="1">
      <alignment horizontal="left" vertical="center" wrapText="1"/>
      <protection locked="0"/>
    </xf>
    <xf numFmtId="0" fontId="19" fillId="2" borderId="76" xfId="25" applyFont="1" applyFill="1" applyBorder="1" applyAlignment="1">
      <alignment horizontal="center" vertical="center" wrapText="1"/>
    </xf>
    <xf numFmtId="167" fontId="30" fillId="0" borderId="76" xfId="26" applyNumberFormat="1" applyFont="1" applyBorder="1" applyAlignment="1">
      <alignment horizontal="right" vertical="center" wrapText="1"/>
    </xf>
    <xf numFmtId="186" fontId="19" fillId="2" borderId="76" xfId="25" applyNumberFormat="1" applyFont="1" applyFill="1" applyBorder="1" applyAlignment="1">
      <alignment horizontal="right" vertical="center" wrapText="1"/>
    </xf>
    <xf numFmtId="0" fontId="19" fillId="2" borderId="109" xfId="25" applyFont="1" applyFill="1" applyBorder="1" applyAlignment="1">
      <alignment horizontal="center" vertical="center" wrapText="1"/>
    </xf>
    <xf numFmtId="0" fontId="60" fillId="0" borderId="109" xfId="26" applyFont="1" applyBorder="1" applyAlignment="1">
      <alignment horizontal="left" vertical="center" wrapText="1"/>
    </xf>
    <xf numFmtId="0" fontId="60" fillId="0" borderId="109" xfId="26" applyFont="1" applyBorder="1" applyAlignment="1">
      <alignment horizontal="center" vertical="center" wrapText="1"/>
    </xf>
    <xf numFmtId="1" fontId="7" fillId="0" borderId="109" xfId="26" applyNumberFormat="1" applyFont="1" applyBorder="1" applyAlignment="1">
      <alignment horizontal="center" vertical="center" shrinkToFit="1"/>
    </xf>
    <xf numFmtId="167" fontId="30" fillId="0" borderId="109" xfId="26" applyNumberFormat="1" applyFont="1" applyBorder="1" applyAlignment="1">
      <alignment horizontal="right" vertical="center" wrapText="1"/>
    </xf>
    <xf numFmtId="186" fontId="19" fillId="2" borderId="109" xfId="25" applyNumberFormat="1" applyFont="1" applyFill="1" applyBorder="1" applyAlignment="1">
      <alignment horizontal="right" vertical="center" wrapText="1"/>
    </xf>
    <xf numFmtId="187" fontId="33" fillId="18" borderId="14" xfId="26" applyNumberFormat="1" applyFont="1" applyFill="1" applyBorder="1" applyAlignment="1">
      <alignment horizontal="right" vertical="center" wrapText="1"/>
    </xf>
    <xf numFmtId="0" fontId="60" fillId="0" borderId="65" xfId="26" applyFont="1" applyBorder="1" applyAlignment="1">
      <alignment horizontal="left" vertical="center" wrapText="1"/>
    </xf>
    <xf numFmtId="1" fontId="60" fillId="2" borderId="65" xfId="29" applyNumberFormat="1" applyFont="1" applyFill="1" applyBorder="1" applyAlignment="1">
      <alignment horizontal="center" vertical="center" wrapText="1"/>
    </xf>
    <xf numFmtId="0" fontId="60" fillId="0" borderId="65" xfId="26" applyFont="1" applyBorder="1" applyAlignment="1">
      <alignment horizontal="center" vertical="center" wrapText="1"/>
    </xf>
    <xf numFmtId="0" fontId="60" fillId="0" borderId="40" xfId="26" applyFont="1" applyBorder="1" applyAlignment="1">
      <alignment horizontal="left" vertical="center" wrapText="1"/>
    </xf>
    <xf numFmtId="0" fontId="60" fillId="0" borderId="13" xfId="26" applyFont="1" applyBorder="1" applyAlignment="1">
      <alignment vertical="center" wrapText="1"/>
    </xf>
    <xf numFmtId="1" fontId="60" fillId="0" borderId="65" xfId="29" applyNumberFormat="1" applyFont="1" applyFill="1" applyBorder="1" applyAlignment="1">
      <alignment horizontal="center" vertical="center" wrapText="1"/>
    </xf>
    <xf numFmtId="0" fontId="60" fillId="0" borderId="40" xfId="26" applyFont="1" applyBorder="1" applyAlignment="1">
      <alignment vertical="center" wrapText="1"/>
    </xf>
    <xf numFmtId="1" fontId="7" fillId="0" borderId="41" xfId="26" applyNumberFormat="1" applyFont="1" applyBorder="1" applyAlignment="1">
      <alignment horizontal="center" vertical="center" shrinkToFit="1"/>
    </xf>
    <xf numFmtId="0" fontId="60" fillId="2" borderId="109" xfId="26" applyFont="1" applyFill="1" applyBorder="1" applyAlignment="1">
      <alignment vertical="center" wrapText="1"/>
    </xf>
    <xf numFmtId="0" fontId="76" fillId="2" borderId="0" xfId="3" applyFont="1" applyFill="1" applyAlignment="1">
      <alignment vertical="center"/>
    </xf>
    <xf numFmtId="188" fontId="21" fillId="2" borderId="17" xfId="3" applyNumberFormat="1" applyFont="1" applyFill="1" applyBorder="1" applyAlignment="1">
      <alignment horizontal="right" vertical="center" wrapText="1"/>
    </xf>
    <xf numFmtId="0" fontId="76" fillId="0" borderId="0" xfId="3" applyFont="1" applyAlignment="1">
      <alignment vertical="center"/>
    </xf>
    <xf numFmtId="9" fontId="78" fillId="2" borderId="0" xfId="30" applyFont="1" applyFill="1" applyBorder="1" applyAlignment="1">
      <alignment horizontal="center" vertical="center" wrapText="1"/>
    </xf>
    <xf numFmtId="188" fontId="21" fillId="2" borderId="16" xfId="3" applyNumberFormat="1" applyFont="1" applyFill="1" applyBorder="1" applyAlignment="1">
      <alignment horizontal="right" vertical="center" wrapText="1"/>
    </xf>
    <xf numFmtId="9" fontId="71" fillId="2" borderId="0" xfId="30" applyFont="1" applyFill="1" applyBorder="1" applyAlignment="1">
      <alignment horizontal="center" vertical="center" wrapText="1"/>
    </xf>
    <xf numFmtId="9" fontId="71" fillId="2" borderId="4" xfId="30" applyFont="1" applyFill="1" applyBorder="1" applyAlignment="1">
      <alignment horizontal="center" vertical="center"/>
    </xf>
    <xf numFmtId="188" fontId="21" fillId="2" borderId="2" xfId="3" applyNumberFormat="1" applyFont="1" applyFill="1" applyBorder="1" applyAlignment="1">
      <alignment vertical="center"/>
    </xf>
    <xf numFmtId="0" fontId="80" fillId="2" borderId="0" xfId="3" applyFont="1" applyFill="1" applyAlignment="1">
      <alignment horizontal="center" vertical="center"/>
    </xf>
    <xf numFmtId="9" fontId="81" fillId="2" borderId="0" xfId="30" applyFont="1" applyFill="1" applyBorder="1" applyAlignment="1">
      <alignment horizontal="center" vertical="center"/>
    </xf>
    <xf numFmtId="188" fontId="21" fillId="2" borderId="16" xfId="3" applyNumberFormat="1" applyFont="1" applyFill="1" applyBorder="1" applyAlignment="1">
      <alignment vertical="center"/>
    </xf>
    <xf numFmtId="0" fontId="80" fillId="0" borderId="0" xfId="3" applyFont="1" applyAlignment="1">
      <alignment horizontal="center" vertical="center"/>
    </xf>
    <xf numFmtId="188" fontId="65" fillId="2" borderId="2" xfId="3" applyNumberFormat="1" applyFont="1" applyFill="1" applyBorder="1" applyAlignment="1">
      <alignment vertical="center"/>
    </xf>
    <xf numFmtId="0" fontId="82" fillId="2" borderId="0" xfId="3" applyFont="1" applyFill="1" applyAlignment="1">
      <alignment vertical="center"/>
    </xf>
    <xf numFmtId="0" fontId="78" fillId="2" borderId="0" xfId="3" applyFont="1" applyFill="1" applyAlignment="1">
      <alignment vertical="center"/>
    </xf>
    <xf numFmtId="9" fontId="83" fillId="2" borderId="0" xfId="3" applyNumberFormat="1" applyFont="1" applyFill="1" applyAlignment="1">
      <alignment horizontal="right" vertical="center"/>
    </xf>
    <xf numFmtId="188" fontId="65" fillId="2" borderId="0" xfId="3" applyNumberFormat="1" applyFont="1" applyFill="1" applyAlignment="1">
      <alignment vertical="center"/>
    </xf>
    <xf numFmtId="0" fontId="85" fillId="2" borderId="0" xfId="25" applyFont="1" applyFill="1" applyAlignment="1">
      <alignment vertical="center"/>
    </xf>
    <xf numFmtId="2" fontId="86" fillId="2" borderId="0" xfId="25" applyNumberFormat="1" applyFont="1" applyFill="1" applyAlignment="1" applyProtection="1">
      <alignment vertical="center"/>
      <protection hidden="1"/>
    </xf>
    <xf numFmtId="0" fontId="87" fillId="2" borderId="0" xfId="25" applyFont="1" applyFill="1" applyAlignment="1" applyProtection="1">
      <alignment vertical="center"/>
      <protection hidden="1"/>
    </xf>
    <xf numFmtId="191" fontId="86" fillId="2" borderId="0" xfId="25" applyNumberFormat="1" applyFont="1" applyFill="1" applyAlignment="1" applyProtection="1">
      <alignment horizontal="right" vertical="center"/>
      <protection hidden="1"/>
    </xf>
    <xf numFmtId="0" fontId="21" fillId="2" borderId="0" xfId="25" applyFont="1" applyFill="1"/>
    <xf numFmtId="2" fontId="21" fillId="2" borderId="0" xfId="25" applyNumberFormat="1" applyFont="1" applyFill="1"/>
    <xf numFmtId="2" fontId="33" fillId="2" borderId="0" xfId="25" applyNumberFormat="1" applyFont="1" applyFill="1"/>
    <xf numFmtId="0" fontId="33" fillId="2" borderId="0" xfId="25" applyFont="1" applyFill="1"/>
    <xf numFmtId="2" fontId="88" fillId="0" borderId="0" xfId="25" applyNumberFormat="1" applyFont="1"/>
    <xf numFmtId="0" fontId="88" fillId="0" borderId="0" xfId="25" applyFont="1" applyAlignment="1">
      <alignment horizontal="justify"/>
    </xf>
    <xf numFmtId="0" fontId="88" fillId="0" borderId="0" xfId="25" applyFont="1"/>
    <xf numFmtId="179" fontId="55" fillId="0" borderId="13" xfId="20" applyNumberFormat="1" applyBorder="1" applyAlignment="1">
      <alignment horizontal="left" vertical="top"/>
    </xf>
    <xf numFmtId="0" fontId="55" fillId="13" borderId="12" xfId="20" applyFill="1" applyBorder="1" applyAlignment="1">
      <alignment vertical="top"/>
    </xf>
    <xf numFmtId="0" fontId="55" fillId="13" borderId="11" xfId="20" applyFill="1" applyBorder="1" applyAlignment="1">
      <alignment vertical="top"/>
    </xf>
    <xf numFmtId="0" fontId="55" fillId="13" borderId="14" xfId="20" applyFill="1" applyBorder="1" applyAlignment="1">
      <alignment vertical="top"/>
    </xf>
    <xf numFmtId="0" fontId="55" fillId="0" borderId="13" xfId="20" applyBorder="1" applyAlignment="1">
      <alignment horizontal="center" vertical="top"/>
    </xf>
    <xf numFmtId="0" fontId="55" fillId="0" borderId="13" xfId="20" applyBorder="1" applyAlignment="1">
      <alignment horizontal="center" vertical="center"/>
    </xf>
    <xf numFmtId="179" fontId="55" fillId="21" borderId="13" xfId="20" applyNumberFormat="1" applyFill="1" applyBorder="1" applyAlignment="1">
      <alignment horizontal="left" vertical="top"/>
    </xf>
    <xf numFmtId="0" fontId="55" fillId="21" borderId="14" xfId="20" applyFill="1" applyBorder="1" applyAlignment="1">
      <alignment vertical="top"/>
    </xf>
    <xf numFmtId="0" fontId="55" fillId="21" borderId="13" xfId="20" applyFill="1" applyBorder="1" applyAlignment="1">
      <alignment horizontal="left" vertical="top"/>
    </xf>
    <xf numFmtId="0" fontId="55" fillId="3" borderId="13" xfId="20" applyFill="1" applyBorder="1" applyAlignment="1">
      <alignment horizontal="left" vertical="top"/>
    </xf>
    <xf numFmtId="0" fontId="55" fillId="3" borderId="12" xfId="20" applyFill="1" applyBorder="1" applyAlignment="1">
      <alignment vertical="top"/>
    </xf>
    <xf numFmtId="179" fontId="55" fillId="3" borderId="13" xfId="20" applyNumberFormat="1" applyFill="1" applyBorder="1" applyAlignment="1">
      <alignment horizontal="left" vertical="top"/>
    </xf>
    <xf numFmtId="0" fontId="55" fillId="3" borderId="14" xfId="20" applyFill="1" applyBorder="1" applyAlignment="1">
      <alignment vertical="top"/>
    </xf>
    <xf numFmtId="0" fontId="55" fillId="19" borderId="13" xfId="20" applyFill="1" applyBorder="1" applyAlignment="1">
      <alignment horizontal="left" vertical="top"/>
    </xf>
    <xf numFmtId="179" fontId="55" fillId="19" borderId="13" xfId="20" applyNumberFormat="1" applyFill="1" applyBorder="1" applyAlignment="1">
      <alignment horizontal="left" vertical="top"/>
    </xf>
    <xf numFmtId="0" fontId="55" fillId="19" borderId="14" xfId="20" applyFill="1" applyBorder="1" applyAlignment="1">
      <alignment vertical="top"/>
    </xf>
    <xf numFmtId="0" fontId="55" fillId="22" borderId="13" xfId="20" applyFill="1" applyBorder="1" applyAlignment="1">
      <alignment horizontal="left" vertical="top"/>
    </xf>
    <xf numFmtId="179" fontId="55" fillId="22" borderId="13" xfId="20" applyNumberFormat="1" applyFill="1" applyBorder="1" applyAlignment="1">
      <alignment horizontal="left" vertical="top"/>
    </xf>
    <xf numFmtId="0" fontId="55" fillId="22" borderId="14" xfId="20" applyFill="1" applyBorder="1" applyAlignment="1">
      <alignment vertical="top"/>
    </xf>
    <xf numFmtId="167" fontId="39" fillId="19" borderId="13" xfId="8" applyNumberFormat="1" applyFont="1" applyFill="1" applyBorder="1" applyAlignment="1">
      <alignment horizontal="center" vertical="center" wrapText="1"/>
    </xf>
    <xf numFmtId="0" fontId="55" fillId="23" borderId="13" xfId="20" applyFill="1" applyBorder="1" applyAlignment="1">
      <alignment horizontal="left" vertical="top"/>
    </xf>
    <xf numFmtId="179" fontId="55" fillId="23" borderId="13" xfId="20" applyNumberFormat="1" applyFill="1" applyBorder="1" applyAlignment="1">
      <alignment horizontal="left" vertical="top"/>
    </xf>
    <xf numFmtId="0" fontId="55" fillId="23" borderId="14" xfId="20" applyFill="1" applyBorder="1" applyAlignment="1">
      <alignment vertical="top"/>
    </xf>
    <xf numFmtId="165" fontId="62" fillId="0" borderId="65" xfId="17" applyNumberFormat="1" applyFont="1" applyBorder="1" applyAlignment="1">
      <alignment horizontal="left" vertical="center" wrapText="1"/>
    </xf>
    <xf numFmtId="0" fontId="55" fillId="24" borderId="13" xfId="20" applyFill="1" applyBorder="1" applyAlignment="1">
      <alignment horizontal="left" vertical="top"/>
    </xf>
    <xf numFmtId="179" fontId="55" fillId="24" borderId="13" xfId="20" applyNumberFormat="1" applyFill="1" applyBorder="1" applyAlignment="1">
      <alignment horizontal="left" vertical="top"/>
    </xf>
    <xf numFmtId="0" fontId="55" fillId="25" borderId="13" xfId="20" applyFill="1" applyBorder="1" applyAlignment="1">
      <alignment horizontal="left" vertical="top"/>
    </xf>
    <xf numFmtId="179" fontId="55" fillId="25" borderId="13" xfId="20" applyNumberFormat="1" applyFill="1" applyBorder="1" applyAlignment="1">
      <alignment horizontal="left" vertical="top"/>
    </xf>
    <xf numFmtId="0" fontId="84" fillId="14" borderId="12" xfId="26" applyFont="1" applyFill="1" applyBorder="1" applyAlignment="1">
      <alignment horizontal="center" vertical="center" wrapText="1"/>
    </xf>
    <xf numFmtId="0" fontId="84" fillId="14" borderId="11" xfId="26" applyFont="1" applyFill="1" applyBorder="1" applyAlignment="1">
      <alignment horizontal="center" vertical="center" wrapText="1"/>
    </xf>
    <xf numFmtId="0" fontId="84" fillId="14" borderId="14" xfId="26" applyFont="1" applyFill="1" applyBorder="1" applyAlignment="1">
      <alignment horizontal="center" vertical="center" wrapText="1"/>
    </xf>
    <xf numFmtId="0" fontId="21" fillId="2" borderId="110" xfId="25" applyFont="1" applyFill="1" applyBorder="1" applyAlignment="1">
      <alignment horizontal="left" vertical="center" wrapText="1"/>
    </xf>
    <xf numFmtId="0" fontId="21" fillId="2" borderId="111" xfId="25" applyFont="1" applyFill="1" applyBorder="1" applyAlignment="1">
      <alignment horizontal="left" vertical="center" wrapText="1"/>
    </xf>
    <xf numFmtId="0" fontId="21" fillId="2" borderId="112" xfId="25" applyFont="1" applyFill="1" applyBorder="1" applyAlignment="1">
      <alignment horizontal="left" vertical="center" wrapText="1"/>
    </xf>
    <xf numFmtId="0" fontId="21" fillId="2" borderId="10" xfId="25" applyFont="1" applyFill="1" applyBorder="1" applyAlignment="1">
      <alignment horizontal="left" vertical="center" wrapText="1"/>
    </xf>
    <xf numFmtId="0" fontId="21" fillId="2" borderId="0" xfId="25" applyFont="1" applyFill="1" applyAlignment="1">
      <alignment horizontal="left" vertical="center" wrapText="1"/>
    </xf>
    <xf numFmtId="0" fontId="21" fillId="2" borderId="9" xfId="25" applyFont="1" applyFill="1" applyBorder="1" applyAlignment="1">
      <alignment horizontal="left" vertical="center" wrapText="1"/>
    </xf>
    <xf numFmtId="190" fontId="21" fillId="2" borderId="10" xfId="25" applyNumberFormat="1" applyFont="1" applyFill="1" applyBorder="1" applyAlignment="1">
      <alignment horizontal="left" vertical="center" wrapText="1"/>
    </xf>
    <xf numFmtId="190" fontId="21" fillId="2" borderId="0" xfId="25" applyNumberFormat="1" applyFont="1" applyFill="1" applyAlignment="1">
      <alignment horizontal="left" vertical="center" wrapText="1"/>
    </xf>
    <xf numFmtId="190" fontId="21" fillId="2" borderId="9" xfId="25" applyNumberFormat="1" applyFont="1" applyFill="1" applyBorder="1" applyAlignment="1">
      <alignment horizontal="left" vertical="center" wrapText="1"/>
    </xf>
    <xf numFmtId="0" fontId="85" fillId="2" borderId="114" xfId="25" applyFont="1" applyFill="1" applyBorder="1" applyAlignment="1">
      <alignment horizontal="center" vertical="center"/>
    </xf>
    <xf numFmtId="0" fontId="85" fillId="2" borderId="8" xfId="25" applyFont="1" applyFill="1" applyBorder="1" applyAlignment="1">
      <alignment horizontal="center" vertical="center"/>
    </xf>
    <xf numFmtId="0" fontId="85" fillId="2" borderId="115" xfId="25" applyFont="1" applyFill="1" applyBorder="1" applyAlignment="1">
      <alignment horizontal="center" vertical="center"/>
    </xf>
    <xf numFmtId="9" fontId="77" fillId="2" borderId="75" xfId="3" applyNumberFormat="1" applyFont="1" applyFill="1" applyBorder="1" applyAlignment="1">
      <alignment horizontal="right" vertical="center"/>
    </xf>
    <xf numFmtId="9" fontId="77" fillId="2" borderId="4" xfId="3" applyNumberFormat="1" applyFont="1" applyFill="1" applyBorder="1" applyAlignment="1">
      <alignment horizontal="right" vertical="center"/>
    </xf>
    <xf numFmtId="0" fontId="72" fillId="17" borderId="12" xfId="25" applyFont="1" applyFill="1" applyBorder="1" applyAlignment="1">
      <alignment horizontal="center" vertical="center" wrapText="1"/>
    </xf>
    <xf numFmtId="0" fontId="72" fillId="17" borderId="11" xfId="25" applyFont="1" applyFill="1" applyBorder="1" applyAlignment="1">
      <alignment horizontal="center" vertical="center" wrapText="1"/>
    </xf>
    <xf numFmtId="0" fontId="72" fillId="17" borderId="14" xfId="25" applyFont="1" applyFill="1" applyBorder="1" applyAlignment="1">
      <alignment horizontal="center" vertical="center" wrapText="1"/>
    </xf>
    <xf numFmtId="0" fontId="72" fillId="17" borderId="114" xfId="25" applyFont="1" applyFill="1" applyBorder="1" applyAlignment="1">
      <alignment horizontal="center" vertical="center" wrapText="1"/>
    </xf>
    <xf numFmtId="0" fontId="72" fillId="17" borderId="8" xfId="25" applyFont="1" applyFill="1" applyBorder="1" applyAlignment="1">
      <alignment horizontal="center" vertical="center" wrapText="1"/>
    </xf>
    <xf numFmtId="0" fontId="72" fillId="17" borderId="115" xfId="25" applyFont="1" applyFill="1" applyBorder="1" applyAlignment="1">
      <alignment horizontal="center" vertical="center" wrapText="1"/>
    </xf>
    <xf numFmtId="0" fontId="66" fillId="2" borderId="6" xfId="3" applyFont="1" applyFill="1" applyBorder="1" applyAlignment="1">
      <alignment horizontal="right" vertical="center" wrapText="1"/>
    </xf>
    <xf numFmtId="0" fontId="66" fillId="2" borderId="7" xfId="3" applyFont="1" applyFill="1" applyBorder="1" applyAlignment="1">
      <alignment horizontal="right" vertical="center" wrapText="1"/>
    </xf>
    <xf numFmtId="189" fontId="77" fillId="2" borderId="15" xfId="3" applyNumberFormat="1" applyFont="1" applyFill="1" applyBorder="1" applyAlignment="1">
      <alignment horizontal="right" vertical="center" wrapText="1"/>
    </xf>
    <xf numFmtId="189" fontId="77" fillId="2" borderId="0" xfId="3" applyNumberFormat="1" applyFont="1" applyFill="1" applyAlignment="1">
      <alignment horizontal="right" vertical="center" wrapText="1"/>
    </xf>
    <xf numFmtId="0" fontId="79" fillId="2" borderId="15" xfId="3" applyFont="1" applyFill="1" applyBorder="1" applyAlignment="1">
      <alignment horizontal="right" vertical="center" wrapText="1"/>
    </xf>
    <xf numFmtId="0" fontId="79" fillId="2" borderId="0" xfId="3" applyFont="1" applyFill="1" applyAlignment="1">
      <alignment horizontal="right" vertical="center" wrapText="1"/>
    </xf>
    <xf numFmtId="0" fontId="79" fillId="2" borderId="75" xfId="3" applyFont="1" applyFill="1" applyBorder="1" applyAlignment="1">
      <alignment horizontal="right" vertical="center" wrapText="1"/>
    </xf>
    <xf numFmtId="0" fontId="79" fillId="2" borderId="4" xfId="3" applyFont="1" applyFill="1" applyBorder="1" applyAlignment="1">
      <alignment horizontal="right" vertical="center" wrapText="1"/>
    </xf>
    <xf numFmtId="0" fontId="71" fillId="16" borderId="11" xfId="25" applyFont="1" applyFill="1" applyBorder="1" applyAlignment="1">
      <alignment horizontal="center" vertical="center" wrapText="1"/>
    </xf>
    <xf numFmtId="0" fontId="71" fillId="16" borderId="14" xfId="25" applyFont="1" applyFill="1" applyBorder="1" applyAlignment="1">
      <alignment horizontal="center" vertical="center" wrapText="1"/>
    </xf>
    <xf numFmtId="0" fontId="70" fillId="2" borderId="0" xfId="25" applyFont="1" applyFill="1" applyAlignment="1">
      <alignment horizontal="center" vertical="center" wrapText="1"/>
    </xf>
    <xf numFmtId="0" fontId="67" fillId="14" borderId="116" xfId="26" applyFont="1" applyFill="1" applyBorder="1" applyAlignment="1">
      <alignment horizontal="center"/>
    </xf>
    <xf numFmtId="0" fontId="67" fillId="14" borderId="117" xfId="26" applyFont="1" applyFill="1" applyBorder="1" applyAlignment="1">
      <alignment horizontal="center"/>
    </xf>
    <xf numFmtId="0" fontId="67" fillId="14" borderId="118" xfId="26" applyFont="1" applyFill="1" applyBorder="1" applyAlignment="1">
      <alignment horizontal="center"/>
    </xf>
    <xf numFmtId="0" fontId="67" fillId="14" borderId="119" xfId="26" applyFont="1" applyFill="1" applyBorder="1" applyAlignment="1">
      <alignment horizontal="center"/>
    </xf>
    <xf numFmtId="0" fontId="67" fillId="14" borderId="113" xfId="26" applyFont="1" applyFill="1" applyBorder="1" applyAlignment="1">
      <alignment horizontal="center"/>
    </xf>
    <xf numFmtId="0" fontId="68" fillId="2" borderId="120" xfId="26" applyFont="1" applyFill="1" applyBorder="1" applyAlignment="1">
      <alignment horizontal="center" vertical="center"/>
    </xf>
    <xf numFmtId="0" fontId="68" fillId="2" borderId="121" xfId="26" applyFont="1" applyFill="1" applyBorder="1" applyAlignment="1">
      <alignment horizontal="center" vertical="center"/>
    </xf>
    <xf numFmtId="9" fontId="69" fillId="2" borderId="113" xfId="26" applyNumberFormat="1" applyFont="1" applyFill="1" applyBorder="1" applyAlignment="1">
      <alignment horizontal="center" vertical="center"/>
    </xf>
    <xf numFmtId="0" fontId="68" fillId="2" borderId="114" xfId="26" applyFont="1" applyFill="1" applyBorder="1" applyAlignment="1">
      <alignment horizontal="left"/>
    </xf>
    <xf numFmtId="0" fontId="68" fillId="2" borderId="8" xfId="26" applyFont="1" applyFill="1" applyBorder="1" applyAlignment="1">
      <alignment horizontal="left"/>
    </xf>
    <xf numFmtId="0" fontId="68" fillId="2" borderId="115" xfId="26" applyFont="1" applyFill="1" applyBorder="1" applyAlignment="1">
      <alignment horizontal="left"/>
    </xf>
    <xf numFmtId="0" fontId="66" fillId="2" borderId="0" xfId="26" applyFont="1" applyFill="1" applyAlignment="1">
      <alignment horizontal="center" vertical="center"/>
    </xf>
    <xf numFmtId="0" fontId="67" fillId="14" borderId="109" xfId="26" applyFont="1" applyFill="1" applyBorder="1" applyAlignment="1">
      <alignment horizontal="justify" vertical="center"/>
    </xf>
    <xf numFmtId="0" fontId="68" fillId="2" borderId="110" xfId="26" applyFont="1" applyFill="1" applyBorder="1" applyAlignment="1">
      <alignment horizontal="left"/>
    </xf>
    <xf numFmtId="0" fontId="68" fillId="2" borderId="111" xfId="26" applyFont="1" applyFill="1" applyBorder="1" applyAlignment="1">
      <alignment horizontal="left"/>
    </xf>
    <xf numFmtId="0" fontId="68" fillId="2" borderId="112" xfId="26" applyFont="1" applyFill="1" applyBorder="1" applyAlignment="1">
      <alignment horizontal="left"/>
    </xf>
    <xf numFmtId="0" fontId="68" fillId="2" borderId="10" xfId="26" applyFont="1" applyFill="1" applyBorder="1" applyAlignment="1">
      <alignment horizontal="left"/>
    </xf>
    <xf numFmtId="0" fontId="68" fillId="2" borderId="0" xfId="26" applyFont="1" applyFill="1" applyAlignment="1">
      <alignment horizontal="left"/>
    </xf>
    <xf numFmtId="0" fontId="68" fillId="2" borderId="9" xfId="26" applyFont="1" applyFill="1" applyBorder="1" applyAlignment="1">
      <alignment horizontal="left"/>
    </xf>
    <xf numFmtId="0" fontId="49" fillId="0" borderId="0" xfId="20" applyFont="1" applyAlignment="1">
      <alignment horizontal="center" vertical="top" wrapText="1"/>
    </xf>
    <xf numFmtId="0" fontId="55" fillId="0" borderId="0" xfId="20" applyAlignment="1">
      <alignment horizontal="left" vertical="top" wrapText="1" indent="2"/>
    </xf>
    <xf numFmtId="0" fontId="50" fillId="0" borderId="0" xfId="20" applyFont="1" applyAlignment="1">
      <alignment horizontal="left" vertical="top" wrapText="1" indent="2"/>
    </xf>
    <xf numFmtId="0" fontId="51" fillId="0" borderId="0" xfId="20" applyFont="1" applyAlignment="1">
      <alignment horizontal="left" vertical="top" wrapText="1" indent="2"/>
    </xf>
    <xf numFmtId="0" fontId="52" fillId="12" borderId="13" xfId="20" applyFont="1" applyFill="1" applyBorder="1" applyAlignment="1">
      <alignment horizontal="left" vertical="center" wrapText="1"/>
    </xf>
    <xf numFmtId="0" fontId="57" fillId="0" borderId="13" xfId="20" applyFont="1" applyBorder="1" applyAlignment="1">
      <alignment horizontal="center" vertical="center" wrapText="1"/>
    </xf>
    <xf numFmtId="0" fontId="58" fillId="0" borderId="0" xfId="20" applyFont="1" applyAlignment="1">
      <alignment horizontal="left" vertical="top" wrapText="1"/>
    </xf>
    <xf numFmtId="0" fontId="55" fillId="13" borderId="0" xfId="20" applyFill="1" applyAlignment="1">
      <alignment horizontal="center" vertical="top"/>
    </xf>
    <xf numFmtId="178" fontId="56" fillId="0" borderId="13" xfId="20" applyNumberFormat="1" applyFont="1" applyBorder="1" applyAlignment="1">
      <alignment horizontal="left" vertical="center" wrapText="1"/>
    </xf>
    <xf numFmtId="0" fontId="55" fillId="13" borderId="12" xfId="20" applyFill="1" applyBorder="1" applyAlignment="1">
      <alignment horizontal="center" vertical="top"/>
    </xf>
    <xf numFmtId="0" fontId="55" fillId="13" borderId="11" xfId="20" applyFill="1" applyBorder="1" applyAlignment="1">
      <alignment horizontal="center" vertical="top"/>
    </xf>
    <xf numFmtId="0" fontId="55" fillId="13" borderId="14" xfId="20" applyFill="1" applyBorder="1" applyAlignment="1">
      <alignment horizontal="center" vertical="top"/>
    </xf>
    <xf numFmtId="0" fontId="55" fillId="20" borderId="0" xfId="20" applyFill="1" applyAlignment="1">
      <alignment horizontal="center" vertical="top"/>
    </xf>
    <xf numFmtId="0" fontId="55" fillId="19" borderId="0" xfId="20" applyFill="1" applyAlignment="1">
      <alignment horizontal="center" vertical="top"/>
    </xf>
    <xf numFmtId="0" fontId="55" fillId="22" borderId="0" xfId="20" applyFill="1" applyAlignment="1">
      <alignment horizontal="center" vertical="top"/>
    </xf>
    <xf numFmtId="0" fontId="55" fillId="23" borderId="0" xfId="20" applyFill="1" applyAlignment="1">
      <alignment horizontal="center" vertical="top"/>
    </xf>
    <xf numFmtId="0" fontId="55" fillId="24" borderId="0" xfId="20" applyFill="1" applyAlignment="1">
      <alignment horizontal="center" vertical="top"/>
    </xf>
    <xf numFmtId="0" fontId="55" fillId="25" borderId="0" xfId="20" applyFill="1" applyAlignment="1">
      <alignment horizontal="center" vertical="top"/>
    </xf>
    <xf numFmtId="0" fontId="59" fillId="0" borderId="12" xfId="17" applyFont="1" applyBorder="1" applyAlignment="1">
      <alignment horizontal="center" vertical="center" wrapText="1"/>
    </xf>
    <xf numFmtId="0" fontId="59" fillId="0" borderId="14" xfId="17" applyFont="1" applyBorder="1" applyAlignment="1">
      <alignment horizontal="center" vertical="center" wrapText="1"/>
    </xf>
    <xf numFmtId="0" fontId="59" fillId="0" borderId="12" xfId="17" applyFont="1" applyBorder="1" applyAlignment="1">
      <alignment horizontal="left" vertical="center" wrapText="1"/>
    </xf>
    <xf numFmtId="0" fontId="59" fillId="0" borderId="14" xfId="17" applyFont="1" applyBorder="1" applyAlignment="1">
      <alignment horizontal="left" vertical="center" wrapText="1"/>
    </xf>
    <xf numFmtId="0" fontId="10" fillId="2" borderId="6" xfId="8" applyFont="1" applyFill="1" applyBorder="1" applyAlignment="1">
      <alignment horizontal="center" vertical="center" wrapText="1"/>
    </xf>
    <xf numFmtId="0" fontId="12" fillId="7" borderId="23" xfId="8" applyFont="1" applyFill="1" applyBorder="1" applyAlignment="1">
      <alignment horizontal="center" vertical="center" wrapText="1"/>
    </xf>
    <xf numFmtId="0" fontId="12" fillId="2" borderId="25" xfId="8" applyFont="1" applyFill="1" applyBorder="1" applyAlignment="1">
      <alignment horizontal="center" vertical="center" wrapText="1"/>
    </xf>
    <xf numFmtId="0" fontId="12" fillId="7" borderId="25" xfId="8" applyFont="1" applyFill="1" applyBorder="1" applyAlignment="1">
      <alignment horizontal="center" vertical="center" wrapText="1"/>
    </xf>
    <xf numFmtId="168" fontId="18" fillId="2" borderId="25" xfId="8" applyNumberFormat="1" applyFont="1" applyFill="1" applyBorder="1" applyAlignment="1">
      <alignment horizontal="center" vertical="center" wrapText="1"/>
    </xf>
    <xf numFmtId="168" fontId="18" fillId="2" borderId="24" xfId="8" applyNumberFormat="1" applyFont="1" applyFill="1" applyBorder="1" applyAlignment="1">
      <alignment horizontal="center" vertical="center" wrapText="1"/>
    </xf>
    <xf numFmtId="0" fontId="12" fillId="7" borderId="24" xfId="8" applyFont="1" applyFill="1" applyBorder="1" applyAlignment="1">
      <alignment horizontal="center" vertical="center" wrapText="1"/>
    </xf>
    <xf numFmtId="0" fontId="17" fillId="2" borderId="24" xfId="8" applyFont="1" applyFill="1" applyBorder="1" applyAlignment="1">
      <alignment horizontal="center"/>
    </xf>
    <xf numFmtId="0" fontId="17" fillId="2" borderId="27" xfId="8" applyFont="1" applyFill="1" applyBorder="1" applyAlignment="1">
      <alignment horizontal="center"/>
    </xf>
    <xf numFmtId="0" fontId="13" fillId="6" borderId="75" xfId="8" applyFont="1" applyFill="1" applyBorder="1" applyAlignment="1">
      <alignment horizontal="center" vertical="center" wrapText="1"/>
    </xf>
    <xf numFmtId="0" fontId="13" fillId="6" borderId="4" xfId="8" applyFont="1" applyFill="1" applyBorder="1" applyAlignment="1">
      <alignment horizontal="center" vertical="center" wrapText="1"/>
    </xf>
    <xf numFmtId="0" fontId="13" fillId="6" borderId="2" xfId="8" applyFont="1" applyFill="1" applyBorder="1" applyAlignment="1">
      <alignment horizontal="center" vertical="center" wrapText="1"/>
    </xf>
    <xf numFmtId="0" fontId="12" fillId="2" borderId="6" xfId="8" applyFont="1" applyFill="1" applyBorder="1" applyAlignment="1">
      <alignment horizontal="center" vertical="center" wrapText="1"/>
    </xf>
    <xf numFmtId="0" fontId="12" fillId="2" borderId="7" xfId="8" applyFont="1" applyFill="1" applyBorder="1" applyAlignment="1">
      <alignment horizontal="center" vertical="center" wrapText="1"/>
    </xf>
    <xf numFmtId="0" fontId="12" fillId="2" borderId="17" xfId="8" applyFont="1" applyFill="1" applyBorder="1" applyAlignment="1">
      <alignment horizontal="center" vertical="center" wrapText="1"/>
    </xf>
    <xf numFmtId="0" fontId="12" fillId="2" borderId="15" xfId="8" applyFont="1" applyFill="1" applyBorder="1" applyAlignment="1">
      <alignment horizontal="center" vertical="center" wrapText="1"/>
    </xf>
    <xf numFmtId="0" fontId="12" fillId="2" borderId="0" xfId="8" applyFont="1" applyFill="1" applyAlignment="1">
      <alignment horizontal="center" vertical="center" wrapText="1"/>
    </xf>
    <xf numFmtId="0" fontId="12" fillId="2" borderId="16" xfId="8" applyFont="1" applyFill="1" applyBorder="1" applyAlignment="1">
      <alignment horizontal="center" vertical="center" wrapText="1"/>
    </xf>
    <xf numFmtId="0" fontId="12" fillId="2" borderId="22" xfId="8" applyFont="1" applyFill="1" applyBorder="1" applyAlignment="1">
      <alignment horizontal="center" vertical="center" wrapText="1"/>
    </xf>
    <xf numFmtId="0" fontId="12" fillId="2" borderId="18" xfId="8" applyFont="1" applyFill="1" applyBorder="1" applyAlignment="1">
      <alignment horizontal="center" vertical="center" wrapText="1"/>
    </xf>
    <xf numFmtId="0" fontId="12" fillId="8" borderId="28" xfId="8" applyFont="1" applyFill="1" applyBorder="1" applyAlignment="1">
      <alignment vertical="center" wrapText="1"/>
    </xf>
    <xf numFmtId="0" fontId="19" fillId="2" borderId="30" xfId="0" applyFont="1" applyFill="1" applyBorder="1" applyAlignment="1">
      <alignment horizontal="center" vertical="center" wrapText="1"/>
    </xf>
    <xf numFmtId="0" fontId="19" fillId="2" borderId="31" xfId="0" applyFont="1" applyFill="1" applyBorder="1" applyAlignment="1">
      <alignment horizontal="center" vertical="center" wrapText="1"/>
    </xf>
    <xf numFmtId="0" fontId="19" fillId="2" borderId="29" xfId="0" applyFont="1" applyFill="1" applyBorder="1" applyAlignment="1">
      <alignment horizontal="center" vertical="center" wrapText="1"/>
    </xf>
    <xf numFmtId="0" fontId="19" fillId="2" borderId="34"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2" borderId="33" xfId="0" applyFont="1" applyFill="1" applyBorder="1" applyAlignment="1">
      <alignment horizontal="center" vertical="center" wrapText="1"/>
    </xf>
    <xf numFmtId="0" fontId="19" fillId="2" borderId="37" xfId="0" applyFont="1" applyFill="1" applyBorder="1" applyAlignment="1">
      <alignment horizontal="center" vertical="center" wrapText="1"/>
    </xf>
    <xf numFmtId="0" fontId="19" fillId="2" borderId="38" xfId="0" applyFont="1" applyFill="1" applyBorder="1" applyAlignment="1">
      <alignment horizontal="center" vertical="center" wrapText="1"/>
    </xf>
    <xf numFmtId="0" fontId="19" fillId="2" borderId="36" xfId="0" applyFont="1" applyFill="1" applyBorder="1" applyAlignment="1">
      <alignment horizontal="center" vertical="center" wrapText="1"/>
    </xf>
    <xf numFmtId="0" fontId="15" fillId="0" borderId="30" xfId="8" applyFont="1" applyBorder="1" applyAlignment="1">
      <alignment horizontal="center" vertical="center" wrapText="1"/>
    </xf>
    <xf numFmtId="0" fontId="12" fillId="8" borderId="39" xfId="8" applyFont="1" applyFill="1" applyBorder="1" applyAlignment="1">
      <alignment vertical="center" wrapText="1"/>
    </xf>
    <xf numFmtId="0" fontId="33" fillId="2" borderId="41" xfId="8" applyFont="1" applyFill="1" applyBorder="1" applyAlignment="1">
      <alignment horizontal="right" vertical="center" wrapText="1"/>
    </xf>
    <xf numFmtId="0" fontId="33" fillId="2" borderId="42" xfId="8" applyFont="1" applyFill="1" applyBorder="1" applyAlignment="1">
      <alignment horizontal="right"/>
    </xf>
    <xf numFmtId="0" fontId="33" fillId="2" borderId="40" xfId="8" applyFont="1" applyFill="1" applyBorder="1" applyAlignment="1">
      <alignment horizontal="right"/>
    </xf>
    <xf numFmtId="0" fontId="34" fillId="2" borderId="41" xfId="8" applyFont="1" applyFill="1" applyBorder="1" applyAlignment="1">
      <alignment horizontal="right" vertical="center" wrapText="1"/>
    </xf>
    <xf numFmtId="169" fontId="34" fillId="2" borderId="41" xfId="8" applyNumberFormat="1" applyFont="1" applyFill="1" applyBorder="1" applyAlignment="1">
      <alignment horizontal="left" vertical="center" wrapText="1"/>
    </xf>
    <xf numFmtId="168" fontId="34" fillId="2" borderId="41" xfId="8" applyNumberFormat="1" applyFont="1" applyFill="1" applyBorder="1" applyAlignment="1">
      <alignment horizontal="right" vertical="center" wrapText="1"/>
    </xf>
    <xf numFmtId="169" fontId="22" fillId="2" borderId="41" xfId="8" applyNumberFormat="1" applyFont="1" applyFill="1" applyBorder="1" applyAlignment="1">
      <alignment horizontal="left" vertical="center" wrapText="1"/>
    </xf>
    <xf numFmtId="0" fontId="35" fillId="9" borderId="52" xfId="8" applyFont="1" applyFill="1" applyBorder="1" applyAlignment="1">
      <alignment horizontal="center" vertical="center" wrapText="1"/>
    </xf>
    <xf numFmtId="0" fontId="35" fillId="9" borderId="41" xfId="8" applyFont="1" applyFill="1" applyBorder="1" applyAlignment="1">
      <alignment horizontal="center" vertical="center" wrapText="1"/>
    </xf>
    <xf numFmtId="0" fontId="35" fillId="9" borderId="42" xfId="8" applyFont="1" applyFill="1" applyBorder="1" applyAlignment="1">
      <alignment horizontal="center" vertical="center" wrapText="1"/>
    </xf>
    <xf numFmtId="0" fontId="37" fillId="0" borderId="54" xfId="8" applyFont="1" applyBorder="1" applyAlignment="1">
      <alignment horizontal="center" vertical="center" wrapText="1"/>
    </xf>
    <xf numFmtId="0" fontId="37" fillId="0" borderId="56" xfId="8" applyFont="1" applyBorder="1" applyAlignment="1">
      <alignment horizontal="center" vertical="center" wrapText="1"/>
    </xf>
    <xf numFmtId="0" fontId="37" fillId="0" borderId="108" xfId="8" applyFont="1" applyBorder="1" applyAlignment="1">
      <alignment horizontal="center" vertical="center" wrapText="1"/>
    </xf>
    <xf numFmtId="10" fontId="37" fillId="0" borderId="56" xfId="8" applyNumberFormat="1" applyFont="1" applyBorder="1" applyAlignment="1">
      <alignment horizontal="center" vertical="center" wrapText="1"/>
    </xf>
    <xf numFmtId="0" fontId="12" fillId="8" borderId="43" xfId="8" applyFont="1" applyFill="1" applyBorder="1" applyAlignment="1">
      <alignment vertical="center" wrapText="1"/>
    </xf>
    <xf numFmtId="0" fontId="34" fillId="2" borderId="45" xfId="8" applyFont="1" applyFill="1" applyBorder="1" applyAlignment="1">
      <alignment horizontal="right" vertical="center" wrapText="1"/>
    </xf>
    <xf numFmtId="0" fontId="33" fillId="2" borderId="46" xfId="8" applyFont="1" applyFill="1" applyBorder="1" applyAlignment="1">
      <alignment horizontal="right"/>
    </xf>
    <xf numFmtId="0" fontId="33" fillId="2" borderId="44" xfId="8" applyFont="1" applyFill="1" applyBorder="1" applyAlignment="1">
      <alignment horizontal="right"/>
    </xf>
    <xf numFmtId="0" fontId="35" fillId="7" borderId="23" xfId="8" applyFont="1" applyFill="1" applyBorder="1" applyAlignment="1">
      <alignment horizontal="center" vertical="center" wrapText="1"/>
    </xf>
    <xf numFmtId="0" fontId="35" fillId="8" borderId="48" xfId="8" applyFont="1" applyFill="1" applyBorder="1" applyAlignment="1">
      <alignment horizontal="center" vertical="center" wrapText="1"/>
    </xf>
    <xf numFmtId="0" fontId="35" fillId="8" borderId="50" xfId="8" applyFont="1" applyFill="1" applyBorder="1" applyAlignment="1">
      <alignment horizontal="center" vertical="center" wrapText="1"/>
    </xf>
    <xf numFmtId="0" fontId="35" fillId="0" borderId="52" xfId="8" applyFont="1" applyBorder="1" applyAlignment="1">
      <alignment horizontal="left" vertical="center" wrapText="1"/>
    </xf>
    <xf numFmtId="167" fontId="36" fillId="6" borderId="41" xfId="8" applyNumberFormat="1" applyFont="1" applyFill="1" applyBorder="1" applyAlignment="1">
      <alignment horizontal="center" vertical="center" wrapText="1"/>
    </xf>
    <xf numFmtId="167" fontId="36" fillId="2" borderId="41" xfId="8" applyNumberFormat="1" applyFont="1" applyFill="1" applyBorder="1" applyAlignment="1">
      <alignment horizontal="center" vertical="center" wrapText="1"/>
    </xf>
    <xf numFmtId="167" fontId="36" fillId="0" borderId="41" xfId="8" applyNumberFormat="1" applyFont="1" applyBorder="1" applyAlignment="1">
      <alignment horizontal="center" vertical="center" wrapText="1"/>
    </xf>
    <xf numFmtId="0" fontId="35" fillId="8" borderId="52" xfId="8" applyFont="1" applyFill="1" applyBorder="1" applyAlignment="1">
      <alignment horizontal="center" vertical="center" wrapText="1"/>
    </xf>
    <xf numFmtId="170" fontId="36" fillId="0" borderId="41" xfId="8" applyNumberFormat="1" applyFont="1" applyBorder="1" applyAlignment="1">
      <alignment horizontal="center" vertical="center" wrapText="1"/>
    </xf>
    <xf numFmtId="0" fontId="37" fillId="8" borderId="43" xfId="8" applyFont="1" applyFill="1" applyBorder="1" applyAlignment="1">
      <alignment horizontal="right" vertical="center" wrapText="1"/>
    </xf>
    <xf numFmtId="167" fontId="37" fillId="6" borderId="45" xfId="8" applyNumberFormat="1" applyFont="1" applyFill="1" applyBorder="1" applyAlignment="1">
      <alignment horizontal="center" vertical="center" wrapText="1"/>
    </xf>
    <xf numFmtId="0" fontId="37" fillId="8" borderId="45" xfId="8" applyFont="1" applyFill="1" applyBorder="1" applyAlignment="1">
      <alignment horizontal="center" vertical="center" wrapText="1"/>
    </xf>
    <xf numFmtId="0" fontId="37" fillId="8" borderId="46" xfId="8" applyFont="1" applyFill="1" applyBorder="1" applyAlignment="1">
      <alignment horizontal="center" vertical="center" wrapText="1"/>
    </xf>
    <xf numFmtId="10" fontId="37" fillId="10" borderId="45" xfId="8" applyNumberFormat="1" applyFont="1" applyFill="1" applyBorder="1" applyAlignment="1">
      <alignment horizontal="center" vertical="center" wrapText="1"/>
    </xf>
    <xf numFmtId="0" fontId="38" fillId="5" borderId="6" xfId="8" applyFont="1" applyFill="1" applyBorder="1" applyAlignment="1">
      <alignment horizontal="center" vertical="center" wrapText="1"/>
    </xf>
    <xf numFmtId="0" fontId="38" fillId="5" borderId="7" xfId="8" applyFont="1" applyFill="1" applyBorder="1" applyAlignment="1">
      <alignment horizontal="center" vertical="center" wrapText="1"/>
    </xf>
    <xf numFmtId="0" fontId="38" fillId="5" borderId="17" xfId="8" applyFont="1" applyFill="1" applyBorder="1" applyAlignment="1">
      <alignment horizontal="center" vertical="center" wrapText="1"/>
    </xf>
    <xf numFmtId="0" fontId="38" fillId="3" borderId="12" xfId="8" applyFont="1" applyFill="1" applyBorder="1" applyAlignment="1">
      <alignment horizontal="center" vertical="center" wrapText="1"/>
    </xf>
    <xf numFmtId="0" fontId="38" fillId="3" borderId="14" xfId="8" applyFont="1" applyFill="1" applyBorder="1" applyAlignment="1">
      <alignment horizontal="center" vertical="center" wrapText="1"/>
    </xf>
    <xf numFmtId="0" fontId="37" fillId="9" borderId="98" xfId="8" applyFont="1" applyFill="1" applyBorder="1" applyAlignment="1">
      <alignment horizontal="center" vertical="center" wrapText="1"/>
    </xf>
    <xf numFmtId="0" fontId="37" fillId="0" borderId="39" xfId="8" applyFont="1" applyBorder="1" applyAlignment="1">
      <alignment horizontal="right" vertical="center" wrapText="1"/>
    </xf>
    <xf numFmtId="0" fontId="37" fillId="0" borderId="102" xfId="8" applyFont="1" applyBorder="1" applyAlignment="1">
      <alignment horizontal="right" vertical="center" wrapText="1"/>
    </xf>
    <xf numFmtId="0" fontId="35" fillId="7" borderId="28" xfId="8" applyFont="1" applyFill="1" applyBorder="1" applyAlignment="1">
      <alignment horizontal="center" vertical="center" wrapText="1"/>
    </xf>
    <xf numFmtId="0" fontId="37" fillId="8" borderId="48" xfId="8" applyFont="1" applyFill="1" applyBorder="1" applyAlignment="1">
      <alignment horizontal="right" vertical="center" wrapText="1"/>
    </xf>
    <xf numFmtId="167" fontId="37" fillId="6" borderId="70" xfId="8" applyNumberFormat="1" applyFont="1" applyFill="1" applyBorder="1" applyAlignment="1">
      <alignment horizontal="center" vertical="center" wrapText="1"/>
    </xf>
    <xf numFmtId="0" fontId="37" fillId="8" borderId="70" xfId="8" applyFont="1" applyFill="1" applyBorder="1" applyAlignment="1">
      <alignment horizontal="center" vertical="center" wrapText="1"/>
    </xf>
    <xf numFmtId="0" fontId="37" fillId="8" borderId="49" xfId="8" applyFont="1" applyFill="1" applyBorder="1" applyAlignment="1">
      <alignment horizontal="center" vertical="center" wrapText="1"/>
    </xf>
    <xf numFmtId="10" fontId="37" fillId="10" borderId="70" xfId="8" applyNumberFormat="1" applyFont="1" applyFill="1" applyBorder="1" applyAlignment="1">
      <alignment horizontal="center" vertical="center" wrapText="1"/>
    </xf>
    <xf numFmtId="0" fontId="41" fillId="4" borderId="12" xfId="8" applyFont="1" applyFill="1" applyBorder="1" applyAlignment="1">
      <alignment horizontal="left" vertical="center" wrapText="1"/>
    </xf>
    <xf numFmtId="0" fontId="41" fillId="4" borderId="14" xfId="8" applyFont="1" applyFill="1" applyBorder="1" applyAlignment="1">
      <alignment horizontal="left" vertical="center" wrapText="1"/>
    </xf>
    <xf numFmtId="0" fontId="40" fillId="0" borderId="12" xfId="8" applyFont="1" applyBorder="1" applyAlignment="1">
      <alignment horizontal="left" vertical="center" wrapText="1"/>
    </xf>
    <xf numFmtId="0" fontId="40" fillId="0" borderId="14" xfId="8" applyFont="1" applyBorder="1" applyAlignment="1">
      <alignment horizontal="left" vertical="center" wrapText="1"/>
    </xf>
    <xf numFmtId="0" fontId="38" fillId="2" borderId="12" xfId="8" applyFont="1" applyFill="1" applyBorder="1" applyAlignment="1">
      <alignment horizontal="left" vertical="center" wrapText="1"/>
    </xf>
    <xf numFmtId="0" fontId="38" fillId="2" borderId="14" xfId="8" applyFont="1" applyFill="1" applyBorder="1" applyAlignment="1">
      <alignment horizontal="left" vertical="center" wrapText="1"/>
    </xf>
    <xf numFmtId="0" fontId="28" fillId="3" borderId="15" xfId="8" applyFont="1" applyFill="1" applyBorder="1" applyAlignment="1">
      <alignment horizontal="center" vertical="center" wrapText="1"/>
    </xf>
    <xf numFmtId="0" fontId="28" fillId="3" borderId="0" xfId="8" applyFont="1" applyFill="1" applyAlignment="1">
      <alignment horizontal="center" vertical="center" wrapText="1"/>
    </xf>
    <xf numFmtId="0" fontId="28" fillId="3" borderId="9" xfId="8" applyFont="1" applyFill="1" applyBorder="1" applyAlignment="1">
      <alignment horizontal="center" vertical="center" wrapText="1"/>
    </xf>
    <xf numFmtId="0" fontId="28" fillId="3" borderId="75" xfId="8" applyFont="1" applyFill="1" applyBorder="1" applyAlignment="1">
      <alignment horizontal="center" vertical="center" wrapText="1"/>
    </xf>
    <xf numFmtId="0" fontId="28" fillId="3" borderId="4" xfId="8" applyFont="1" applyFill="1" applyBorder="1" applyAlignment="1">
      <alignment horizontal="center" vertical="center" wrapText="1"/>
    </xf>
    <xf numFmtId="0" fontId="28" fillId="3" borderId="78" xfId="8" applyFont="1" applyFill="1" applyBorder="1" applyAlignment="1">
      <alignment horizontal="center" vertical="center" wrapText="1"/>
    </xf>
    <xf numFmtId="0" fontId="29" fillId="2" borderId="10" xfId="8" applyFont="1" applyFill="1" applyBorder="1" applyAlignment="1" applyProtection="1">
      <alignment horizontal="center" vertical="center" wrapText="1"/>
      <protection locked="0"/>
    </xf>
    <xf numFmtId="0" fontId="29" fillId="2" borderId="9" xfId="8" applyFont="1" applyFill="1" applyBorder="1" applyAlignment="1" applyProtection="1">
      <alignment horizontal="center" vertical="center" wrapText="1"/>
      <protection locked="0"/>
    </xf>
    <xf numFmtId="0" fontId="29" fillId="2" borderId="79" xfId="8" applyFont="1" applyFill="1" applyBorder="1" applyAlignment="1" applyProtection="1">
      <alignment horizontal="center" vertical="center" wrapText="1"/>
      <protection locked="0"/>
    </xf>
    <xf numFmtId="0" fontId="29" fillId="2" borderId="78" xfId="8" applyFont="1" applyFill="1" applyBorder="1" applyAlignment="1" applyProtection="1">
      <alignment horizontal="center" vertical="center" wrapText="1"/>
      <protection locked="0"/>
    </xf>
    <xf numFmtId="0" fontId="28" fillId="3" borderId="76" xfId="8" applyFont="1" applyFill="1" applyBorder="1" applyAlignment="1">
      <alignment horizontal="center" vertical="center" wrapText="1"/>
    </xf>
    <xf numFmtId="0" fontId="28" fillId="3" borderId="80" xfId="8" applyFont="1" applyFill="1" applyBorder="1" applyAlignment="1">
      <alignment horizontal="center" vertical="center" wrapText="1"/>
    </xf>
    <xf numFmtId="1" fontId="29" fillId="2" borderId="76" xfId="8" applyNumberFormat="1" applyFont="1" applyFill="1" applyBorder="1" applyAlignment="1" applyProtection="1">
      <alignment horizontal="center" vertical="center" wrapText="1"/>
      <protection locked="0"/>
    </xf>
    <xf numFmtId="1" fontId="29" fillId="2" borderId="80" xfId="8" applyNumberFormat="1" applyFont="1" applyFill="1" applyBorder="1" applyAlignment="1" applyProtection="1">
      <alignment horizontal="center" vertical="center" wrapText="1"/>
      <protection locked="0"/>
    </xf>
    <xf numFmtId="0" fontId="29" fillId="3" borderId="76" xfId="8" applyFont="1" applyFill="1" applyBorder="1" applyAlignment="1">
      <alignment horizontal="center" vertical="center" wrapText="1"/>
    </xf>
    <xf numFmtId="0" fontId="29" fillId="3" borderId="80" xfId="8" applyFont="1" applyFill="1" applyBorder="1" applyAlignment="1">
      <alignment horizontal="center" vertical="center" wrapText="1"/>
    </xf>
    <xf numFmtId="0" fontId="41" fillId="0" borderId="12" xfId="8" applyFont="1" applyBorder="1" applyAlignment="1">
      <alignment horizontal="left" vertical="center" wrapText="1"/>
    </xf>
    <xf numFmtId="0" fontId="41" fillId="0" borderId="14" xfId="8" applyFont="1" applyBorder="1" applyAlignment="1">
      <alignment horizontal="left" vertical="center" wrapText="1"/>
    </xf>
    <xf numFmtId="0" fontId="41" fillId="4" borderId="13" xfId="8" applyFont="1" applyFill="1" applyBorder="1" applyAlignment="1">
      <alignment horizontal="left" vertical="center" wrapText="1" indent="1"/>
    </xf>
    <xf numFmtId="0" fontId="35" fillId="4" borderId="11" xfId="8" applyFont="1" applyFill="1" applyBorder="1" applyAlignment="1">
      <alignment horizontal="left"/>
    </xf>
    <xf numFmtId="0" fontId="35" fillId="4" borderId="14" xfId="8" applyFont="1" applyFill="1" applyBorder="1" applyAlignment="1">
      <alignment horizontal="left"/>
    </xf>
    <xf numFmtId="0" fontId="24" fillId="5" borderId="5" xfId="8" applyFont="1" applyFill="1" applyBorder="1" applyAlignment="1">
      <alignment horizontal="center" vertical="center" wrapText="1"/>
    </xf>
    <xf numFmtId="0" fontId="24" fillId="5" borderId="3" xfId="8" applyFont="1" applyFill="1" applyBorder="1" applyAlignment="1">
      <alignment horizontal="center" vertical="center" wrapText="1"/>
    </xf>
    <xf numFmtId="0" fontId="24" fillId="5" borderId="1" xfId="8" applyFont="1" applyFill="1" applyBorder="1" applyAlignment="1">
      <alignment horizontal="center" vertical="center" wrapText="1"/>
    </xf>
    <xf numFmtId="0" fontId="2" fillId="3" borderId="19" xfId="0" applyFont="1" applyFill="1" applyBorder="1" applyAlignment="1" applyProtection="1">
      <alignment horizontal="center" vertical="center" wrapText="1"/>
      <protection locked="0"/>
    </xf>
    <xf numFmtId="0" fontId="2" fillId="3" borderId="20" xfId="0" applyFont="1" applyFill="1" applyBorder="1" applyAlignment="1" applyProtection="1">
      <alignment horizontal="center" vertical="center" wrapText="1"/>
      <protection locked="0"/>
    </xf>
    <xf numFmtId="0" fontId="2" fillId="3" borderId="82" xfId="0" applyFont="1" applyFill="1" applyBorder="1" applyAlignment="1" applyProtection="1">
      <alignment horizontal="center" vertical="center" wrapText="1"/>
      <protection locked="0"/>
    </xf>
    <xf numFmtId="0" fontId="6" fillId="2" borderId="85" xfId="0" applyFont="1" applyFill="1" applyBorder="1" applyAlignment="1">
      <alignment horizontal="left" vertical="center" wrapText="1"/>
    </xf>
    <xf numFmtId="0" fontId="6" fillId="2" borderId="86" xfId="0" applyFont="1" applyFill="1" applyBorder="1" applyAlignment="1">
      <alignment horizontal="left" vertical="center" wrapText="1"/>
    </xf>
    <xf numFmtId="0" fontId="6" fillId="2" borderId="87" xfId="0" applyFont="1" applyFill="1" applyBorder="1" applyAlignment="1">
      <alignment horizontal="left" vertical="center" wrapText="1"/>
    </xf>
    <xf numFmtId="0" fontId="6" fillId="2" borderId="88" xfId="0" applyFont="1" applyFill="1" applyBorder="1" applyAlignment="1">
      <alignment horizontal="left" vertical="center" wrapText="1"/>
    </xf>
    <xf numFmtId="0" fontId="6" fillId="2" borderId="89" xfId="0" applyFont="1" applyFill="1" applyBorder="1" applyAlignment="1">
      <alignment horizontal="left" vertical="center" wrapText="1"/>
    </xf>
    <xf numFmtId="0" fontId="6" fillId="2" borderId="90" xfId="0" applyFont="1" applyFill="1" applyBorder="1" applyAlignment="1">
      <alignment horizontal="left" vertical="center" wrapText="1"/>
    </xf>
    <xf numFmtId="0" fontId="25" fillId="2" borderId="6" xfId="8" applyFont="1" applyFill="1" applyBorder="1" applyAlignment="1" applyProtection="1">
      <alignment horizontal="left" vertical="center" wrapText="1"/>
      <protection locked="0"/>
    </xf>
    <xf numFmtId="0" fontId="25" fillId="2" borderId="7" xfId="8" applyFont="1" applyFill="1" applyBorder="1" applyAlignment="1" applyProtection="1">
      <alignment horizontal="left" vertical="center" wrapText="1"/>
      <protection locked="0"/>
    </xf>
    <xf numFmtId="0" fontId="25" fillId="2" borderId="17" xfId="8" applyFont="1" applyFill="1" applyBorder="1" applyAlignment="1" applyProtection="1">
      <alignment horizontal="left" vertical="center" wrapText="1"/>
      <protection locked="0"/>
    </xf>
    <xf numFmtId="0" fontId="2" fillId="3" borderId="19" xfId="8" applyFont="1" applyFill="1" applyBorder="1" applyAlignment="1" applyProtection="1">
      <alignment horizontal="center" vertical="center" wrapText="1"/>
      <protection locked="0"/>
    </xf>
    <xf numFmtId="0" fontId="2" fillId="3" borderId="20" xfId="8" applyFont="1" applyFill="1" applyBorder="1" applyAlignment="1" applyProtection="1">
      <alignment horizontal="center" vertical="center" wrapText="1"/>
      <protection locked="0"/>
    </xf>
    <xf numFmtId="0" fontId="2" fillId="3" borderId="82" xfId="8" applyFont="1" applyFill="1" applyBorder="1" applyAlignment="1" applyProtection="1">
      <alignment horizontal="center" vertical="center" wrapText="1"/>
      <protection locked="0"/>
    </xf>
    <xf numFmtId="0" fontId="5" fillId="2" borderId="15" xfId="8" applyFont="1" applyFill="1" applyBorder="1" applyAlignment="1">
      <alignment horizontal="center" vertical="center" wrapText="1"/>
    </xf>
    <xf numFmtId="0" fontId="5" fillId="2" borderId="0" xfId="8" applyFont="1" applyFill="1" applyAlignment="1">
      <alignment horizontal="center" vertical="center" wrapText="1"/>
    </xf>
    <xf numFmtId="0" fontId="5" fillId="2" borderId="16" xfId="8" applyFont="1" applyFill="1" applyBorder="1" applyAlignment="1">
      <alignment horizontal="center" vertical="center" wrapText="1"/>
    </xf>
    <xf numFmtId="0" fontId="5" fillId="2" borderId="73" xfId="8" applyFont="1" applyFill="1" applyBorder="1" applyAlignment="1">
      <alignment horizontal="center" vertical="center" wrapText="1"/>
    </xf>
    <xf numFmtId="0" fontId="5" fillId="2" borderId="8" xfId="8" applyFont="1" applyFill="1" applyBorder="1" applyAlignment="1">
      <alignment horizontal="center" vertical="center" wrapText="1"/>
    </xf>
    <xf numFmtId="0" fontId="5" fillId="2" borderId="83" xfId="8" applyFont="1" applyFill="1" applyBorder="1" applyAlignment="1">
      <alignment horizontal="center" vertical="center" wrapText="1"/>
    </xf>
    <xf numFmtId="0" fontId="6" fillId="2" borderId="15"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16" xfId="0" applyFont="1" applyFill="1" applyBorder="1" applyAlignment="1">
      <alignment horizontal="left" vertical="center" wrapText="1"/>
    </xf>
    <xf numFmtId="0" fontId="30" fillId="0" borderId="74" xfId="8" applyFont="1" applyBorder="1" applyAlignment="1">
      <alignment horizontal="left" vertical="center" wrapText="1"/>
    </xf>
    <xf numFmtId="0" fontId="30" fillId="0" borderId="11" xfId="8" applyFont="1" applyBorder="1" applyAlignment="1">
      <alignment horizontal="left" vertical="center" wrapText="1"/>
    </xf>
    <xf numFmtId="0" fontId="30" fillId="0" borderId="84" xfId="8" applyFont="1" applyBorder="1" applyAlignment="1">
      <alignment horizontal="left" vertical="center" wrapText="1"/>
    </xf>
    <xf numFmtId="0" fontId="9" fillId="0" borderId="0" xfId="8" applyAlignment="1">
      <alignment horizontal="center" vertical="center" wrapText="1"/>
    </xf>
    <xf numFmtId="0" fontId="9" fillId="0" borderId="74" xfId="8" applyBorder="1" applyAlignment="1">
      <alignment horizontal="left" vertical="center" wrapText="1"/>
    </xf>
    <xf numFmtId="0" fontId="9" fillId="0" borderId="11" xfId="8" applyBorder="1" applyAlignment="1">
      <alignment horizontal="left" vertical="center" wrapText="1"/>
    </xf>
    <xf numFmtId="0" fontId="9" fillId="0" borderId="84" xfId="8" applyBorder="1" applyAlignment="1">
      <alignment horizontal="left" vertical="center" wrapText="1"/>
    </xf>
    <xf numFmtId="0" fontId="6" fillId="2" borderId="94" xfId="0" applyFont="1" applyFill="1" applyBorder="1" applyAlignment="1">
      <alignment horizontal="left" vertical="center" wrapText="1"/>
    </xf>
    <xf numFmtId="0" fontId="6" fillId="2" borderId="95" xfId="0" applyFont="1" applyFill="1" applyBorder="1" applyAlignment="1">
      <alignment horizontal="left" vertical="center" wrapText="1"/>
    </xf>
    <xf numFmtId="0" fontId="6" fillId="2" borderId="96" xfId="0" applyFont="1" applyFill="1" applyBorder="1" applyAlignment="1">
      <alignment horizontal="left" vertical="center" wrapText="1"/>
    </xf>
    <xf numFmtId="0" fontId="10" fillId="0" borderId="12" xfId="8" applyFont="1" applyBorder="1" applyAlignment="1">
      <alignment horizontal="center" vertical="center" wrapText="1"/>
    </xf>
    <xf numFmtId="0" fontId="10" fillId="0" borderId="11" xfId="8" applyFont="1" applyBorder="1" applyAlignment="1">
      <alignment horizontal="center" vertical="center" wrapText="1"/>
    </xf>
    <xf numFmtId="0" fontId="10" fillId="0" borderId="14" xfId="8" applyFont="1" applyBorder="1" applyAlignment="1">
      <alignment horizontal="center" vertical="center" wrapText="1"/>
    </xf>
    <xf numFmtId="0" fontId="6" fillId="2" borderId="91" xfId="0" applyFont="1" applyFill="1" applyBorder="1" applyAlignment="1">
      <alignment horizontal="left" vertical="center" wrapText="1"/>
    </xf>
    <xf numFmtId="0" fontId="6" fillId="2" borderId="92" xfId="0" applyFont="1" applyFill="1" applyBorder="1" applyAlignment="1">
      <alignment horizontal="left" vertical="center" wrapText="1"/>
    </xf>
    <xf numFmtId="0" fontId="6" fillId="2" borderId="93" xfId="0" applyFont="1" applyFill="1" applyBorder="1" applyAlignment="1">
      <alignment horizontal="left" vertical="center" wrapText="1"/>
    </xf>
    <xf numFmtId="0" fontId="2" fillId="3" borderId="13" xfId="8" applyFont="1" applyFill="1" applyBorder="1" applyAlignment="1" applyProtection="1">
      <alignment horizontal="center" vertical="center" wrapText="1"/>
      <protection locked="0"/>
    </xf>
    <xf numFmtId="0" fontId="6" fillId="2" borderId="11" xfId="0" applyFont="1" applyFill="1" applyBorder="1" applyAlignment="1">
      <alignment horizontal="left" vertical="center" wrapText="1"/>
    </xf>
    <xf numFmtId="0" fontId="12" fillId="7" borderId="27" xfId="8" applyFont="1" applyFill="1" applyBorder="1" applyAlignment="1">
      <alignment horizontal="center" vertical="center" wrapText="1"/>
    </xf>
    <xf numFmtId="0" fontId="2" fillId="3" borderId="72" xfId="8" applyFont="1" applyFill="1" applyBorder="1" applyAlignment="1" applyProtection="1">
      <alignment horizontal="center" vertical="center" wrapText="1"/>
      <protection locked="0"/>
    </xf>
    <xf numFmtId="0" fontId="2" fillId="3" borderId="97" xfId="8" applyFont="1" applyFill="1" applyBorder="1" applyAlignment="1" applyProtection="1">
      <alignment horizontal="center" vertical="center" wrapText="1"/>
      <protection locked="0"/>
    </xf>
    <xf numFmtId="0" fontId="9" fillId="0" borderId="15" xfId="8" applyBorder="1" applyAlignment="1">
      <alignment horizontal="left" vertical="center" wrapText="1"/>
    </xf>
    <xf numFmtId="0" fontId="9" fillId="0" borderId="0" xfId="8" applyAlignment="1">
      <alignment horizontal="left" vertical="center" wrapText="1"/>
    </xf>
    <xf numFmtId="0" fontId="9" fillId="0" borderId="16" xfId="8" applyBorder="1" applyAlignment="1">
      <alignment horizontal="left" vertical="center" wrapText="1"/>
    </xf>
    <xf numFmtId="0" fontId="8" fillId="3" borderId="72" xfId="8" applyFont="1" applyFill="1" applyBorder="1" applyAlignment="1" applyProtection="1">
      <alignment horizontal="center" vertical="center" wrapText="1"/>
      <protection locked="0"/>
    </xf>
    <xf numFmtId="0" fontId="8" fillId="3" borderId="13" xfId="8" applyFont="1" applyFill="1" applyBorder="1" applyAlignment="1" applyProtection="1">
      <alignment horizontal="center" vertical="center" wrapText="1"/>
      <protection locked="0"/>
    </xf>
    <xf numFmtId="0" fontId="8" fillId="3" borderId="97" xfId="8" applyFont="1" applyFill="1" applyBorder="1" applyAlignment="1" applyProtection="1">
      <alignment horizontal="center" vertical="center" wrapText="1"/>
      <protection locked="0"/>
    </xf>
    <xf numFmtId="0" fontId="6" fillId="0" borderId="15" xfId="0" applyFont="1" applyBorder="1" applyAlignment="1">
      <alignment horizontal="left" vertical="center" wrapText="1"/>
    </xf>
    <xf numFmtId="0" fontId="6" fillId="0" borderId="0" xfId="0" applyFont="1" applyAlignment="1">
      <alignment horizontal="left" vertical="center" wrapText="1"/>
    </xf>
    <xf numFmtId="0" fontId="6" fillId="0" borderId="16" xfId="0" applyFont="1" applyBorder="1" applyAlignment="1">
      <alignment horizontal="left" vertical="center" wrapText="1"/>
    </xf>
    <xf numFmtId="0" fontId="40" fillId="0" borderId="12" xfId="8" applyFont="1" applyBorder="1" applyAlignment="1">
      <alignment horizontal="center" vertical="center" wrapText="1"/>
    </xf>
    <xf numFmtId="0" fontId="40" fillId="0" borderId="14" xfId="8" applyFont="1" applyBorder="1" applyAlignment="1">
      <alignment horizontal="center" vertical="center" wrapText="1"/>
    </xf>
    <xf numFmtId="0" fontId="11" fillId="2" borderId="7" xfId="8" applyFont="1" applyFill="1" applyBorder="1" applyAlignment="1"/>
    <xf numFmtId="0" fontId="11" fillId="2" borderId="15" xfId="8" applyFont="1" applyFill="1" applyBorder="1" applyAlignment="1"/>
    <xf numFmtId="0" fontId="9" fillId="2" borderId="0" xfId="8" applyFill="1" applyAlignment="1"/>
    <xf numFmtId="0" fontId="11" fillId="2" borderId="0" xfId="8" applyFont="1" applyFill="1" applyAlignment="1"/>
    <xf numFmtId="0" fontId="11" fillId="2" borderId="21" xfId="8" applyFont="1" applyFill="1" applyBorder="1" applyAlignment="1"/>
    <xf numFmtId="0" fontId="11" fillId="2" borderId="22" xfId="8" applyFont="1" applyFill="1" applyBorder="1" applyAlignment="1"/>
    <xf numFmtId="0" fontId="11" fillId="0" borderId="24" xfId="8" applyFont="1" applyBorder="1" applyAlignment="1"/>
    <xf numFmtId="0" fontId="17" fillId="2" borderId="26" xfId="8" applyFont="1" applyFill="1" applyBorder="1" applyAlignment="1"/>
    <xf numFmtId="0" fontId="11" fillId="0" borderId="26" xfId="8" applyFont="1" applyBorder="1" applyAlignment="1"/>
    <xf numFmtId="0" fontId="11" fillId="2" borderId="24" xfId="8" applyFont="1" applyFill="1" applyBorder="1" applyAlignment="1"/>
    <xf numFmtId="0" fontId="11" fillId="2" borderId="27" xfId="8" applyFont="1" applyFill="1" applyBorder="1" applyAlignment="1"/>
    <xf numFmtId="0" fontId="11" fillId="0" borderId="29" xfId="8" applyFont="1" applyBorder="1" applyAlignment="1"/>
    <xf numFmtId="0" fontId="11" fillId="0" borderId="31" xfId="8" applyFont="1" applyBorder="1" applyAlignment="1"/>
    <xf numFmtId="0" fontId="11" fillId="0" borderId="32" xfId="8" applyFont="1" applyBorder="1" applyAlignment="1"/>
    <xf numFmtId="0" fontId="11" fillId="0" borderId="15" xfId="8" applyFont="1" applyBorder="1" applyAlignment="1"/>
    <xf numFmtId="0" fontId="11" fillId="0" borderId="33" xfId="8" applyFont="1" applyBorder="1" applyAlignment="1"/>
    <xf numFmtId="0" fontId="11" fillId="0" borderId="34" xfId="8" applyFont="1" applyBorder="1" applyAlignment="1"/>
    <xf numFmtId="0" fontId="9" fillId="0" borderId="0" xfId="8" applyAlignment="1"/>
    <xf numFmtId="0" fontId="11" fillId="0" borderId="16" xfId="8" applyFont="1" applyBorder="1" applyAlignment="1"/>
    <xf numFmtId="0" fontId="11" fillId="0" borderId="35" xfId="8" applyFont="1" applyBorder="1" applyAlignment="1"/>
    <xf numFmtId="0" fontId="11" fillId="0" borderId="36" xfId="8" applyFont="1" applyBorder="1" applyAlignment="1"/>
    <xf numFmtId="0" fontId="11" fillId="0" borderId="40" xfId="8" applyFont="1" applyBorder="1" applyAlignment="1"/>
    <xf numFmtId="0" fontId="33" fillId="2" borderId="42" xfId="8" applyFont="1" applyFill="1" applyBorder="1" applyAlignment="1"/>
    <xf numFmtId="0" fontId="33" fillId="2" borderId="40" xfId="8" applyFont="1" applyFill="1" applyBorder="1" applyAlignment="1"/>
    <xf numFmtId="0" fontId="21" fillId="2" borderId="42" xfId="8" applyFont="1" applyFill="1" applyBorder="1" applyAlignment="1"/>
    <xf numFmtId="0" fontId="21" fillId="2" borderId="40" xfId="8" applyFont="1" applyFill="1" applyBorder="1" applyAlignment="1"/>
    <xf numFmtId="0" fontId="11" fillId="0" borderId="44" xfId="8" applyFont="1" applyBorder="1" applyAlignment="1"/>
    <xf numFmtId="0" fontId="11" fillId="0" borderId="47" xfId="8" applyFont="1" applyBorder="1" applyAlignment="1"/>
    <xf numFmtId="0" fontId="11" fillId="0" borderId="22" xfId="8" applyFont="1" applyBorder="1" applyAlignment="1"/>
    <xf numFmtId="0" fontId="11" fillId="0" borderId="18" xfId="8" applyFont="1" applyBorder="1" applyAlignment="1"/>
    <xf numFmtId="0" fontId="36" fillId="0" borderId="24" xfId="8" applyFont="1" applyBorder="1" applyAlignment="1"/>
    <xf numFmtId="0" fontId="36" fillId="0" borderId="27" xfId="8" applyFont="1" applyBorder="1" applyAlignment="1"/>
    <xf numFmtId="0" fontId="36" fillId="0" borderId="49" xfId="8" applyFont="1" applyBorder="1" applyAlignment="1"/>
    <xf numFmtId="0" fontId="36" fillId="0" borderId="51" xfId="8" applyFont="1" applyBorder="1" applyAlignment="1"/>
    <xf numFmtId="0" fontId="36" fillId="0" borderId="40" xfId="8" applyFont="1" applyBorder="1" applyAlignment="1"/>
    <xf numFmtId="0" fontId="36" fillId="0" borderId="53" xfId="8" applyFont="1" applyBorder="1" applyAlignment="1"/>
    <xf numFmtId="0" fontId="36" fillId="0" borderId="55" xfId="8" applyFont="1" applyBorder="1" applyAlignment="1"/>
    <xf numFmtId="0" fontId="36" fillId="0" borderId="57" xfId="8" applyFont="1" applyBorder="1" applyAlignment="1"/>
    <xf numFmtId="0" fontId="36" fillId="0" borderId="42" xfId="8" applyFont="1" applyBorder="1" applyAlignment="1"/>
    <xf numFmtId="0" fontId="36" fillId="2" borderId="42" xfId="8" applyFont="1" applyFill="1" applyBorder="1" applyAlignment="1"/>
    <xf numFmtId="0" fontId="36" fillId="2" borderId="53" xfId="8" applyFont="1" applyFill="1" applyBorder="1" applyAlignment="1"/>
    <xf numFmtId="0" fontId="36" fillId="0" borderId="99" xfId="8" applyFont="1" applyBorder="1" applyAlignment="1"/>
    <xf numFmtId="0" fontId="36" fillId="0" borderId="103" xfId="8" applyFont="1" applyBorder="1" applyAlignment="1"/>
    <xf numFmtId="0" fontId="36" fillId="0" borderId="31" xfId="8" applyFont="1" applyBorder="1" applyAlignment="1"/>
    <xf numFmtId="0" fontId="36" fillId="0" borderId="32" xfId="8" applyFont="1" applyBorder="1" applyAlignment="1"/>
    <xf numFmtId="0" fontId="36" fillId="0" borderId="67" xfId="8" applyFont="1" applyBorder="1" applyAlignment="1"/>
    <xf numFmtId="0" fontId="36" fillId="2" borderId="67" xfId="8" applyFont="1" applyFill="1" applyBorder="1" applyAlignment="1"/>
    <xf numFmtId="0" fontId="36" fillId="0" borderId="46" xfId="8" applyFont="1" applyBorder="1" applyAlignment="1"/>
    <xf numFmtId="0" fontId="36" fillId="0" borderId="44" xfId="8" applyFont="1" applyBorder="1" applyAlignment="1"/>
    <xf numFmtId="0" fontId="36" fillId="2" borderId="44" xfId="8" applyFont="1" applyFill="1" applyBorder="1" applyAlignment="1"/>
    <xf numFmtId="0" fontId="36" fillId="0" borderId="71" xfId="8" applyFont="1" applyBorder="1" applyAlignment="1"/>
  </cellXfs>
  <cellStyles count="31">
    <cellStyle name="0,0_x000d__x000a_NA_x000d__x000a_" xfId="28" xr:uid="{00000000-0005-0000-0000-000000000000}"/>
    <cellStyle name="Hipervínculo 2" xfId="4" xr:uid="{00000000-0005-0000-0000-000001000000}"/>
    <cellStyle name="Millares [0] 2" xfId="22" xr:uid="{00000000-0005-0000-0000-000002000000}"/>
    <cellStyle name="Millares [0] 3" xfId="29" xr:uid="{00000000-0005-0000-0000-000003000000}"/>
    <cellStyle name="Millares 2" xfId="14" xr:uid="{00000000-0005-0000-0000-000004000000}"/>
    <cellStyle name="Millares 3" xfId="16" xr:uid="{00000000-0005-0000-0000-000005000000}"/>
    <cellStyle name="Moneda [0] 2" xfId="11" xr:uid="{00000000-0005-0000-0000-000006000000}"/>
    <cellStyle name="Moneda [0] 3" xfId="15" xr:uid="{00000000-0005-0000-0000-000007000000}"/>
    <cellStyle name="Moneda [0] 3 2" xfId="23" xr:uid="{00000000-0005-0000-0000-000008000000}"/>
    <cellStyle name="Moneda [0] 8 2" xfId="13" xr:uid="{00000000-0005-0000-0000-000009000000}"/>
    <cellStyle name="Moneda 2" xfId="12" xr:uid="{00000000-0005-0000-0000-00000A000000}"/>
    <cellStyle name="Moneda 2 2" xfId="21" xr:uid="{00000000-0005-0000-0000-00000B000000}"/>
    <cellStyle name="Moneda 3" xfId="18" xr:uid="{00000000-0005-0000-0000-00000C000000}"/>
    <cellStyle name="Moneda 9" xfId="7" xr:uid="{00000000-0005-0000-0000-00000D000000}"/>
    <cellStyle name="Normal" xfId="0" builtinId="0"/>
    <cellStyle name="Normal 11" xfId="27" xr:uid="{00000000-0005-0000-0000-00000F000000}"/>
    <cellStyle name="Normal 2" xfId="2" xr:uid="{00000000-0005-0000-0000-000010000000}"/>
    <cellStyle name="Normal 2 2" xfId="25" xr:uid="{00000000-0005-0000-0000-000011000000}"/>
    <cellStyle name="Normal 2 2 2 2 2" xfId="3" xr:uid="{00000000-0005-0000-0000-000012000000}"/>
    <cellStyle name="Normal 3" xfId="8" xr:uid="{00000000-0005-0000-0000-000013000000}"/>
    <cellStyle name="Normal 4" xfId="10" xr:uid="{00000000-0005-0000-0000-000014000000}"/>
    <cellStyle name="Normal 5" xfId="17" xr:uid="{00000000-0005-0000-0000-000015000000}"/>
    <cellStyle name="Normal 5 2" xfId="20" xr:uid="{00000000-0005-0000-0000-000016000000}"/>
    <cellStyle name="Normal 6" xfId="26" xr:uid="{00000000-0005-0000-0000-000017000000}"/>
    <cellStyle name="Porcentaje" xfId="1" builtinId="5"/>
    <cellStyle name="Porcentaje 2" xfId="6" xr:uid="{00000000-0005-0000-0000-000019000000}"/>
    <cellStyle name="Porcentaje 2 2" xfId="30" xr:uid="{00000000-0005-0000-0000-00001A000000}"/>
    <cellStyle name="Porcentaje 3" xfId="9" xr:uid="{00000000-0005-0000-0000-00001B000000}"/>
    <cellStyle name="Porcentaje 3 2" xfId="24" xr:uid="{00000000-0005-0000-0000-00001C000000}"/>
    <cellStyle name="Porcentaje 4" xfId="19" xr:uid="{00000000-0005-0000-0000-00001D000000}"/>
    <cellStyle name="Porcentual 2 2 2" xfId="5" xr:uid="{00000000-0005-0000-0000-00001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lvl="0">
              <a:defRPr sz="1000" b="0" i="0">
                <a:solidFill>
                  <a:srgbClr val="000000"/>
                </a:solidFill>
              </a:defRPr>
            </a:pPr>
            <a:r>
              <a:rPr lang="es-CO"/>
              <a:t>AVANCE GENERAL</a:t>
            </a:r>
          </a:p>
        </c:rich>
      </c:tx>
      <c:overlay val="0"/>
    </c:title>
    <c:autoTitleDeleted val="0"/>
    <c:plotArea>
      <c:layout/>
      <c:barChart>
        <c:barDir val="col"/>
        <c:grouping val="clustered"/>
        <c:varyColors val="1"/>
        <c:ser>
          <c:idx val="0"/>
          <c:order val="0"/>
          <c:tx>
            <c:strRef>
              <c:f>'Informe ejecutivo 6'!$C$47</c:f>
              <c:strCache>
                <c:ptCount val="1"/>
                <c:pt idx="0">
                  <c:v>%PROGRAM.</c:v>
                </c:pt>
              </c:strCache>
            </c:strRef>
          </c:tx>
          <c:spPr>
            <a:solidFill>
              <a:srgbClr val="666699"/>
            </a:solidFill>
          </c:spPr>
          <c:invertIfNegative val="1"/>
          <c:dLbls>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multiLvlStrRef>
              <c:f>'Informe ejecutivo 6'!$A$48:$B$50</c:f>
              <c:multiLvlStrCache>
                <c:ptCount val="3"/>
                <c:lvl/>
                <c:lvl>
                  <c:pt idx="0">
                    <c:v>Acumulado anterior</c:v>
                  </c:pt>
                  <c:pt idx="1">
                    <c:v>Durante el periodo</c:v>
                  </c:pt>
                  <c:pt idx="2">
                    <c:v>Acumulado Actual</c:v>
                  </c:pt>
                </c:lvl>
              </c:multiLvlStrCache>
            </c:multiLvlStrRef>
          </c:cat>
          <c:val>
            <c:numRef>
              <c:f>'Informe ejecutivo 6'!$C$48:$C$50</c:f>
              <c:numCache>
                <c:formatCode>0.00%</c:formatCode>
                <c:ptCount val="3"/>
                <c:pt idx="0">
                  <c:v>0.2571</c:v>
                </c:pt>
                <c:pt idx="1">
                  <c:v>0.5286142857142857</c:v>
                </c:pt>
                <c:pt idx="2">
                  <c:v>0.7857142857142857</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0-D43E-4D9C-A830-C5D31A7BC02B}"/>
            </c:ext>
          </c:extLst>
        </c:ser>
        <c:ser>
          <c:idx val="1"/>
          <c:order val="1"/>
          <c:tx>
            <c:strRef>
              <c:f>'Informe ejecutivo 6'!$D$47</c:f>
              <c:strCache>
                <c:ptCount val="1"/>
                <c:pt idx="0">
                  <c:v>%EJECUT.</c:v>
                </c:pt>
              </c:strCache>
            </c:strRef>
          </c:tx>
          <c:spPr>
            <a:solidFill>
              <a:srgbClr val="993366"/>
            </a:solidFill>
          </c:spPr>
          <c:invertIfNegative val="1"/>
          <c:dLbls>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multiLvlStrRef>
              <c:f>'Informe ejecutivo 6'!$A$48:$B$50</c:f>
              <c:multiLvlStrCache>
                <c:ptCount val="3"/>
                <c:lvl/>
                <c:lvl>
                  <c:pt idx="0">
                    <c:v>Acumulado anterior</c:v>
                  </c:pt>
                  <c:pt idx="1">
                    <c:v>Durante el periodo</c:v>
                  </c:pt>
                  <c:pt idx="2">
                    <c:v>Acumulado Actual</c:v>
                  </c:pt>
                </c:lvl>
              </c:multiLvlStrCache>
            </c:multiLvlStrRef>
          </c:cat>
          <c:val>
            <c:numRef>
              <c:f>'Informe ejecutivo 6'!$D$48:$D$50</c:f>
              <c:numCache>
                <c:formatCode>0.00%</c:formatCode>
                <c:ptCount val="3"/>
                <c:pt idx="0">
                  <c:v>0.66459999999999997</c:v>
                </c:pt>
                <c:pt idx="1">
                  <c:v>0.23861784024923649</c:v>
                </c:pt>
                <c:pt idx="2">
                  <c:v>0.90321784024923646</c:v>
                </c:pt>
              </c:numCache>
            </c:numRef>
          </c:val>
          <c:extLst>
            <c:ext xmlns:c14="http://schemas.microsoft.com/office/drawing/2007/8/2/chart" uri="{6F2FDCE9-48DA-4B69-8628-5D25D57E5C99}">
              <c14:invertSolidFillFmt>
                <c14:spPr xmlns:c14="http://schemas.microsoft.com/office/drawing/2007/8/2/chart">
                  <a:solidFill>
                    <a:srgbClr val="FFFFFF"/>
                  </a:solidFill>
                </c14:spPr>
              </c14:invertSolidFillFmt>
            </c:ext>
            <c:ext xmlns:c16="http://schemas.microsoft.com/office/drawing/2014/chart" uri="{C3380CC4-5D6E-409C-BE32-E72D297353CC}">
              <c16:uniqueId val="{00000004-18EC-452E-A758-150EEB7E7025}"/>
            </c:ext>
          </c:extLst>
        </c:ser>
        <c:ser>
          <c:idx val="2"/>
          <c:order val="2"/>
          <c:tx>
            <c:strRef>
              <c:f>'Informe ejecutivo 6'!$E$47</c:f>
              <c:strCache>
                <c:ptCount val="1"/>
                <c:pt idx="0">
                  <c:v>DIFERENCIA</c:v>
                </c:pt>
              </c:strCache>
            </c:strRef>
          </c:tx>
          <c:spPr>
            <a:solidFill>
              <a:schemeClr val="accent4">
                <a:lumMod val="75000"/>
              </a:schemeClr>
            </a:solidFill>
          </c:spPr>
          <c:invertIfNegative val="0"/>
          <c:dLbls>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multiLvlStrRef>
              <c:f>'Informe ejecutivo 6'!$A$48:$B$50</c:f>
              <c:multiLvlStrCache>
                <c:ptCount val="3"/>
                <c:lvl/>
                <c:lvl>
                  <c:pt idx="0">
                    <c:v>Acumulado anterior</c:v>
                  </c:pt>
                  <c:pt idx="1">
                    <c:v>Durante el periodo</c:v>
                  </c:pt>
                  <c:pt idx="2">
                    <c:v>Acumulado Actual</c:v>
                  </c:pt>
                </c:lvl>
              </c:multiLvlStrCache>
            </c:multiLvlStrRef>
          </c:cat>
          <c:val>
            <c:numRef>
              <c:f>'Informe ejecutivo 6'!$E$48:$E$50</c:f>
              <c:numCache>
                <c:formatCode>0.00%</c:formatCode>
                <c:ptCount val="3"/>
                <c:pt idx="0">
                  <c:v>0.40749999999999997</c:v>
                </c:pt>
                <c:pt idx="1">
                  <c:v>0.37460355453495076</c:v>
                </c:pt>
                <c:pt idx="2">
                  <c:v>0.11750355453495076</c:v>
                </c:pt>
              </c:numCache>
            </c:numRef>
          </c:val>
          <c:extLst>
            <c:ext xmlns:c16="http://schemas.microsoft.com/office/drawing/2014/chart" uri="{C3380CC4-5D6E-409C-BE32-E72D297353CC}">
              <c16:uniqueId val="{00000005-18EC-452E-A758-150EEB7E7025}"/>
            </c:ext>
          </c:extLst>
        </c:ser>
        <c:dLbls>
          <c:dLblPos val="outEnd"/>
          <c:showLegendKey val="0"/>
          <c:showVal val="1"/>
          <c:showCatName val="0"/>
          <c:showSerName val="0"/>
          <c:showPercent val="0"/>
          <c:showBubbleSize val="0"/>
        </c:dLbls>
        <c:gapWidth val="150"/>
        <c:axId val="229789760"/>
        <c:axId val="175300584"/>
      </c:barChart>
      <c:catAx>
        <c:axId val="229789760"/>
        <c:scaling>
          <c:orientation val="minMax"/>
        </c:scaling>
        <c:delete val="0"/>
        <c:axPos val="b"/>
        <c:numFmt formatCode="General" sourceLinked="1"/>
        <c:majorTickMark val="cross"/>
        <c:minorTickMark val="cross"/>
        <c:tickLblPos val="nextTo"/>
        <c:txPr>
          <a:bodyPr/>
          <a:lstStyle/>
          <a:p>
            <a:pPr lvl="0">
              <a:defRPr b="0"/>
            </a:pPr>
            <a:endParaRPr lang="en-US"/>
          </a:p>
        </c:txPr>
        <c:crossAx val="175300584"/>
        <c:crosses val="autoZero"/>
        <c:auto val="1"/>
        <c:lblAlgn val="ctr"/>
        <c:lblOffset val="100"/>
        <c:noMultiLvlLbl val="1"/>
      </c:catAx>
      <c:valAx>
        <c:axId val="175300584"/>
        <c:scaling>
          <c:orientation val="minMax"/>
        </c:scaling>
        <c:delete val="0"/>
        <c:axPos val="l"/>
        <c:majorGridlines>
          <c:spPr>
            <a:ln>
              <a:solidFill>
                <a:srgbClr val="FFFFFF"/>
              </a:solidFill>
            </a:ln>
          </c:spPr>
        </c:majorGridlines>
        <c:numFmt formatCode="0.00%" sourceLinked="1"/>
        <c:majorTickMark val="cross"/>
        <c:minorTickMark val="cross"/>
        <c:tickLblPos val="nextTo"/>
        <c:spPr>
          <a:ln w="47625">
            <a:noFill/>
          </a:ln>
        </c:spPr>
        <c:txPr>
          <a:bodyPr/>
          <a:lstStyle/>
          <a:p>
            <a:pPr lvl="0">
              <a:defRPr b="0"/>
            </a:pPr>
            <a:endParaRPr lang="en-US"/>
          </a:p>
        </c:txPr>
        <c:crossAx val="229789760"/>
        <c:crosses val="autoZero"/>
        <c:crossBetween val="between"/>
      </c:valAx>
      <c:spPr>
        <a:solidFill>
          <a:srgbClr val="FFFFFF"/>
        </a:solidFill>
      </c:spPr>
    </c:plotArea>
    <c:legend>
      <c:legendPos val="t"/>
      <c:overlay val="0"/>
      <c:txPr>
        <a:bodyPr/>
        <a:lstStyle/>
        <a:p>
          <a:pPr rtl="0">
            <a:defRPr/>
          </a:pPr>
          <a:endParaRPr lang="en-US"/>
        </a:p>
      </c:txPr>
    </c:legend>
    <c:plotVisOnly val="1"/>
    <c:dispBlanksAs val="zero"/>
    <c:showDLblsOverMax val="1"/>
  </c:chart>
  <c:spPr>
    <a:solidFill>
      <a:srgbClr val="FFFFFF"/>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r>
              <a:rPr lang="es-CO"/>
              <a:t>AVANCE FINANCIERO POR CAPITULOS</a:t>
            </a:r>
          </a:p>
        </c:rich>
      </c:tx>
      <c:layout>
        <c:manualLayout>
          <c:xMode val="edge"/>
          <c:yMode val="edge"/>
          <c:x val="0.29258151861227782"/>
          <c:y val="2.0075274375255879E-2"/>
        </c:manualLayout>
      </c:layout>
      <c:overlay val="0"/>
      <c:spPr>
        <a:noFill/>
        <a:ln>
          <a:noFill/>
        </a:ln>
        <a:effectLst/>
      </c:spPr>
      <c:txPr>
        <a:bodyPr rot="0" spcFirstLastPara="1" vertOverflow="ellipsis" vert="horz" wrap="square" anchor="ctr" anchorCtr="1"/>
        <a:lstStyle/>
        <a:p>
          <a:pPr>
            <a:defRPr sz="1600" b="1" i="0" u="none" strike="noStrike" kern="1200" cap="none" spc="0" normalizeH="0" baseline="0">
              <a:solidFill>
                <a:schemeClr val="dk1">
                  <a:lumMod val="50000"/>
                  <a:lumOff val="50000"/>
                </a:schemeClr>
              </a:solidFill>
              <a:latin typeface="+mj-lt"/>
              <a:ea typeface="+mj-ea"/>
              <a:cs typeface="+mj-cs"/>
            </a:defRPr>
          </a:pPr>
          <a:endParaRPr lang="en-US"/>
        </a:p>
      </c:txPr>
    </c:title>
    <c:autoTitleDeleted val="0"/>
    <c:plotArea>
      <c:layout/>
      <c:barChart>
        <c:barDir val="col"/>
        <c:grouping val="clustered"/>
        <c:varyColors val="0"/>
        <c:ser>
          <c:idx val="0"/>
          <c:order val="0"/>
          <c:tx>
            <c:strRef>
              <c:f>'Informe ejecutivo 6'!$D$59</c:f>
              <c:strCache>
                <c:ptCount val="1"/>
                <c:pt idx="0">
                  <c:v>PROGRAMADO</c:v>
                </c:pt>
              </c:strCache>
            </c:strRef>
          </c:tx>
          <c:spPr>
            <a:solidFill>
              <a:schemeClr val="accent1"/>
            </a:solidFill>
            <a:ln>
              <a:noFill/>
            </a:ln>
            <a:effectLst/>
          </c:spPr>
          <c:invertIfNegative val="0"/>
          <c:cat>
            <c:multiLvlStrRef>
              <c:f>'Informe ejecutivo 6'!$A$61:$B$129</c:f>
              <c:multiLvlStrCache>
                <c:ptCount val="67"/>
                <c:lvl>
                  <c:pt idx="0">
                    <c:v>Suministro e instalación de Luminaria-PANEL LED de 610X600X80 SOBREPONER 50W</c:v>
                  </c:pt>
                  <c:pt idx="1">
                    <c:v>Suministro e instalación de Luminaria EMERGENCIA LED</c:v>
                  </c:pt>
                  <c:pt idx="2">
                    <c:v>Suministro e instalación  de Luminaria - HERMETICA  IT 1OO AQ DUNA LENS E10 660X95X100 SOBRE PONER18W</c:v>
                  </c:pt>
                  <c:pt idx="3">
                    <c:v>Suministro  e  instalación  de Luminaria BALA LED REDONDA 22W pasillos</c:v>
                  </c:pt>
                  <c:pt idx="4">
                    <c:v>Retiro de Luminaria Existente de 60x60</c:v>
                  </c:pt>
                  <c:pt idx="5">
                    <c:v>Retiro de Luminaria Existente bala led de 22 w  en pasillos </c:v>
                  </c:pt>
                  <c:pt idx="6">
                    <c:v>Suspensión aislada de punto eléctrico existente</c:v>
                  </c:pt>
                  <c:pt idx="7">
                    <c:v>Reubicación de punto eléctrico</c:v>
                  </c:pt>
                  <c:pt idx="8">
                    <c:v>Adecuación de Alimentación de luminarias existentes para unificar circuito de emergencia y circuito Normal</c:v>
                  </c:pt>
                  <c:pt idx="9">
                    <c:v>Suministro e instalación de sensor provolt</c:v>
                  </c:pt>
                  <c:pt idx="10">
                    <c:v>Suministro e instalación de Botonera 4 botones para atenuar luminarias a través de sensor </c:v>
                  </c:pt>
                  <c:pt idx="11">
                    <c:v>Suministro e instalación de interconexión de control de lampara a lampara con cable de control de 2x20 AWG que va en las luminarias que utilizan  atenuador de  0-10v</c:v>
                  </c:pt>
                  <c:pt idx="12">
                    <c:v>Suministro e instalación de encauchetado 3x16AWG desde caja de paso hasta luminaria con accesorios de fijación y empalme eléctrico</c:v>
                  </c:pt>
                  <c:pt idx="13">
                    <c:v>Suministro e instalación de salida para iluminación en zona de iluminación de lámparas de emergencia para cumplir requerimiento RETILAP. No incluye tubería, ni circuitos de alimentación.</c:v>
                  </c:pt>
                  <c:pt idx="14">
                    <c:v>Suministro e instalación interruptor sencillo.</c:v>
                  </c:pt>
                  <c:pt idx="15">
                    <c:v>OBRAS CIVILES </c:v>
                  </c:pt>
                  <c:pt idx="16">
                    <c:v>Reparación de hueco de luminaria retirada</c:v>
                  </c:pt>
                  <c:pt idx="17">
                    <c:v>Reparación de techo en oficinas por adecuaciones realizadas para salidas eléctricas en control</c:v>
                  </c:pt>
                  <c:pt idx="18">
                    <c:v>Reparación de muro afectado por interruptor de encendido por luminarias nuevas</c:v>
                  </c:pt>
                  <c:pt idx="19">
                    <c:v>Pintura de Techo zonas afectadas por hueco de luminaria</c:v>
                  </c:pt>
                  <c:pt idx="20">
                    <c:v>Pintura de muro zonas afectadas por interruptor de encendido por luminarias nuevas en archivos</c:v>
                  </c:pt>
                  <c:pt idx="21">
                    <c:v>Pintura de Techo zonas afectadas por adecuaciones realizadas para salidas eléctricas en control</c:v>
                  </c:pt>
                  <c:pt idx="22">
                    <c:v>CAPITULO 2 PISO 4</c:v>
                  </c:pt>
                  <c:pt idx="23">
                    <c:v>Suministro e instalación de Luminaria-PANEL LED de 610X600X80 SOBREPONER 50W</c:v>
                  </c:pt>
                  <c:pt idx="24">
                    <c:v>Suministro  e  instalación  de Luminaria BALA LED REDONDA 22W </c:v>
                  </c:pt>
                  <c:pt idx="25">
                    <c:v>Suministro  e  instalación  de Luminaria Bombillas LED – CCCE</c:v>
                  </c:pt>
                  <c:pt idx="26">
                    <c:v>Suministro e instalación  de Luminaria - HERMETICA  IT 1OO AQ DUNA LENS E10 660X95X100 SOBRE PONER18W</c:v>
                  </c:pt>
                  <c:pt idx="27">
                    <c:v>Suministro e instalación de Luminaria EMERGENCIA LED</c:v>
                  </c:pt>
                  <c:pt idx="28">
                    <c:v>Retiro de Luminaria Existente de 60x60</c:v>
                  </c:pt>
                  <c:pt idx="29">
                    <c:v>Retiro de Luminaria Colgante</c:v>
                  </c:pt>
                  <c:pt idx="30">
                    <c:v>Suministro e instalación de interconexión de control de lampara a lampara con cable de control de 2x20 AWG que va en las luminarias que utilizan  atenuador de  0-10v</c:v>
                  </c:pt>
                  <c:pt idx="31">
                    <c:v>Suministro e instalación de sensor provolt</c:v>
                  </c:pt>
                  <c:pt idx="32">
                    <c:v>Suministro e instalación de Botonera 4 botones para atenuar luminarias a través de sensor </c:v>
                  </c:pt>
                  <c:pt idx="33">
                    <c:v>Suministro e instalación de encauchetado 3x16AWG desde caja de paso hasta luminaria con accesorios de fijación y empalme eléctrico</c:v>
                  </c:pt>
                  <c:pt idx="34">
                    <c:v>Suministro e instalación interruptor sencillo.</c:v>
                  </c:pt>
                  <c:pt idx="35">
                    <c:v>Reparación de hueco de luminaria retirada</c:v>
                  </c:pt>
                  <c:pt idx="36">
                    <c:v>Reparación de techo en oficinas por adecuaciones realizadas para salidas eléctricas en control</c:v>
                  </c:pt>
                  <c:pt idx="37">
                    <c:v>Pintura de Techo zonas afectadas por hueco de luminaria</c:v>
                  </c:pt>
                  <c:pt idx="38">
                    <c:v>Pintura de muro zonas afectadas por interruptor de encendido por luminarias nuevas</c:v>
                  </c:pt>
                  <c:pt idx="39">
                    <c:v>CAPITULO 3 SÓTANO UNO</c:v>
                  </c:pt>
                  <c:pt idx="40">
                    <c:v>Suministro e instalación de Luminaria-PANEL LED de 610X600X80 SOBREPONER 50W</c:v>
                  </c:pt>
                  <c:pt idx="41">
                    <c:v>Suministro e instalación de Luminaria EMERGENCIA LED</c:v>
                  </c:pt>
                  <c:pt idx="42">
                    <c:v>Suministro  e  instalación  de Luminaria Bombillas LED – CCCE</c:v>
                  </c:pt>
                  <c:pt idx="43">
                    <c:v>Suministro e instalación  de Luminaria - HERMETICA  IT 1OO AQ DUNA LENS E10 660X95X100 SOBRE PONER18W</c:v>
                  </c:pt>
                  <c:pt idx="44">
                    <c:v>Suministro  e  instalación  de Luminaria BALA LED REDONDA 22W </c:v>
                  </c:pt>
                  <c:pt idx="45">
                    <c:v>Retiro de Luminaria Existente de 60x60</c:v>
                  </c:pt>
                  <c:pt idx="46">
                    <c:v>Retiro de Luminaria Existente de 2 x 32 w</c:v>
                  </c:pt>
                  <c:pt idx="47">
                    <c:v>Suministro e instalación DPS tipo 2 tablero de emergencia eléctrico </c:v>
                  </c:pt>
                  <c:pt idx="48">
                    <c:v>Suministro e instalación de sensor provolt</c:v>
                  </c:pt>
                  <c:pt idx="49">
                    <c:v>Suministro e instalación de Botonera 4 botones para atenuar luminarias a través de sensor </c:v>
                  </c:pt>
                  <c:pt idx="50">
                    <c:v>Suministro e instalación de salida para iluminación en zona de iluminación de lámparas de emergencia para cumplir requerimiento RETILAP.  incluye tubería, y circuitos de alimentación.</c:v>
                  </c:pt>
                  <c:pt idx="51">
                    <c:v>Suministro e instalación de salida para interruptor sencillo en zona de iluminación de archivo incluye afectación civil rompiendo pared para la ubicación del mismo.</c:v>
                  </c:pt>
                  <c:pt idx="52">
                    <c:v>Suministro e instalación interruptor sencillo.</c:v>
                  </c:pt>
                  <c:pt idx="53">
                    <c:v>Suministro e instalación de interconexión de control de lampara a lampara con cable de control de 2x20 AWG que va en las luminarias que utilizan  atenuador de  0-10v</c:v>
                  </c:pt>
                  <c:pt idx="54">
                    <c:v>Suministro e instalación de encauchetado 3x16AWG desde caja de paso hasta luminaria con accesorios de fijación y empalme eléctrico</c:v>
                  </c:pt>
                  <c:pt idx="55">
                    <c:v>Reparación de hueco de luminaria retirada</c:v>
                  </c:pt>
                  <c:pt idx="56">
                    <c:v>Reparación de techo en oficinas por adecuaciones realizadas para salidas eléctricas en control</c:v>
                  </c:pt>
                  <c:pt idx="57">
                    <c:v>Pintura de Techo zonas afectadas por hueco de luminaria</c:v>
                  </c:pt>
                  <c:pt idx="58">
                    <c:v>Pintura de muro zonas afectadas por interruptor de encendido por luminarias nuevas</c:v>
                  </c:pt>
                  <c:pt idx="61">
                    <c:v>TOTAL COSTO DIRECTO</c:v>
                  </c:pt>
                  <c:pt idx="62">
                    <c:v>ADMINISTRACION  23%</c:v>
                  </c:pt>
                  <c:pt idx="63">
                    <c:v>IMPREVISTOS          2%</c:v>
                  </c:pt>
                  <c:pt idx="64">
                    <c:v>UTILIDAD                  5%</c:v>
                  </c:pt>
                  <c:pt idx="65">
                    <c:v>IVA 19% SOBRE U</c:v>
                  </c:pt>
                  <c:pt idx="66">
                    <c:v>TOTAL</c:v>
                  </c:pt>
                </c:lvl>
                <c:lvl>
                  <c:pt idx="0">
                    <c:v>1,01</c:v>
                  </c:pt>
                  <c:pt idx="1">
                    <c:v>1,02</c:v>
                  </c:pt>
                  <c:pt idx="2">
                    <c:v>1,03</c:v>
                  </c:pt>
                  <c:pt idx="3">
                    <c:v>1,04</c:v>
                  </c:pt>
                  <c:pt idx="4">
                    <c:v>1,05</c:v>
                  </c:pt>
                  <c:pt idx="5">
                    <c:v>1,06</c:v>
                  </c:pt>
                  <c:pt idx="6">
                    <c:v>1,07</c:v>
                  </c:pt>
                  <c:pt idx="7">
                    <c:v>1,08</c:v>
                  </c:pt>
                  <c:pt idx="8">
                    <c:v>1,09</c:v>
                  </c:pt>
                  <c:pt idx="9">
                    <c:v>1,1</c:v>
                  </c:pt>
                  <c:pt idx="10">
                    <c:v>1,11</c:v>
                  </c:pt>
                  <c:pt idx="11">
                    <c:v>1,12</c:v>
                  </c:pt>
                  <c:pt idx="12">
                    <c:v>1,13</c:v>
                  </c:pt>
                  <c:pt idx="13">
                    <c:v>1,14</c:v>
                  </c:pt>
                  <c:pt idx="14">
                    <c:v>1,15</c:v>
                  </c:pt>
                  <c:pt idx="16">
                    <c:v>1,16</c:v>
                  </c:pt>
                  <c:pt idx="17">
                    <c:v>1,17</c:v>
                  </c:pt>
                  <c:pt idx="18">
                    <c:v>1,18</c:v>
                  </c:pt>
                  <c:pt idx="19">
                    <c:v>1,19</c:v>
                  </c:pt>
                  <c:pt idx="20">
                    <c:v>1,2</c:v>
                  </c:pt>
                  <c:pt idx="21">
                    <c:v>1,21</c:v>
                  </c:pt>
                  <c:pt idx="23">
                    <c:v>2,01</c:v>
                  </c:pt>
                  <c:pt idx="24">
                    <c:v>2,02</c:v>
                  </c:pt>
                  <c:pt idx="25">
                    <c:v>2,03</c:v>
                  </c:pt>
                  <c:pt idx="26">
                    <c:v>2,04</c:v>
                  </c:pt>
                  <c:pt idx="27">
                    <c:v>2,05</c:v>
                  </c:pt>
                  <c:pt idx="28">
                    <c:v>2,06</c:v>
                  </c:pt>
                  <c:pt idx="29">
                    <c:v>2,07</c:v>
                  </c:pt>
                  <c:pt idx="30">
                    <c:v>2,08</c:v>
                  </c:pt>
                  <c:pt idx="31">
                    <c:v>2,09</c:v>
                  </c:pt>
                  <c:pt idx="32">
                    <c:v>2,1</c:v>
                  </c:pt>
                  <c:pt idx="33">
                    <c:v>2,11</c:v>
                  </c:pt>
                  <c:pt idx="34">
                    <c:v>2,12</c:v>
                  </c:pt>
                  <c:pt idx="35">
                    <c:v>2,13</c:v>
                  </c:pt>
                  <c:pt idx="36">
                    <c:v>2,14</c:v>
                  </c:pt>
                  <c:pt idx="37">
                    <c:v>2,15</c:v>
                  </c:pt>
                  <c:pt idx="38">
                    <c:v>2,16</c:v>
                  </c:pt>
                  <c:pt idx="40">
                    <c:v>3,01</c:v>
                  </c:pt>
                  <c:pt idx="41">
                    <c:v>3,02</c:v>
                  </c:pt>
                  <c:pt idx="42">
                    <c:v>3,03</c:v>
                  </c:pt>
                  <c:pt idx="43">
                    <c:v>3,04</c:v>
                  </c:pt>
                  <c:pt idx="44">
                    <c:v>3,05</c:v>
                  </c:pt>
                  <c:pt idx="45">
                    <c:v>3,06</c:v>
                  </c:pt>
                  <c:pt idx="46">
                    <c:v>3,07</c:v>
                  </c:pt>
                  <c:pt idx="47">
                    <c:v>3,08</c:v>
                  </c:pt>
                  <c:pt idx="48">
                    <c:v>3,09</c:v>
                  </c:pt>
                  <c:pt idx="49">
                    <c:v>3,1</c:v>
                  </c:pt>
                  <c:pt idx="50">
                    <c:v>3,11</c:v>
                  </c:pt>
                  <c:pt idx="51">
                    <c:v>3,12</c:v>
                  </c:pt>
                  <c:pt idx="52">
                    <c:v>3,13</c:v>
                  </c:pt>
                  <c:pt idx="53">
                    <c:v>3,14</c:v>
                  </c:pt>
                  <c:pt idx="54">
                    <c:v>3,15</c:v>
                  </c:pt>
                  <c:pt idx="55">
                    <c:v>3,16</c:v>
                  </c:pt>
                  <c:pt idx="56">
                    <c:v>3,17</c:v>
                  </c:pt>
                  <c:pt idx="57">
                    <c:v>3,18</c:v>
                  </c:pt>
                  <c:pt idx="58">
                    <c:v>3,19</c:v>
                  </c:pt>
                  <c:pt idx="61">
                    <c:v>-</c:v>
                  </c:pt>
                  <c:pt idx="62">
                    <c:v>-</c:v>
                  </c:pt>
                  <c:pt idx="63">
                    <c:v>-</c:v>
                  </c:pt>
                  <c:pt idx="64">
                    <c:v>13</c:v>
                  </c:pt>
                  <c:pt idx="66">
                    <c:v>-</c:v>
                  </c:pt>
                </c:lvl>
              </c:multiLvlStrCache>
            </c:multiLvlStrRef>
          </c:cat>
          <c:val>
            <c:numRef>
              <c:f>'Informe ejecutivo 6'!$D$61:$D$129</c:f>
              <c:numCache>
                <c:formatCode>"$"\ #,##0</c:formatCode>
                <c:ptCount val="67"/>
                <c:pt idx="0" formatCode="_(&quot;$&quot;* #,##0.00_);_(&quot;$&quot;* \(#,##0.00\);_(&quot;$&quot;* &quot;-&quot;??_);_(@_)">
                  <c:v>85043301</c:v>
                </c:pt>
                <c:pt idx="1">
                  <c:v>7349856</c:v>
                </c:pt>
                <c:pt idx="2">
                  <c:v>2096032</c:v>
                </c:pt>
                <c:pt idx="3">
                  <c:v>4732868</c:v>
                </c:pt>
                <c:pt idx="4">
                  <c:v>4666014</c:v>
                </c:pt>
                <c:pt idx="5">
                  <c:v>649992</c:v>
                </c:pt>
                <c:pt idx="6">
                  <c:v>683160</c:v>
                </c:pt>
                <c:pt idx="7">
                  <c:v>2641140</c:v>
                </c:pt>
                <c:pt idx="8">
                  <c:v>13193340</c:v>
                </c:pt>
                <c:pt idx="9">
                  <c:v>46032913</c:v>
                </c:pt>
                <c:pt idx="10">
                  <c:v>10954647</c:v>
                </c:pt>
                <c:pt idx="11">
                  <c:v>14577500</c:v>
                </c:pt>
                <c:pt idx="12">
                  <c:v>4442900</c:v>
                </c:pt>
                <c:pt idx="13">
                  <c:v>3317031</c:v>
                </c:pt>
                <c:pt idx="14">
                  <c:v>449488</c:v>
                </c:pt>
                <c:pt idx="16">
                  <c:v>3662175</c:v>
                </c:pt>
                <c:pt idx="17">
                  <c:v>4109250</c:v>
                </c:pt>
                <c:pt idx="18">
                  <c:v>277808</c:v>
                </c:pt>
                <c:pt idx="19">
                  <c:v>2749068</c:v>
                </c:pt>
                <c:pt idx="20">
                  <c:v>356124</c:v>
                </c:pt>
                <c:pt idx="21">
                  <c:v>237416</c:v>
                </c:pt>
                <c:pt idx="23" formatCode="&quot;$&quot;\ #,##0.00">
                  <c:v>8462020</c:v>
                </c:pt>
                <c:pt idx="24">
                  <c:v>676124</c:v>
                </c:pt>
                <c:pt idx="25">
                  <c:v>6613096</c:v>
                </c:pt>
                <c:pt idx="26">
                  <c:v>1572024</c:v>
                </c:pt>
                <c:pt idx="27">
                  <c:v>1071854</c:v>
                </c:pt>
                <c:pt idx="28">
                  <c:v>464280</c:v>
                </c:pt>
                <c:pt idx="29">
                  <c:v>649992</c:v>
                </c:pt>
                <c:pt idx="30">
                  <c:v>583100</c:v>
                </c:pt>
                <c:pt idx="31">
                  <c:v>2001431</c:v>
                </c:pt>
                <c:pt idx="32">
                  <c:v>476289</c:v>
                </c:pt>
                <c:pt idx="33">
                  <c:v>2538800</c:v>
                </c:pt>
                <c:pt idx="34">
                  <c:v>252837</c:v>
                </c:pt>
                <c:pt idx="35">
                  <c:v>443900</c:v>
                </c:pt>
                <c:pt idx="36">
                  <c:v>788976</c:v>
                </c:pt>
                <c:pt idx="37">
                  <c:v>1396352</c:v>
                </c:pt>
                <c:pt idx="38">
                  <c:v>520890</c:v>
                </c:pt>
                <c:pt idx="40">
                  <c:v>15231636</c:v>
                </c:pt>
                <c:pt idx="41">
                  <c:v>4287416</c:v>
                </c:pt>
                <c:pt idx="42">
                  <c:v>25507656</c:v>
                </c:pt>
                <c:pt idx="43">
                  <c:v>524008</c:v>
                </c:pt>
                <c:pt idx="44">
                  <c:v>1859341</c:v>
                </c:pt>
                <c:pt idx="45">
                  <c:v>835704</c:v>
                </c:pt>
                <c:pt idx="46">
                  <c:v>2507112</c:v>
                </c:pt>
                <c:pt idx="47">
                  <c:v>988288</c:v>
                </c:pt>
                <c:pt idx="48">
                  <c:v>2001431</c:v>
                </c:pt>
                <c:pt idx="49">
                  <c:v>476289</c:v>
                </c:pt>
                <c:pt idx="50">
                  <c:v>5481532</c:v>
                </c:pt>
                <c:pt idx="51">
                  <c:v>200211</c:v>
                </c:pt>
                <c:pt idx="52">
                  <c:v>814697</c:v>
                </c:pt>
                <c:pt idx="53">
                  <c:v>583100</c:v>
                </c:pt>
                <c:pt idx="54">
                  <c:v>3173500</c:v>
                </c:pt>
                <c:pt idx="55">
                  <c:v>799020</c:v>
                </c:pt>
                <c:pt idx="56">
                  <c:v>525984</c:v>
                </c:pt>
                <c:pt idx="57">
                  <c:v>610904</c:v>
                </c:pt>
                <c:pt idx="58">
                  <c:v>347260</c:v>
                </c:pt>
                <c:pt idx="61">
                  <c:v>307489077</c:v>
                </c:pt>
                <c:pt idx="62">
                  <c:v>58422924.630000003</c:v>
                </c:pt>
                <c:pt idx="63" formatCode="&quot;$&quot;#,##0.00">
                  <c:v>3074890.77</c:v>
                </c:pt>
                <c:pt idx="64">
                  <c:v>15374453.850000001</c:v>
                </c:pt>
                <c:pt idx="65">
                  <c:v>2921146.2315000002</c:v>
                </c:pt>
                <c:pt idx="66">
                  <c:v>387282492.48150003</c:v>
                </c:pt>
              </c:numCache>
            </c:numRef>
          </c:val>
          <c:extLst xmlns:c15="http://schemas.microsoft.com/office/drawing/2012/chart">
            <c:ext xmlns:c16="http://schemas.microsoft.com/office/drawing/2014/chart" uri="{C3380CC4-5D6E-409C-BE32-E72D297353CC}">
              <c16:uniqueId val="{00000000-8D09-40AD-8E06-65A0B6B25762}"/>
            </c:ext>
          </c:extLst>
        </c:ser>
        <c:ser>
          <c:idx val="1"/>
          <c:order val="1"/>
          <c:tx>
            <c:strRef>
              <c:f>'Informe ejecutivo 6'!$E$59</c:f>
              <c:strCache>
                <c:ptCount val="1"/>
                <c:pt idx="0">
                  <c:v>EJECUTADO</c:v>
                </c:pt>
              </c:strCache>
            </c:strRef>
          </c:tx>
          <c:spPr>
            <a:solidFill>
              <a:schemeClr val="accent2"/>
            </a:solidFill>
            <a:ln>
              <a:noFill/>
            </a:ln>
            <a:effectLst/>
          </c:spPr>
          <c:invertIfNegative val="0"/>
          <c:cat>
            <c:multiLvlStrRef>
              <c:f>'Informe ejecutivo 6'!$A$61:$B$129</c:f>
              <c:multiLvlStrCache>
                <c:ptCount val="67"/>
                <c:lvl>
                  <c:pt idx="0">
                    <c:v>Suministro e instalación de Luminaria-PANEL LED de 610X600X80 SOBREPONER 50W</c:v>
                  </c:pt>
                  <c:pt idx="1">
                    <c:v>Suministro e instalación de Luminaria EMERGENCIA LED</c:v>
                  </c:pt>
                  <c:pt idx="2">
                    <c:v>Suministro e instalación  de Luminaria - HERMETICA  IT 1OO AQ DUNA LENS E10 660X95X100 SOBRE PONER18W</c:v>
                  </c:pt>
                  <c:pt idx="3">
                    <c:v>Suministro  e  instalación  de Luminaria BALA LED REDONDA 22W pasillos</c:v>
                  </c:pt>
                  <c:pt idx="4">
                    <c:v>Retiro de Luminaria Existente de 60x60</c:v>
                  </c:pt>
                  <c:pt idx="5">
                    <c:v>Retiro de Luminaria Existente bala led de 22 w  en pasillos </c:v>
                  </c:pt>
                  <c:pt idx="6">
                    <c:v>Suspensión aislada de punto eléctrico existente</c:v>
                  </c:pt>
                  <c:pt idx="7">
                    <c:v>Reubicación de punto eléctrico</c:v>
                  </c:pt>
                  <c:pt idx="8">
                    <c:v>Adecuación de Alimentación de luminarias existentes para unificar circuito de emergencia y circuito Normal</c:v>
                  </c:pt>
                  <c:pt idx="9">
                    <c:v>Suministro e instalación de sensor provolt</c:v>
                  </c:pt>
                  <c:pt idx="10">
                    <c:v>Suministro e instalación de Botonera 4 botones para atenuar luminarias a través de sensor </c:v>
                  </c:pt>
                  <c:pt idx="11">
                    <c:v>Suministro e instalación de interconexión de control de lampara a lampara con cable de control de 2x20 AWG que va en las luminarias que utilizan  atenuador de  0-10v</c:v>
                  </c:pt>
                  <c:pt idx="12">
                    <c:v>Suministro e instalación de encauchetado 3x16AWG desde caja de paso hasta luminaria con accesorios de fijación y empalme eléctrico</c:v>
                  </c:pt>
                  <c:pt idx="13">
                    <c:v>Suministro e instalación de salida para iluminación en zona de iluminación de lámparas de emergencia para cumplir requerimiento RETILAP. No incluye tubería, ni circuitos de alimentación.</c:v>
                  </c:pt>
                  <c:pt idx="14">
                    <c:v>Suministro e instalación interruptor sencillo.</c:v>
                  </c:pt>
                  <c:pt idx="15">
                    <c:v>OBRAS CIVILES </c:v>
                  </c:pt>
                  <c:pt idx="16">
                    <c:v>Reparación de hueco de luminaria retirada</c:v>
                  </c:pt>
                  <c:pt idx="17">
                    <c:v>Reparación de techo en oficinas por adecuaciones realizadas para salidas eléctricas en control</c:v>
                  </c:pt>
                  <c:pt idx="18">
                    <c:v>Reparación de muro afectado por interruptor de encendido por luminarias nuevas</c:v>
                  </c:pt>
                  <c:pt idx="19">
                    <c:v>Pintura de Techo zonas afectadas por hueco de luminaria</c:v>
                  </c:pt>
                  <c:pt idx="20">
                    <c:v>Pintura de muro zonas afectadas por interruptor de encendido por luminarias nuevas en archivos</c:v>
                  </c:pt>
                  <c:pt idx="21">
                    <c:v>Pintura de Techo zonas afectadas por adecuaciones realizadas para salidas eléctricas en control</c:v>
                  </c:pt>
                  <c:pt idx="22">
                    <c:v>CAPITULO 2 PISO 4</c:v>
                  </c:pt>
                  <c:pt idx="23">
                    <c:v>Suministro e instalación de Luminaria-PANEL LED de 610X600X80 SOBREPONER 50W</c:v>
                  </c:pt>
                  <c:pt idx="24">
                    <c:v>Suministro  e  instalación  de Luminaria BALA LED REDONDA 22W </c:v>
                  </c:pt>
                  <c:pt idx="25">
                    <c:v>Suministro  e  instalación  de Luminaria Bombillas LED – CCCE</c:v>
                  </c:pt>
                  <c:pt idx="26">
                    <c:v>Suministro e instalación  de Luminaria - HERMETICA  IT 1OO AQ DUNA LENS E10 660X95X100 SOBRE PONER18W</c:v>
                  </c:pt>
                  <c:pt idx="27">
                    <c:v>Suministro e instalación de Luminaria EMERGENCIA LED</c:v>
                  </c:pt>
                  <c:pt idx="28">
                    <c:v>Retiro de Luminaria Existente de 60x60</c:v>
                  </c:pt>
                  <c:pt idx="29">
                    <c:v>Retiro de Luminaria Colgante</c:v>
                  </c:pt>
                  <c:pt idx="30">
                    <c:v>Suministro e instalación de interconexión de control de lampara a lampara con cable de control de 2x20 AWG que va en las luminarias que utilizan  atenuador de  0-10v</c:v>
                  </c:pt>
                  <c:pt idx="31">
                    <c:v>Suministro e instalación de sensor provolt</c:v>
                  </c:pt>
                  <c:pt idx="32">
                    <c:v>Suministro e instalación de Botonera 4 botones para atenuar luminarias a través de sensor </c:v>
                  </c:pt>
                  <c:pt idx="33">
                    <c:v>Suministro e instalación de encauchetado 3x16AWG desde caja de paso hasta luminaria con accesorios de fijación y empalme eléctrico</c:v>
                  </c:pt>
                  <c:pt idx="34">
                    <c:v>Suministro e instalación interruptor sencillo.</c:v>
                  </c:pt>
                  <c:pt idx="35">
                    <c:v>Reparación de hueco de luminaria retirada</c:v>
                  </c:pt>
                  <c:pt idx="36">
                    <c:v>Reparación de techo en oficinas por adecuaciones realizadas para salidas eléctricas en control</c:v>
                  </c:pt>
                  <c:pt idx="37">
                    <c:v>Pintura de Techo zonas afectadas por hueco de luminaria</c:v>
                  </c:pt>
                  <c:pt idx="38">
                    <c:v>Pintura de muro zonas afectadas por interruptor de encendido por luminarias nuevas</c:v>
                  </c:pt>
                  <c:pt idx="39">
                    <c:v>CAPITULO 3 SÓTANO UNO</c:v>
                  </c:pt>
                  <c:pt idx="40">
                    <c:v>Suministro e instalación de Luminaria-PANEL LED de 610X600X80 SOBREPONER 50W</c:v>
                  </c:pt>
                  <c:pt idx="41">
                    <c:v>Suministro e instalación de Luminaria EMERGENCIA LED</c:v>
                  </c:pt>
                  <c:pt idx="42">
                    <c:v>Suministro  e  instalación  de Luminaria Bombillas LED – CCCE</c:v>
                  </c:pt>
                  <c:pt idx="43">
                    <c:v>Suministro e instalación  de Luminaria - HERMETICA  IT 1OO AQ DUNA LENS E10 660X95X100 SOBRE PONER18W</c:v>
                  </c:pt>
                  <c:pt idx="44">
                    <c:v>Suministro  e  instalación  de Luminaria BALA LED REDONDA 22W </c:v>
                  </c:pt>
                  <c:pt idx="45">
                    <c:v>Retiro de Luminaria Existente de 60x60</c:v>
                  </c:pt>
                  <c:pt idx="46">
                    <c:v>Retiro de Luminaria Existente de 2 x 32 w</c:v>
                  </c:pt>
                  <c:pt idx="47">
                    <c:v>Suministro e instalación DPS tipo 2 tablero de emergencia eléctrico </c:v>
                  </c:pt>
                  <c:pt idx="48">
                    <c:v>Suministro e instalación de sensor provolt</c:v>
                  </c:pt>
                  <c:pt idx="49">
                    <c:v>Suministro e instalación de Botonera 4 botones para atenuar luminarias a través de sensor </c:v>
                  </c:pt>
                  <c:pt idx="50">
                    <c:v>Suministro e instalación de salida para iluminación en zona de iluminación de lámparas de emergencia para cumplir requerimiento RETILAP.  incluye tubería, y circuitos de alimentación.</c:v>
                  </c:pt>
                  <c:pt idx="51">
                    <c:v>Suministro e instalación de salida para interruptor sencillo en zona de iluminación de archivo incluye afectación civil rompiendo pared para la ubicación del mismo.</c:v>
                  </c:pt>
                  <c:pt idx="52">
                    <c:v>Suministro e instalación interruptor sencillo.</c:v>
                  </c:pt>
                  <c:pt idx="53">
                    <c:v>Suministro e instalación de interconexión de control de lampara a lampara con cable de control de 2x20 AWG que va en las luminarias que utilizan  atenuador de  0-10v</c:v>
                  </c:pt>
                  <c:pt idx="54">
                    <c:v>Suministro e instalación de encauchetado 3x16AWG desde caja de paso hasta luminaria con accesorios de fijación y empalme eléctrico</c:v>
                  </c:pt>
                  <c:pt idx="55">
                    <c:v>Reparación de hueco de luminaria retirada</c:v>
                  </c:pt>
                  <c:pt idx="56">
                    <c:v>Reparación de techo en oficinas por adecuaciones realizadas para salidas eléctricas en control</c:v>
                  </c:pt>
                  <c:pt idx="57">
                    <c:v>Pintura de Techo zonas afectadas por hueco de luminaria</c:v>
                  </c:pt>
                  <c:pt idx="58">
                    <c:v>Pintura de muro zonas afectadas por interruptor de encendido por luminarias nuevas</c:v>
                  </c:pt>
                  <c:pt idx="61">
                    <c:v>TOTAL COSTO DIRECTO</c:v>
                  </c:pt>
                  <c:pt idx="62">
                    <c:v>ADMINISTRACION  23%</c:v>
                  </c:pt>
                  <c:pt idx="63">
                    <c:v>IMPREVISTOS          2%</c:v>
                  </c:pt>
                  <c:pt idx="64">
                    <c:v>UTILIDAD                  5%</c:v>
                  </c:pt>
                  <c:pt idx="65">
                    <c:v>IVA 19% SOBRE U</c:v>
                  </c:pt>
                  <c:pt idx="66">
                    <c:v>TOTAL</c:v>
                  </c:pt>
                </c:lvl>
                <c:lvl>
                  <c:pt idx="0">
                    <c:v>1,01</c:v>
                  </c:pt>
                  <c:pt idx="1">
                    <c:v>1,02</c:v>
                  </c:pt>
                  <c:pt idx="2">
                    <c:v>1,03</c:v>
                  </c:pt>
                  <c:pt idx="3">
                    <c:v>1,04</c:v>
                  </c:pt>
                  <c:pt idx="4">
                    <c:v>1,05</c:v>
                  </c:pt>
                  <c:pt idx="5">
                    <c:v>1,06</c:v>
                  </c:pt>
                  <c:pt idx="6">
                    <c:v>1,07</c:v>
                  </c:pt>
                  <c:pt idx="7">
                    <c:v>1,08</c:v>
                  </c:pt>
                  <c:pt idx="8">
                    <c:v>1,09</c:v>
                  </c:pt>
                  <c:pt idx="9">
                    <c:v>1,1</c:v>
                  </c:pt>
                  <c:pt idx="10">
                    <c:v>1,11</c:v>
                  </c:pt>
                  <c:pt idx="11">
                    <c:v>1,12</c:v>
                  </c:pt>
                  <c:pt idx="12">
                    <c:v>1,13</c:v>
                  </c:pt>
                  <c:pt idx="13">
                    <c:v>1,14</c:v>
                  </c:pt>
                  <c:pt idx="14">
                    <c:v>1,15</c:v>
                  </c:pt>
                  <c:pt idx="16">
                    <c:v>1,16</c:v>
                  </c:pt>
                  <c:pt idx="17">
                    <c:v>1,17</c:v>
                  </c:pt>
                  <c:pt idx="18">
                    <c:v>1,18</c:v>
                  </c:pt>
                  <c:pt idx="19">
                    <c:v>1,19</c:v>
                  </c:pt>
                  <c:pt idx="20">
                    <c:v>1,2</c:v>
                  </c:pt>
                  <c:pt idx="21">
                    <c:v>1,21</c:v>
                  </c:pt>
                  <c:pt idx="23">
                    <c:v>2,01</c:v>
                  </c:pt>
                  <c:pt idx="24">
                    <c:v>2,02</c:v>
                  </c:pt>
                  <c:pt idx="25">
                    <c:v>2,03</c:v>
                  </c:pt>
                  <c:pt idx="26">
                    <c:v>2,04</c:v>
                  </c:pt>
                  <c:pt idx="27">
                    <c:v>2,05</c:v>
                  </c:pt>
                  <c:pt idx="28">
                    <c:v>2,06</c:v>
                  </c:pt>
                  <c:pt idx="29">
                    <c:v>2,07</c:v>
                  </c:pt>
                  <c:pt idx="30">
                    <c:v>2,08</c:v>
                  </c:pt>
                  <c:pt idx="31">
                    <c:v>2,09</c:v>
                  </c:pt>
                  <c:pt idx="32">
                    <c:v>2,1</c:v>
                  </c:pt>
                  <c:pt idx="33">
                    <c:v>2,11</c:v>
                  </c:pt>
                  <c:pt idx="34">
                    <c:v>2,12</c:v>
                  </c:pt>
                  <c:pt idx="35">
                    <c:v>2,13</c:v>
                  </c:pt>
                  <c:pt idx="36">
                    <c:v>2,14</c:v>
                  </c:pt>
                  <c:pt idx="37">
                    <c:v>2,15</c:v>
                  </c:pt>
                  <c:pt idx="38">
                    <c:v>2,16</c:v>
                  </c:pt>
                  <c:pt idx="40">
                    <c:v>3,01</c:v>
                  </c:pt>
                  <c:pt idx="41">
                    <c:v>3,02</c:v>
                  </c:pt>
                  <c:pt idx="42">
                    <c:v>3,03</c:v>
                  </c:pt>
                  <c:pt idx="43">
                    <c:v>3,04</c:v>
                  </c:pt>
                  <c:pt idx="44">
                    <c:v>3,05</c:v>
                  </c:pt>
                  <c:pt idx="45">
                    <c:v>3,06</c:v>
                  </c:pt>
                  <c:pt idx="46">
                    <c:v>3,07</c:v>
                  </c:pt>
                  <c:pt idx="47">
                    <c:v>3,08</c:v>
                  </c:pt>
                  <c:pt idx="48">
                    <c:v>3,09</c:v>
                  </c:pt>
                  <c:pt idx="49">
                    <c:v>3,1</c:v>
                  </c:pt>
                  <c:pt idx="50">
                    <c:v>3,11</c:v>
                  </c:pt>
                  <c:pt idx="51">
                    <c:v>3,12</c:v>
                  </c:pt>
                  <c:pt idx="52">
                    <c:v>3,13</c:v>
                  </c:pt>
                  <c:pt idx="53">
                    <c:v>3,14</c:v>
                  </c:pt>
                  <c:pt idx="54">
                    <c:v>3,15</c:v>
                  </c:pt>
                  <c:pt idx="55">
                    <c:v>3,16</c:v>
                  </c:pt>
                  <c:pt idx="56">
                    <c:v>3,17</c:v>
                  </c:pt>
                  <c:pt idx="57">
                    <c:v>3,18</c:v>
                  </c:pt>
                  <c:pt idx="58">
                    <c:v>3,19</c:v>
                  </c:pt>
                  <c:pt idx="61">
                    <c:v>-</c:v>
                  </c:pt>
                  <c:pt idx="62">
                    <c:v>-</c:v>
                  </c:pt>
                  <c:pt idx="63">
                    <c:v>-</c:v>
                  </c:pt>
                  <c:pt idx="64">
                    <c:v>13</c:v>
                  </c:pt>
                  <c:pt idx="66">
                    <c:v>-</c:v>
                  </c:pt>
                </c:lvl>
              </c:multiLvlStrCache>
            </c:multiLvlStrRef>
          </c:cat>
          <c:val>
            <c:numRef>
              <c:f>'Informe ejecutivo 6'!$E$61:$E$129</c:f>
              <c:numCache>
                <c:formatCode>"$"\ #,##0</c:formatCode>
                <c:ptCount val="67"/>
                <c:pt idx="0">
                  <c:v>76581281</c:v>
                </c:pt>
                <c:pt idx="1">
                  <c:v>7349856</c:v>
                </c:pt>
                <c:pt idx="2">
                  <c:v>1048016</c:v>
                </c:pt>
                <c:pt idx="3">
                  <c:v>4732868</c:v>
                </c:pt>
                <c:pt idx="4">
                  <c:v>4433874</c:v>
                </c:pt>
                <c:pt idx="5">
                  <c:v>673206</c:v>
                </c:pt>
                <c:pt idx="6">
                  <c:v>683160</c:v>
                </c:pt>
                <c:pt idx="7">
                  <c:v>2641140</c:v>
                </c:pt>
                <c:pt idx="8">
                  <c:v>26166791</c:v>
                </c:pt>
                <c:pt idx="9">
                  <c:v>38027189</c:v>
                </c:pt>
                <c:pt idx="10">
                  <c:v>9049491</c:v>
                </c:pt>
                <c:pt idx="11">
                  <c:v>12967560.9</c:v>
                </c:pt>
                <c:pt idx="12">
                  <c:v>4252490</c:v>
                </c:pt>
                <c:pt idx="13">
                  <c:v>3808443</c:v>
                </c:pt>
                <c:pt idx="14">
                  <c:v>393302</c:v>
                </c:pt>
                <c:pt idx="16">
                  <c:v>3329250</c:v>
                </c:pt>
                <c:pt idx="17">
                  <c:v>3813384</c:v>
                </c:pt>
                <c:pt idx="18">
                  <c:v>277808</c:v>
                </c:pt>
                <c:pt idx="19">
                  <c:v>3010884</c:v>
                </c:pt>
                <c:pt idx="20">
                  <c:v>415478</c:v>
                </c:pt>
                <c:pt idx="21">
                  <c:v>267093</c:v>
                </c:pt>
                <c:pt idx="23" formatCode="_-&quot;$&quot;\ * #,##0.00_-;\-&quot;$&quot;\ * #,##0.00_-;_-&quot;$&quot;\ * &quot;-&quot;??_-;_-@_-">
                  <c:v>8462020</c:v>
                </c:pt>
                <c:pt idx="24">
                  <c:v>1183217</c:v>
                </c:pt>
                <c:pt idx="25">
                  <c:v>6376914</c:v>
                </c:pt>
                <c:pt idx="26">
                  <c:v>1048016</c:v>
                </c:pt>
                <c:pt idx="27">
                  <c:v>918732</c:v>
                </c:pt>
                <c:pt idx="28">
                  <c:v>464280</c:v>
                </c:pt>
                <c:pt idx="29">
                  <c:v>1114272</c:v>
                </c:pt>
                <c:pt idx="30">
                  <c:v>0</c:v>
                </c:pt>
                <c:pt idx="31">
                  <c:v>0</c:v>
                </c:pt>
                <c:pt idx="32">
                  <c:v>0</c:v>
                </c:pt>
                <c:pt idx="33">
                  <c:v>2762849.1</c:v>
                </c:pt>
                <c:pt idx="34">
                  <c:v>2762849.1</c:v>
                </c:pt>
                <c:pt idx="35">
                  <c:v>421395</c:v>
                </c:pt>
                <c:pt idx="36">
                  <c:v>0</c:v>
                </c:pt>
                <c:pt idx="37">
                  <c:v>327270</c:v>
                </c:pt>
                <c:pt idx="38">
                  <c:v>2103936</c:v>
                </c:pt>
                <c:pt idx="40">
                  <c:v>10154424</c:v>
                </c:pt>
                <c:pt idx="41">
                  <c:v>3215562</c:v>
                </c:pt>
                <c:pt idx="42">
                  <c:v>0</c:v>
                </c:pt>
                <c:pt idx="43">
                  <c:v>0</c:v>
                </c:pt>
                <c:pt idx="44">
                  <c:v>10154424</c:v>
                </c:pt>
                <c:pt idx="45">
                  <c:v>3215562</c:v>
                </c:pt>
                <c:pt idx="46">
                  <c:v>3319602</c:v>
                </c:pt>
                <c:pt idx="47">
                  <c:v>0</c:v>
                </c:pt>
                <c:pt idx="48">
                  <c:v>4002862</c:v>
                </c:pt>
                <c:pt idx="49">
                  <c:v>952578</c:v>
                </c:pt>
                <c:pt idx="50">
                  <c:v>3719611</c:v>
                </c:pt>
                <c:pt idx="51">
                  <c:v>600633</c:v>
                </c:pt>
                <c:pt idx="52">
                  <c:v>533767</c:v>
                </c:pt>
                <c:pt idx="53">
                  <c:v>833833</c:v>
                </c:pt>
                <c:pt idx="54">
                  <c:v>3179212.3</c:v>
                </c:pt>
                <c:pt idx="55">
                  <c:v>599265</c:v>
                </c:pt>
                <c:pt idx="56">
                  <c:v>525984</c:v>
                </c:pt>
                <c:pt idx="57">
                  <c:v>610904</c:v>
                </c:pt>
                <c:pt idx="58">
                  <c:v>243082</c:v>
                </c:pt>
                <c:pt idx="61">
                  <c:v>277729620.40000004</c:v>
                </c:pt>
                <c:pt idx="62">
                  <c:v>52768627.876000009</c:v>
                </c:pt>
                <c:pt idx="63" formatCode="&quot;$&quot;#,##0.00">
                  <c:v>2777296.2040000004</c:v>
                </c:pt>
                <c:pt idx="64">
                  <c:v>13886481.020000003</c:v>
                </c:pt>
                <c:pt idx="65">
                  <c:v>2638431.3938000007</c:v>
                </c:pt>
                <c:pt idx="66">
                  <c:v>349800456.89380002</c:v>
                </c:pt>
              </c:numCache>
            </c:numRef>
          </c:val>
          <c:extLst>
            <c:ext xmlns:c16="http://schemas.microsoft.com/office/drawing/2014/chart" uri="{C3380CC4-5D6E-409C-BE32-E72D297353CC}">
              <c16:uniqueId val="{00000001-8D09-40AD-8E06-65A0B6B25762}"/>
            </c:ext>
          </c:extLst>
        </c:ser>
        <c:dLbls>
          <c:showLegendKey val="0"/>
          <c:showVal val="0"/>
          <c:showCatName val="0"/>
          <c:showSerName val="0"/>
          <c:showPercent val="0"/>
          <c:showBubbleSize val="0"/>
        </c:dLbls>
        <c:gapWidth val="267"/>
        <c:overlap val="-43"/>
        <c:axId val="175299016"/>
        <c:axId val="229241392"/>
        <c:extLst/>
      </c:barChart>
      <c:catAx>
        <c:axId val="175299016"/>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n-US"/>
          </a:p>
        </c:txPr>
        <c:crossAx val="229241392"/>
        <c:crosses val="autoZero"/>
        <c:auto val="1"/>
        <c:lblAlgn val="ctr"/>
        <c:lblOffset val="100"/>
        <c:noMultiLvlLbl val="0"/>
      </c:catAx>
      <c:valAx>
        <c:axId val="229241392"/>
        <c:scaling>
          <c:orientation val="minMax"/>
        </c:scaling>
        <c:delete val="0"/>
        <c:axPos val="l"/>
        <c:majorGridlines>
          <c:spPr>
            <a:ln w="9525" cap="flat" cmpd="sng" algn="ctr">
              <a:solidFill>
                <a:schemeClr val="dk1">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r>
                  <a:rPr lang="es-CO"/>
                  <a:t>TOTAL EJECUTADO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dk1">
                      <a:lumMod val="65000"/>
                      <a:lumOff val="35000"/>
                    </a:schemeClr>
                  </a:solidFill>
                  <a:latin typeface="+mn-lt"/>
                  <a:ea typeface="+mn-ea"/>
                  <a:cs typeface="+mn-cs"/>
                </a:defRPr>
              </a:pPr>
              <a:endParaRPr lang="en-US"/>
            </a:p>
          </c:txPr>
        </c:title>
        <c:numFmt formatCode="_(&quot;$&quot;* #,##0.00_);_(&quot;$&quot;* \(#,##0.0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crossAx val="175299016"/>
        <c:crosses val="autoZero"/>
        <c:crossBetween val="between"/>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SEGUIMIENTO</a:t>
            </a:r>
            <a:r>
              <a:rPr lang="en-US" baseline="0"/>
              <a:t> A LAPROGRAMACION</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0700231887657301E-2"/>
          <c:y val="0.19799673874795898"/>
          <c:w val="0.87715876206004784"/>
          <c:h val="0.30543601208150689"/>
        </c:manualLayout>
      </c:layout>
      <c:lineChart>
        <c:grouping val="standard"/>
        <c:varyColors val="0"/>
        <c:ser>
          <c:idx val="0"/>
          <c:order val="0"/>
          <c:tx>
            <c:strRef>
              <c:f>'Informe ejecutivo 6'!$C$256:$C$257</c:f>
              <c:strCache>
                <c:ptCount val="2"/>
                <c:pt idx="0">
                  <c:v>SEGUIMIENTO A LA PROGRAMACIÓN</c:v>
                </c:pt>
                <c:pt idx="1">
                  <c:v>PROGRAMADO </c:v>
                </c:pt>
              </c:strCache>
            </c:strRef>
          </c:tx>
          <c:spPr>
            <a:ln w="28575" cap="rnd">
              <a:solidFill>
                <a:schemeClr val="accent1"/>
              </a:solidFill>
              <a:round/>
            </a:ln>
            <a:effectLst/>
          </c:spPr>
          <c:marker>
            <c:symbol val="none"/>
          </c:marker>
          <c:cat>
            <c:strRef>
              <c:f>'Informe ejecutivo 6'!$B$258:$B$265</c:f>
              <c:strCache>
                <c:ptCount val="8"/>
                <c:pt idx="0">
                  <c:v>SEMANA 1</c:v>
                </c:pt>
                <c:pt idx="1">
                  <c:v>SEMANA 2</c:v>
                </c:pt>
                <c:pt idx="2">
                  <c:v>SEMANA 3</c:v>
                </c:pt>
                <c:pt idx="3">
                  <c:v>SEMANA 4</c:v>
                </c:pt>
                <c:pt idx="4">
                  <c:v>SEMANA 5</c:v>
                </c:pt>
                <c:pt idx="5">
                  <c:v>SEMANA 6</c:v>
                </c:pt>
                <c:pt idx="6">
                  <c:v>SEMANA 7</c:v>
                </c:pt>
                <c:pt idx="7">
                  <c:v>SEMANA 8</c:v>
                </c:pt>
              </c:strCache>
            </c:strRef>
          </c:cat>
          <c:val>
            <c:numRef>
              <c:f>'Informe ejecutivo 6'!$C$258:$C$265</c:f>
              <c:numCache>
                <c:formatCode>0.00%</c:formatCode>
                <c:ptCount val="8"/>
                <c:pt idx="0">
                  <c:v>0.125</c:v>
                </c:pt>
                <c:pt idx="1">
                  <c:v>0.25</c:v>
                </c:pt>
                <c:pt idx="2">
                  <c:v>0.375</c:v>
                </c:pt>
                <c:pt idx="3">
                  <c:v>0.5</c:v>
                </c:pt>
                <c:pt idx="4">
                  <c:v>0.625</c:v>
                </c:pt>
                <c:pt idx="5">
                  <c:v>0.78</c:v>
                </c:pt>
                <c:pt idx="6">
                  <c:v>0.875</c:v>
                </c:pt>
                <c:pt idx="7">
                  <c:v>1</c:v>
                </c:pt>
              </c:numCache>
            </c:numRef>
          </c:val>
          <c:smooth val="0"/>
          <c:extLst>
            <c:ext xmlns:c16="http://schemas.microsoft.com/office/drawing/2014/chart" uri="{C3380CC4-5D6E-409C-BE32-E72D297353CC}">
              <c16:uniqueId val="{00000000-CEFF-4307-BC39-8C7E25BC0588}"/>
            </c:ext>
          </c:extLst>
        </c:ser>
        <c:ser>
          <c:idx val="1"/>
          <c:order val="1"/>
          <c:tx>
            <c:strRef>
              <c:f>'Informe ejecutivo 6'!$D$256:$D$257</c:f>
              <c:strCache>
                <c:ptCount val="2"/>
                <c:pt idx="0">
                  <c:v>SEGUIMIENTO A LA PROGRAMACIÓN</c:v>
                </c:pt>
                <c:pt idx="1">
                  <c:v>EJECUTADO</c:v>
                </c:pt>
              </c:strCache>
            </c:strRef>
          </c:tx>
          <c:spPr>
            <a:ln w="28575" cap="rnd">
              <a:solidFill>
                <a:schemeClr val="accent2"/>
              </a:solidFill>
              <a:round/>
            </a:ln>
            <a:effectLst/>
          </c:spPr>
          <c:marker>
            <c:symbol val="none"/>
          </c:marker>
          <c:cat>
            <c:strRef>
              <c:f>'Informe ejecutivo 6'!$B$258:$B$265</c:f>
              <c:strCache>
                <c:ptCount val="8"/>
                <c:pt idx="0">
                  <c:v>SEMANA 1</c:v>
                </c:pt>
                <c:pt idx="1">
                  <c:v>SEMANA 2</c:v>
                </c:pt>
                <c:pt idx="2">
                  <c:v>SEMANA 3</c:v>
                </c:pt>
                <c:pt idx="3">
                  <c:v>SEMANA 4</c:v>
                </c:pt>
                <c:pt idx="4">
                  <c:v>SEMANA 5</c:v>
                </c:pt>
                <c:pt idx="5">
                  <c:v>SEMANA 6</c:v>
                </c:pt>
                <c:pt idx="6">
                  <c:v>SEMANA 7</c:v>
                </c:pt>
                <c:pt idx="7">
                  <c:v>SEMANA 8</c:v>
                </c:pt>
              </c:strCache>
            </c:strRef>
          </c:cat>
          <c:val>
            <c:numRef>
              <c:f>'Informe ejecutivo 6'!$D$258:$D$265</c:f>
              <c:numCache>
                <c:formatCode>0%</c:formatCode>
                <c:ptCount val="8"/>
                <c:pt idx="0">
                  <c:v>7.51E-2</c:v>
                </c:pt>
                <c:pt idx="1">
                  <c:v>7.3899999999999993E-2</c:v>
                </c:pt>
                <c:pt idx="2" formatCode="0.00%">
                  <c:v>0.157</c:v>
                </c:pt>
                <c:pt idx="3" formatCode="0.00%">
                  <c:v>0.44500000000000001</c:v>
                </c:pt>
                <c:pt idx="4" formatCode="0.00%">
                  <c:v>0.69</c:v>
                </c:pt>
                <c:pt idx="5" formatCode="0.00%">
                  <c:v>0.9032</c:v>
                </c:pt>
              </c:numCache>
            </c:numRef>
          </c:val>
          <c:smooth val="0"/>
          <c:extLst>
            <c:ext xmlns:c16="http://schemas.microsoft.com/office/drawing/2014/chart" uri="{C3380CC4-5D6E-409C-BE32-E72D297353CC}">
              <c16:uniqueId val="{00000001-CEFF-4307-BC39-8C7E25BC0588}"/>
            </c:ext>
          </c:extLst>
        </c:ser>
        <c:ser>
          <c:idx val="2"/>
          <c:order val="2"/>
          <c:tx>
            <c:strRef>
              <c:f>'Informe ejecutivo 6'!$E$256:$E$257</c:f>
              <c:strCache>
                <c:ptCount val="2"/>
                <c:pt idx="0">
                  <c:v>SEGUIMIENTO A LA PROGRAMACIÓN</c:v>
                </c:pt>
                <c:pt idx="1">
                  <c:v>EJECUTADO</c:v>
                </c:pt>
              </c:strCache>
              <c:extLst xmlns:c15="http://schemas.microsoft.com/office/drawing/2012/chart"/>
            </c:strRef>
          </c:tx>
          <c:spPr>
            <a:ln w="28575" cap="rnd">
              <a:solidFill>
                <a:schemeClr val="accent3"/>
              </a:solidFill>
              <a:round/>
            </a:ln>
            <a:effectLst/>
          </c:spPr>
          <c:marker>
            <c:symbol val="none"/>
          </c:marker>
          <c:cat>
            <c:strRef>
              <c:f>'Informe ejecutivo 6'!$B$258:$B$265</c:f>
              <c:strCache>
                <c:ptCount val="8"/>
                <c:pt idx="0">
                  <c:v>SEMANA 1</c:v>
                </c:pt>
                <c:pt idx="1">
                  <c:v>SEMANA 2</c:v>
                </c:pt>
                <c:pt idx="2">
                  <c:v>SEMANA 3</c:v>
                </c:pt>
                <c:pt idx="3">
                  <c:v>SEMANA 4</c:v>
                </c:pt>
                <c:pt idx="4">
                  <c:v>SEMANA 5</c:v>
                </c:pt>
                <c:pt idx="5">
                  <c:v>SEMANA 6</c:v>
                </c:pt>
                <c:pt idx="6">
                  <c:v>SEMANA 7</c:v>
                </c:pt>
                <c:pt idx="7">
                  <c:v>SEMANA 8</c:v>
                </c:pt>
              </c:strCache>
              <c:extLst xmlns:c15="http://schemas.microsoft.com/office/drawing/2012/chart"/>
            </c:strRef>
          </c:cat>
          <c:val>
            <c:numRef>
              <c:f>'Informe ejecutivo 6'!$E$258:$E$265</c:f>
              <c:numCache>
                <c:formatCode>General</c:formatCode>
                <c:ptCount val="8"/>
              </c:numCache>
              <c:extLst xmlns:c15="http://schemas.microsoft.com/office/drawing/2012/chart"/>
            </c:numRef>
          </c:val>
          <c:smooth val="0"/>
          <c:extLst xmlns:c15="http://schemas.microsoft.com/office/drawing/2012/chart">
            <c:ext xmlns:c16="http://schemas.microsoft.com/office/drawing/2014/chart" uri="{C3380CC4-5D6E-409C-BE32-E72D297353CC}">
              <c16:uniqueId val="{00000002-CEFF-4307-BC39-8C7E25BC0588}"/>
            </c:ext>
          </c:extLst>
        </c:ser>
        <c:dLbls>
          <c:showLegendKey val="0"/>
          <c:showVal val="0"/>
          <c:showCatName val="0"/>
          <c:showSerName val="0"/>
          <c:showPercent val="0"/>
          <c:showBubbleSize val="0"/>
        </c:dLbls>
        <c:smooth val="0"/>
        <c:axId val="229241000"/>
        <c:axId val="229242568"/>
        <c:extLst/>
      </c:lineChart>
      <c:catAx>
        <c:axId val="2292410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242568"/>
        <c:crosses val="autoZero"/>
        <c:auto val="1"/>
        <c:lblAlgn val="ctr"/>
        <c:lblOffset val="100"/>
        <c:noMultiLvlLbl val="0"/>
      </c:catAx>
      <c:valAx>
        <c:axId val="22924256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924100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8">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2.png"/><Relationship Id="rId3" Type="http://schemas.openxmlformats.org/officeDocument/2006/relationships/chart" Target="../charts/chart3.xml"/><Relationship Id="rId7" Type="http://schemas.openxmlformats.org/officeDocument/2006/relationships/image" Target="../media/image6.png"/><Relationship Id="rId12" Type="http://schemas.openxmlformats.org/officeDocument/2006/relationships/image" Target="../media/image11.png"/><Relationship Id="rId2" Type="http://schemas.openxmlformats.org/officeDocument/2006/relationships/chart" Target="../charts/chart2.xml"/><Relationship Id="rId16" Type="http://schemas.openxmlformats.org/officeDocument/2006/relationships/image" Target="../media/image15.png"/><Relationship Id="rId1" Type="http://schemas.openxmlformats.org/officeDocument/2006/relationships/chart" Target="../charts/chart1.xml"/><Relationship Id="rId6" Type="http://schemas.openxmlformats.org/officeDocument/2006/relationships/image" Target="../media/image5.jpeg"/><Relationship Id="rId11" Type="http://schemas.openxmlformats.org/officeDocument/2006/relationships/image" Target="../media/image10.png"/><Relationship Id="rId5" Type="http://schemas.openxmlformats.org/officeDocument/2006/relationships/image" Target="../media/image4.png"/><Relationship Id="rId15" Type="http://schemas.openxmlformats.org/officeDocument/2006/relationships/image" Target="../media/image14.pn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png"/><Relationship Id="rId14" Type="http://schemas.openxmlformats.org/officeDocument/2006/relationships/image" Target="../media/image1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1277471</xdr:colOff>
      <xdr:row>3</xdr:row>
      <xdr:rowOff>123596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754721" cy="1809521"/>
        </a:xfrm>
        <a:prstGeom prst="rect">
          <a:avLst/>
        </a:prstGeom>
      </xdr:spPr>
    </xdr:pic>
    <xdr:clientData/>
  </xdr:twoCellAnchor>
  <xdr:twoCellAnchor editAs="oneCell">
    <xdr:from>
      <xdr:col>5</xdr:col>
      <xdr:colOff>802822</xdr:colOff>
      <xdr:row>3</xdr:row>
      <xdr:rowOff>68036</xdr:rowOff>
    </xdr:from>
    <xdr:to>
      <xdr:col>6</xdr:col>
      <xdr:colOff>1224643</xdr:colOff>
      <xdr:row>7</xdr:row>
      <xdr:rowOff>4116</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7984672" y="1753961"/>
          <a:ext cx="1717221" cy="7933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144257</xdr:colOff>
      <xdr:row>27</xdr:row>
      <xdr:rowOff>143608</xdr:rowOff>
    </xdr:from>
    <xdr:ext cx="6250517" cy="3248025"/>
    <xdr:graphicFrame macro="">
      <xdr:nvGraphicFramePr>
        <xdr:cNvPr id="2" name="Chart 1" descr="Chart 0">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twoCellAnchor editAs="oneCell">
    <xdr:from>
      <xdr:col>1</xdr:col>
      <xdr:colOff>0</xdr:colOff>
      <xdr:row>175</xdr:row>
      <xdr:rowOff>0</xdr:rowOff>
    </xdr:from>
    <xdr:to>
      <xdr:col>1</xdr:col>
      <xdr:colOff>304800</xdr:colOff>
      <xdr:row>176</xdr:row>
      <xdr:rowOff>104777</xdr:rowOff>
    </xdr:to>
    <xdr:sp macro="" textlink="">
      <xdr:nvSpPr>
        <xdr:cNvPr id="6" name="AutoShape 124">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495300" y="31251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217</xdr:row>
      <xdr:rowOff>0</xdr:rowOff>
    </xdr:from>
    <xdr:to>
      <xdr:col>2</xdr:col>
      <xdr:colOff>304800</xdr:colOff>
      <xdr:row>218</xdr:row>
      <xdr:rowOff>104776</xdr:rowOff>
    </xdr:to>
    <xdr:sp macro="" textlink="">
      <xdr:nvSpPr>
        <xdr:cNvPr id="16" name="AutoShape 81">
          <a:extLst>
            <a:ext uri="{FF2B5EF4-FFF2-40B4-BE49-F238E27FC236}">
              <a16:creationId xmlns:a16="http://schemas.microsoft.com/office/drawing/2014/main" id="{00000000-0008-0000-0200-000010000000}"/>
            </a:ext>
          </a:extLst>
        </xdr:cNvPr>
        <xdr:cNvSpPr>
          <a:spLocks noChangeAspect="1" noChangeArrowheads="1"/>
        </xdr:cNvSpPr>
      </xdr:nvSpPr>
      <xdr:spPr bwMode="auto">
        <a:xfrm>
          <a:off x="2038350" y="396716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5</xdr:col>
      <xdr:colOff>123825</xdr:colOff>
      <xdr:row>57</xdr:row>
      <xdr:rowOff>204785</xdr:rowOff>
    </xdr:from>
    <xdr:to>
      <xdr:col>11</xdr:col>
      <xdr:colOff>857250</xdr:colOff>
      <xdr:row>129</xdr:row>
      <xdr:rowOff>19050</xdr:rowOff>
    </xdr:to>
    <xdr:graphicFrame macro="">
      <xdr:nvGraphicFramePr>
        <xdr:cNvPr id="22" name="Gráfico 21">
          <a:extLst>
            <a:ext uri="{FF2B5EF4-FFF2-40B4-BE49-F238E27FC236}">
              <a16:creationId xmlns:a16="http://schemas.microsoft.com/office/drawing/2014/main" id="{00000000-0008-0000-0200-00001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248879</xdr:colOff>
      <xdr:row>255</xdr:row>
      <xdr:rowOff>103238</xdr:rowOff>
    </xdr:from>
    <xdr:to>
      <xdr:col>10</xdr:col>
      <xdr:colOff>844959</xdr:colOff>
      <xdr:row>264</xdr:row>
      <xdr:rowOff>107540</xdr:rowOff>
    </xdr:to>
    <xdr:graphicFrame macro="">
      <xdr:nvGraphicFramePr>
        <xdr:cNvPr id="5" name="Gráfico 4">
          <a:extLst>
            <a:ext uri="{FF2B5EF4-FFF2-40B4-BE49-F238E27FC236}">
              <a16:creationId xmlns:a16="http://schemas.microsoft.com/office/drawing/2014/main" id="{00000000-0008-0000-02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9</xdr:col>
      <xdr:colOff>230444</xdr:colOff>
      <xdr:row>0</xdr:row>
      <xdr:rowOff>276533</xdr:rowOff>
    </xdr:from>
    <xdr:to>
      <xdr:col>11</xdr:col>
      <xdr:colOff>553065</xdr:colOff>
      <xdr:row>2</xdr:row>
      <xdr:rowOff>138266</xdr:rowOff>
    </xdr:to>
    <xdr:pic>
      <xdr:nvPicPr>
        <xdr:cNvPr id="13" name="Imagen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4"/>
        <a:stretch>
          <a:fillRect/>
        </a:stretch>
      </xdr:blipFill>
      <xdr:spPr>
        <a:xfrm>
          <a:off x="10984476" y="276533"/>
          <a:ext cx="3180121" cy="783507"/>
        </a:xfrm>
        <a:prstGeom prst="rect">
          <a:avLst/>
        </a:prstGeom>
      </xdr:spPr>
    </xdr:pic>
    <xdr:clientData/>
  </xdr:twoCellAnchor>
  <xdr:twoCellAnchor editAs="oneCell">
    <xdr:from>
      <xdr:col>0</xdr:col>
      <xdr:colOff>153629</xdr:colOff>
      <xdr:row>0</xdr:row>
      <xdr:rowOff>107540</xdr:rowOff>
    </xdr:from>
    <xdr:to>
      <xdr:col>2</xdr:col>
      <xdr:colOff>1136855</xdr:colOff>
      <xdr:row>2</xdr:row>
      <xdr:rowOff>245807</xdr:rowOff>
    </xdr:to>
    <xdr:pic>
      <xdr:nvPicPr>
        <xdr:cNvPr id="14" name="Imagen 13">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5"/>
        <a:stretch>
          <a:fillRect/>
        </a:stretch>
      </xdr:blipFill>
      <xdr:spPr>
        <a:xfrm>
          <a:off x="153629" y="107540"/>
          <a:ext cx="3011129" cy="1060041"/>
        </a:xfrm>
        <a:prstGeom prst="rect">
          <a:avLst/>
        </a:prstGeom>
      </xdr:spPr>
    </xdr:pic>
    <xdr:clientData/>
  </xdr:twoCellAnchor>
  <xdr:twoCellAnchor>
    <xdr:from>
      <xdr:col>2</xdr:col>
      <xdr:colOff>737419</xdr:colOff>
      <xdr:row>267</xdr:row>
      <xdr:rowOff>30725</xdr:rowOff>
    </xdr:from>
    <xdr:to>
      <xdr:col>4</xdr:col>
      <xdr:colOff>639404</xdr:colOff>
      <xdr:row>270</xdr:row>
      <xdr:rowOff>1536</xdr:rowOff>
    </xdr:to>
    <xdr:pic>
      <xdr:nvPicPr>
        <xdr:cNvPr id="20" name="Imagen 4">
          <a:extLst>
            <a:ext uri="{FF2B5EF4-FFF2-40B4-BE49-F238E27FC236}">
              <a16:creationId xmlns:a16="http://schemas.microsoft.com/office/drawing/2014/main" id="{00000000-0008-0000-0200-000014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232719" y="58209425"/>
          <a:ext cx="2835685" cy="5708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30727</xdr:colOff>
      <xdr:row>267</xdr:row>
      <xdr:rowOff>76815</xdr:rowOff>
    </xdr:from>
    <xdr:to>
      <xdr:col>8</xdr:col>
      <xdr:colOff>525104</xdr:colOff>
      <xdr:row>270</xdr:row>
      <xdr:rowOff>8560</xdr:rowOff>
    </xdr:to>
    <xdr:pic>
      <xdr:nvPicPr>
        <xdr:cNvPr id="21" name="Imagen 20">
          <a:extLst>
            <a:ext uri="{FF2B5EF4-FFF2-40B4-BE49-F238E27FC236}">
              <a16:creationId xmlns:a16="http://schemas.microsoft.com/office/drawing/2014/main" id="{00000000-0008-0000-0200-000015000000}"/>
            </a:ext>
          </a:extLst>
        </xdr:cNvPr>
        <xdr:cNvPicPr>
          <a:picLocks noChangeAspect="1"/>
        </xdr:cNvPicPr>
      </xdr:nvPicPr>
      <xdr:blipFill>
        <a:blip xmlns:r="http://schemas.openxmlformats.org/officeDocument/2006/relationships" r:embed="rId7"/>
        <a:stretch>
          <a:fillRect/>
        </a:stretch>
      </xdr:blipFill>
      <xdr:spPr>
        <a:xfrm>
          <a:off x="7917427" y="58255515"/>
          <a:ext cx="1980277" cy="531820"/>
        </a:xfrm>
        <a:prstGeom prst="rect">
          <a:avLst/>
        </a:prstGeom>
      </xdr:spPr>
    </xdr:pic>
    <xdr:clientData/>
  </xdr:twoCellAnchor>
  <xdr:twoCellAnchor editAs="oneCell">
    <xdr:from>
      <xdr:col>5</xdr:col>
      <xdr:colOff>61452</xdr:colOff>
      <xdr:row>7</xdr:row>
      <xdr:rowOff>61452</xdr:rowOff>
    </xdr:from>
    <xdr:to>
      <xdr:col>11</xdr:col>
      <xdr:colOff>798871</xdr:colOff>
      <xdr:row>22</xdr:row>
      <xdr:rowOff>170997</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8"/>
        <a:stretch>
          <a:fillRect/>
        </a:stretch>
      </xdr:blipFill>
      <xdr:spPr>
        <a:xfrm>
          <a:off x="6575323" y="2104718"/>
          <a:ext cx="8879758" cy="4272892"/>
        </a:xfrm>
        <a:prstGeom prst="rect">
          <a:avLst/>
        </a:prstGeom>
      </xdr:spPr>
    </xdr:pic>
    <xdr:clientData/>
  </xdr:twoCellAnchor>
  <xdr:twoCellAnchor editAs="oneCell">
    <xdr:from>
      <xdr:col>1</xdr:col>
      <xdr:colOff>0</xdr:colOff>
      <xdr:row>176</xdr:row>
      <xdr:rowOff>0</xdr:rowOff>
    </xdr:from>
    <xdr:to>
      <xdr:col>4</xdr:col>
      <xdr:colOff>1567016</xdr:colOff>
      <xdr:row>190</xdr:row>
      <xdr:rowOff>76814</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9"/>
        <a:stretch>
          <a:fillRect/>
        </a:stretch>
      </xdr:blipFill>
      <xdr:spPr>
        <a:xfrm>
          <a:off x="491613" y="102178669"/>
          <a:ext cx="5960806" cy="2872863"/>
        </a:xfrm>
        <a:prstGeom prst="rect">
          <a:avLst/>
        </a:prstGeom>
      </xdr:spPr>
    </xdr:pic>
    <xdr:clientData/>
  </xdr:twoCellAnchor>
  <xdr:twoCellAnchor editAs="oneCell">
    <xdr:from>
      <xdr:col>6</xdr:col>
      <xdr:colOff>61452</xdr:colOff>
      <xdr:row>176</xdr:row>
      <xdr:rowOff>153630</xdr:rowOff>
    </xdr:from>
    <xdr:to>
      <xdr:col>9</xdr:col>
      <xdr:colOff>1520926</xdr:colOff>
      <xdr:row>191</xdr:row>
      <xdr:rowOff>15364</xdr:rowOff>
    </xdr:to>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10"/>
        <a:stretch>
          <a:fillRect/>
        </a:stretch>
      </xdr:blipFill>
      <xdr:spPr>
        <a:xfrm>
          <a:off x="7942621" y="102332299"/>
          <a:ext cx="5377015" cy="2857500"/>
        </a:xfrm>
        <a:prstGeom prst="rect">
          <a:avLst/>
        </a:prstGeom>
      </xdr:spPr>
    </xdr:pic>
    <xdr:clientData/>
  </xdr:twoCellAnchor>
  <xdr:twoCellAnchor editAs="oneCell">
    <xdr:from>
      <xdr:col>0</xdr:col>
      <xdr:colOff>460887</xdr:colOff>
      <xdr:row>194</xdr:row>
      <xdr:rowOff>76814</xdr:rowOff>
    </xdr:from>
    <xdr:to>
      <xdr:col>5</xdr:col>
      <xdr:colOff>30726</xdr:colOff>
      <xdr:row>210</xdr:row>
      <xdr:rowOff>153629</xdr:rowOff>
    </xdr:to>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11"/>
        <a:stretch>
          <a:fillRect/>
        </a:stretch>
      </xdr:blipFill>
      <xdr:spPr>
        <a:xfrm>
          <a:off x="460887" y="105850403"/>
          <a:ext cx="6083710" cy="3272299"/>
        </a:xfrm>
        <a:prstGeom prst="rect">
          <a:avLst/>
        </a:prstGeom>
      </xdr:spPr>
    </xdr:pic>
    <xdr:clientData/>
  </xdr:twoCellAnchor>
  <xdr:twoCellAnchor editAs="oneCell">
    <xdr:from>
      <xdr:col>6</xdr:col>
      <xdr:colOff>76816</xdr:colOff>
      <xdr:row>194</xdr:row>
      <xdr:rowOff>76815</xdr:rowOff>
    </xdr:from>
    <xdr:to>
      <xdr:col>9</xdr:col>
      <xdr:colOff>1490201</xdr:colOff>
      <xdr:row>210</xdr:row>
      <xdr:rowOff>168992</xdr:rowOff>
    </xdr:to>
    <xdr:pic>
      <xdr:nvPicPr>
        <xdr:cNvPr id="12" name="Imagen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12"/>
        <a:stretch>
          <a:fillRect/>
        </a:stretch>
      </xdr:blipFill>
      <xdr:spPr>
        <a:xfrm>
          <a:off x="7957985" y="105850404"/>
          <a:ext cx="5330926" cy="3287661"/>
        </a:xfrm>
        <a:prstGeom prst="rect">
          <a:avLst/>
        </a:prstGeom>
      </xdr:spPr>
    </xdr:pic>
    <xdr:clientData/>
  </xdr:twoCellAnchor>
  <xdr:twoCellAnchor editAs="oneCell">
    <xdr:from>
      <xdr:col>0</xdr:col>
      <xdr:colOff>491612</xdr:colOff>
      <xdr:row>215</xdr:row>
      <xdr:rowOff>0</xdr:rowOff>
    </xdr:from>
    <xdr:to>
      <xdr:col>5</xdr:col>
      <xdr:colOff>46088</xdr:colOff>
      <xdr:row>231</xdr:row>
      <xdr:rowOff>107540</xdr:rowOff>
    </xdr:to>
    <xdr:pic>
      <xdr:nvPicPr>
        <xdr:cNvPr id="17" name="Imagen 16">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13"/>
        <a:stretch>
          <a:fillRect/>
        </a:stretch>
      </xdr:blipFill>
      <xdr:spPr>
        <a:xfrm>
          <a:off x="491612" y="109998387"/>
          <a:ext cx="6068347" cy="3303024"/>
        </a:xfrm>
        <a:prstGeom prst="rect">
          <a:avLst/>
        </a:prstGeom>
      </xdr:spPr>
    </xdr:pic>
    <xdr:clientData/>
  </xdr:twoCellAnchor>
  <xdr:twoCellAnchor editAs="oneCell">
    <xdr:from>
      <xdr:col>6</xdr:col>
      <xdr:colOff>0</xdr:colOff>
      <xdr:row>215</xdr:row>
      <xdr:rowOff>61452</xdr:rowOff>
    </xdr:from>
    <xdr:to>
      <xdr:col>10</xdr:col>
      <xdr:colOff>30725</xdr:colOff>
      <xdr:row>231</xdr:row>
      <xdr:rowOff>153629</xdr:rowOff>
    </xdr:to>
    <xdr:pic>
      <xdr:nvPicPr>
        <xdr:cNvPr id="18" name="Imagen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14"/>
        <a:stretch>
          <a:fillRect/>
        </a:stretch>
      </xdr:blipFill>
      <xdr:spPr>
        <a:xfrm>
          <a:off x="7881169" y="110059839"/>
          <a:ext cx="5546008" cy="3287661"/>
        </a:xfrm>
        <a:prstGeom prst="rect">
          <a:avLst/>
        </a:prstGeom>
      </xdr:spPr>
    </xdr:pic>
    <xdr:clientData/>
  </xdr:twoCellAnchor>
  <xdr:twoCellAnchor editAs="oneCell">
    <xdr:from>
      <xdr:col>1</xdr:col>
      <xdr:colOff>0</xdr:colOff>
      <xdr:row>236</xdr:row>
      <xdr:rowOff>30725</xdr:rowOff>
    </xdr:from>
    <xdr:to>
      <xdr:col>5</xdr:col>
      <xdr:colOff>15363</xdr:colOff>
      <xdr:row>250</xdr:row>
      <xdr:rowOff>107540</xdr:rowOff>
    </xdr:to>
    <xdr:pic>
      <xdr:nvPicPr>
        <xdr:cNvPr id="24" name="Imagen 23">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stretch>
          <a:fillRect/>
        </a:stretch>
      </xdr:blipFill>
      <xdr:spPr>
        <a:xfrm>
          <a:off x="491613" y="114223185"/>
          <a:ext cx="6037621" cy="2872863"/>
        </a:xfrm>
        <a:prstGeom prst="rect">
          <a:avLst/>
        </a:prstGeom>
      </xdr:spPr>
    </xdr:pic>
    <xdr:clientData/>
  </xdr:twoCellAnchor>
  <xdr:twoCellAnchor editAs="oneCell">
    <xdr:from>
      <xdr:col>6</xdr:col>
      <xdr:colOff>46089</xdr:colOff>
      <xdr:row>236</xdr:row>
      <xdr:rowOff>15363</xdr:rowOff>
    </xdr:from>
    <xdr:to>
      <xdr:col>10</xdr:col>
      <xdr:colOff>0</xdr:colOff>
      <xdr:row>250</xdr:row>
      <xdr:rowOff>86620</xdr:rowOff>
    </xdr:to>
    <xdr:pic>
      <xdr:nvPicPr>
        <xdr:cNvPr id="26" name="Imagen 25">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6"/>
        <a:stretch>
          <a:fillRect/>
        </a:stretch>
      </xdr:blipFill>
      <xdr:spPr>
        <a:xfrm>
          <a:off x="7927258" y="114207823"/>
          <a:ext cx="5469194" cy="28673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William%20Sanchez/Desktop/PROYECTO%204%20FANNY%20GONZALEZ/OFERTA%20ECONOMICA/0172CV%20PALACIO%20DE%20JUSTICIA-MODERNIZACI&#211;N%20DE%20LUMINARIA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UARIO/Documents/Informe%20semanal%20N&#176;3%20(14%20al%2020%20septiembre)%20(Recuper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IU"/>
      <sheetName val="APU"/>
      <sheetName val="APU(1)"/>
      <sheetName val="OFE ECONOMICA RAMA"/>
      <sheetName val="Lista"/>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Acero cercha"/>
      <sheetName val="Calculo Acero de refuerzo"/>
      <sheetName val="Calculo excavaciones y explanac"/>
      <sheetName val="Hoja1"/>
      <sheetName val="anexos SST"/>
      <sheetName val="ADMIN."/>
      <sheetName val="Presupuesto consolidado"/>
      <sheetName val="PROYECCIÓN OBRA"/>
      <sheetName val="MEMO TOTAL 1,2,3 Y 4"/>
      <sheetName val="CONTROL OBRA"/>
      <sheetName val="RESUMEN INFORME SEMANAL"/>
      <sheetName val="memorias"/>
      <sheetName val="PROGRAMA DE TRABAJO"/>
      <sheetName val="REPROGRAMACIÓN2"/>
      <sheetName val="Hoja2"/>
      <sheetName val="REPROGRAMACIÓN"/>
      <sheetName val="Informe Universita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80">
          <cell r="B280" t="str">
            <v>CONCRETOS</v>
          </cell>
        </row>
        <row r="396">
          <cell r="B396" t="str">
            <v>DUCHAS</v>
          </cell>
          <cell r="W396">
            <v>0</v>
          </cell>
          <cell r="AA396">
            <v>0</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A1:G113"/>
  <sheetViews>
    <sheetView showWhiteSpace="0" view="pageBreakPreview" topLeftCell="A97" zoomScaleNormal="100" zoomScaleSheetLayoutView="100" workbookViewId="0">
      <selection activeCell="J96" sqref="J96"/>
    </sheetView>
  </sheetViews>
  <sheetFormatPr defaultColWidth="9.140625" defaultRowHeight="15"/>
  <cols>
    <col min="1" max="1" width="12.28515625" style="179" bestFit="1" customWidth="1"/>
    <col min="2" max="2" width="16.28515625" style="179" customWidth="1"/>
    <col min="3" max="3" width="50.140625" style="179" customWidth="1"/>
    <col min="4" max="4" width="12.28515625" style="179" customWidth="1"/>
    <col min="5" max="5" width="16.7109375" style="179" customWidth="1"/>
    <col min="6" max="6" width="19.42578125" style="179" customWidth="1"/>
    <col min="7" max="7" width="22.42578125" style="179" customWidth="1"/>
    <col min="8" max="16384" width="9.140625" style="179"/>
  </cols>
  <sheetData>
    <row r="1" spans="1:7" ht="43.9" customHeight="1">
      <c r="A1" s="178"/>
      <c r="B1" s="178"/>
      <c r="C1" s="178"/>
      <c r="D1" s="178"/>
      <c r="E1" s="178"/>
      <c r="F1" s="178"/>
      <c r="G1" s="178"/>
    </row>
    <row r="2" spans="1:7" ht="43.9" customHeight="1">
      <c r="A2" s="180"/>
      <c r="B2" s="180"/>
      <c r="C2" s="180"/>
      <c r="D2" s="180"/>
      <c r="E2" s="180"/>
      <c r="F2" s="180"/>
      <c r="G2" s="180"/>
    </row>
    <row r="3" spans="1:7" ht="46.15" customHeight="1">
      <c r="A3" s="180"/>
      <c r="B3" s="180"/>
      <c r="C3" s="180"/>
      <c r="D3" s="180"/>
      <c r="E3" s="180"/>
      <c r="F3" s="180"/>
      <c r="G3" s="180"/>
    </row>
    <row r="4" spans="1:7" ht="22.5">
      <c r="A4" s="332" t="s">
        <v>0</v>
      </c>
      <c r="B4" s="332"/>
      <c r="C4" s="332"/>
      <c r="D4" s="332"/>
      <c r="E4" s="332"/>
      <c r="F4" s="332"/>
      <c r="G4" s="332"/>
    </row>
    <row r="5" spans="1:7">
      <c r="A5" s="333" t="s">
        <v>1</v>
      </c>
      <c r="B5" s="333"/>
      <c r="C5" s="333"/>
      <c r="D5" s="333"/>
      <c r="E5" s="181"/>
      <c r="F5" s="182"/>
      <c r="G5" s="183"/>
    </row>
    <row r="6" spans="1:7">
      <c r="A6" s="334" t="s">
        <v>2</v>
      </c>
      <c r="B6" s="335"/>
      <c r="C6" s="335"/>
      <c r="D6" s="336"/>
      <c r="E6" s="184"/>
      <c r="F6" s="184"/>
      <c r="G6" s="184"/>
    </row>
    <row r="7" spans="1:7">
      <c r="A7" s="337" t="s">
        <v>3</v>
      </c>
      <c r="B7" s="338"/>
      <c r="C7" s="338"/>
      <c r="D7" s="339"/>
      <c r="E7" s="184"/>
      <c r="F7" s="184"/>
      <c r="G7" s="184"/>
    </row>
    <row r="8" spans="1:7">
      <c r="A8" s="337"/>
      <c r="B8" s="338"/>
      <c r="C8" s="338"/>
      <c r="D8" s="339"/>
      <c r="E8" s="184"/>
      <c r="F8" s="185" t="s">
        <v>4</v>
      </c>
      <c r="G8" s="185" t="s">
        <v>5</v>
      </c>
    </row>
    <row r="9" spans="1:7">
      <c r="A9" s="329" t="s">
        <v>6</v>
      </c>
      <c r="B9" s="330"/>
      <c r="C9" s="330"/>
      <c r="D9" s="331"/>
      <c r="E9" s="184"/>
      <c r="F9" s="186">
        <v>45415</v>
      </c>
      <c r="G9" s="186">
        <v>45430</v>
      </c>
    </row>
    <row r="10" spans="1:7">
      <c r="A10" s="321" t="s">
        <v>7</v>
      </c>
      <c r="B10" s="322"/>
      <c r="C10" s="323" t="s">
        <v>8</v>
      </c>
      <c r="D10" s="324"/>
      <c r="E10" s="185" t="s">
        <v>9</v>
      </c>
      <c r="F10" s="325" t="s">
        <v>10</v>
      </c>
      <c r="G10" s="325"/>
    </row>
    <row r="11" spans="1:7" s="188" customFormat="1" ht="21" customHeight="1">
      <c r="A11" s="326" t="s">
        <v>11</v>
      </c>
      <c r="B11" s="327"/>
      <c r="C11" s="326" t="s">
        <v>12</v>
      </c>
      <c r="D11" s="327"/>
      <c r="E11" s="187" t="s">
        <v>13</v>
      </c>
      <c r="F11" s="328" t="s">
        <v>14</v>
      </c>
      <c r="G11" s="328"/>
    </row>
    <row r="12" spans="1:7" ht="18" customHeight="1">
      <c r="A12" s="320" t="s">
        <v>15</v>
      </c>
      <c r="B12" s="320"/>
      <c r="C12" s="320"/>
      <c r="D12" s="320"/>
      <c r="E12" s="320"/>
      <c r="F12" s="320"/>
      <c r="G12" s="320"/>
    </row>
    <row r="13" spans="1:7" ht="18" customHeight="1">
      <c r="A13" s="320"/>
      <c r="B13" s="320"/>
      <c r="C13" s="320"/>
      <c r="D13" s="320"/>
      <c r="E13" s="320"/>
      <c r="F13" s="320"/>
      <c r="G13" s="320"/>
    </row>
    <row r="14" spans="1:7" ht="12.75" customHeight="1">
      <c r="A14" s="320"/>
      <c r="B14" s="320"/>
      <c r="C14" s="320"/>
      <c r="D14" s="320"/>
      <c r="E14" s="320"/>
      <c r="F14" s="320"/>
      <c r="G14" s="320"/>
    </row>
    <row r="15" spans="1:7" ht="26.45" customHeight="1">
      <c r="A15" s="189" t="s">
        <v>16</v>
      </c>
      <c r="B15" s="189" t="s">
        <v>17</v>
      </c>
      <c r="C15" s="189" t="s">
        <v>18</v>
      </c>
      <c r="D15" s="189" t="s">
        <v>19</v>
      </c>
      <c r="E15" s="189" t="s">
        <v>20</v>
      </c>
      <c r="F15" s="189" t="s">
        <v>21</v>
      </c>
      <c r="G15" s="189" t="s">
        <v>22</v>
      </c>
    </row>
    <row r="16" spans="1:7" ht="34.5" customHeight="1">
      <c r="A16" s="190">
        <v>1</v>
      </c>
      <c r="B16" s="318" t="s">
        <v>23</v>
      </c>
      <c r="C16" s="318"/>
      <c r="D16" s="318"/>
      <c r="E16" s="318"/>
      <c r="F16" s="318"/>
      <c r="G16" s="319"/>
    </row>
    <row r="17" spans="1:7" ht="15.75">
      <c r="A17" s="304" t="s">
        <v>24</v>
      </c>
      <c r="B17" s="305"/>
      <c r="C17" s="305"/>
      <c r="D17" s="305"/>
      <c r="E17" s="305"/>
      <c r="F17" s="305"/>
      <c r="G17" s="306"/>
    </row>
    <row r="18" spans="1:7" ht="28.5">
      <c r="A18" s="191">
        <f>A16+0.01</f>
        <v>1.01</v>
      </c>
      <c r="B18" s="191"/>
      <c r="C18" s="192" t="s">
        <v>25</v>
      </c>
      <c r="D18" s="193" t="s">
        <v>26</v>
      </c>
      <c r="E18" s="194">
        <v>201</v>
      </c>
      <c r="F18" s="195">
        <v>423101</v>
      </c>
      <c r="G18" s="196">
        <f>F18*E18</f>
        <v>85043301</v>
      </c>
    </row>
    <row r="19" spans="1:7" ht="28.5">
      <c r="A19" s="191">
        <f>A18+0.01</f>
        <v>1.02</v>
      </c>
      <c r="B19" s="191"/>
      <c r="C19" s="192" t="s">
        <v>27</v>
      </c>
      <c r="D19" s="193" t="s">
        <v>26</v>
      </c>
      <c r="E19" s="194">
        <v>48</v>
      </c>
      <c r="F19" s="195">
        <v>153122</v>
      </c>
      <c r="G19" s="196">
        <f>F19*E19</f>
        <v>7349856</v>
      </c>
    </row>
    <row r="20" spans="1:7" ht="42.75">
      <c r="A20" s="191">
        <f t="shared" ref="A20:A41" si="0">A19+0.01</f>
        <v>1.03</v>
      </c>
      <c r="B20" s="191"/>
      <c r="C20" s="192" t="s">
        <v>28</v>
      </c>
      <c r="D20" s="193" t="s">
        <v>26</v>
      </c>
      <c r="E20" s="194">
        <v>8</v>
      </c>
      <c r="F20" s="195">
        <v>262004</v>
      </c>
      <c r="G20" s="196">
        <f>F20*E20</f>
        <v>2096032</v>
      </c>
    </row>
    <row r="21" spans="1:7" ht="28.5">
      <c r="A21" s="191">
        <f t="shared" si="0"/>
        <v>1.04</v>
      </c>
      <c r="B21" s="191"/>
      <c r="C21" s="192" t="s">
        <v>29</v>
      </c>
      <c r="D21" s="193" t="s">
        <v>26</v>
      </c>
      <c r="E21" s="194">
        <v>28</v>
      </c>
      <c r="F21" s="195">
        <v>169031</v>
      </c>
      <c r="G21" s="196">
        <f>F21*E21</f>
        <v>4732868</v>
      </c>
    </row>
    <row r="22" spans="1:7" ht="15.75">
      <c r="A22" s="304" t="s">
        <v>30</v>
      </c>
      <c r="B22" s="305"/>
      <c r="C22" s="305"/>
      <c r="D22" s="305"/>
      <c r="E22" s="305"/>
      <c r="F22" s="305"/>
      <c r="G22" s="306"/>
    </row>
    <row r="23" spans="1:7">
      <c r="A23" s="191">
        <f>A21+0.01</f>
        <v>1.05</v>
      </c>
      <c r="B23" s="191"/>
      <c r="C23" s="192" t="s">
        <v>31</v>
      </c>
      <c r="D23" s="193" t="s">
        <v>26</v>
      </c>
      <c r="E23" s="197">
        <v>201</v>
      </c>
      <c r="F23" s="195">
        <v>23214</v>
      </c>
      <c r="G23" s="196">
        <f>F23*E23</f>
        <v>4666014</v>
      </c>
    </row>
    <row r="24" spans="1:7" ht="28.5">
      <c r="A24" s="191">
        <f t="shared" si="0"/>
        <v>1.06</v>
      </c>
      <c r="B24" s="191"/>
      <c r="C24" s="192" t="s">
        <v>32</v>
      </c>
      <c r="D24" s="193" t="s">
        <v>26</v>
      </c>
      <c r="E24" s="197">
        <v>28</v>
      </c>
      <c r="F24" s="195">
        <v>23214</v>
      </c>
      <c r="G24" s="196">
        <f>F24*E24</f>
        <v>649992</v>
      </c>
    </row>
    <row r="25" spans="1:7">
      <c r="A25" s="191">
        <f t="shared" si="0"/>
        <v>1.07</v>
      </c>
      <c r="B25" s="191"/>
      <c r="C25" s="192" t="s">
        <v>33</v>
      </c>
      <c r="D25" s="193" t="s">
        <v>26</v>
      </c>
      <c r="E25" s="197">
        <v>60</v>
      </c>
      <c r="F25" s="195">
        <v>11386</v>
      </c>
      <c r="G25" s="196">
        <f>F25*E25</f>
        <v>683160</v>
      </c>
    </row>
    <row r="26" spans="1:7">
      <c r="A26" s="191">
        <f t="shared" si="0"/>
        <v>1.08</v>
      </c>
      <c r="B26" s="191"/>
      <c r="C26" s="192" t="s">
        <v>34</v>
      </c>
      <c r="D26" s="193" t="s">
        <v>26</v>
      </c>
      <c r="E26" s="197">
        <v>60</v>
      </c>
      <c r="F26" s="195">
        <v>44019</v>
      </c>
      <c r="G26" s="196">
        <f>F26*E26</f>
        <v>2641140</v>
      </c>
    </row>
    <row r="27" spans="1:7" ht="42.75">
      <c r="A27" s="191">
        <f t="shared" si="0"/>
        <v>1.0900000000000001</v>
      </c>
      <c r="B27" s="191"/>
      <c r="C27" s="192" t="s">
        <v>35</v>
      </c>
      <c r="D27" s="193" t="s">
        <v>26</v>
      </c>
      <c r="E27" s="197">
        <v>60</v>
      </c>
      <c r="F27" s="195">
        <v>219889</v>
      </c>
      <c r="G27" s="196">
        <f>F27*E27</f>
        <v>13193340</v>
      </c>
    </row>
    <row r="28" spans="1:7" ht="15.75">
      <c r="A28" s="304" t="s">
        <v>36</v>
      </c>
      <c r="B28" s="305"/>
      <c r="C28" s="305"/>
      <c r="D28" s="305"/>
      <c r="E28" s="305"/>
      <c r="F28" s="305"/>
      <c r="G28" s="306"/>
    </row>
    <row r="29" spans="1:7">
      <c r="A29" s="198">
        <f>A27+0.01</f>
        <v>1.1000000000000001</v>
      </c>
      <c r="B29" s="191"/>
      <c r="C29" s="192" t="s">
        <v>37</v>
      </c>
      <c r="D29" s="193" t="s">
        <v>26</v>
      </c>
      <c r="E29" s="197">
        <v>23</v>
      </c>
      <c r="F29" s="195">
        <v>2001431</v>
      </c>
      <c r="G29" s="196">
        <f t="shared" ref="G29:G34" si="1">F29*E29</f>
        <v>46032913</v>
      </c>
    </row>
    <row r="30" spans="1:7" ht="28.5">
      <c r="A30" s="191">
        <f t="shared" si="0"/>
        <v>1.1100000000000001</v>
      </c>
      <c r="B30" s="191"/>
      <c r="C30" s="192" t="s">
        <v>38</v>
      </c>
      <c r="D30" s="193" t="s">
        <v>26</v>
      </c>
      <c r="E30" s="197">
        <v>23</v>
      </c>
      <c r="F30" s="195">
        <v>476289</v>
      </c>
      <c r="G30" s="196">
        <f t="shared" si="1"/>
        <v>10954647</v>
      </c>
    </row>
    <row r="31" spans="1:7" ht="57">
      <c r="A31" s="191">
        <f t="shared" si="0"/>
        <v>1.1200000000000001</v>
      </c>
      <c r="B31" s="191"/>
      <c r="C31" s="192" t="s">
        <v>39</v>
      </c>
      <c r="D31" s="193" t="s">
        <v>40</v>
      </c>
      <c r="E31" s="197">
        <v>1250</v>
      </c>
      <c r="F31" s="195">
        <v>11662</v>
      </c>
      <c r="G31" s="196">
        <f t="shared" si="1"/>
        <v>14577500</v>
      </c>
    </row>
    <row r="32" spans="1:7" ht="42.75">
      <c r="A32" s="191">
        <f t="shared" si="0"/>
        <v>1.1300000000000001</v>
      </c>
      <c r="B32" s="191"/>
      <c r="C32" s="192" t="s">
        <v>41</v>
      </c>
      <c r="D32" s="193" t="s">
        <v>40</v>
      </c>
      <c r="E32" s="197">
        <v>350</v>
      </c>
      <c r="F32" s="195">
        <v>12694</v>
      </c>
      <c r="G32" s="196">
        <f t="shared" si="1"/>
        <v>4442900</v>
      </c>
    </row>
    <row r="33" spans="1:7" ht="57">
      <c r="A33" s="191">
        <f t="shared" si="0"/>
        <v>1.1400000000000001</v>
      </c>
      <c r="B33" s="191"/>
      <c r="C33" s="192" t="s">
        <v>42</v>
      </c>
      <c r="D33" s="193" t="s">
        <v>26</v>
      </c>
      <c r="E33" s="197">
        <v>27</v>
      </c>
      <c r="F33" s="195">
        <v>122853</v>
      </c>
      <c r="G33" s="196">
        <f t="shared" si="1"/>
        <v>3317031</v>
      </c>
    </row>
    <row r="34" spans="1:7">
      <c r="A34" s="191">
        <f t="shared" si="0"/>
        <v>1.1500000000000001</v>
      </c>
      <c r="B34" s="191"/>
      <c r="C34" s="199" t="s">
        <v>43</v>
      </c>
      <c r="D34" s="193" t="s">
        <v>26</v>
      </c>
      <c r="E34" s="197">
        <v>16</v>
      </c>
      <c r="F34" s="195">
        <v>28093</v>
      </c>
      <c r="G34" s="196">
        <f t="shared" si="1"/>
        <v>449488</v>
      </c>
    </row>
    <row r="35" spans="1:7" ht="15.75">
      <c r="A35" s="304" t="s">
        <v>44</v>
      </c>
      <c r="B35" s="305"/>
      <c r="C35" s="305"/>
      <c r="D35" s="305"/>
      <c r="E35" s="305"/>
      <c r="F35" s="305"/>
      <c r="G35" s="306"/>
    </row>
    <row r="36" spans="1:7">
      <c r="A36" s="191">
        <f>A34+0.01</f>
        <v>1.1600000000000001</v>
      </c>
      <c r="B36" s="191"/>
      <c r="C36" s="192" t="s">
        <v>45</v>
      </c>
      <c r="D36" s="193" t="s">
        <v>26</v>
      </c>
      <c r="E36" s="197">
        <v>165</v>
      </c>
      <c r="F36" s="195">
        <v>22195</v>
      </c>
      <c r="G36" s="196">
        <f t="shared" ref="G36:G41" si="2">F36*E36</f>
        <v>3662175</v>
      </c>
    </row>
    <row r="37" spans="1:7" ht="28.5">
      <c r="A37" s="191">
        <f t="shared" si="0"/>
        <v>1.1700000000000002</v>
      </c>
      <c r="B37" s="191"/>
      <c r="C37" s="192" t="s">
        <v>46</v>
      </c>
      <c r="D37" s="193" t="s">
        <v>47</v>
      </c>
      <c r="E37" s="197">
        <v>125</v>
      </c>
      <c r="F37" s="195">
        <v>32874</v>
      </c>
      <c r="G37" s="196">
        <f t="shared" si="2"/>
        <v>4109250</v>
      </c>
    </row>
    <row r="38" spans="1:7" ht="28.5">
      <c r="A38" s="191">
        <f t="shared" si="0"/>
        <v>1.1800000000000002</v>
      </c>
      <c r="B38" s="191"/>
      <c r="C38" s="192" t="s">
        <v>48</v>
      </c>
      <c r="D38" s="193" t="s">
        <v>26</v>
      </c>
      <c r="E38" s="197">
        <v>8</v>
      </c>
      <c r="F38" s="195">
        <v>34726</v>
      </c>
      <c r="G38" s="196">
        <f>F38*E38</f>
        <v>277808</v>
      </c>
    </row>
    <row r="39" spans="1:7" ht="28.5">
      <c r="A39" s="191">
        <f t="shared" si="0"/>
        <v>1.1900000000000002</v>
      </c>
      <c r="B39" s="191"/>
      <c r="C39" s="192" t="s">
        <v>49</v>
      </c>
      <c r="D39" s="193" t="s">
        <v>26</v>
      </c>
      <c r="E39" s="197">
        <v>126</v>
      </c>
      <c r="F39" s="195">
        <v>21818</v>
      </c>
      <c r="G39" s="196">
        <f t="shared" si="2"/>
        <v>2749068</v>
      </c>
    </row>
    <row r="40" spans="1:7" ht="28.5">
      <c r="A40" s="198">
        <f t="shared" si="0"/>
        <v>1.2000000000000002</v>
      </c>
      <c r="B40" s="191"/>
      <c r="C40" s="192" t="s">
        <v>50</v>
      </c>
      <c r="D40" s="193" t="s">
        <v>47</v>
      </c>
      <c r="E40" s="197">
        <v>12</v>
      </c>
      <c r="F40" s="195">
        <v>29677</v>
      </c>
      <c r="G40" s="196">
        <f t="shared" si="2"/>
        <v>356124</v>
      </c>
    </row>
    <row r="41" spans="1:7" ht="42.75">
      <c r="A41" s="191">
        <f t="shared" si="0"/>
        <v>1.2100000000000002</v>
      </c>
      <c r="B41" s="191"/>
      <c r="C41" s="192" t="s">
        <v>51</v>
      </c>
      <c r="D41" s="193" t="s">
        <v>26</v>
      </c>
      <c r="E41" s="197">
        <v>8</v>
      </c>
      <c r="F41" s="195">
        <v>29677</v>
      </c>
      <c r="G41" s="196">
        <f t="shared" si="2"/>
        <v>237416</v>
      </c>
    </row>
    <row r="42" spans="1:7" s="204" customFormat="1" ht="22.5" customHeight="1">
      <c r="A42" s="200"/>
      <c r="B42" s="201"/>
      <c r="C42" s="201"/>
      <c r="D42" s="201"/>
      <c r="E42" s="201"/>
      <c r="F42" s="202" t="s">
        <v>52</v>
      </c>
      <c r="G42" s="203">
        <f>SUM(G18:G41)</f>
        <v>212222023</v>
      </c>
    </row>
    <row r="43" spans="1:7" ht="15.75">
      <c r="A43" s="205"/>
      <c r="B43" s="205"/>
      <c r="C43" s="206"/>
      <c r="D43" s="207"/>
      <c r="E43" s="207"/>
      <c r="F43" s="208"/>
      <c r="G43" s="209"/>
    </row>
    <row r="44" spans="1:7" ht="34.5" customHeight="1">
      <c r="A44" s="210">
        <v>2</v>
      </c>
      <c r="B44" s="318" t="s">
        <v>53</v>
      </c>
      <c r="C44" s="318"/>
      <c r="D44" s="318"/>
      <c r="E44" s="318"/>
      <c r="F44" s="318"/>
      <c r="G44" s="319"/>
    </row>
    <row r="45" spans="1:7" ht="15.75">
      <c r="A45" s="304" t="s">
        <v>24</v>
      </c>
      <c r="B45" s="305"/>
      <c r="C45" s="305"/>
      <c r="D45" s="305"/>
      <c r="E45" s="305"/>
      <c r="F45" s="305"/>
      <c r="G45" s="306"/>
    </row>
    <row r="46" spans="1:7" ht="28.5">
      <c r="A46" s="191">
        <f>A44+0.01</f>
        <v>2.0099999999999998</v>
      </c>
      <c r="B46" s="191"/>
      <c r="C46" s="192" t="s">
        <v>25</v>
      </c>
      <c r="D46" s="193" t="s">
        <v>26</v>
      </c>
      <c r="E46" s="197">
        <v>20</v>
      </c>
      <c r="F46" s="195">
        <v>423101</v>
      </c>
      <c r="G46" s="196">
        <f>F46*E46</f>
        <v>8462020</v>
      </c>
    </row>
    <row r="47" spans="1:7" ht="28.5">
      <c r="A47" s="191">
        <f>A46+0.01</f>
        <v>2.0199999999999996</v>
      </c>
      <c r="B47" s="191"/>
      <c r="C47" s="192" t="s">
        <v>54</v>
      </c>
      <c r="D47" s="193" t="s">
        <v>26</v>
      </c>
      <c r="E47" s="197">
        <v>4</v>
      </c>
      <c r="F47" s="195">
        <v>169031</v>
      </c>
      <c r="G47" s="196">
        <f>F47*E47</f>
        <v>676124</v>
      </c>
    </row>
    <row r="48" spans="1:7" ht="28.5">
      <c r="A48" s="191">
        <f t="shared" ref="A48:A64" si="3">A47+0.01</f>
        <v>2.0299999999999994</v>
      </c>
      <c r="B48" s="191"/>
      <c r="C48" s="211" t="s">
        <v>55</v>
      </c>
      <c r="D48" s="193" t="s">
        <v>26</v>
      </c>
      <c r="E48" s="197">
        <v>28</v>
      </c>
      <c r="F48" s="195">
        <v>236182</v>
      </c>
      <c r="G48" s="196">
        <f>F48*E48</f>
        <v>6613096</v>
      </c>
    </row>
    <row r="49" spans="1:7" ht="42.75">
      <c r="A49" s="191">
        <f t="shared" si="3"/>
        <v>2.0399999999999991</v>
      </c>
      <c r="B49" s="191"/>
      <c r="C49" s="192" t="s">
        <v>28</v>
      </c>
      <c r="D49" s="193" t="s">
        <v>26</v>
      </c>
      <c r="E49" s="197">
        <v>6</v>
      </c>
      <c r="F49" s="195">
        <v>262004</v>
      </c>
      <c r="G49" s="196">
        <f>F49*E49</f>
        <v>1572024</v>
      </c>
    </row>
    <row r="50" spans="1:7" ht="28.5">
      <c r="A50" s="191">
        <f t="shared" si="3"/>
        <v>2.0499999999999989</v>
      </c>
      <c r="B50" s="212"/>
      <c r="C50" s="192" t="s">
        <v>27</v>
      </c>
      <c r="D50" s="193" t="s">
        <v>26</v>
      </c>
      <c r="E50" s="197">
        <v>7</v>
      </c>
      <c r="F50" s="195">
        <v>153122</v>
      </c>
      <c r="G50" s="196">
        <f>F50*E50</f>
        <v>1071854</v>
      </c>
    </row>
    <row r="51" spans="1:7" ht="15.75">
      <c r="A51" s="304" t="s">
        <v>30</v>
      </c>
      <c r="B51" s="305"/>
      <c r="C51" s="305"/>
      <c r="D51" s="305"/>
      <c r="E51" s="305"/>
      <c r="F51" s="305"/>
      <c r="G51" s="306"/>
    </row>
    <row r="52" spans="1:7">
      <c r="A52" s="191">
        <f>A50+0.01</f>
        <v>2.0599999999999987</v>
      </c>
      <c r="B52" s="191"/>
      <c r="C52" s="192" t="s">
        <v>31</v>
      </c>
      <c r="D52" s="193" t="s">
        <v>26</v>
      </c>
      <c r="E52" s="197">
        <v>20</v>
      </c>
      <c r="F52" s="195">
        <v>23214</v>
      </c>
      <c r="G52" s="196">
        <f>F52*E52</f>
        <v>464280</v>
      </c>
    </row>
    <row r="53" spans="1:7">
      <c r="A53" s="191">
        <f t="shared" si="3"/>
        <v>2.0699999999999985</v>
      </c>
      <c r="B53" s="191"/>
      <c r="C53" s="192" t="s">
        <v>56</v>
      </c>
      <c r="D53" s="193" t="s">
        <v>26</v>
      </c>
      <c r="E53" s="197">
        <v>28</v>
      </c>
      <c r="F53" s="195">
        <v>23214</v>
      </c>
      <c r="G53" s="196">
        <f>F53*E53</f>
        <v>649992</v>
      </c>
    </row>
    <row r="54" spans="1:7" ht="15.75">
      <c r="A54" s="304" t="s">
        <v>36</v>
      </c>
      <c r="B54" s="305"/>
      <c r="C54" s="305"/>
      <c r="D54" s="305"/>
      <c r="E54" s="305"/>
      <c r="F54" s="305"/>
      <c r="G54" s="306"/>
    </row>
    <row r="55" spans="1:7" ht="57">
      <c r="A55" s="191">
        <f>A53+0.01</f>
        <v>2.0799999999999983</v>
      </c>
      <c r="B55" s="212"/>
      <c r="C55" s="192" t="s">
        <v>39</v>
      </c>
      <c r="D55" s="193" t="s">
        <v>40</v>
      </c>
      <c r="E55" s="197">
        <v>50</v>
      </c>
      <c r="F55" s="213">
        <v>11662</v>
      </c>
      <c r="G55" s="214">
        <f>F55*E55</f>
        <v>583100</v>
      </c>
    </row>
    <row r="56" spans="1:7">
      <c r="A56" s="191">
        <f>A55+0.01</f>
        <v>2.0899999999999981</v>
      </c>
      <c r="B56" s="191"/>
      <c r="C56" s="192" t="s">
        <v>37</v>
      </c>
      <c r="D56" s="193" t="s">
        <v>26</v>
      </c>
      <c r="E56" s="197">
        <v>1</v>
      </c>
      <c r="F56" s="195">
        <v>2001431</v>
      </c>
      <c r="G56" s="196">
        <f>F56*E56</f>
        <v>2001431</v>
      </c>
    </row>
    <row r="57" spans="1:7" ht="28.5">
      <c r="A57" s="191">
        <f t="shared" ref="A57:A59" si="4">A56+0.01</f>
        <v>2.0999999999999979</v>
      </c>
      <c r="B57" s="191"/>
      <c r="C57" s="192" t="s">
        <v>38</v>
      </c>
      <c r="D57" s="193" t="s">
        <v>26</v>
      </c>
      <c r="E57" s="197">
        <v>1</v>
      </c>
      <c r="F57" s="195">
        <v>476289</v>
      </c>
      <c r="G57" s="196">
        <f>F57*E57</f>
        <v>476289</v>
      </c>
    </row>
    <row r="58" spans="1:7" ht="42.75">
      <c r="A58" s="191">
        <f t="shared" si="4"/>
        <v>2.1099999999999977</v>
      </c>
      <c r="B58" s="191"/>
      <c r="C58" s="192" t="s">
        <v>41</v>
      </c>
      <c r="D58" s="193" t="s">
        <v>40</v>
      </c>
      <c r="E58" s="197">
        <v>200</v>
      </c>
      <c r="F58" s="195">
        <v>12694</v>
      </c>
      <c r="G58" s="196">
        <f>F58*E58</f>
        <v>2538800</v>
      </c>
    </row>
    <row r="59" spans="1:7">
      <c r="A59" s="191">
        <f t="shared" si="4"/>
        <v>2.1199999999999974</v>
      </c>
      <c r="B59" s="215"/>
      <c r="C59" s="216" t="s">
        <v>43</v>
      </c>
      <c r="D59" s="217" t="s">
        <v>26</v>
      </c>
      <c r="E59" s="218">
        <v>9</v>
      </c>
      <c r="F59" s="219">
        <v>28093</v>
      </c>
      <c r="G59" s="220">
        <f>F59*E59</f>
        <v>252837</v>
      </c>
    </row>
    <row r="60" spans="1:7" ht="15.75">
      <c r="A60" s="304" t="s">
        <v>44</v>
      </c>
      <c r="B60" s="305"/>
      <c r="C60" s="305"/>
      <c r="D60" s="305"/>
      <c r="E60" s="305"/>
      <c r="F60" s="305"/>
      <c r="G60" s="306"/>
    </row>
    <row r="61" spans="1:7">
      <c r="A61" s="191">
        <f>A59+0.01</f>
        <v>2.1299999999999972</v>
      </c>
      <c r="B61" s="191"/>
      <c r="C61" s="192" t="s">
        <v>45</v>
      </c>
      <c r="D61" s="193" t="s">
        <v>26</v>
      </c>
      <c r="E61" s="197">
        <v>20</v>
      </c>
      <c r="F61" s="195">
        <v>22195</v>
      </c>
      <c r="G61" s="196">
        <f>F61*E61</f>
        <v>443900</v>
      </c>
    </row>
    <row r="62" spans="1:7" ht="28.5">
      <c r="A62" s="191">
        <f t="shared" si="3"/>
        <v>2.139999999999997</v>
      </c>
      <c r="B62" s="191"/>
      <c r="C62" s="192" t="s">
        <v>46</v>
      </c>
      <c r="D62" s="193" t="s">
        <v>47</v>
      </c>
      <c r="E62" s="197">
        <v>24</v>
      </c>
      <c r="F62" s="195">
        <v>32874</v>
      </c>
      <c r="G62" s="196">
        <f>F62*E62</f>
        <v>788976</v>
      </c>
    </row>
    <row r="63" spans="1:7" ht="28.5">
      <c r="A63" s="191">
        <f t="shared" si="3"/>
        <v>2.1499999999999968</v>
      </c>
      <c r="B63" s="191"/>
      <c r="C63" s="192" t="s">
        <v>49</v>
      </c>
      <c r="D63" s="193" t="s">
        <v>26</v>
      </c>
      <c r="E63" s="197">
        <v>64</v>
      </c>
      <c r="F63" s="195">
        <v>21818</v>
      </c>
      <c r="G63" s="196">
        <f>F63*E63</f>
        <v>1396352</v>
      </c>
    </row>
    <row r="64" spans="1:7" ht="28.5">
      <c r="A64" s="191">
        <f t="shared" si="3"/>
        <v>2.1599999999999966</v>
      </c>
      <c r="B64" s="191"/>
      <c r="C64" s="192" t="s">
        <v>57</v>
      </c>
      <c r="D64" s="193" t="s">
        <v>47</v>
      </c>
      <c r="E64" s="197">
        <v>15</v>
      </c>
      <c r="F64" s="195">
        <v>34726</v>
      </c>
      <c r="G64" s="196">
        <f>F64*E64</f>
        <v>520890</v>
      </c>
    </row>
    <row r="65" spans="1:7" s="204" customFormat="1" ht="22.5" customHeight="1">
      <c r="A65" s="200"/>
      <c r="B65" s="201"/>
      <c r="C65" s="201"/>
      <c r="D65" s="201"/>
      <c r="E65" s="201"/>
      <c r="F65" s="202" t="s">
        <v>52</v>
      </c>
      <c r="G65" s="221">
        <f>SUM(G46:G64)</f>
        <v>28511965</v>
      </c>
    </row>
    <row r="66" spans="1:7" ht="15.75">
      <c r="A66" s="205"/>
      <c r="B66" s="205"/>
      <c r="C66" s="206"/>
      <c r="D66" s="207"/>
      <c r="E66" s="207"/>
      <c r="F66" s="208"/>
      <c r="G66" s="209"/>
    </row>
    <row r="67" spans="1:7" ht="34.5" customHeight="1">
      <c r="A67" s="210">
        <v>3</v>
      </c>
      <c r="B67" s="318" t="s">
        <v>58</v>
      </c>
      <c r="C67" s="318"/>
      <c r="D67" s="318"/>
      <c r="E67" s="318"/>
      <c r="F67" s="318"/>
      <c r="G67" s="319"/>
    </row>
    <row r="68" spans="1:7" ht="15.75">
      <c r="A68" s="304" t="s">
        <v>24</v>
      </c>
      <c r="B68" s="305"/>
      <c r="C68" s="305"/>
      <c r="D68" s="305"/>
      <c r="E68" s="305"/>
      <c r="F68" s="305"/>
      <c r="G68" s="306"/>
    </row>
    <row r="69" spans="1:7" ht="28.5">
      <c r="A69" s="191">
        <f>A67+0.01</f>
        <v>3.01</v>
      </c>
      <c r="B69" s="191"/>
      <c r="C69" s="192" t="s">
        <v>25</v>
      </c>
      <c r="D69" s="193" t="s">
        <v>26</v>
      </c>
      <c r="E69" s="194">
        <v>36</v>
      </c>
      <c r="F69" s="195">
        <v>423101</v>
      </c>
      <c r="G69" s="196">
        <f>F69*E69</f>
        <v>15231636</v>
      </c>
    </row>
    <row r="70" spans="1:7" ht="28.5">
      <c r="A70" s="191">
        <f>A69+0.01</f>
        <v>3.0199999999999996</v>
      </c>
      <c r="B70" s="191"/>
      <c r="C70" s="222" t="s">
        <v>27</v>
      </c>
      <c r="D70" s="193" t="s">
        <v>26</v>
      </c>
      <c r="E70" s="223">
        <v>28</v>
      </c>
      <c r="F70" s="195">
        <v>153122</v>
      </c>
      <c r="G70" s="196">
        <f>F70*E70</f>
        <v>4287416</v>
      </c>
    </row>
    <row r="71" spans="1:7" ht="28.5">
      <c r="A71" s="191">
        <f t="shared" ref="A71:A90" si="5">A70+0.01</f>
        <v>3.0299999999999994</v>
      </c>
      <c r="B71" s="191"/>
      <c r="C71" s="211" t="s">
        <v>55</v>
      </c>
      <c r="D71" s="193" t="s">
        <v>26</v>
      </c>
      <c r="E71" s="194">
        <f>64+39+5</f>
        <v>108</v>
      </c>
      <c r="F71" s="195">
        <v>236182</v>
      </c>
      <c r="G71" s="196">
        <f>F71*E71</f>
        <v>25507656</v>
      </c>
    </row>
    <row r="72" spans="1:7" ht="42.75">
      <c r="A72" s="191">
        <f t="shared" si="5"/>
        <v>3.0399999999999991</v>
      </c>
      <c r="B72" s="191"/>
      <c r="C72" s="192" t="s">
        <v>28</v>
      </c>
      <c r="D72" s="193" t="s">
        <v>26</v>
      </c>
      <c r="E72" s="194">
        <v>2</v>
      </c>
      <c r="F72" s="195">
        <v>262004</v>
      </c>
      <c r="G72" s="196">
        <f>F72*E72</f>
        <v>524008</v>
      </c>
    </row>
    <row r="73" spans="1:7" ht="28.5">
      <c r="A73" s="191">
        <f t="shared" si="5"/>
        <v>3.0499999999999989</v>
      </c>
      <c r="B73" s="191"/>
      <c r="C73" s="192" t="s">
        <v>54</v>
      </c>
      <c r="D73" s="193" t="s">
        <v>26</v>
      </c>
      <c r="E73" s="194">
        <v>11</v>
      </c>
      <c r="F73" s="195">
        <v>169031</v>
      </c>
      <c r="G73" s="196">
        <f>F73*E73</f>
        <v>1859341</v>
      </c>
    </row>
    <row r="74" spans="1:7" ht="15.75">
      <c r="A74" s="304" t="s">
        <v>30</v>
      </c>
      <c r="B74" s="305"/>
      <c r="C74" s="305"/>
      <c r="D74" s="305"/>
      <c r="E74" s="305"/>
      <c r="F74" s="305"/>
      <c r="G74" s="306"/>
    </row>
    <row r="75" spans="1:7">
      <c r="A75" s="191">
        <f>A73+0.01</f>
        <v>3.0599999999999987</v>
      </c>
      <c r="B75" s="191"/>
      <c r="C75" s="222" t="s">
        <v>31</v>
      </c>
      <c r="D75" s="224" t="s">
        <v>26</v>
      </c>
      <c r="E75" s="194">
        <v>36</v>
      </c>
      <c r="F75" s="195">
        <v>23214</v>
      </c>
      <c r="G75" s="196">
        <f>F75*E75</f>
        <v>835704</v>
      </c>
    </row>
    <row r="76" spans="1:7">
      <c r="A76" s="191">
        <f t="shared" si="5"/>
        <v>3.0699999999999985</v>
      </c>
      <c r="B76" s="191"/>
      <c r="C76" s="222" t="s">
        <v>59</v>
      </c>
      <c r="D76" s="224" t="s">
        <v>26</v>
      </c>
      <c r="E76" s="194">
        <v>108</v>
      </c>
      <c r="F76" s="195">
        <v>23214</v>
      </c>
      <c r="G76" s="196">
        <f>F76*E76</f>
        <v>2507112</v>
      </c>
    </row>
    <row r="77" spans="1:7" ht="28.5">
      <c r="A77" s="191">
        <f t="shared" si="5"/>
        <v>3.0799999999999983</v>
      </c>
      <c r="B77" s="191"/>
      <c r="C77" s="225" t="s">
        <v>60</v>
      </c>
      <c r="D77" s="224" t="s">
        <v>26</v>
      </c>
      <c r="E77" s="194">
        <v>1</v>
      </c>
      <c r="F77" s="195">
        <v>988288</v>
      </c>
      <c r="G77" s="196">
        <f>F77*E77</f>
        <v>988288</v>
      </c>
    </row>
    <row r="78" spans="1:7" ht="15.75">
      <c r="A78" s="307" t="s">
        <v>36</v>
      </c>
      <c r="B78" s="308"/>
      <c r="C78" s="308"/>
      <c r="D78" s="308"/>
      <c r="E78" s="308"/>
      <c r="F78" s="308"/>
      <c r="G78" s="309"/>
    </row>
    <row r="79" spans="1:7">
      <c r="A79" s="191">
        <f>A77+0.01</f>
        <v>3.0899999999999981</v>
      </c>
      <c r="B79" s="191"/>
      <c r="C79" s="226" t="s">
        <v>37</v>
      </c>
      <c r="D79" s="193" t="s">
        <v>26</v>
      </c>
      <c r="E79" s="197">
        <v>1</v>
      </c>
      <c r="F79" s="195">
        <v>2001431</v>
      </c>
      <c r="G79" s="196">
        <f t="shared" ref="G79:G80" si="6">F79*E79</f>
        <v>2001431</v>
      </c>
    </row>
    <row r="80" spans="1:7" ht="28.5">
      <c r="A80" s="198">
        <f t="shared" si="5"/>
        <v>3.0999999999999979</v>
      </c>
      <c r="B80" s="191"/>
      <c r="C80" s="226" t="s">
        <v>38</v>
      </c>
      <c r="D80" s="193" t="s">
        <v>26</v>
      </c>
      <c r="E80" s="197">
        <v>1</v>
      </c>
      <c r="F80" s="195">
        <v>476289</v>
      </c>
      <c r="G80" s="196">
        <f t="shared" si="6"/>
        <v>476289</v>
      </c>
    </row>
    <row r="81" spans="1:7" ht="57">
      <c r="A81" s="198">
        <f t="shared" si="5"/>
        <v>3.1099999999999977</v>
      </c>
      <c r="B81" s="191"/>
      <c r="C81" s="226" t="s">
        <v>61</v>
      </c>
      <c r="D81" s="224" t="s">
        <v>26</v>
      </c>
      <c r="E81" s="227">
        <v>28</v>
      </c>
      <c r="F81" s="195">
        <v>195769</v>
      </c>
      <c r="G81" s="196">
        <f>F81*E81</f>
        <v>5481532</v>
      </c>
    </row>
    <row r="82" spans="1:7" ht="57">
      <c r="A82" s="198">
        <f t="shared" si="5"/>
        <v>3.1199999999999974</v>
      </c>
      <c r="B82" s="191"/>
      <c r="C82" s="228" t="s">
        <v>62</v>
      </c>
      <c r="D82" s="224" t="s">
        <v>26</v>
      </c>
      <c r="E82" s="229">
        <v>1</v>
      </c>
      <c r="F82" s="195">
        <v>200211</v>
      </c>
      <c r="G82" s="196">
        <f>F82*E82</f>
        <v>200211</v>
      </c>
    </row>
    <row r="83" spans="1:7">
      <c r="A83" s="198">
        <f t="shared" si="5"/>
        <v>3.1299999999999972</v>
      </c>
      <c r="B83" s="212"/>
      <c r="C83" s="230" t="s">
        <v>43</v>
      </c>
      <c r="D83" s="217" t="s">
        <v>26</v>
      </c>
      <c r="E83" s="218">
        <v>29</v>
      </c>
      <c r="F83" s="213">
        <v>28093</v>
      </c>
      <c r="G83" s="214">
        <f>F83*E83</f>
        <v>814697</v>
      </c>
    </row>
    <row r="84" spans="1:7" ht="57">
      <c r="A84" s="198">
        <f t="shared" si="5"/>
        <v>3.139999999999997</v>
      </c>
      <c r="B84" s="191"/>
      <c r="C84" s="226" t="s">
        <v>39</v>
      </c>
      <c r="D84" s="193" t="s">
        <v>40</v>
      </c>
      <c r="E84" s="197">
        <v>50</v>
      </c>
      <c r="F84" s="195">
        <v>11662</v>
      </c>
      <c r="G84" s="196">
        <f>F84*E84</f>
        <v>583100</v>
      </c>
    </row>
    <row r="85" spans="1:7" ht="42.75">
      <c r="A85" s="198">
        <f t="shared" si="5"/>
        <v>3.1499999999999968</v>
      </c>
      <c r="B85" s="191"/>
      <c r="C85" s="226" t="s">
        <v>41</v>
      </c>
      <c r="D85" s="193" t="s">
        <v>40</v>
      </c>
      <c r="E85" s="197">
        <v>250</v>
      </c>
      <c r="F85" s="195">
        <v>12694</v>
      </c>
      <c r="G85" s="196">
        <f>F85*E85</f>
        <v>3173500</v>
      </c>
    </row>
    <row r="86" spans="1:7" ht="15.75">
      <c r="A86" s="304" t="s">
        <v>63</v>
      </c>
      <c r="B86" s="305"/>
      <c r="C86" s="305"/>
      <c r="D86" s="305"/>
      <c r="E86" s="305"/>
      <c r="F86" s="305"/>
      <c r="G86" s="306"/>
    </row>
    <row r="87" spans="1:7">
      <c r="A87" s="198">
        <f>A85+0.01</f>
        <v>3.1599999999999966</v>
      </c>
      <c r="B87" s="191"/>
      <c r="C87" s="192" t="s">
        <v>45</v>
      </c>
      <c r="D87" s="193" t="s">
        <v>26</v>
      </c>
      <c r="E87" s="197">
        <v>36</v>
      </c>
      <c r="F87" s="195">
        <v>22195</v>
      </c>
      <c r="G87" s="196">
        <f>F87*E87</f>
        <v>799020</v>
      </c>
    </row>
    <row r="88" spans="1:7" ht="28.5">
      <c r="A88" s="191">
        <f t="shared" si="5"/>
        <v>3.1699999999999964</v>
      </c>
      <c r="B88" s="212"/>
      <c r="C88" s="192" t="s">
        <v>46</v>
      </c>
      <c r="D88" s="193" t="s">
        <v>47</v>
      </c>
      <c r="E88" s="197">
        <v>16</v>
      </c>
      <c r="F88" s="213">
        <v>32874</v>
      </c>
      <c r="G88" s="214">
        <f>F88*E88</f>
        <v>525984</v>
      </c>
    </row>
    <row r="89" spans="1:7" ht="28.5">
      <c r="A89" s="191">
        <f t="shared" si="5"/>
        <v>3.1799999999999962</v>
      </c>
      <c r="B89" s="191"/>
      <c r="C89" s="192" t="s">
        <v>49</v>
      </c>
      <c r="D89" s="193" t="s">
        <v>26</v>
      </c>
      <c r="E89" s="197">
        <v>28</v>
      </c>
      <c r="F89" s="195">
        <v>21818</v>
      </c>
      <c r="G89" s="196">
        <f>F89*E89</f>
        <v>610904</v>
      </c>
    </row>
    <row r="90" spans="1:7" ht="28.5">
      <c r="A90" s="191">
        <f t="shared" si="5"/>
        <v>3.1899999999999959</v>
      </c>
      <c r="B90" s="191"/>
      <c r="C90" s="192" t="s">
        <v>57</v>
      </c>
      <c r="D90" s="193" t="s">
        <v>47</v>
      </c>
      <c r="E90" s="197">
        <v>10</v>
      </c>
      <c r="F90" s="195">
        <v>34726</v>
      </c>
      <c r="G90" s="196">
        <f>F90*E90</f>
        <v>347260</v>
      </c>
    </row>
    <row r="91" spans="1:7" s="204" customFormat="1" ht="22.5" customHeight="1">
      <c r="A91" s="200"/>
      <c r="B91" s="201"/>
      <c r="C91" s="201"/>
      <c r="D91" s="201"/>
      <c r="E91" s="201"/>
      <c r="F91" s="202" t="s">
        <v>52</v>
      </c>
      <c r="G91" s="221">
        <f>SUM(G69:G90)</f>
        <v>66755089</v>
      </c>
    </row>
    <row r="92" spans="1:7" ht="16.5" thickBot="1">
      <c r="A92" s="205"/>
      <c r="B92" s="205"/>
      <c r="C92" s="206"/>
      <c r="D92" s="207"/>
      <c r="E92" s="207"/>
      <c r="F92" s="208"/>
      <c r="G92" s="209"/>
    </row>
    <row r="93" spans="1:7" s="233" customFormat="1" ht="25.9" customHeight="1">
      <c r="A93" s="231"/>
      <c r="B93" s="310" t="s">
        <v>64</v>
      </c>
      <c r="C93" s="311"/>
      <c r="D93" s="311"/>
      <c r="E93" s="311"/>
      <c r="F93" s="311"/>
      <c r="G93" s="232">
        <f>+G42+G65+G91</f>
        <v>307489077</v>
      </c>
    </row>
    <row r="94" spans="1:7" s="233" customFormat="1" ht="25.9" customHeight="1">
      <c r="A94" s="231"/>
      <c r="B94" s="312" t="s">
        <v>65</v>
      </c>
      <c r="C94" s="313"/>
      <c r="D94" s="313"/>
      <c r="E94" s="313"/>
      <c r="F94" s="234">
        <v>0.25</v>
      </c>
      <c r="G94" s="235"/>
    </row>
    <row r="95" spans="1:7" s="233" customFormat="1" ht="25.9" customHeight="1">
      <c r="A95" s="231"/>
      <c r="B95" s="314" t="s">
        <v>66</v>
      </c>
      <c r="C95" s="315"/>
      <c r="D95" s="315"/>
      <c r="E95" s="315"/>
      <c r="F95" s="236">
        <v>0.19</v>
      </c>
      <c r="G95" s="235">
        <f>ROUND(G93*F95,0)</f>
        <v>58422925</v>
      </c>
    </row>
    <row r="96" spans="1:7" s="233" customFormat="1" ht="25.9" customHeight="1">
      <c r="A96" s="231"/>
      <c r="B96" s="314" t="s">
        <v>67</v>
      </c>
      <c r="C96" s="315"/>
      <c r="D96" s="315"/>
      <c r="E96" s="315"/>
      <c r="F96" s="236">
        <v>0.01</v>
      </c>
      <c r="G96" s="235">
        <f>ROUND(F96*G93,0)</f>
        <v>3074891</v>
      </c>
    </row>
    <row r="97" spans="1:7" s="233" customFormat="1" ht="25.9" customHeight="1" thickBot="1">
      <c r="A97" s="231"/>
      <c r="B97" s="316" t="s">
        <v>68</v>
      </c>
      <c r="C97" s="317"/>
      <c r="D97" s="317"/>
      <c r="E97" s="317"/>
      <c r="F97" s="237">
        <v>0.05</v>
      </c>
      <c r="G97" s="238">
        <f>ROUND(F97*G93,0)</f>
        <v>15374454</v>
      </c>
    </row>
    <row r="98" spans="1:7" s="233" customFormat="1" ht="25.9" customHeight="1">
      <c r="A98" s="231"/>
      <c r="B98" s="310" t="s">
        <v>69</v>
      </c>
      <c r="C98" s="311"/>
      <c r="D98" s="311"/>
      <c r="E98" s="311"/>
      <c r="F98" s="311"/>
      <c r="G98" s="235">
        <f>SUM(G93:G97)</f>
        <v>384361347</v>
      </c>
    </row>
    <row r="99" spans="1:7" s="242" customFormat="1" ht="17.45" customHeight="1">
      <c r="A99" s="239"/>
      <c r="B99" s="314" t="s">
        <v>70</v>
      </c>
      <c r="C99" s="315"/>
      <c r="D99" s="315"/>
      <c r="E99" s="315"/>
      <c r="F99" s="240">
        <v>0.19</v>
      </c>
      <c r="G99" s="241">
        <f>ROUND(F99*G97,0)</f>
        <v>2921146</v>
      </c>
    </row>
    <row r="100" spans="1:7" s="242" customFormat="1" ht="25.9" customHeight="1" thickBot="1">
      <c r="A100" s="239"/>
      <c r="B100" s="302" t="s">
        <v>71</v>
      </c>
      <c r="C100" s="303"/>
      <c r="D100" s="303"/>
      <c r="E100" s="303"/>
      <c r="F100" s="303"/>
      <c r="G100" s="243">
        <f>SUM(G98:G99)</f>
        <v>387282493</v>
      </c>
    </row>
    <row r="101" spans="1:7" s="242" customFormat="1" ht="25.9" customHeight="1">
      <c r="A101" s="239"/>
      <c r="B101" s="244"/>
      <c r="C101" s="245"/>
      <c r="D101" s="246"/>
      <c r="E101" s="246"/>
      <c r="F101" s="246"/>
      <c r="G101" s="247"/>
    </row>
    <row r="102" spans="1:7">
      <c r="A102" s="287" t="s">
        <v>72</v>
      </c>
      <c r="B102" s="288"/>
      <c r="C102" s="288"/>
      <c r="D102" s="288"/>
      <c r="E102" s="288"/>
      <c r="F102" s="288"/>
      <c r="G102" s="289"/>
    </row>
    <row r="103" spans="1:7" ht="15.75" customHeight="1">
      <c r="A103" s="290" t="s">
        <v>73</v>
      </c>
      <c r="B103" s="291"/>
      <c r="C103" s="291"/>
      <c r="D103" s="291"/>
      <c r="E103" s="291"/>
      <c r="F103" s="291"/>
      <c r="G103" s="292"/>
    </row>
    <row r="104" spans="1:7" ht="15.75" customHeight="1">
      <c r="A104" s="293" t="s">
        <v>74</v>
      </c>
      <c r="B104" s="294"/>
      <c r="C104" s="294"/>
      <c r="D104" s="294"/>
      <c r="E104" s="294"/>
      <c r="F104" s="294"/>
      <c r="G104" s="295"/>
    </row>
    <row r="105" spans="1:7" ht="15" customHeight="1">
      <c r="A105" s="296">
        <v>15</v>
      </c>
      <c r="B105" s="297"/>
      <c r="C105" s="297"/>
      <c r="D105" s="297"/>
      <c r="E105" s="297"/>
      <c r="F105" s="297"/>
      <c r="G105" s="298"/>
    </row>
    <row r="106" spans="1:7">
      <c r="A106" s="299"/>
      <c r="B106" s="300"/>
      <c r="C106" s="300"/>
      <c r="D106" s="300"/>
      <c r="E106" s="300"/>
      <c r="F106" s="300"/>
      <c r="G106" s="301"/>
    </row>
    <row r="107" spans="1:7">
      <c r="A107" s="248"/>
      <c r="B107" s="249"/>
      <c r="C107" s="250"/>
      <c r="D107" s="250"/>
      <c r="E107" s="250"/>
      <c r="F107" s="250"/>
      <c r="G107" s="251"/>
    </row>
    <row r="108" spans="1:7">
      <c r="A108" s="252"/>
      <c r="B108" s="252" t="s">
        <v>75</v>
      </c>
      <c r="C108" s="252"/>
      <c r="D108" s="252"/>
      <c r="E108" s="252"/>
      <c r="F108" s="253" t="s">
        <v>76</v>
      </c>
      <c r="G108" s="252"/>
    </row>
    <row r="109" spans="1:7" ht="35.25" customHeight="1">
      <c r="A109" s="178"/>
      <c r="B109" s="253"/>
      <c r="C109" s="252"/>
      <c r="D109" s="252"/>
      <c r="E109" s="252"/>
      <c r="F109" s="252"/>
      <c r="G109" s="252"/>
    </row>
    <row r="110" spans="1:7" ht="15.75">
      <c r="A110" s="178"/>
      <c r="B110" s="254" t="s">
        <v>77</v>
      </c>
      <c r="C110" s="255"/>
      <c r="D110" s="252"/>
      <c r="E110" s="254"/>
      <c r="F110" s="254" t="s">
        <v>78</v>
      </c>
      <c r="G110" s="252"/>
    </row>
    <row r="111" spans="1:7" ht="15.75">
      <c r="A111" s="178"/>
      <c r="B111" s="254" t="s">
        <v>79</v>
      </c>
      <c r="C111" s="255"/>
      <c r="D111" s="252"/>
      <c r="E111" s="254"/>
      <c r="F111" s="254" t="s">
        <v>80</v>
      </c>
      <c r="G111" s="252"/>
    </row>
    <row r="112" spans="1:7" ht="15.75">
      <c r="A112" s="178"/>
      <c r="B112" s="254"/>
      <c r="C112" s="255"/>
      <c r="D112" s="252"/>
      <c r="E112" s="254"/>
      <c r="F112" s="254"/>
      <c r="G112" s="252"/>
    </row>
    <row r="113" spans="2:7">
      <c r="B113" s="256"/>
      <c r="C113" s="257"/>
      <c r="D113" s="258"/>
      <c r="E113" s="258"/>
      <c r="F113" s="258"/>
      <c r="G113" s="258"/>
    </row>
  </sheetData>
  <mergeCells count="41">
    <mergeCell ref="A9:D9"/>
    <mergeCell ref="A4:G4"/>
    <mergeCell ref="A5:D5"/>
    <mergeCell ref="A6:D6"/>
    <mergeCell ref="A7:D7"/>
    <mergeCell ref="A8:D8"/>
    <mergeCell ref="A10:B10"/>
    <mergeCell ref="C10:D10"/>
    <mergeCell ref="F10:G10"/>
    <mergeCell ref="A11:B11"/>
    <mergeCell ref="C11:D11"/>
    <mergeCell ref="F11:G11"/>
    <mergeCell ref="B67:G67"/>
    <mergeCell ref="A12:G14"/>
    <mergeCell ref="B16:G16"/>
    <mergeCell ref="A17:G17"/>
    <mergeCell ref="A22:G22"/>
    <mergeCell ref="A28:G28"/>
    <mergeCell ref="A35:G35"/>
    <mergeCell ref="B44:G44"/>
    <mergeCell ref="A45:G45"/>
    <mergeCell ref="A51:G51"/>
    <mergeCell ref="A54:G54"/>
    <mergeCell ref="A60:G60"/>
    <mergeCell ref="B100:F100"/>
    <mergeCell ref="A68:G68"/>
    <mergeCell ref="A74:G74"/>
    <mergeCell ref="A78:G78"/>
    <mergeCell ref="A86:G86"/>
    <mergeCell ref="B93:F93"/>
    <mergeCell ref="B94:E94"/>
    <mergeCell ref="B95:E95"/>
    <mergeCell ref="B96:E96"/>
    <mergeCell ref="B97:E97"/>
    <mergeCell ref="B98:F98"/>
    <mergeCell ref="B99:E99"/>
    <mergeCell ref="A102:G102"/>
    <mergeCell ref="A103:G103"/>
    <mergeCell ref="A104:G104"/>
    <mergeCell ref="A105:G105"/>
    <mergeCell ref="A106:G106"/>
  </mergeCells>
  <printOptions horizontalCentered="1"/>
  <pageMargins left="0.70866141732283472" right="0.70866141732283472" top="0.15748031496062992" bottom="0.74803149606299213" header="0.11811023622047245" footer="0.31496062992125984"/>
  <pageSetup scale="60" fitToHeight="0" orientation="portrait" r:id="rId1"/>
  <headerFooter>
    <oddFooter>&amp;L&amp;8Código: C-F-007 Versión 1.1 Fecha: 09/2023&amp;C&amp;G
GLOBAL ASTI S.A.S. ®&amp;RPágina &amp;"Arial,Negrita"&amp;P&amp;"Arial,Normal" de &amp;"Arial,Negrita"&amp;N</oddFooter>
  </headerFooter>
  <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'https://etbcsj-my.sharepoint.com/Users/William Sanchez/Desktop/PROYECTO 4 FANNY GONZALEZ/OFERTA ECONOMICA/[0172CV PALACIO DE JUSTICIA-MODERNIZACIÓN DE LUMINARIAS.xlsm]Lista'!#REF!</xm:f>
          </x14:formula1>
          <xm:sqref>F11:G11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39997558519241921"/>
  </sheetPr>
  <dimension ref="A1:AB88"/>
  <sheetViews>
    <sheetView showGridLines="0" topLeftCell="M1" zoomScale="60" zoomScaleNormal="60" workbookViewId="0">
      <selection activeCell="Z71" sqref="Z71"/>
    </sheetView>
  </sheetViews>
  <sheetFormatPr defaultColWidth="8" defaultRowHeight="12.75"/>
  <cols>
    <col min="1" max="1" width="8.7109375" style="115" customWidth="1"/>
    <col min="2" max="2" width="38" style="115" customWidth="1"/>
    <col min="3" max="3" width="10.85546875" style="115" customWidth="1"/>
    <col min="4" max="4" width="9.140625" style="115" customWidth="1"/>
    <col min="5" max="5" width="18.7109375" style="115" customWidth="1"/>
    <col min="6" max="6" width="23.42578125" style="115" customWidth="1"/>
    <col min="7" max="7" width="6.140625" style="115" customWidth="1"/>
    <col min="8" max="8" width="13.28515625" style="115" customWidth="1"/>
    <col min="9" max="9" width="0.28515625" style="115" customWidth="1"/>
    <col min="10" max="10" width="15" style="115" customWidth="1"/>
    <col min="11" max="11" width="18.42578125" style="115" customWidth="1"/>
    <col min="12" max="12" width="23.28515625" style="115" customWidth="1"/>
    <col min="13" max="14" width="13.42578125" style="115" customWidth="1"/>
    <col min="15" max="15" width="23" style="115" customWidth="1"/>
    <col min="16" max="17" width="16.5703125" style="115" customWidth="1"/>
    <col min="18" max="18" width="24.28515625" style="115" customWidth="1"/>
    <col min="19" max="20" width="16.5703125" style="115" customWidth="1"/>
    <col min="21" max="21" width="23.85546875" style="115" customWidth="1"/>
    <col min="22" max="25" width="16.5703125" style="115" customWidth="1"/>
    <col min="26" max="26" width="14.140625" style="115" customWidth="1"/>
    <col min="27" max="27" width="24.85546875" style="115" customWidth="1"/>
    <col min="28" max="28" width="19.140625" style="115" customWidth="1"/>
    <col min="29" max="16384" width="8" style="115"/>
  </cols>
  <sheetData>
    <row r="1" spans="1:28" ht="25.5" customHeight="1">
      <c r="A1" s="340" t="s">
        <v>81</v>
      </c>
      <c r="B1" s="340"/>
      <c r="C1" s="340"/>
      <c r="D1" s="340"/>
      <c r="E1" s="340"/>
      <c r="F1" s="340"/>
      <c r="G1" s="171"/>
    </row>
    <row r="2" spans="1:28" ht="41.45" customHeight="1">
      <c r="A2" s="341" t="s">
        <v>82</v>
      </c>
      <c r="B2" s="341"/>
      <c r="C2" s="341"/>
      <c r="D2" s="341"/>
      <c r="E2" s="341"/>
      <c r="F2" s="341"/>
      <c r="G2" s="172"/>
    </row>
    <row r="3" spans="1:28" ht="15.75" customHeight="1">
      <c r="A3" s="342"/>
      <c r="B3" s="343"/>
      <c r="C3" s="343"/>
      <c r="D3" s="343"/>
      <c r="E3" s="343"/>
      <c r="F3" s="343"/>
      <c r="G3" s="173"/>
      <c r="H3" s="347" t="s">
        <v>83</v>
      </c>
      <c r="I3" s="347"/>
      <c r="J3" s="347"/>
      <c r="K3" s="352" t="s">
        <v>84</v>
      </c>
      <c r="L3" s="352"/>
      <c r="M3" s="352"/>
      <c r="N3" s="354" t="s">
        <v>85</v>
      </c>
      <c r="O3" s="354"/>
      <c r="P3" s="354"/>
      <c r="Q3" s="355" t="s">
        <v>86</v>
      </c>
      <c r="R3" s="355"/>
      <c r="S3" s="355"/>
      <c r="T3" s="356" t="s">
        <v>87</v>
      </c>
      <c r="U3" s="356"/>
      <c r="V3" s="356"/>
      <c r="W3" s="357" t="s">
        <v>88</v>
      </c>
      <c r="X3" s="357"/>
      <c r="Y3" s="357"/>
      <c r="Z3" s="353" t="s">
        <v>89</v>
      </c>
      <c r="AA3" s="353"/>
      <c r="AB3" s="353"/>
    </row>
    <row r="4" spans="1:28" ht="26.25" customHeight="1">
      <c r="A4" s="116" t="s">
        <v>90</v>
      </c>
      <c r="B4" s="116" t="s">
        <v>91</v>
      </c>
      <c r="C4" s="116" t="s">
        <v>92</v>
      </c>
      <c r="D4" s="116" t="s">
        <v>93</v>
      </c>
      <c r="E4" s="116" t="s">
        <v>94</v>
      </c>
      <c r="F4" s="116" t="s">
        <v>95</v>
      </c>
      <c r="G4" s="116"/>
      <c r="H4" s="162" t="s">
        <v>93</v>
      </c>
      <c r="I4" s="162" t="s">
        <v>94</v>
      </c>
      <c r="J4" s="162" t="s">
        <v>95</v>
      </c>
      <c r="K4" s="162" t="s">
        <v>93</v>
      </c>
      <c r="L4" s="162" t="s">
        <v>94</v>
      </c>
      <c r="M4" s="162" t="s">
        <v>95</v>
      </c>
      <c r="N4" s="162" t="s">
        <v>93</v>
      </c>
      <c r="O4" s="162" t="s">
        <v>94</v>
      </c>
      <c r="P4" s="162" t="s">
        <v>95</v>
      </c>
      <c r="Q4" s="162" t="s">
        <v>93</v>
      </c>
      <c r="R4" s="162" t="s">
        <v>94</v>
      </c>
      <c r="S4" s="162" t="s">
        <v>95</v>
      </c>
      <c r="T4" s="162" t="s">
        <v>93</v>
      </c>
      <c r="U4" s="162" t="s">
        <v>94</v>
      </c>
      <c r="V4" s="162" t="s">
        <v>95</v>
      </c>
      <c r="W4" s="162" t="s">
        <v>93</v>
      </c>
      <c r="X4" s="162" t="s">
        <v>94</v>
      </c>
      <c r="Y4" s="162" t="s">
        <v>95</v>
      </c>
      <c r="Z4" s="162" t="s">
        <v>93</v>
      </c>
      <c r="AA4" s="162" t="s">
        <v>94</v>
      </c>
      <c r="AB4" s="162" t="s">
        <v>95</v>
      </c>
    </row>
    <row r="5" spans="1:28" ht="20.25" customHeight="1">
      <c r="A5" s="117">
        <v>1</v>
      </c>
      <c r="B5" s="344" t="s">
        <v>23</v>
      </c>
      <c r="C5" s="344"/>
      <c r="D5" s="344"/>
      <c r="E5" s="344"/>
      <c r="F5" s="344"/>
      <c r="G5" s="174"/>
    </row>
    <row r="6" spans="1:28" ht="15" customHeight="1">
      <c r="A6" s="176" t="s">
        <v>24</v>
      </c>
      <c r="B6" s="118"/>
      <c r="C6" s="118"/>
      <c r="D6" s="118"/>
      <c r="E6" s="118"/>
      <c r="F6" s="163"/>
      <c r="G6" s="163"/>
      <c r="H6" s="170"/>
      <c r="I6" s="170"/>
      <c r="J6" s="170"/>
      <c r="K6" s="268"/>
      <c r="L6" s="268"/>
      <c r="M6" s="268"/>
      <c r="N6" s="268"/>
      <c r="O6" s="268"/>
      <c r="P6" s="275"/>
      <c r="Q6" s="268"/>
      <c r="R6" s="268"/>
      <c r="S6" s="279"/>
      <c r="T6" s="268"/>
      <c r="U6" s="268"/>
      <c r="V6" s="283"/>
      <c r="W6" s="268"/>
      <c r="X6" s="268"/>
      <c r="Y6" s="285"/>
      <c r="Z6" s="272"/>
      <c r="AA6" s="272"/>
      <c r="AB6" s="272"/>
    </row>
    <row r="7" spans="1:28" ht="45" customHeight="1">
      <c r="A7" s="119">
        <v>1.01</v>
      </c>
      <c r="B7" s="120" t="s">
        <v>25</v>
      </c>
      <c r="C7" s="121" t="s">
        <v>26</v>
      </c>
      <c r="D7" s="122">
        <v>201</v>
      </c>
      <c r="E7" s="123">
        <f>'FORMATO AIU'!F69</f>
        <v>423101</v>
      </c>
      <c r="F7" s="164">
        <f>+D7*E7</f>
        <v>85043301</v>
      </c>
      <c r="G7" s="164"/>
      <c r="H7" s="168"/>
      <c r="I7" s="259">
        <f>E7</f>
        <v>423101</v>
      </c>
      <c r="J7" s="259">
        <f>I7*H7</f>
        <v>0</v>
      </c>
      <c r="K7" s="168"/>
      <c r="L7" s="259">
        <f>E7</f>
        <v>423101</v>
      </c>
      <c r="M7" s="265">
        <f>L7*K7</f>
        <v>0</v>
      </c>
      <c r="N7" s="263">
        <v>65</v>
      </c>
      <c r="O7" s="259">
        <f>E7</f>
        <v>423101</v>
      </c>
      <c r="P7" s="276">
        <f>O7*N7</f>
        <v>27501565</v>
      </c>
      <c r="Q7" s="263">
        <f>117-65</f>
        <v>52</v>
      </c>
      <c r="R7" s="259">
        <f>E7</f>
        <v>423101</v>
      </c>
      <c r="S7" s="280">
        <f>R7*Q7</f>
        <v>22001252</v>
      </c>
      <c r="T7" s="263">
        <v>8</v>
      </c>
      <c r="U7" s="259">
        <f>E7</f>
        <v>423101</v>
      </c>
      <c r="V7" s="284">
        <f>U7*T7</f>
        <v>3384808</v>
      </c>
      <c r="W7" s="263">
        <f>181-125</f>
        <v>56</v>
      </c>
      <c r="X7" s="259">
        <f>E7</f>
        <v>423101</v>
      </c>
      <c r="Y7" s="286">
        <f>X7*W7</f>
        <v>23693656</v>
      </c>
      <c r="Z7" s="168">
        <f>K7+H7+N7+Q7+T7+W7</f>
        <v>181</v>
      </c>
      <c r="AA7" s="259">
        <f>E7</f>
        <v>423101</v>
      </c>
      <c r="AB7" s="259">
        <f>AA7*Z7</f>
        <v>76581281</v>
      </c>
    </row>
    <row r="8" spans="1:28" ht="28.5" customHeight="1">
      <c r="A8" s="119">
        <v>1.02</v>
      </c>
      <c r="B8" s="120" t="s">
        <v>27</v>
      </c>
      <c r="C8" s="121" t="s">
        <v>26</v>
      </c>
      <c r="D8" s="122">
        <v>48</v>
      </c>
      <c r="E8" s="123">
        <f>'FORMATO AIU'!F19</f>
        <v>153122</v>
      </c>
      <c r="F8" s="164">
        <f t="shared" ref="F8:F10" si="0">+D8*E8</f>
        <v>7349856</v>
      </c>
      <c r="G8" s="164"/>
      <c r="H8" s="168"/>
      <c r="I8" s="259">
        <f t="shared" ref="I8:I10" si="1">E8</f>
        <v>153122</v>
      </c>
      <c r="J8" s="259">
        <f t="shared" ref="J8:J30" si="2">I8*H8</f>
        <v>0</v>
      </c>
      <c r="K8" s="168"/>
      <c r="L8" s="259">
        <f t="shared" ref="L8:L71" si="3">E8</f>
        <v>153122</v>
      </c>
      <c r="M8" s="265">
        <f t="shared" ref="M8:M10" si="4">L8*K8</f>
        <v>0</v>
      </c>
      <c r="N8" s="263">
        <v>45</v>
      </c>
      <c r="O8" s="259">
        <f t="shared" ref="O8:O71" si="5">E8</f>
        <v>153122</v>
      </c>
      <c r="P8" s="276">
        <f t="shared" ref="P8:P10" si="6">O8*N8</f>
        <v>6890490</v>
      </c>
      <c r="Q8" s="263">
        <v>0</v>
      </c>
      <c r="R8" s="259">
        <f t="shared" ref="R8:R71" si="7">E8</f>
        <v>153122</v>
      </c>
      <c r="S8" s="280">
        <f t="shared" ref="S8:S10" si="8">R8*Q8</f>
        <v>0</v>
      </c>
      <c r="T8" s="263">
        <v>1</v>
      </c>
      <c r="U8" s="259">
        <f t="shared" ref="U8:U71" si="9">E8</f>
        <v>153122</v>
      </c>
      <c r="V8" s="284">
        <f t="shared" ref="V8:V71" si="10">U8*T8</f>
        <v>153122</v>
      </c>
      <c r="W8" s="263">
        <v>2</v>
      </c>
      <c r="X8" s="259">
        <f t="shared" ref="X8:X71" si="11">E8</f>
        <v>153122</v>
      </c>
      <c r="Y8" s="286">
        <f t="shared" ref="Y8:Y52" si="12">X8*W8</f>
        <v>306244</v>
      </c>
      <c r="Z8" s="168">
        <f t="shared" ref="Z8:Z71" si="13">K8+H8+N8+Q8+T8+W8</f>
        <v>48</v>
      </c>
      <c r="AA8" s="259">
        <f t="shared" ref="AA8:AA71" si="14">E8</f>
        <v>153122</v>
      </c>
      <c r="AB8" s="259">
        <f t="shared" ref="AB8:AB10" si="15">AA8*Z8</f>
        <v>7349856</v>
      </c>
    </row>
    <row r="9" spans="1:28" ht="62.25" customHeight="1">
      <c r="A9" s="119">
        <v>1.03</v>
      </c>
      <c r="B9" s="120" t="s">
        <v>28</v>
      </c>
      <c r="C9" s="121" t="s">
        <v>26</v>
      </c>
      <c r="D9" s="122">
        <v>8</v>
      </c>
      <c r="E9" s="123">
        <f>'FORMATO AIU'!F20</f>
        <v>262004</v>
      </c>
      <c r="F9" s="164">
        <f t="shared" si="0"/>
        <v>2096032</v>
      </c>
      <c r="G9" s="164"/>
      <c r="H9" s="168"/>
      <c r="I9" s="259">
        <f t="shared" si="1"/>
        <v>262004</v>
      </c>
      <c r="J9" s="259">
        <f t="shared" si="2"/>
        <v>0</v>
      </c>
      <c r="K9" s="168"/>
      <c r="L9" s="259">
        <f t="shared" si="3"/>
        <v>262004</v>
      </c>
      <c r="M9" s="265">
        <f t="shared" si="4"/>
        <v>0</v>
      </c>
      <c r="N9" s="263">
        <v>4</v>
      </c>
      <c r="O9" s="259">
        <f t="shared" si="5"/>
        <v>262004</v>
      </c>
      <c r="P9" s="276">
        <f t="shared" si="6"/>
        <v>1048016</v>
      </c>
      <c r="Q9" s="263">
        <v>0</v>
      </c>
      <c r="R9" s="259">
        <f t="shared" si="7"/>
        <v>262004</v>
      </c>
      <c r="S9" s="280">
        <f t="shared" si="8"/>
        <v>0</v>
      </c>
      <c r="T9" s="263">
        <v>0</v>
      </c>
      <c r="U9" s="259">
        <f t="shared" si="9"/>
        <v>262004</v>
      </c>
      <c r="V9" s="284">
        <f t="shared" si="10"/>
        <v>0</v>
      </c>
      <c r="W9" s="263">
        <v>0</v>
      </c>
      <c r="X9" s="259">
        <f t="shared" si="11"/>
        <v>262004</v>
      </c>
      <c r="Y9" s="286">
        <f t="shared" si="12"/>
        <v>0</v>
      </c>
      <c r="Z9" s="168">
        <f t="shared" si="13"/>
        <v>4</v>
      </c>
      <c r="AA9" s="259">
        <f t="shared" si="14"/>
        <v>262004</v>
      </c>
      <c r="AB9" s="259">
        <f t="shared" si="15"/>
        <v>1048016</v>
      </c>
    </row>
    <row r="10" spans="1:28" ht="62.25" customHeight="1">
      <c r="A10" s="119">
        <v>1.04</v>
      </c>
      <c r="B10" s="120" t="s">
        <v>29</v>
      </c>
      <c r="C10" s="121" t="s">
        <v>26</v>
      </c>
      <c r="D10" s="122">
        <v>28</v>
      </c>
      <c r="E10" s="123">
        <f>'FORMATO AIU'!F21</f>
        <v>169031</v>
      </c>
      <c r="F10" s="164">
        <f t="shared" si="0"/>
        <v>4732868</v>
      </c>
      <c r="G10" s="164"/>
      <c r="H10" s="168"/>
      <c r="I10" s="259">
        <f t="shared" si="1"/>
        <v>169031</v>
      </c>
      <c r="J10" s="259">
        <f t="shared" si="2"/>
        <v>0</v>
      </c>
      <c r="K10" s="168"/>
      <c r="L10" s="259">
        <f t="shared" si="3"/>
        <v>169031</v>
      </c>
      <c r="M10" s="265">
        <f t="shared" si="4"/>
        <v>0</v>
      </c>
      <c r="N10" s="263">
        <v>28</v>
      </c>
      <c r="O10" s="259">
        <f t="shared" si="5"/>
        <v>169031</v>
      </c>
      <c r="P10" s="276">
        <f t="shared" si="6"/>
        <v>4732868</v>
      </c>
      <c r="Q10" s="263">
        <v>0</v>
      </c>
      <c r="R10" s="259">
        <f t="shared" si="7"/>
        <v>169031</v>
      </c>
      <c r="S10" s="280">
        <f t="shared" si="8"/>
        <v>0</v>
      </c>
      <c r="T10" s="263">
        <v>0</v>
      </c>
      <c r="U10" s="259">
        <f t="shared" si="9"/>
        <v>169031</v>
      </c>
      <c r="V10" s="284">
        <f t="shared" si="10"/>
        <v>0</v>
      </c>
      <c r="W10" s="263">
        <v>0</v>
      </c>
      <c r="X10" s="259">
        <f t="shared" si="11"/>
        <v>169031</v>
      </c>
      <c r="Y10" s="286">
        <f t="shared" si="12"/>
        <v>0</v>
      </c>
      <c r="Z10" s="168">
        <f t="shared" si="13"/>
        <v>28</v>
      </c>
      <c r="AA10" s="259">
        <f t="shared" si="14"/>
        <v>169031</v>
      </c>
      <c r="AB10" s="259">
        <f t="shared" si="15"/>
        <v>4732868</v>
      </c>
    </row>
    <row r="11" spans="1:28" ht="15" customHeight="1">
      <c r="A11" s="118" t="s">
        <v>96</v>
      </c>
      <c r="B11" s="118"/>
      <c r="C11" s="118"/>
      <c r="D11" s="118"/>
      <c r="E11" s="118"/>
      <c r="F11" s="163"/>
      <c r="G11" s="163"/>
      <c r="H11" s="260"/>
      <c r="I11" s="261"/>
      <c r="J11" s="262"/>
      <c r="K11" s="269"/>
      <c r="L11" s="270">
        <f t="shared" si="3"/>
        <v>0</v>
      </c>
      <c r="M11" s="271"/>
      <c r="N11" s="269"/>
      <c r="O11" s="259">
        <f t="shared" si="5"/>
        <v>0</v>
      </c>
      <c r="P11" s="277"/>
      <c r="Q11" s="269"/>
      <c r="R11" s="259">
        <f t="shared" si="7"/>
        <v>0</v>
      </c>
      <c r="S11" s="281"/>
      <c r="T11" s="269"/>
      <c r="U11" s="259">
        <f t="shared" si="9"/>
        <v>0</v>
      </c>
      <c r="V11" s="284">
        <f t="shared" si="10"/>
        <v>0</v>
      </c>
      <c r="W11" s="269"/>
      <c r="X11" s="259">
        <f t="shared" si="11"/>
        <v>0</v>
      </c>
      <c r="Y11" s="286">
        <f t="shared" si="12"/>
        <v>0</v>
      </c>
      <c r="Z11" s="168">
        <f t="shared" si="13"/>
        <v>0</v>
      </c>
      <c r="AA11" s="273"/>
      <c r="AB11" s="274"/>
    </row>
    <row r="12" spans="1:28" ht="32.25" customHeight="1">
      <c r="A12" s="119">
        <v>1.05</v>
      </c>
      <c r="B12" s="120" t="s">
        <v>31</v>
      </c>
      <c r="C12" s="121" t="s">
        <v>26</v>
      </c>
      <c r="D12" s="119">
        <v>201</v>
      </c>
      <c r="E12" s="125">
        <f>'FORMATO AIU'!F23</f>
        <v>23214</v>
      </c>
      <c r="F12" s="164">
        <f>+E12*D12</f>
        <v>4666014</v>
      </c>
      <c r="G12" s="164"/>
      <c r="H12" s="263">
        <v>49</v>
      </c>
      <c r="I12" s="169">
        <f>E12</f>
        <v>23214</v>
      </c>
      <c r="J12" s="259">
        <f t="shared" si="2"/>
        <v>1137486</v>
      </c>
      <c r="K12" s="263">
        <f>91-49</f>
        <v>42</v>
      </c>
      <c r="L12" s="259">
        <f t="shared" si="3"/>
        <v>23214</v>
      </c>
      <c r="M12" s="265">
        <f t="shared" ref="M12:M16" si="16">L12*K12</f>
        <v>974988</v>
      </c>
      <c r="N12" s="263">
        <f>172-K12-H12</f>
        <v>81</v>
      </c>
      <c r="O12" s="259">
        <f t="shared" si="5"/>
        <v>23214</v>
      </c>
      <c r="P12" s="276">
        <f t="shared" ref="P12:P16" si="17">O12*N12</f>
        <v>1880334</v>
      </c>
      <c r="Q12" s="263">
        <v>0</v>
      </c>
      <c r="R12" s="259">
        <f t="shared" si="7"/>
        <v>23214</v>
      </c>
      <c r="S12" s="280">
        <f t="shared" ref="S12:S16" si="18">R12*Q12</f>
        <v>0</v>
      </c>
      <c r="T12" s="263">
        <v>12</v>
      </c>
      <c r="U12" s="259">
        <f t="shared" si="9"/>
        <v>23214</v>
      </c>
      <c r="V12" s="284">
        <f t="shared" si="10"/>
        <v>278568</v>
      </c>
      <c r="W12" s="263">
        <v>7</v>
      </c>
      <c r="X12" s="259">
        <f t="shared" si="11"/>
        <v>23214</v>
      </c>
      <c r="Y12" s="286">
        <f t="shared" si="12"/>
        <v>162498</v>
      </c>
      <c r="Z12" s="168">
        <f t="shared" si="13"/>
        <v>191</v>
      </c>
      <c r="AA12" s="259">
        <f t="shared" si="14"/>
        <v>23214</v>
      </c>
      <c r="AB12" s="259">
        <f>Z12*AA12</f>
        <v>4433874</v>
      </c>
    </row>
    <row r="13" spans="1:28" ht="32.25" customHeight="1">
      <c r="A13" s="119">
        <v>1.06</v>
      </c>
      <c r="B13" s="120" t="s">
        <v>32</v>
      </c>
      <c r="C13" s="121" t="s">
        <v>26</v>
      </c>
      <c r="D13" s="119">
        <v>28</v>
      </c>
      <c r="E13" s="125">
        <f>'FORMATO AIU'!F24</f>
        <v>23214</v>
      </c>
      <c r="F13" s="164">
        <f t="shared" ref="F13:F16" si="19">+E13*D13</f>
        <v>649992</v>
      </c>
      <c r="G13" s="164"/>
      <c r="H13" s="263">
        <v>13</v>
      </c>
      <c r="I13" s="169">
        <f t="shared" ref="I13:I16" si="20">E13</f>
        <v>23214</v>
      </c>
      <c r="J13" s="259">
        <f t="shared" si="2"/>
        <v>301782</v>
      </c>
      <c r="K13" s="263">
        <f>28-13</f>
        <v>15</v>
      </c>
      <c r="L13" s="259">
        <f t="shared" si="3"/>
        <v>23214</v>
      </c>
      <c r="M13" s="265">
        <f t="shared" si="16"/>
        <v>348210</v>
      </c>
      <c r="N13" s="263">
        <v>0</v>
      </c>
      <c r="O13" s="259">
        <f t="shared" si="5"/>
        <v>23214</v>
      </c>
      <c r="P13" s="276">
        <f t="shared" si="17"/>
        <v>0</v>
      </c>
      <c r="Q13" s="263">
        <v>1</v>
      </c>
      <c r="R13" s="259">
        <f t="shared" si="7"/>
        <v>23214</v>
      </c>
      <c r="S13" s="280">
        <f t="shared" si="18"/>
        <v>23214</v>
      </c>
      <c r="T13" s="263">
        <v>0</v>
      </c>
      <c r="U13" s="259">
        <f t="shared" si="9"/>
        <v>23214</v>
      </c>
      <c r="V13" s="284">
        <f t="shared" si="10"/>
        <v>0</v>
      </c>
      <c r="W13" s="263">
        <v>0</v>
      </c>
      <c r="X13" s="259">
        <f t="shared" si="11"/>
        <v>23214</v>
      </c>
      <c r="Y13" s="286">
        <f t="shared" si="12"/>
        <v>0</v>
      </c>
      <c r="Z13" s="168">
        <f t="shared" si="13"/>
        <v>29</v>
      </c>
      <c r="AA13" s="259">
        <f t="shared" si="14"/>
        <v>23214</v>
      </c>
      <c r="AB13" s="259">
        <f t="shared" ref="AB13:AB16" si="21">AA13*Z13</f>
        <v>673206</v>
      </c>
    </row>
    <row r="14" spans="1:28" ht="28.5" customHeight="1">
      <c r="A14" s="119">
        <v>1.07</v>
      </c>
      <c r="B14" s="120" t="s">
        <v>33</v>
      </c>
      <c r="C14" s="121" t="s">
        <v>26</v>
      </c>
      <c r="D14" s="119">
        <v>60</v>
      </c>
      <c r="E14" s="125">
        <f>'FORMATO AIU'!F25</f>
        <v>11386</v>
      </c>
      <c r="F14" s="164">
        <f t="shared" si="19"/>
        <v>683160</v>
      </c>
      <c r="G14" s="164"/>
      <c r="H14" s="263">
        <v>4</v>
      </c>
      <c r="I14" s="169">
        <f t="shared" si="20"/>
        <v>11386</v>
      </c>
      <c r="J14" s="259">
        <f t="shared" si="2"/>
        <v>45544</v>
      </c>
      <c r="K14" s="263">
        <f>30-6</f>
        <v>24</v>
      </c>
      <c r="L14" s="259">
        <f t="shared" si="3"/>
        <v>11386</v>
      </c>
      <c r="M14" s="265">
        <f t="shared" si="16"/>
        <v>273264</v>
      </c>
      <c r="N14" s="263"/>
      <c r="O14" s="259">
        <f t="shared" si="5"/>
        <v>11386</v>
      </c>
      <c r="P14" s="276">
        <f t="shared" si="17"/>
        <v>0</v>
      </c>
      <c r="Q14" s="263">
        <f>45-28</f>
        <v>17</v>
      </c>
      <c r="R14" s="259">
        <f t="shared" si="7"/>
        <v>11386</v>
      </c>
      <c r="S14" s="280">
        <f t="shared" si="18"/>
        <v>193562</v>
      </c>
      <c r="T14" s="263">
        <v>15</v>
      </c>
      <c r="U14" s="259">
        <f t="shared" si="9"/>
        <v>11386</v>
      </c>
      <c r="V14" s="284">
        <f t="shared" si="10"/>
        <v>170790</v>
      </c>
      <c r="W14" s="263"/>
      <c r="X14" s="259">
        <f t="shared" si="11"/>
        <v>11386</v>
      </c>
      <c r="Y14" s="286">
        <f t="shared" si="12"/>
        <v>0</v>
      </c>
      <c r="Z14" s="168">
        <f t="shared" si="13"/>
        <v>60</v>
      </c>
      <c r="AA14" s="259">
        <f t="shared" si="14"/>
        <v>11386</v>
      </c>
      <c r="AB14" s="259">
        <f t="shared" si="21"/>
        <v>683160</v>
      </c>
    </row>
    <row r="15" spans="1:28" ht="15" customHeight="1">
      <c r="A15" s="119">
        <v>1.08</v>
      </c>
      <c r="B15" s="120" t="s">
        <v>34</v>
      </c>
      <c r="C15" s="121" t="s">
        <v>26</v>
      </c>
      <c r="D15" s="119">
        <v>60</v>
      </c>
      <c r="E15" s="125">
        <f>'FORMATO AIU'!F26</f>
        <v>44019</v>
      </c>
      <c r="F15" s="164">
        <f t="shared" si="19"/>
        <v>2641140</v>
      </c>
      <c r="G15" s="164"/>
      <c r="H15" s="263">
        <v>6</v>
      </c>
      <c r="I15" s="169">
        <f t="shared" si="20"/>
        <v>44019</v>
      </c>
      <c r="J15" s="259">
        <f t="shared" si="2"/>
        <v>264114</v>
      </c>
      <c r="K15" s="263">
        <f>30-6</f>
        <v>24</v>
      </c>
      <c r="L15" s="259">
        <f t="shared" si="3"/>
        <v>44019</v>
      </c>
      <c r="M15" s="265">
        <f t="shared" si="16"/>
        <v>1056456</v>
      </c>
      <c r="N15" s="263">
        <f>202-H15-K15</f>
        <v>172</v>
      </c>
      <c r="O15" s="259">
        <f t="shared" si="5"/>
        <v>44019</v>
      </c>
      <c r="P15" s="276">
        <f t="shared" si="17"/>
        <v>7571268</v>
      </c>
      <c r="Q15" s="263">
        <v>60</v>
      </c>
      <c r="R15" s="259">
        <f t="shared" si="7"/>
        <v>44019</v>
      </c>
      <c r="S15" s="280">
        <f t="shared" si="18"/>
        <v>2641140</v>
      </c>
      <c r="T15" s="263">
        <v>60</v>
      </c>
      <c r="U15" s="259">
        <f t="shared" si="9"/>
        <v>44019</v>
      </c>
      <c r="V15" s="284">
        <f t="shared" si="10"/>
        <v>2641140</v>
      </c>
      <c r="W15" s="263">
        <v>60</v>
      </c>
      <c r="X15" s="259">
        <f t="shared" si="11"/>
        <v>44019</v>
      </c>
      <c r="Y15" s="286">
        <f t="shared" si="12"/>
        <v>2641140</v>
      </c>
      <c r="Z15" s="168">
        <v>60</v>
      </c>
      <c r="AA15" s="259">
        <f t="shared" si="14"/>
        <v>44019</v>
      </c>
      <c r="AB15" s="259">
        <f t="shared" si="21"/>
        <v>2641140</v>
      </c>
    </row>
    <row r="16" spans="1:28" ht="55.5" customHeight="1">
      <c r="A16" s="119">
        <v>1.0900000000000001</v>
      </c>
      <c r="B16" s="120" t="s">
        <v>35</v>
      </c>
      <c r="C16" s="121" t="s">
        <v>26</v>
      </c>
      <c r="D16" s="119">
        <v>60</v>
      </c>
      <c r="E16" s="125">
        <f>'FORMATO AIU'!F27</f>
        <v>219889</v>
      </c>
      <c r="F16" s="164">
        <f t="shared" si="19"/>
        <v>13193340</v>
      </c>
      <c r="G16" s="164"/>
      <c r="H16" s="263">
        <v>8</v>
      </c>
      <c r="I16" s="169">
        <f t="shared" si="20"/>
        <v>219889</v>
      </c>
      <c r="J16" s="259">
        <f t="shared" si="2"/>
        <v>1759112</v>
      </c>
      <c r="K16" s="263">
        <f>30-8</f>
        <v>22</v>
      </c>
      <c r="L16" s="259">
        <f t="shared" si="3"/>
        <v>219889</v>
      </c>
      <c r="M16" s="265">
        <f t="shared" si="16"/>
        <v>4837558</v>
      </c>
      <c r="N16" s="263">
        <v>15</v>
      </c>
      <c r="O16" s="259">
        <f t="shared" si="5"/>
        <v>219889</v>
      </c>
      <c r="P16" s="276">
        <f t="shared" si="17"/>
        <v>3298335</v>
      </c>
      <c r="Q16" s="263">
        <v>15</v>
      </c>
      <c r="R16" s="259">
        <f t="shared" si="7"/>
        <v>219889</v>
      </c>
      <c r="S16" s="280">
        <f t="shared" si="18"/>
        <v>3298335</v>
      </c>
      <c r="T16" s="263">
        <v>59</v>
      </c>
      <c r="U16" s="259">
        <f t="shared" si="9"/>
        <v>219889</v>
      </c>
      <c r="V16" s="284">
        <f t="shared" si="10"/>
        <v>12973451</v>
      </c>
      <c r="W16" s="263"/>
      <c r="X16" s="259">
        <f t="shared" si="11"/>
        <v>219889</v>
      </c>
      <c r="Y16" s="286">
        <f t="shared" si="12"/>
        <v>0</v>
      </c>
      <c r="Z16" s="168">
        <f t="shared" si="13"/>
        <v>119</v>
      </c>
      <c r="AA16" s="259">
        <f t="shared" si="14"/>
        <v>219889</v>
      </c>
      <c r="AB16" s="259">
        <f t="shared" si="21"/>
        <v>26166791</v>
      </c>
    </row>
    <row r="17" spans="1:28" ht="15.95" customHeight="1">
      <c r="A17" s="118" t="s">
        <v>97</v>
      </c>
      <c r="B17" s="118"/>
      <c r="C17" s="118"/>
      <c r="D17" s="118"/>
      <c r="E17" s="118"/>
      <c r="F17" s="163"/>
      <c r="G17" s="163"/>
      <c r="H17" s="260"/>
      <c r="I17" s="261"/>
      <c r="J17" s="262"/>
      <c r="K17" s="269"/>
      <c r="L17" s="270">
        <f t="shared" si="3"/>
        <v>0</v>
      </c>
      <c r="M17" s="271"/>
      <c r="N17" s="269"/>
      <c r="O17" s="259">
        <f t="shared" si="5"/>
        <v>0</v>
      </c>
      <c r="P17" s="277"/>
      <c r="Q17" s="269"/>
      <c r="R17" s="259">
        <f t="shared" si="7"/>
        <v>0</v>
      </c>
      <c r="S17" s="281"/>
      <c r="T17" s="269"/>
      <c r="U17" s="259">
        <f t="shared" si="9"/>
        <v>0</v>
      </c>
      <c r="V17" s="284">
        <f t="shared" si="10"/>
        <v>0</v>
      </c>
      <c r="W17" s="269"/>
      <c r="X17" s="259">
        <f t="shared" si="11"/>
        <v>0</v>
      </c>
      <c r="Y17" s="286">
        <f t="shared" si="12"/>
        <v>0</v>
      </c>
      <c r="Z17" s="168">
        <f t="shared" si="13"/>
        <v>0</v>
      </c>
      <c r="AA17" s="273"/>
      <c r="AB17" s="274"/>
    </row>
    <row r="18" spans="1:28" ht="29.25" customHeight="1">
      <c r="A18" s="119">
        <v>1.1000000000000001</v>
      </c>
      <c r="B18" s="120" t="s">
        <v>37</v>
      </c>
      <c r="C18" s="121" t="s">
        <v>26</v>
      </c>
      <c r="D18" s="119">
        <v>23</v>
      </c>
      <c r="E18" s="125">
        <f>'FORMATO AIU'!F29</f>
        <v>2001431</v>
      </c>
      <c r="F18" s="164">
        <f>+D18*E18</f>
        <v>46032913</v>
      </c>
      <c r="G18" s="164"/>
      <c r="H18" s="264">
        <v>6</v>
      </c>
      <c r="I18" s="169">
        <f>E18</f>
        <v>2001431</v>
      </c>
      <c r="J18" s="259">
        <f t="shared" si="2"/>
        <v>12008586</v>
      </c>
      <c r="K18" s="264">
        <f>10-6</f>
        <v>4</v>
      </c>
      <c r="L18" s="259">
        <f t="shared" si="3"/>
        <v>2001431</v>
      </c>
      <c r="M18" s="265">
        <f t="shared" ref="M18:M23" si="22">L18*K18</f>
        <v>8005724</v>
      </c>
      <c r="N18" s="264">
        <v>8</v>
      </c>
      <c r="O18" s="259">
        <f t="shared" si="5"/>
        <v>2001431</v>
      </c>
      <c r="P18" s="276">
        <f t="shared" ref="P18:P23" si="23">O18*N18</f>
        <v>16011448</v>
      </c>
      <c r="Q18" s="264">
        <v>0</v>
      </c>
      <c r="R18" s="259">
        <f t="shared" si="7"/>
        <v>2001431</v>
      </c>
      <c r="S18" s="280">
        <f t="shared" ref="S18:S23" si="24">R18*Q18</f>
        <v>0</v>
      </c>
      <c r="T18" s="264">
        <v>0</v>
      </c>
      <c r="U18" s="259">
        <f t="shared" si="9"/>
        <v>2001431</v>
      </c>
      <c r="V18" s="284">
        <f t="shared" si="10"/>
        <v>0</v>
      </c>
      <c r="W18" s="264">
        <v>1</v>
      </c>
      <c r="X18" s="259">
        <f t="shared" si="11"/>
        <v>2001431</v>
      </c>
      <c r="Y18" s="286">
        <f t="shared" si="12"/>
        <v>2001431</v>
      </c>
      <c r="Z18" s="168">
        <f t="shared" si="13"/>
        <v>19</v>
      </c>
      <c r="AA18" s="259">
        <f t="shared" si="14"/>
        <v>2001431</v>
      </c>
      <c r="AB18" s="259">
        <f t="shared" ref="AB18:AB23" si="25">AA18*Z18</f>
        <v>38027189</v>
      </c>
    </row>
    <row r="19" spans="1:28" ht="42.75" customHeight="1">
      <c r="A19" s="119">
        <v>1.1100000000000001</v>
      </c>
      <c r="B19" s="120" t="s">
        <v>38</v>
      </c>
      <c r="C19" s="121" t="s">
        <v>26</v>
      </c>
      <c r="D19" s="119">
        <v>23</v>
      </c>
      <c r="E19" s="125">
        <f>'FORMATO AIU'!F30</f>
        <v>476289</v>
      </c>
      <c r="F19" s="164">
        <f t="shared" ref="F19:F23" si="26">+D19*E19</f>
        <v>10954647</v>
      </c>
      <c r="G19" s="164"/>
      <c r="H19" s="263">
        <v>1</v>
      </c>
      <c r="I19" s="169">
        <f t="shared" ref="I19:I23" si="27">E19</f>
        <v>476289</v>
      </c>
      <c r="J19" s="259">
        <f t="shared" si="2"/>
        <v>476289</v>
      </c>
      <c r="K19" s="263"/>
      <c r="L19" s="259">
        <f t="shared" si="3"/>
        <v>476289</v>
      </c>
      <c r="M19" s="265">
        <f t="shared" si="22"/>
        <v>0</v>
      </c>
      <c r="N19" s="263"/>
      <c r="O19" s="259">
        <f t="shared" si="5"/>
        <v>476289</v>
      </c>
      <c r="P19" s="276">
        <f t="shared" si="23"/>
        <v>0</v>
      </c>
      <c r="Q19" s="263">
        <v>12</v>
      </c>
      <c r="R19" s="259">
        <f t="shared" si="7"/>
        <v>476289</v>
      </c>
      <c r="S19" s="280">
        <f t="shared" si="24"/>
        <v>5715468</v>
      </c>
      <c r="T19" s="263">
        <v>5</v>
      </c>
      <c r="U19" s="259">
        <f t="shared" si="9"/>
        <v>476289</v>
      </c>
      <c r="V19" s="284">
        <f t="shared" si="10"/>
        <v>2381445</v>
      </c>
      <c r="W19" s="263">
        <v>1</v>
      </c>
      <c r="X19" s="259">
        <f t="shared" si="11"/>
        <v>476289</v>
      </c>
      <c r="Y19" s="286">
        <f t="shared" si="12"/>
        <v>476289</v>
      </c>
      <c r="Z19" s="168">
        <f t="shared" si="13"/>
        <v>19</v>
      </c>
      <c r="AA19" s="259">
        <f t="shared" si="14"/>
        <v>476289</v>
      </c>
      <c r="AB19" s="259">
        <f t="shared" si="25"/>
        <v>9049491</v>
      </c>
    </row>
    <row r="20" spans="1:28" ht="72" customHeight="1">
      <c r="A20" s="119">
        <v>1.1200000000000001</v>
      </c>
      <c r="B20" s="120" t="s">
        <v>39</v>
      </c>
      <c r="C20" s="121" t="s">
        <v>40</v>
      </c>
      <c r="D20" s="119">
        <v>1250</v>
      </c>
      <c r="E20" s="125">
        <f>'FORMATO AIU'!F31</f>
        <v>11662</v>
      </c>
      <c r="F20" s="164">
        <f t="shared" si="26"/>
        <v>14577500</v>
      </c>
      <c r="G20" s="164"/>
      <c r="H20" s="263">
        <v>280</v>
      </c>
      <c r="I20" s="169">
        <f t="shared" si="27"/>
        <v>11662</v>
      </c>
      <c r="J20" s="259">
        <f t="shared" si="2"/>
        <v>3265360</v>
      </c>
      <c r="K20" s="263">
        <f>530-280</f>
        <v>250</v>
      </c>
      <c r="L20" s="259">
        <f t="shared" si="3"/>
        <v>11662</v>
      </c>
      <c r="M20" s="265">
        <f t="shared" si="22"/>
        <v>2915500</v>
      </c>
      <c r="N20" s="263">
        <f>981-H20-K20</f>
        <v>451</v>
      </c>
      <c r="O20" s="259">
        <f t="shared" si="5"/>
        <v>11662</v>
      </c>
      <c r="P20" s="276">
        <f t="shared" si="23"/>
        <v>5259562</v>
      </c>
      <c r="Q20" s="263">
        <v>0</v>
      </c>
      <c r="R20" s="259">
        <f t="shared" si="7"/>
        <v>11662</v>
      </c>
      <c r="S20" s="280">
        <f t="shared" si="24"/>
        <v>0</v>
      </c>
      <c r="T20" s="263">
        <f>1029-981-3</f>
        <v>45</v>
      </c>
      <c r="U20" s="259">
        <f t="shared" si="9"/>
        <v>11662</v>
      </c>
      <c r="V20" s="284">
        <f t="shared" si="10"/>
        <v>524790</v>
      </c>
      <c r="W20" s="263">
        <f>1111.95-1026</f>
        <v>85.950000000000045</v>
      </c>
      <c r="X20" s="259">
        <f t="shared" si="11"/>
        <v>11662</v>
      </c>
      <c r="Y20" s="286">
        <f t="shared" si="12"/>
        <v>1002348.9000000005</v>
      </c>
      <c r="Z20" s="168">
        <f t="shared" si="13"/>
        <v>1111.95</v>
      </c>
      <c r="AA20" s="259">
        <f t="shared" si="14"/>
        <v>11662</v>
      </c>
      <c r="AB20" s="259">
        <f t="shared" si="25"/>
        <v>12967560.9</v>
      </c>
    </row>
    <row r="21" spans="1:28" ht="57.75" customHeight="1">
      <c r="A21" s="119">
        <v>1.1299999999999999</v>
      </c>
      <c r="B21" s="120" t="s">
        <v>41</v>
      </c>
      <c r="C21" s="121" t="s">
        <v>40</v>
      </c>
      <c r="D21" s="119">
        <v>350</v>
      </c>
      <c r="E21" s="125">
        <f>'FORMATO AIU'!F32</f>
        <v>12694</v>
      </c>
      <c r="F21" s="164">
        <f t="shared" si="26"/>
        <v>4442900</v>
      </c>
      <c r="G21" s="164"/>
      <c r="H21" s="263">
        <v>73.5</v>
      </c>
      <c r="I21" s="169">
        <f t="shared" si="27"/>
        <v>12694</v>
      </c>
      <c r="J21" s="259">
        <f t="shared" si="2"/>
        <v>933009</v>
      </c>
      <c r="K21" s="263">
        <f>136.5-H21</f>
        <v>63</v>
      </c>
      <c r="L21" s="259">
        <f t="shared" si="3"/>
        <v>12694</v>
      </c>
      <c r="M21" s="265">
        <f t="shared" si="22"/>
        <v>799722</v>
      </c>
      <c r="N21" s="263">
        <f>303.81-H21-K21</f>
        <v>167.31</v>
      </c>
      <c r="O21" s="259">
        <f t="shared" si="5"/>
        <v>12694</v>
      </c>
      <c r="P21" s="276">
        <f t="shared" si="23"/>
        <v>2123833.14</v>
      </c>
      <c r="Q21" s="263">
        <v>0</v>
      </c>
      <c r="R21" s="259">
        <f t="shared" si="7"/>
        <v>12694</v>
      </c>
      <c r="S21" s="280">
        <f t="shared" si="24"/>
        <v>0</v>
      </c>
      <c r="T21" s="263">
        <f>340-303.81</f>
        <v>36.19</v>
      </c>
      <c r="U21" s="259">
        <f t="shared" si="9"/>
        <v>12694</v>
      </c>
      <c r="V21" s="284">
        <f t="shared" si="10"/>
        <v>459395.86</v>
      </c>
      <c r="W21" s="263">
        <v>-5</v>
      </c>
      <c r="X21" s="259">
        <f t="shared" si="11"/>
        <v>12694</v>
      </c>
      <c r="Y21" s="286">
        <f t="shared" si="12"/>
        <v>-63470</v>
      </c>
      <c r="Z21" s="168">
        <f t="shared" si="13"/>
        <v>335</v>
      </c>
      <c r="AA21" s="259">
        <f t="shared" si="14"/>
        <v>12694</v>
      </c>
      <c r="AB21" s="259">
        <f t="shared" si="25"/>
        <v>4252490</v>
      </c>
    </row>
    <row r="22" spans="1:28" ht="71.25">
      <c r="A22" s="119">
        <v>1.1399999999999999</v>
      </c>
      <c r="B22" s="120" t="s">
        <v>42</v>
      </c>
      <c r="C22" s="121" t="s">
        <v>26</v>
      </c>
      <c r="D22" s="119">
        <v>27</v>
      </c>
      <c r="E22" s="125">
        <f>'FORMATO AIU'!F33</f>
        <v>122853</v>
      </c>
      <c r="F22" s="164">
        <f t="shared" si="26"/>
        <v>3317031</v>
      </c>
      <c r="G22" s="164"/>
      <c r="H22" s="263">
        <v>11</v>
      </c>
      <c r="I22" s="169">
        <f t="shared" si="27"/>
        <v>122853</v>
      </c>
      <c r="J22" s="259">
        <f t="shared" si="2"/>
        <v>1351383</v>
      </c>
      <c r="K22" s="263">
        <f>19-H22</f>
        <v>8</v>
      </c>
      <c r="L22" s="259">
        <f t="shared" si="3"/>
        <v>122853</v>
      </c>
      <c r="M22" s="265">
        <f t="shared" si="22"/>
        <v>982824</v>
      </c>
      <c r="N22" s="263">
        <f>45-H22-K22</f>
        <v>26</v>
      </c>
      <c r="O22" s="259">
        <f t="shared" si="5"/>
        <v>122853</v>
      </c>
      <c r="P22" s="276">
        <f t="shared" si="23"/>
        <v>3194178</v>
      </c>
      <c r="Q22" s="263">
        <v>27</v>
      </c>
      <c r="R22" s="259">
        <f t="shared" si="7"/>
        <v>122853</v>
      </c>
      <c r="S22" s="280">
        <f t="shared" si="24"/>
        <v>3317031</v>
      </c>
      <c r="T22" s="263">
        <v>27</v>
      </c>
      <c r="U22" s="259">
        <f t="shared" si="9"/>
        <v>122853</v>
      </c>
      <c r="V22" s="284">
        <f t="shared" si="10"/>
        <v>3317031</v>
      </c>
      <c r="W22" s="263">
        <v>-66</v>
      </c>
      <c r="X22" s="259">
        <f t="shared" si="11"/>
        <v>122853</v>
      </c>
      <c r="Y22" s="286">
        <f t="shared" si="12"/>
        <v>-8108298</v>
      </c>
      <c r="Z22" s="168">
        <v>31</v>
      </c>
      <c r="AA22" s="259">
        <f t="shared" si="14"/>
        <v>122853</v>
      </c>
      <c r="AB22" s="259">
        <f t="shared" si="25"/>
        <v>3808443</v>
      </c>
    </row>
    <row r="23" spans="1:28" ht="28.5">
      <c r="A23" s="119">
        <v>1.1499999999999999</v>
      </c>
      <c r="B23" s="127" t="s">
        <v>43</v>
      </c>
      <c r="C23" s="121" t="s">
        <v>26</v>
      </c>
      <c r="D23" s="119">
        <v>16</v>
      </c>
      <c r="E23" s="126">
        <f>'FORMATO AIU'!F34</f>
        <v>28093</v>
      </c>
      <c r="F23" s="164">
        <f t="shared" si="26"/>
        <v>449488</v>
      </c>
      <c r="G23" s="164"/>
      <c r="H23" s="263">
        <v>0</v>
      </c>
      <c r="I23" s="169">
        <f t="shared" si="27"/>
        <v>28093</v>
      </c>
      <c r="J23" s="259">
        <f t="shared" si="2"/>
        <v>0</v>
      </c>
      <c r="K23" s="263"/>
      <c r="L23" s="259">
        <f t="shared" si="3"/>
        <v>28093</v>
      </c>
      <c r="M23" s="265">
        <f t="shared" si="22"/>
        <v>0</v>
      </c>
      <c r="N23" s="263">
        <v>13</v>
      </c>
      <c r="O23" s="259">
        <f t="shared" si="5"/>
        <v>28093</v>
      </c>
      <c r="P23" s="276">
        <f t="shared" si="23"/>
        <v>365209</v>
      </c>
      <c r="Q23" s="263">
        <v>0</v>
      </c>
      <c r="R23" s="259">
        <f t="shared" si="7"/>
        <v>28093</v>
      </c>
      <c r="S23" s="280">
        <f t="shared" si="24"/>
        <v>0</v>
      </c>
      <c r="T23" s="263">
        <v>14</v>
      </c>
      <c r="U23" s="259">
        <f t="shared" si="9"/>
        <v>28093</v>
      </c>
      <c r="V23" s="284">
        <f t="shared" si="10"/>
        <v>393302</v>
      </c>
      <c r="W23" s="263">
        <v>-13</v>
      </c>
      <c r="X23" s="259">
        <f t="shared" si="11"/>
        <v>28093</v>
      </c>
      <c r="Y23" s="286">
        <f t="shared" si="12"/>
        <v>-365209</v>
      </c>
      <c r="Z23" s="168">
        <f t="shared" si="13"/>
        <v>14</v>
      </c>
      <c r="AA23" s="259">
        <f t="shared" si="14"/>
        <v>28093</v>
      </c>
      <c r="AB23" s="259">
        <f t="shared" si="25"/>
        <v>393302</v>
      </c>
    </row>
    <row r="24" spans="1:28" ht="15.95" customHeight="1">
      <c r="A24" s="118" t="s">
        <v>98</v>
      </c>
      <c r="B24" s="118"/>
      <c r="C24" s="118"/>
      <c r="D24" s="118"/>
      <c r="E24" s="118"/>
      <c r="F24" s="163"/>
      <c r="G24" s="163"/>
      <c r="H24" s="260"/>
      <c r="I24" s="261"/>
      <c r="J24" s="262"/>
      <c r="K24" s="269"/>
      <c r="L24" s="270">
        <f t="shared" si="3"/>
        <v>0</v>
      </c>
      <c r="M24" s="271"/>
      <c r="N24" s="269"/>
      <c r="O24" s="259">
        <f t="shared" si="5"/>
        <v>0</v>
      </c>
      <c r="P24" s="277"/>
      <c r="Q24" s="269"/>
      <c r="R24" s="259">
        <f t="shared" si="7"/>
        <v>0</v>
      </c>
      <c r="S24" s="281"/>
      <c r="T24" s="269"/>
      <c r="U24" s="259">
        <f t="shared" si="9"/>
        <v>0</v>
      </c>
      <c r="V24" s="284">
        <f t="shared" si="10"/>
        <v>0</v>
      </c>
      <c r="W24" s="269"/>
      <c r="X24" s="259">
        <f t="shared" si="11"/>
        <v>0</v>
      </c>
      <c r="Y24" s="286">
        <f t="shared" si="12"/>
        <v>0</v>
      </c>
      <c r="Z24" s="168">
        <f t="shared" si="13"/>
        <v>0</v>
      </c>
      <c r="AA24" s="273">
        <f t="shared" si="14"/>
        <v>0</v>
      </c>
      <c r="AB24" s="274"/>
    </row>
    <row r="25" spans="1:28" ht="28.5" customHeight="1">
      <c r="A25" s="119">
        <v>1.1599999999999999</v>
      </c>
      <c r="B25" s="120" t="s">
        <v>45</v>
      </c>
      <c r="C25" s="121" t="s">
        <v>26</v>
      </c>
      <c r="D25" s="119">
        <v>165</v>
      </c>
      <c r="E25" s="125">
        <f>'FORMATO AIU'!F36</f>
        <v>22195</v>
      </c>
      <c r="F25" s="164">
        <f>+D25*E25</f>
        <v>3662175</v>
      </c>
      <c r="G25" s="164"/>
      <c r="H25" s="263"/>
      <c r="I25" s="169">
        <f>E25</f>
        <v>22195</v>
      </c>
      <c r="J25" s="259">
        <f t="shared" si="2"/>
        <v>0</v>
      </c>
      <c r="K25" s="263"/>
      <c r="L25" s="259">
        <f t="shared" si="3"/>
        <v>22195</v>
      </c>
      <c r="M25" s="265">
        <f t="shared" ref="M25:M30" si="28">L25*K25</f>
        <v>0</v>
      </c>
      <c r="N25" s="263">
        <v>7</v>
      </c>
      <c r="O25" s="259">
        <f t="shared" si="5"/>
        <v>22195</v>
      </c>
      <c r="P25" s="276">
        <f t="shared" ref="P25:P30" si="29">O25*N25</f>
        <v>155365</v>
      </c>
      <c r="Q25" s="263">
        <f>159-7</f>
        <v>152</v>
      </c>
      <c r="R25" s="259">
        <f t="shared" si="7"/>
        <v>22195</v>
      </c>
      <c r="S25" s="280">
        <f t="shared" ref="S25:S30" si="30">R25*Q25</f>
        <v>3373640</v>
      </c>
      <c r="T25" s="263">
        <v>2</v>
      </c>
      <c r="U25" s="259">
        <f t="shared" si="9"/>
        <v>22195</v>
      </c>
      <c r="V25" s="284">
        <f t="shared" si="10"/>
        <v>44390</v>
      </c>
      <c r="W25" s="263">
        <v>150</v>
      </c>
      <c r="X25" s="259">
        <f t="shared" si="11"/>
        <v>22195</v>
      </c>
      <c r="Y25" s="286">
        <f t="shared" si="12"/>
        <v>3329250</v>
      </c>
      <c r="Z25" s="168">
        <v>150</v>
      </c>
      <c r="AA25" s="259">
        <f t="shared" si="14"/>
        <v>22195</v>
      </c>
      <c r="AB25" s="259">
        <f t="shared" ref="AB25:AB30" si="31">AA25*Z25</f>
        <v>3329250</v>
      </c>
    </row>
    <row r="26" spans="1:28" ht="45" customHeight="1">
      <c r="A26" s="119">
        <v>1.17</v>
      </c>
      <c r="B26" s="120" t="s">
        <v>46</v>
      </c>
      <c r="C26" s="121" t="s">
        <v>47</v>
      </c>
      <c r="D26" s="119">
        <v>125</v>
      </c>
      <c r="E26" s="125">
        <f>'FORMATO AIU'!F37</f>
        <v>32874</v>
      </c>
      <c r="F26" s="164">
        <f t="shared" ref="F26:F30" si="32">+D26*E26</f>
        <v>4109250</v>
      </c>
      <c r="G26" s="164"/>
      <c r="H26" s="263"/>
      <c r="I26" s="169">
        <f t="shared" ref="I26:I30" si="33">E26</f>
        <v>32874</v>
      </c>
      <c r="J26" s="259">
        <f t="shared" si="2"/>
        <v>0</v>
      </c>
      <c r="K26" s="263"/>
      <c r="L26" s="259">
        <f t="shared" si="3"/>
        <v>32874</v>
      </c>
      <c r="M26" s="265">
        <f t="shared" si="28"/>
        <v>0</v>
      </c>
      <c r="N26" s="263">
        <f>18</f>
        <v>18</v>
      </c>
      <c r="O26" s="259">
        <f t="shared" si="5"/>
        <v>32874</v>
      </c>
      <c r="P26" s="276">
        <f t="shared" si="29"/>
        <v>591732</v>
      </c>
      <c r="Q26" s="263">
        <f>115-18</f>
        <v>97</v>
      </c>
      <c r="R26" s="259">
        <f t="shared" si="7"/>
        <v>32874</v>
      </c>
      <c r="S26" s="280">
        <f t="shared" si="30"/>
        <v>3188778</v>
      </c>
      <c r="T26" s="263">
        <v>0</v>
      </c>
      <c r="U26" s="259">
        <f t="shared" si="9"/>
        <v>32874</v>
      </c>
      <c r="V26" s="284">
        <f t="shared" si="10"/>
        <v>0</v>
      </c>
      <c r="W26" s="263">
        <v>1</v>
      </c>
      <c r="X26" s="259">
        <f t="shared" si="11"/>
        <v>32874</v>
      </c>
      <c r="Y26" s="286">
        <f t="shared" si="12"/>
        <v>32874</v>
      </c>
      <c r="Z26" s="168">
        <f t="shared" si="13"/>
        <v>116</v>
      </c>
      <c r="AA26" s="259">
        <f t="shared" si="14"/>
        <v>32874</v>
      </c>
      <c r="AB26" s="259">
        <f t="shared" si="31"/>
        <v>3813384</v>
      </c>
    </row>
    <row r="27" spans="1:28" ht="44.25" customHeight="1">
      <c r="A27" s="119">
        <v>1.18</v>
      </c>
      <c r="B27" s="120" t="s">
        <v>48</v>
      </c>
      <c r="C27" s="121" t="s">
        <v>26</v>
      </c>
      <c r="D27" s="119">
        <v>8</v>
      </c>
      <c r="E27" s="125">
        <f>'FORMATO AIU'!F38</f>
        <v>34726</v>
      </c>
      <c r="F27" s="164">
        <f t="shared" si="32"/>
        <v>277808</v>
      </c>
      <c r="G27" s="164"/>
      <c r="H27" s="263">
        <v>6</v>
      </c>
      <c r="I27" s="169">
        <f t="shared" si="33"/>
        <v>34726</v>
      </c>
      <c r="J27" s="259">
        <f t="shared" si="2"/>
        <v>208356</v>
      </c>
      <c r="K27" s="263">
        <v>0</v>
      </c>
      <c r="L27" s="259">
        <f t="shared" si="3"/>
        <v>34726</v>
      </c>
      <c r="M27" s="265">
        <f t="shared" si="28"/>
        <v>0</v>
      </c>
      <c r="N27" s="263">
        <v>19</v>
      </c>
      <c r="O27" s="259">
        <f t="shared" si="5"/>
        <v>34726</v>
      </c>
      <c r="P27" s="276">
        <f t="shared" si="29"/>
        <v>659794</v>
      </c>
      <c r="Q27" s="263">
        <v>19</v>
      </c>
      <c r="R27" s="259">
        <f t="shared" si="7"/>
        <v>34726</v>
      </c>
      <c r="S27" s="280">
        <f t="shared" si="30"/>
        <v>659794</v>
      </c>
      <c r="T27" s="263">
        <v>20</v>
      </c>
      <c r="U27" s="259">
        <f t="shared" si="9"/>
        <v>34726</v>
      </c>
      <c r="V27" s="284">
        <f t="shared" si="10"/>
        <v>694520</v>
      </c>
      <c r="W27" s="263"/>
      <c r="X27" s="259">
        <f t="shared" si="11"/>
        <v>34726</v>
      </c>
      <c r="Y27" s="286">
        <f t="shared" si="12"/>
        <v>0</v>
      </c>
      <c r="Z27" s="168">
        <v>8</v>
      </c>
      <c r="AA27" s="259">
        <f t="shared" si="14"/>
        <v>34726</v>
      </c>
      <c r="AB27" s="259">
        <f t="shared" si="31"/>
        <v>277808</v>
      </c>
    </row>
    <row r="28" spans="1:28" ht="28.5" customHeight="1">
      <c r="A28" s="119">
        <v>1.19</v>
      </c>
      <c r="B28" s="120" t="s">
        <v>49</v>
      </c>
      <c r="C28" s="121" t="s">
        <v>26</v>
      </c>
      <c r="D28" s="119">
        <v>126</v>
      </c>
      <c r="E28" s="125">
        <f>'FORMATO AIU'!F39</f>
        <v>21818</v>
      </c>
      <c r="F28" s="164">
        <f t="shared" si="32"/>
        <v>2749068</v>
      </c>
      <c r="G28" s="164"/>
      <c r="H28" s="263">
        <v>49</v>
      </c>
      <c r="I28" s="169">
        <f t="shared" si="33"/>
        <v>21818</v>
      </c>
      <c r="J28" s="259">
        <f t="shared" si="2"/>
        <v>1069082</v>
      </c>
      <c r="K28" s="263">
        <f>91-H28</f>
        <v>42</v>
      </c>
      <c r="L28" s="259">
        <f t="shared" si="3"/>
        <v>21818</v>
      </c>
      <c r="M28" s="265">
        <f t="shared" si="28"/>
        <v>916356</v>
      </c>
      <c r="N28" s="263">
        <f>626.23-K28-H28</f>
        <v>535.23</v>
      </c>
      <c r="O28" s="259">
        <f t="shared" si="5"/>
        <v>21818</v>
      </c>
      <c r="P28" s="276">
        <f t="shared" si="29"/>
        <v>11677648.140000001</v>
      </c>
      <c r="Q28" s="263">
        <v>119</v>
      </c>
      <c r="R28" s="259">
        <f t="shared" si="7"/>
        <v>21818</v>
      </c>
      <c r="S28" s="280">
        <f t="shared" si="30"/>
        <v>2596342</v>
      </c>
      <c r="T28" s="263">
        <v>126</v>
      </c>
      <c r="U28" s="259">
        <f t="shared" si="9"/>
        <v>21818</v>
      </c>
      <c r="V28" s="284">
        <f t="shared" si="10"/>
        <v>2749068</v>
      </c>
      <c r="W28" s="263"/>
      <c r="X28" s="259">
        <f t="shared" si="11"/>
        <v>21818</v>
      </c>
      <c r="Y28" s="286">
        <f t="shared" si="12"/>
        <v>0</v>
      </c>
      <c r="Z28" s="168">
        <v>138</v>
      </c>
      <c r="AA28" s="259">
        <f t="shared" si="14"/>
        <v>21818</v>
      </c>
      <c r="AB28" s="259">
        <f t="shared" si="31"/>
        <v>3010884</v>
      </c>
    </row>
    <row r="29" spans="1:28" ht="42.75" customHeight="1">
      <c r="A29" s="119">
        <v>1.2</v>
      </c>
      <c r="B29" s="120" t="s">
        <v>50</v>
      </c>
      <c r="C29" s="121" t="s">
        <v>47</v>
      </c>
      <c r="D29" s="119">
        <v>12</v>
      </c>
      <c r="E29" s="125">
        <f>'FORMATO AIU'!F40</f>
        <v>29677</v>
      </c>
      <c r="F29" s="164">
        <f t="shared" si="32"/>
        <v>356124</v>
      </c>
      <c r="G29" s="164"/>
      <c r="H29" s="263">
        <v>3</v>
      </c>
      <c r="I29" s="169">
        <f t="shared" si="33"/>
        <v>29677</v>
      </c>
      <c r="J29" s="259">
        <f t="shared" si="2"/>
        <v>89031</v>
      </c>
      <c r="K29" s="263">
        <v>3</v>
      </c>
      <c r="L29" s="259">
        <f t="shared" si="3"/>
        <v>29677</v>
      </c>
      <c r="M29" s="265">
        <f t="shared" si="28"/>
        <v>89031</v>
      </c>
      <c r="N29" s="263">
        <f>19-H29-K29</f>
        <v>13</v>
      </c>
      <c r="O29" s="259">
        <f t="shared" si="5"/>
        <v>29677</v>
      </c>
      <c r="P29" s="276">
        <f t="shared" si="29"/>
        <v>385801</v>
      </c>
      <c r="Q29" s="263">
        <v>12</v>
      </c>
      <c r="R29" s="259">
        <f t="shared" si="7"/>
        <v>29677</v>
      </c>
      <c r="S29" s="280">
        <f t="shared" si="30"/>
        <v>356124</v>
      </c>
      <c r="T29" s="263">
        <v>12</v>
      </c>
      <c r="U29" s="259">
        <f t="shared" si="9"/>
        <v>29677</v>
      </c>
      <c r="V29" s="284">
        <f t="shared" si="10"/>
        <v>356124</v>
      </c>
      <c r="W29" s="263"/>
      <c r="X29" s="259">
        <f t="shared" si="11"/>
        <v>29677</v>
      </c>
      <c r="Y29" s="286">
        <f t="shared" si="12"/>
        <v>0</v>
      </c>
      <c r="Z29" s="168">
        <v>14</v>
      </c>
      <c r="AA29" s="259">
        <f t="shared" si="14"/>
        <v>29677</v>
      </c>
      <c r="AB29" s="259">
        <f t="shared" si="31"/>
        <v>415478</v>
      </c>
    </row>
    <row r="30" spans="1:28" ht="43.5" customHeight="1">
      <c r="A30" s="119">
        <v>1.21</v>
      </c>
      <c r="B30" s="120" t="s">
        <v>51</v>
      </c>
      <c r="C30" s="121" t="s">
        <v>26</v>
      </c>
      <c r="D30" s="119">
        <v>8</v>
      </c>
      <c r="E30" s="125">
        <f>'FORMATO AIU'!F41</f>
        <v>29677</v>
      </c>
      <c r="F30" s="164">
        <f t="shared" si="32"/>
        <v>237416</v>
      </c>
      <c r="G30" s="164"/>
      <c r="H30" s="263">
        <v>1</v>
      </c>
      <c r="I30" s="169">
        <f t="shared" si="33"/>
        <v>29677</v>
      </c>
      <c r="J30" s="259">
        <f t="shared" si="2"/>
        <v>29677</v>
      </c>
      <c r="K30" s="263">
        <v>3</v>
      </c>
      <c r="L30" s="259">
        <f t="shared" si="3"/>
        <v>29677</v>
      </c>
      <c r="M30" s="265">
        <f t="shared" si="28"/>
        <v>89031</v>
      </c>
      <c r="N30" s="263"/>
      <c r="O30" s="259">
        <f t="shared" si="5"/>
        <v>29677</v>
      </c>
      <c r="P30" s="276">
        <f t="shared" si="29"/>
        <v>0</v>
      </c>
      <c r="Q30" s="263">
        <v>4</v>
      </c>
      <c r="R30" s="259">
        <f t="shared" si="7"/>
        <v>29677</v>
      </c>
      <c r="S30" s="280">
        <f t="shared" si="30"/>
        <v>118708</v>
      </c>
      <c r="T30" s="263"/>
      <c r="U30" s="259">
        <f t="shared" si="9"/>
        <v>29677</v>
      </c>
      <c r="V30" s="284">
        <f t="shared" si="10"/>
        <v>0</v>
      </c>
      <c r="W30" s="263">
        <v>1</v>
      </c>
      <c r="X30" s="259">
        <f t="shared" si="11"/>
        <v>29677</v>
      </c>
      <c r="Y30" s="286">
        <f t="shared" si="12"/>
        <v>29677</v>
      </c>
      <c r="Z30" s="168">
        <f t="shared" si="13"/>
        <v>9</v>
      </c>
      <c r="AA30" s="259">
        <f t="shared" si="14"/>
        <v>29677</v>
      </c>
      <c r="AB30" s="259">
        <f t="shared" si="31"/>
        <v>267093</v>
      </c>
    </row>
    <row r="31" spans="1:28" ht="21" customHeight="1">
      <c r="A31" s="117">
        <v>2</v>
      </c>
      <c r="B31" s="128" t="s">
        <v>99</v>
      </c>
      <c r="C31" s="128"/>
      <c r="D31" s="128"/>
      <c r="E31" s="128"/>
      <c r="F31" s="165"/>
      <c r="G31" s="165"/>
      <c r="H31" s="168"/>
      <c r="I31" s="168"/>
      <c r="J31" s="168"/>
      <c r="K31" s="168"/>
      <c r="L31" s="259">
        <f t="shared" si="3"/>
        <v>0</v>
      </c>
      <c r="M31" s="267"/>
      <c r="N31" s="168"/>
      <c r="O31" s="259">
        <f t="shared" si="5"/>
        <v>0</v>
      </c>
      <c r="P31" s="275"/>
      <c r="Q31" s="168"/>
      <c r="R31" s="259">
        <f t="shared" si="7"/>
        <v>0</v>
      </c>
      <c r="S31" s="279"/>
      <c r="T31" s="168"/>
      <c r="U31" s="259">
        <f t="shared" si="9"/>
        <v>0</v>
      </c>
      <c r="V31" s="284">
        <f t="shared" si="10"/>
        <v>0</v>
      </c>
      <c r="W31" s="168"/>
      <c r="X31" s="259">
        <f t="shared" si="11"/>
        <v>0</v>
      </c>
      <c r="Y31" s="286">
        <f t="shared" si="12"/>
        <v>0</v>
      </c>
      <c r="Z31" s="168">
        <f t="shared" si="13"/>
        <v>0</v>
      </c>
      <c r="AA31" s="259">
        <f t="shared" si="14"/>
        <v>0</v>
      </c>
      <c r="AB31" s="168"/>
    </row>
    <row r="32" spans="1:28" ht="15" customHeight="1">
      <c r="A32" s="118" t="s">
        <v>100</v>
      </c>
      <c r="B32" s="118"/>
      <c r="C32" s="118"/>
      <c r="D32" s="118"/>
      <c r="E32" s="118"/>
      <c r="F32" s="163"/>
      <c r="G32" s="163"/>
      <c r="H32" s="260"/>
      <c r="I32" s="261"/>
      <c r="J32" s="262"/>
      <c r="K32" s="269"/>
      <c r="L32" s="270">
        <f t="shared" si="3"/>
        <v>0</v>
      </c>
      <c r="M32" s="271"/>
      <c r="N32" s="269"/>
      <c r="O32" s="259">
        <f t="shared" si="5"/>
        <v>0</v>
      </c>
      <c r="P32" s="277"/>
      <c r="Q32" s="269"/>
      <c r="R32" s="259">
        <f t="shared" si="7"/>
        <v>0</v>
      </c>
      <c r="S32" s="281"/>
      <c r="T32" s="269"/>
      <c r="U32" s="259">
        <f t="shared" si="9"/>
        <v>0</v>
      </c>
      <c r="V32" s="284">
        <f t="shared" si="10"/>
        <v>0</v>
      </c>
      <c r="W32" s="269"/>
      <c r="X32" s="259">
        <f t="shared" si="11"/>
        <v>0</v>
      </c>
      <c r="Y32" s="286">
        <f t="shared" si="12"/>
        <v>0</v>
      </c>
      <c r="Z32" s="168">
        <f t="shared" si="13"/>
        <v>0</v>
      </c>
      <c r="AA32" s="273">
        <f t="shared" si="14"/>
        <v>0</v>
      </c>
      <c r="AB32" s="274"/>
    </row>
    <row r="33" spans="1:28" ht="45" customHeight="1">
      <c r="A33" s="119">
        <v>2.0099999999999998</v>
      </c>
      <c r="B33" s="120" t="s">
        <v>25</v>
      </c>
      <c r="C33" s="121" t="s">
        <v>26</v>
      </c>
      <c r="D33" s="119">
        <v>20</v>
      </c>
      <c r="E33" s="123">
        <f>'FORMATO AIU'!F46</f>
        <v>423101</v>
      </c>
      <c r="F33" s="164">
        <f>+D33*E33</f>
        <v>8462020</v>
      </c>
      <c r="G33" s="164"/>
      <c r="H33" s="168"/>
      <c r="I33" s="259">
        <f>E33</f>
        <v>423101</v>
      </c>
      <c r="J33" s="259">
        <f t="shared" ref="J33:J51" si="34">I33*H33</f>
        <v>0</v>
      </c>
      <c r="K33" s="168"/>
      <c r="L33" s="259">
        <f t="shared" si="3"/>
        <v>423101</v>
      </c>
      <c r="M33" s="265">
        <f t="shared" ref="M33:M37" si="35">L33*K33</f>
        <v>0</v>
      </c>
      <c r="N33" s="168"/>
      <c r="O33" s="259">
        <f t="shared" si="5"/>
        <v>423101</v>
      </c>
      <c r="P33" s="276">
        <f t="shared" ref="P33:P37" si="36">O33*N33</f>
        <v>0</v>
      </c>
      <c r="Q33" s="168">
        <v>20</v>
      </c>
      <c r="R33" s="259">
        <f t="shared" si="7"/>
        <v>423101</v>
      </c>
      <c r="S33" s="280">
        <f t="shared" ref="S33:S37" si="37">R33*Q33</f>
        <v>8462020</v>
      </c>
      <c r="T33" s="168">
        <v>2</v>
      </c>
      <c r="U33" s="259">
        <f t="shared" si="9"/>
        <v>423101</v>
      </c>
      <c r="V33" s="284">
        <f t="shared" si="10"/>
        <v>846202</v>
      </c>
      <c r="W33" s="168"/>
      <c r="X33" s="259">
        <f t="shared" si="11"/>
        <v>423101</v>
      </c>
      <c r="Y33" s="286">
        <f t="shared" si="12"/>
        <v>0</v>
      </c>
      <c r="Z33" s="168">
        <v>20</v>
      </c>
      <c r="AA33" s="259">
        <f t="shared" si="14"/>
        <v>423101</v>
      </c>
      <c r="AB33" s="259">
        <f t="shared" ref="AB33:AB37" si="38">AA33*Z33</f>
        <v>8462020</v>
      </c>
    </row>
    <row r="34" spans="1:28" ht="32.25" customHeight="1">
      <c r="A34" s="119">
        <v>2.02</v>
      </c>
      <c r="B34" s="120" t="s">
        <v>54</v>
      </c>
      <c r="C34" s="121" t="s">
        <v>26</v>
      </c>
      <c r="D34" s="119">
        <v>4</v>
      </c>
      <c r="E34" s="126">
        <f>'FORMATO AIU'!F47</f>
        <v>169031</v>
      </c>
      <c r="F34" s="164">
        <f t="shared" ref="F34:F37" si="39">+D34*E34</f>
        <v>676124</v>
      </c>
      <c r="G34" s="164"/>
      <c r="H34" s="168"/>
      <c r="I34" s="259">
        <f t="shared" ref="I34:I37" si="40">E34</f>
        <v>169031</v>
      </c>
      <c r="J34" s="259">
        <f t="shared" si="34"/>
        <v>0</v>
      </c>
      <c r="K34" s="168"/>
      <c r="L34" s="259">
        <f t="shared" si="3"/>
        <v>169031</v>
      </c>
      <c r="M34" s="265">
        <f t="shared" si="35"/>
        <v>0</v>
      </c>
      <c r="N34" s="168"/>
      <c r="O34" s="259">
        <f t="shared" si="5"/>
        <v>169031</v>
      </c>
      <c r="P34" s="276">
        <f t="shared" si="36"/>
        <v>0</v>
      </c>
      <c r="Q34" s="168">
        <v>4</v>
      </c>
      <c r="R34" s="259">
        <f t="shared" si="7"/>
        <v>169031</v>
      </c>
      <c r="S34" s="280">
        <f t="shared" si="37"/>
        <v>676124</v>
      </c>
      <c r="T34" s="168"/>
      <c r="U34" s="259">
        <f t="shared" si="9"/>
        <v>169031</v>
      </c>
      <c r="V34" s="284">
        <f t="shared" si="10"/>
        <v>0</v>
      </c>
      <c r="W34" s="168">
        <v>3</v>
      </c>
      <c r="X34" s="259">
        <f t="shared" si="11"/>
        <v>169031</v>
      </c>
      <c r="Y34" s="286">
        <f t="shared" si="12"/>
        <v>507093</v>
      </c>
      <c r="Z34" s="168">
        <f t="shared" si="13"/>
        <v>7</v>
      </c>
      <c r="AA34" s="259">
        <f t="shared" si="14"/>
        <v>169031</v>
      </c>
      <c r="AB34" s="259">
        <f t="shared" si="38"/>
        <v>1183217</v>
      </c>
    </row>
    <row r="35" spans="1:28" ht="28.5" customHeight="1">
      <c r="A35" s="119">
        <v>2.0299999999999998</v>
      </c>
      <c r="B35" s="120" t="s">
        <v>101</v>
      </c>
      <c r="C35" s="121" t="s">
        <v>26</v>
      </c>
      <c r="D35" s="119">
        <v>28</v>
      </c>
      <c r="E35" s="129">
        <f>'FORMATO AIU'!F48</f>
        <v>236182</v>
      </c>
      <c r="F35" s="164">
        <f t="shared" si="39"/>
        <v>6613096</v>
      </c>
      <c r="G35" s="164"/>
      <c r="H35" s="168"/>
      <c r="I35" s="259">
        <f t="shared" si="40"/>
        <v>236182</v>
      </c>
      <c r="J35" s="259">
        <f t="shared" si="34"/>
        <v>0</v>
      </c>
      <c r="K35" s="168"/>
      <c r="L35" s="259">
        <f t="shared" si="3"/>
        <v>236182</v>
      </c>
      <c r="M35" s="265">
        <f t="shared" si="35"/>
        <v>0</v>
      </c>
      <c r="N35" s="168"/>
      <c r="O35" s="259">
        <f t="shared" si="5"/>
        <v>236182</v>
      </c>
      <c r="P35" s="276">
        <f t="shared" si="36"/>
        <v>0</v>
      </c>
      <c r="Q35" s="168">
        <v>28</v>
      </c>
      <c r="R35" s="259">
        <f t="shared" si="7"/>
        <v>236182</v>
      </c>
      <c r="S35" s="280">
        <f t="shared" si="37"/>
        <v>6613096</v>
      </c>
      <c r="T35" s="168">
        <v>27</v>
      </c>
      <c r="U35" s="259">
        <f t="shared" si="9"/>
        <v>236182</v>
      </c>
      <c r="V35" s="284">
        <f t="shared" si="10"/>
        <v>6376914</v>
      </c>
      <c r="W35" s="168"/>
      <c r="X35" s="259">
        <f t="shared" si="11"/>
        <v>236182</v>
      </c>
      <c r="Y35" s="286">
        <f t="shared" si="12"/>
        <v>0</v>
      </c>
      <c r="Z35" s="168">
        <v>27</v>
      </c>
      <c r="AA35" s="259">
        <f t="shared" si="14"/>
        <v>236182</v>
      </c>
      <c r="AB35" s="259">
        <f t="shared" si="38"/>
        <v>6376914</v>
      </c>
    </row>
    <row r="36" spans="1:28" ht="28.5" customHeight="1">
      <c r="A36" s="119">
        <v>2.04</v>
      </c>
      <c r="B36" s="120" t="s">
        <v>28</v>
      </c>
      <c r="C36" s="121" t="s">
        <v>26</v>
      </c>
      <c r="D36" s="119">
        <v>6</v>
      </c>
      <c r="E36" s="125">
        <f>'FORMATO AIU'!F49</f>
        <v>262004</v>
      </c>
      <c r="F36" s="164">
        <f t="shared" si="39"/>
        <v>1572024</v>
      </c>
      <c r="G36" s="164"/>
      <c r="H36" s="168"/>
      <c r="I36" s="259">
        <f t="shared" si="40"/>
        <v>262004</v>
      </c>
      <c r="J36" s="259">
        <f t="shared" si="34"/>
        <v>0</v>
      </c>
      <c r="K36" s="168"/>
      <c r="L36" s="259">
        <f t="shared" si="3"/>
        <v>262004</v>
      </c>
      <c r="M36" s="265">
        <f t="shared" si="35"/>
        <v>0</v>
      </c>
      <c r="N36" s="168">
        <v>6</v>
      </c>
      <c r="O36" s="259">
        <f t="shared" si="5"/>
        <v>262004</v>
      </c>
      <c r="P36" s="276">
        <f t="shared" si="36"/>
        <v>1572024</v>
      </c>
      <c r="Q36" s="168"/>
      <c r="R36" s="259">
        <f t="shared" si="7"/>
        <v>262004</v>
      </c>
      <c r="S36" s="280">
        <f t="shared" si="37"/>
        <v>0</v>
      </c>
      <c r="T36" s="168">
        <v>4</v>
      </c>
      <c r="U36" s="259">
        <f t="shared" si="9"/>
        <v>262004</v>
      </c>
      <c r="V36" s="284">
        <f t="shared" si="10"/>
        <v>1048016</v>
      </c>
      <c r="W36" s="168">
        <v>-3</v>
      </c>
      <c r="X36" s="259">
        <f t="shared" si="11"/>
        <v>262004</v>
      </c>
      <c r="Y36" s="286">
        <f t="shared" si="12"/>
        <v>-786012</v>
      </c>
      <c r="Z36" s="168">
        <v>4</v>
      </c>
      <c r="AA36" s="259">
        <f t="shared" si="14"/>
        <v>262004</v>
      </c>
      <c r="AB36" s="259">
        <f t="shared" si="38"/>
        <v>1048016</v>
      </c>
    </row>
    <row r="37" spans="1:28" ht="28.5" customHeight="1">
      <c r="A37" s="119">
        <v>2.0499999999999998</v>
      </c>
      <c r="B37" s="120" t="s">
        <v>27</v>
      </c>
      <c r="C37" s="121" t="s">
        <v>26</v>
      </c>
      <c r="D37" s="119">
        <v>7</v>
      </c>
      <c r="E37" s="125">
        <f>'FORMATO AIU'!F50</f>
        <v>153122</v>
      </c>
      <c r="F37" s="164">
        <f t="shared" si="39"/>
        <v>1071854</v>
      </c>
      <c r="G37" s="164"/>
      <c r="H37" s="168"/>
      <c r="I37" s="259">
        <f t="shared" si="40"/>
        <v>153122</v>
      </c>
      <c r="J37" s="259">
        <f t="shared" si="34"/>
        <v>0</v>
      </c>
      <c r="K37" s="168"/>
      <c r="L37" s="259">
        <f t="shared" si="3"/>
        <v>153122</v>
      </c>
      <c r="M37" s="265">
        <f t="shared" si="35"/>
        <v>0</v>
      </c>
      <c r="N37" s="168">
        <v>7</v>
      </c>
      <c r="O37" s="259">
        <f t="shared" si="5"/>
        <v>153122</v>
      </c>
      <c r="P37" s="276">
        <f t="shared" si="36"/>
        <v>1071854</v>
      </c>
      <c r="Q37" s="168"/>
      <c r="R37" s="259">
        <f t="shared" si="7"/>
        <v>153122</v>
      </c>
      <c r="S37" s="280">
        <f t="shared" si="37"/>
        <v>0</v>
      </c>
      <c r="T37" s="168">
        <v>6</v>
      </c>
      <c r="U37" s="259">
        <f t="shared" si="9"/>
        <v>153122</v>
      </c>
      <c r="V37" s="284">
        <f t="shared" si="10"/>
        <v>918732</v>
      </c>
      <c r="W37" s="168">
        <v>-6</v>
      </c>
      <c r="X37" s="259">
        <f t="shared" si="11"/>
        <v>153122</v>
      </c>
      <c r="Y37" s="286">
        <f t="shared" si="12"/>
        <v>-918732</v>
      </c>
      <c r="Z37" s="168">
        <v>6</v>
      </c>
      <c r="AA37" s="259">
        <f t="shared" si="14"/>
        <v>153122</v>
      </c>
      <c r="AB37" s="259">
        <f t="shared" si="38"/>
        <v>918732</v>
      </c>
    </row>
    <row r="38" spans="1:28" ht="15" customHeight="1">
      <c r="A38" s="118" t="s">
        <v>96</v>
      </c>
      <c r="B38" s="118"/>
      <c r="C38" s="118"/>
      <c r="D38" s="118"/>
      <c r="E38" s="118"/>
      <c r="F38" s="163"/>
      <c r="G38" s="163"/>
      <c r="H38" s="260"/>
      <c r="I38" s="261"/>
      <c r="J38" s="262"/>
      <c r="K38" s="269"/>
      <c r="L38" s="270">
        <f t="shared" si="3"/>
        <v>0</v>
      </c>
      <c r="M38" s="271"/>
      <c r="N38" s="269"/>
      <c r="O38" s="259">
        <f t="shared" si="5"/>
        <v>0</v>
      </c>
      <c r="P38" s="277"/>
      <c r="Q38" s="269"/>
      <c r="R38" s="259">
        <f t="shared" si="7"/>
        <v>0</v>
      </c>
      <c r="S38" s="281"/>
      <c r="T38" s="269"/>
      <c r="U38" s="259">
        <f t="shared" si="9"/>
        <v>0</v>
      </c>
      <c r="V38" s="284">
        <f t="shared" si="10"/>
        <v>0</v>
      </c>
      <c r="W38" s="269"/>
      <c r="X38" s="259">
        <f t="shared" si="11"/>
        <v>0</v>
      </c>
      <c r="Y38" s="286">
        <f t="shared" si="12"/>
        <v>0</v>
      </c>
      <c r="Z38" s="168">
        <f t="shared" si="13"/>
        <v>0</v>
      </c>
      <c r="AA38" s="273">
        <f t="shared" si="14"/>
        <v>0</v>
      </c>
      <c r="AB38" s="274"/>
    </row>
    <row r="39" spans="1:28" ht="30.75" customHeight="1">
      <c r="A39" s="119">
        <v>2.06</v>
      </c>
      <c r="B39" s="120" t="s">
        <v>31</v>
      </c>
      <c r="C39" s="121" t="s">
        <v>26</v>
      </c>
      <c r="D39" s="119">
        <v>20</v>
      </c>
      <c r="E39" s="125">
        <f>'FORMATO AIU'!F52</f>
        <v>23214</v>
      </c>
      <c r="F39" s="164">
        <f>+E39*D39</f>
        <v>464280</v>
      </c>
      <c r="G39" s="164"/>
      <c r="H39" s="168"/>
      <c r="I39" s="169">
        <f>E39</f>
        <v>23214</v>
      </c>
      <c r="J39" s="259">
        <f t="shared" si="34"/>
        <v>0</v>
      </c>
      <c r="K39" s="168"/>
      <c r="L39" s="259">
        <f t="shared" si="3"/>
        <v>23214</v>
      </c>
      <c r="M39" s="265">
        <f t="shared" ref="M39:M40" si="41">L39*K39</f>
        <v>0</v>
      </c>
      <c r="N39" s="168">
        <v>3</v>
      </c>
      <c r="O39" s="259">
        <f t="shared" si="5"/>
        <v>23214</v>
      </c>
      <c r="P39" s="276">
        <f t="shared" ref="P39:P40" si="42">O39*N39</f>
        <v>69642</v>
      </c>
      <c r="Q39" s="168">
        <v>3</v>
      </c>
      <c r="R39" s="259">
        <f t="shared" si="7"/>
        <v>23214</v>
      </c>
      <c r="S39" s="280">
        <f t="shared" ref="S39:S40" si="43">R39*Q39</f>
        <v>69642</v>
      </c>
      <c r="T39" s="168">
        <v>14</v>
      </c>
      <c r="U39" s="259">
        <f t="shared" si="9"/>
        <v>23214</v>
      </c>
      <c r="V39" s="284">
        <f t="shared" si="10"/>
        <v>324996</v>
      </c>
      <c r="W39" s="168"/>
      <c r="X39" s="259">
        <f t="shared" si="11"/>
        <v>23214</v>
      </c>
      <c r="Y39" s="286">
        <f t="shared" si="12"/>
        <v>0</v>
      </c>
      <c r="Z39" s="168">
        <f t="shared" si="13"/>
        <v>20</v>
      </c>
      <c r="AA39" s="259">
        <f t="shared" si="14"/>
        <v>23214</v>
      </c>
      <c r="AB39" s="259">
        <f t="shared" ref="AB39:AB40" si="44">AA39*Z39</f>
        <v>464280</v>
      </c>
    </row>
    <row r="40" spans="1:28" ht="15" customHeight="1">
      <c r="A40" s="119">
        <v>2.0699999999999998</v>
      </c>
      <c r="B40" s="120" t="s">
        <v>56</v>
      </c>
      <c r="C40" s="121" t="s">
        <v>26</v>
      </c>
      <c r="D40" s="119">
        <v>28</v>
      </c>
      <c r="E40" s="125">
        <f>'FORMATO AIU'!F53</f>
        <v>23214</v>
      </c>
      <c r="F40" s="164">
        <f>+E40*D40</f>
        <v>649992</v>
      </c>
      <c r="G40" s="164"/>
      <c r="H40" s="168"/>
      <c r="I40" s="169">
        <f>E40</f>
        <v>23214</v>
      </c>
      <c r="J40" s="259">
        <f t="shared" si="34"/>
        <v>0</v>
      </c>
      <c r="K40" s="168"/>
      <c r="L40" s="259">
        <f t="shared" si="3"/>
        <v>23214</v>
      </c>
      <c r="M40" s="265">
        <f t="shared" si="41"/>
        <v>0</v>
      </c>
      <c r="N40" s="168">
        <v>0</v>
      </c>
      <c r="O40" s="259">
        <f t="shared" si="5"/>
        <v>23214</v>
      </c>
      <c r="P40" s="276">
        <f t="shared" si="42"/>
        <v>0</v>
      </c>
      <c r="Q40" s="168">
        <v>28</v>
      </c>
      <c r="R40" s="259">
        <f t="shared" si="7"/>
        <v>23214</v>
      </c>
      <c r="S40" s="280">
        <f t="shared" si="43"/>
        <v>649992</v>
      </c>
      <c r="T40" s="168">
        <v>0</v>
      </c>
      <c r="U40" s="259">
        <f t="shared" si="9"/>
        <v>23214</v>
      </c>
      <c r="V40" s="284">
        <f t="shared" si="10"/>
        <v>0</v>
      </c>
      <c r="W40" s="168">
        <v>20</v>
      </c>
      <c r="X40" s="259">
        <f t="shared" si="11"/>
        <v>23214</v>
      </c>
      <c r="Y40" s="286">
        <f t="shared" si="12"/>
        <v>464280</v>
      </c>
      <c r="Z40" s="168">
        <f t="shared" si="13"/>
        <v>48</v>
      </c>
      <c r="AA40" s="259">
        <f t="shared" si="14"/>
        <v>23214</v>
      </c>
      <c r="AB40" s="259">
        <f t="shared" si="44"/>
        <v>1114272</v>
      </c>
    </row>
    <row r="41" spans="1:28" ht="15.95" customHeight="1">
      <c r="A41" s="118" t="s">
        <v>97</v>
      </c>
      <c r="B41" s="118"/>
      <c r="C41" s="118"/>
      <c r="D41" s="118"/>
      <c r="E41" s="118"/>
      <c r="F41" s="163"/>
      <c r="G41" s="163"/>
      <c r="H41" s="260"/>
      <c r="I41" s="261"/>
      <c r="J41" s="262"/>
      <c r="K41" s="269"/>
      <c r="L41" s="270">
        <f t="shared" si="3"/>
        <v>0</v>
      </c>
      <c r="M41" s="266"/>
      <c r="N41" s="269"/>
      <c r="O41" s="259">
        <f t="shared" si="5"/>
        <v>0</v>
      </c>
      <c r="P41" s="277"/>
      <c r="Q41" s="269"/>
      <c r="R41" s="259">
        <f t="shared" si="7"/>
        <v>0</v>
      </c>
      <c r="S41" s="281"/>
      <c r="T41" s="269"/>
      <c r="U41" s="259">
        <f t="shared" si="9"/>
        <v>0</v>
      </c>
      <c r="V41" s="284">
        <f t="shared" si="10"/>
        <v>0</v>
      </c>
      <c r="W41" s="269"/>
      <c r="X41" s="259">
        <f t="shared" si="11"/>
        <v>0</v>
      </c>
      <c r="Y41" s="286">
        <f t="shared" si="12"/>
        <v>0</v>
      </c>
      <c r="Z41" s="168">
        <f t="shared" si="13"/>
        <v>0</v>
      </c>
      <c r="AA41" s="273">
        <f t="shared" si="14"/>
        <v>0</v>
      </c>
      <c r="AB41" s="274"/>
    </row>
    <row r="42" spans="1:28" ht="72" customHeight="1">
      <c r="A42" s="119">
        <v>2.08</v>
      </c>
      <c r="B42" s="120" t="s">
        <v>39</v>
      </c>
      <c r="C42" s="121" t="s">
        <v>40</v>
      </c>
      <c r="D42" s="119">
        <v>50</v>
      </c>
      <c r="E42" s="125">
        <f>'FORMATO AIU'!F55</f>
        <v>11662</v>
      </c>
      <c r="F42" s="164">
        <f t="shared" ref="F42:F46" si="45">+D42*E42</f>
        <v>583100</v>
      </c>
      <c r="G42" s="164"/>
      <c r="H42" s="168"/>
      <c r="I42" s="169">
        <f>E42</f>
        <v>11662</v>
      </c>
      <c r="J42" s="259">
        <f t="shared" si="34"/>
        <v>0</v>
      </c>
      <c r="K42" s="168"/>
      <c r="L42" s="259">
        <f t="shared" si="3"/>
        <v>11662</v>
      </c>
      <c r="M42" s="265">
        <f t="shared" ref="M42:M46" si="46">L42*K42</f>
        <v>0</v>
      </c>
      <c r="N42" s="168"/>
      <c r="O42" s="259">
        <f t="shared" si="5"/>
        <v>11662</v>
      </c>
      <c r="P42" s="276">
        <f t="shared" ref="P42:P46" si="47">O42*N42</f>
        <v>0</v>
      </c>
      <c r="Q42" s="168"/>
      <c r="R42" s="259">
        <f t="shared" si="7"/>
        <v>11662</v>
      </c>
      <c r="S42" s="280">
        <f t="shared" ref="S42:S46" si="48">R42*Q42</f>
        <v>0</v>
      </c>
      <c r="T42" s="168"/>
      <c r="U42" s="259">
        <f t="shared" si="9"/>
        <v>11662</v>
      </c>
      <c r="V42" s="284">
        <f t="shared" si="10"/>
        <v>0</v>
      </c>
      <c r="W42" s="168"/>
      <c r="X42" s="259">
        <f t="shared" si="11"/>
        <v>11662</v>
      </c>
      <c r="Y42" s="286">
        <f t="shared" si="12"/>
        <v>0</v>
      </c>
      <c r="Z42" s="168">
        <f t="shared" si="13"/>
        <v>0</v>
      </c>
      <c r="AA42" s="259">
        <f t="shared" si="14"/>
        <v>11662</v>
      </c>
      <c r="AB42" s="259">
        <f t="shared" ref="AB42:AB46" si="49">AA42*Z42</f>
        <v>0</v>
      </c>
    </row>
    <row r="43" spans="1:28" ht="28.5">
      <c r="A43" s="119">
        <v>2.09</v>
      </c>
      <c r="B43" s="120" t="s">
        <v>37</v>
      </c>
      <c r="C43" s="121" t="s">
        <v>26</v>
      </c>
      <c r="D43" s="119">
        <v>1</v>
      </c>
      <c r="E43" s="125">
        <f>'FORMATO AIU'!F56</f>
        <v>2001431</v>
      </c>
      <c r="F43" s="164">
        <f t="shared" si="45"/>
        <v>2001431</v>
      </c>
      <c r="G43" s="164"/>
      <c r="H43" s="168"/>
      <c r="I43" s="169">
        <f t="shared" ref="I43:I46" si="50">E43</f>
        <v>2001431</v>
      </c>
      <c r="J43" s="259">
        <f t="shared" si="34"/>
        <v>0</v>
      </c>
      <c r="K43" s="168"/>
      <c r="L43" s="259">
        <f t="shared" si="3"/>
        <v>2001431</v>
      </c>
      <c r="M43" s="265">
        <f t="shared" si="46"/>
        <v>0</v>
      </c>
      <c r="N43" s="168"/>
      <c r="O43" s="259">
        <f t="shared" si="5"/>
        <v>2001431</v>
      </c>
      <c r="P43" s="276">
        <f t="shared" si="47"/>
        <v>0</v>
      </c>
      <c r="Q43" s="168"/>
      <c r="R43" s="259">
        <f t="shared" si="7"/>
        <v>2001431</v>
      </c>
      <c r="S43" s="280">
        <f t="shared" si="48"/>
        <v>0</v>
      </c>
      <c r="T43" s="168"/>
      <c r="U43" s="259">
        <f t="shared" si="9"/>
        <v>2001431</v>
      </c>
      <c r="V43" s="284">
        <f t="shared" si="10"/>
        <v>0</v>
      </c>
      <c r="W43" s="168"/>
      <c r="X43" s="259">
        <f t="shared" si="11"/>
        <v>2001431</v>
      </c>
      <c r="Y43" s="286">
        <f t="shared" si="12"/>
        <v>0</v>
      </c>
      <c r="Z43" s="168">
        <f t="shared" si="13"/>
        <v>0</v>
      </c>
      <c r="AA43" s="259">
        <f t="shared" si="14"/>
        <v>2001431</v>
      </c>
      <c r="AB43" s="259">
        <f t="shared" si="49"/>
        <v>0</v>
      </c>
    </row>
    <row r="44" spans="1:28" ht="42.75">
      <c r="A44" s="119">
        <v>2.1</v>
      </c>
      <c r="B44" s="120" t="s">
        <v>38</v>
      </c>
      <c r="C44" s="121" t="s">
        <v>26</v>
      </c>
      <c r="D44" s="119">
        <v>1</v>
      </c>
      <c r="E44" s="125">
        <f>'FORMATO AIU'!F57</f>
        <v>476289</v>
      </c>
      <c r="F44" s="164">
        <f t="shared" si="45"/>
        <v>476289</v>
      </c>
      <c r="G44" s="164"/>
      <c r="H44" s="168"/>
      <c r="I44" s="169">
        <f t="shared" si="50"/>
        <v>476289</v>
      </c>
      <c r="J44" s="259">
        <f t="shared" si="34"/>
        <v>0</v>
      </c>
      <c r="K44" s="168"/>
      <c r="L44" s="259">
        <f t="shared" si="3"/>
        <v>476289</v>
      </c>
      <c r="M44" s="265">
        <f t="shared" si="46"/>
        <v>0</v>
      </c>
      <c r="N44" s="168"/>
      <c r="O44" s="259">
        <f t="shared" si="5"/>
        <v>476289</v>
      </c>
      <c r="P44" s="276">
        <f t="shared" si="47"/>
        <v>0</v>
      </c>
      <c r="Q44" s="168"/>
      <c r="R44" s="259">
        <f t="shared" si="7"/>
        <v>476289</v>
      </c>
      <c r="S44" s="280">
        <f t="shared" si="48"/>
        <v>0</v>
      </c>
      <c r="T44" s="168"/>
      <c r="U44" s="259">
        <f t="shared" si="9"/>
        <v>476289</v>
      </c>
      <c r="V44" s="284">
        <f t="shared" si="10"/>
        <v>0</v>
      </c>
      <c r="W44" s="168"/>
      <c r="X44" s="259">
        <f t="shared" si="11"/>
        <v>476289</v>
      </c>
      <c r="Y44" s="286">
        <f t="shared" si="12"/>
        <v>0</v>
      </c>
      <c r="Z44" s="168">
        <f t="shared" si="13"/>
        <v>0</v>
      </c>
      <c r="AA44" s="259">
        <f t="shared" si="14"/>
        <v>476289</v>
      </c>
      <c r="AB44" s="259">
        <f t="shared" si="49"/>
        <v>0</v>
      </c>
    </row>
    <row r="45" spans="1:28" ht="57.75" customHeight="1">
      <c r="A45" s="119">
        <v>2.11</v>
      </c>
      <c r="B45" s="120" t="s">
        <v>41</v>
      </c>
      <c r="C45" s="121" t="s">
        <v>40</v>
      </c>
      <c r="D45" s="119">
        <v>200</v>
      </c>
      <c r="E45" s="125">
        <f>'FORMATO AIU'!F58</f>
        <v>12694</v>
      </c>
      <c r="F45" s="164">
        <f t="shared" si="45"/>
        <v>2538800</v>
      </c>
      <c r="G45" s="164"/>
      <c r="H45" s="168"/>
      <c r="I45" s="169">
        <f t="shared" si="50"/>
        <v>12694</v>
      </c>
      <c r="J45" s="259">
        <f t="shared" si="34"/>
        <v>0</v>
      </c>
      <c r="K45" s="168"/>
      <c r="L45" s="259">
        <f t="shared" si="3"/>
        <v>12694</v>
      </c>
      <c r="M45" s="265">
        <f t="shared" si="46"/>
        <v>0</v>
      </c>
      <c r="N45" s="168">
        <v>19.38</v>
      </c>
      <c r="O45" s="259">
        <f t="shared" si="5"/>
        <v>12694</v>
      </c>
      <c r="P45" s="276">
        <f t="shared" si="47"/>
        <v>246009.72</v>
      </c>
      <c r="Q45" s="168">
        <f>83.49-19.38</f>
        <v>64.11</v>
      </c>
      <c r="R45" s="259">
        <f t="shared" si="7"/>
        <v>12694</v>
      </c>
      <c r="S45" s="280">
        <f t="shared" si="48"/>
        <v>813812.34</v>
      </c>
      <c r="T45" s="168">
        <v>96</v>
      </c>
      <c r="U45" s="259">
        <f t="shared" si="9"/>
        <v>12694</v>
      </c>
      <c r="V45" s="284">
        <f t="shared" si="10"/>
        <v>1218624</v>
      </c>
      <c r="W45" s="168">
        <f>217.65-179.49</f>
        <v>38.159999999999997</v>
      </c>
      <c r="X45" s="259">
        <f t="shared" si="11"/>
        <v>12694</v>
      </c>
      <c r="Y45" s="286">
        <f t="shared" si="12"/>
        <v>484403.04</v>
      </c>
      <c r="Z45" s="168">
        <f t="shared" si="13"/>
        <v>217.65</v>
      </c>
      <c r="AA45" s="259">
        <f t="shared" si="14"/>
        <v>12694</v>
      </c>
      <c r="AB45" s="259">
        <f t="shared" si="49"/>
        <v>2762849.1</v>
      </c>
    </row>
    <row r="46" spans="1:28" ht="29.25" customHeight="1">
      <c r="A46" s="119">
        <v>2.12</v>
      </c>
      <c r="B46" s="120" t="s">
        <v>43</v>
      </c>
      <c r="C46" s="121" t="s">
        <v>26</v>
      </c>
      <c r="D46" s="119">
        <v>9</v>
      </c>
      <c r="E46" s="126">
        <f>'FORMATO AIU'!F59</f>
        <v>28093</v>
      </c>
      <c r="F46" s="164">
        <f t="shared" si="45"/>
        <v>252837</v>
      </c>
      <c r="G46" s="164"/>
      <c r="H46" s="168"/>
      <c r="I46" s="169">
        <f t="shared" si="50"/>
        <v>28093</v>
      </c>
      <c r="J46" s="259">
        <f t="shared" si="34"/>
        <v>0</v>
      </c>
      <c r="K46" s="168"/>
      <c r="L46" s="259">
        <f t="shared" si="3"/>
        <v>28093</v>
      </c>
      <c r="M46" s="265">
        <f t="shared" si="46"/>
        <v>0</v>
      </c>
      <c r="N46" s="168">
        <v>3</v>
      </c>
      <c r="O46" s="259">
        <f t="shared" si="5"/>
        <v>28093</v>
      </c>
      <c r="P46" s="276">
        <f t="shared" si="47"/>
        <v>84279</v>
      </c>
      <c r="Q46" s="168">
        <v>7</v>
      </c>
      <c r="R46" s="259">
        <f t="shared" si="7"/>
        <v>28093</v>
      </c>
      <c r="S46" s="280">
        <f t="shared" si="48"/>
        <v>196651</v>
      </c>
      <c r="T46" s="168"/>
      <c r="U46" s="259">
        <f t="shared" si="9"/>
        <v>28093</v>
      </c>
      <c r="V46" s="284">
        <f t="shared" si="10"/>
        <v>0</v>
      </c>
      <c r="W46" s="168">
        <v>5</v>
      </c>
      <c r="X46" s="259">
        <f t="shared" si="11"/>
        <v>28093</v>
      </c>
      <c r="Y46" s="286">
        <f t="shared" si="12"/>
        <v>140465</v>
      </c>
      <c r="Z46" s="168">
        <f t="shared" si="13"/>
        <v>15</v>
      </c>
      <c r="AA46" s="259">
        <f t="shared" si="14"/>
        <v>28093</v>
      </c>
      <c r="AB46" s="259">
        <f t="shared" si="49"/>
        <v>421395</v>
      </c>
    </row>
    <row r="47" spans="1:28" ht="15.95" customHeight="1">
      <c r="A47" s="118" t="s">
        <v>98</v>
      </c>
      <c r="B47" s="118"/>
      <c r="C47" s="118"/>
      <c r="D47" s="118"/>
      <c r="E47" s="118"/>
      <c r="F47" s="163"/>
      <c r="G47" s="163"/>
      <c r="H47" s="260"/>
      <c r="I47" s="261"/>
      <c r="J47" s="262"/>
      <c r="K47" s="269"/>
      <c r="L47" s="270">
        <f t="shared" si="3"/>
        <v>0</v>
      </c>
      <c r="M47" s="266"/>
      <c r="N47" s="269"/>
      <c r="O47" s="259">
        <f t="shared" si="5"/>
        <v>0</v>
      </c>
      <c r="P47" s="277"/>
      <c r="Q47" s="269"/>
      <c r="R47" s="259">
        <f t="shared" si="7"/>
        <v>0</v>
      </c>
      <c r="S47" s="281"/>
      <c r="T47" s="269"/>
      <c r="U47" s="259">
        <f t="shared" si="9"/>
        <v>0</v>
      </c>
      <c r="V47" s="284">
        <f t="shared" si="10"/>
        <v>0</v>
      </c>
      <c r="W47" s="269"/>
      <c r="X47" s="259">
        <f t="shared" si="11"/>
        <v>0</v>
      </c>
      <c r="Y47" s="286">
        <f t="shared" si="12"/>
        <v>0</v>
      </c>
      <c r="Z47" s="168">
        <f t="shared" si="13"/>
        <v>0</v>
      </c>
      <c r="AA47" s="273">
        <f t="shared" si="14"/>
        <v>0</v>
      </c>
      <c r="AB47" s="274"/>
    </row>
    <row r="48" spans="1:28" ht="28.5" customHeight="1">
      <c r="A48" s="119">
        <v>2.13</v>
      </c>
      <c r="B48" s="120" t="s">
        <v>45</v>
      </c>
      <c r="C48" s="121" t="s">
        <v>26</v>
      </c>
      <c r="D48" s="119">
        <v>20</v>
      </c>
      <c r="E48" s="125">
        <f>'FORMATO AIU'!F61</f>
        <v>22195</v>
      </c>
      <c r="F48" s="164">
        <f>+D48*E48</f>
        <v>443900</v>
      </c>
      <c r="G48" s="164"/>
      <c r="H48" s="168"/>
      <c r="I48" s="169">
        <f>E48</f>
        <v>22195</v>
      </c>
      <c r="J48" s="259">
        <f t="shared" si="34"/>
        <v>0</v>
      </c>
      <c r="K48" s="168"/>
      <c r="L48" s="259">
        <f t="shared" si="3"/>
        <v>22195</v>
      </c>
      <c r="M48" s="265">
        <f t="shared" ref="M48:M51" si="51">L48*K48</f>
        <v>0</v>
      </c>
      <c r="N48" s="168">
        <v>3</v>
      </c>
      <c r="O48" s="259">
        <f t="shared" si="5"/>
        <v>22195</v>
      </c>
      <c r="P48" s="276">
        <f t="shared" ref="P48:P51" si="52">O48*N48</f>
        <v>66585</v>
      </c>
      <c r="Q48" s="168">
        <v>7</v>
      </c>
      <c r="R48" s="259">
        <f t="shared" si="7"/>
        <v>22195</v>
      </c>
      <c r="S48" s="280">
        <f t="shared" ref="S48:S51" si="53">R48*Q48</f>
        <v>155365</v>
      </c>
      <c r="T48" s="168">
        <v>8</v>
      </c>
      <c r="U48" s="259">
        <f t="shared" si="9"/>
        <v>22195</v>
      </c>
      <c r="V48" s="284">
        <f t="shared" si="10"/>
        <v>177560</v>
      </c>
      <c r="W48" s="168">
        <v>6</v>
      </c>
      <c r="X48" s="259">
        <f t="shared" si="11"/>
        <v>22195</v>
      </c>
      <c r="Y48" s="286">
        <f t="shared" si="12"/>
        <v>133170</v>
      </c>
      <c r="Z48" s="168">
        <v>28</v>
      </c>
      <c r="AA48" s="259">
        <f t="shared" si="14"/>
        <v>22195</v>
      </c>
      <c r="AB48" s="259">
        <f t="shared" ref="AB48:AB51" si="54">AA48*Z48</f>
        <v>621460</v>
      </c>
    </row>
    <row r="49" spans="1:28" ht="47.25" customHeight="1">
      <c r="A49" s="119">
        <v>2.14</v>
      </c>
      <c r="B49" s="120" t="s">
        <v>46</v>
      </c>
      <c r="C49" s="121" t="s">
        <v>47</v>
      </c>
      <c r="D49" s="119">
        <v>24</v>
      </c>
      <c r="E49" s="125">
        <f>'FORMATO AIU'!F62</f>
        <v>32874</v>
      </c>
      <c r="F49" s="164">
        <f t="shared" ref="F49:F51" si="55">+D49*E49</f>
        <v>788976</v>
      </c>
      <c r="G49" s="164"/>
      <c r="H49" s="168"/>
      <c r="I49" s="169">
        <f t="shared" ref="I49:I51" si="56">E49</f>
        <v>32874</v>
      </c>
      <c r="J49" s="259">
        <f t="shared" si="34"/>
        <v>0</v>
      </c>
      <c r="K49" s="168"/>
      <c r="L49" s="259">
        <f t="shared" si="3"/>
        <v>32874</v>
      </c>
      <c r="M49" s="265">
        <f t="shared" si="51"/>
        <v>0</v>
      </c>
      <c r="N49" s="168"/>
      <c r="O49" s="259">
        <f t="shared" si="5"/>
        <v>32874</v>
      </c>
      <c r="P49" s="276">
        <f t="shared" si="52"/>
        <v>0</v>
      </c>
      <c r="Q49" s="168"/>
      <c r="R49" s="259">
        <f t="shared" si="7"/>
        <v>32874</v>
      </c>
      <c r="S49" s="280">
        <f t="shared" si="53"/>
        <v>0</v>
      </c>
      <c r="T49" s="168"/>
      <c r="U49" s="259">
        <f t="shared" si="9"/>
        <v>32874</v>
      </c>
      <c r="V49" s="284">
        <f t="shared" si="10"/>
        <v>0</v>
      </c>
      <c r="W49" s="168">
        <v>21</v>
      </c>
      <c r="X49" s="259">
        <f t="shared" si="11"/>
        <v>32874</v>
      </c>
      <c r="Y49" s="286">
        <f t="shared" si="12"/>
        <v>690354</v>
      </c>
      <c r="Z49" s="168">
        <v>64</v>
      </c>
      <c r="AA49" s="259">
        <f t="shared" si="14"/>
        <v>32874</v>
      </c>
      <c r="AB49" s="259">
        <f t="shared" si="54"/>
        <v>2103936</v>
      </c>
    </row>
    <row r="50" spans="1:28" ht="28.5" customHeight="1">
      <c r="A50" s="119">
        <v>2.15</v>
      </c>
      <c r="B50" s="120" t="s">
        <v>49</v>
      </c>
      <c r="C50" s="121" t="s">
        <v>26</v>
      </c>
      <c r="D50" s="119">
        <v>64</v>
      </c>
      <c r="E50" s="125">
        <f>'FORMATO AIU'!F63</f>
        <v>21818</v>
      </c>
      <c r="F50" s="164">
        <f t="shared" si="55"/>
        <v>1396352</v>
      </c>
      <c r="G50" s="164"/>
      <c r="H50" s="168"/>
      <c r="I50" s="169">
        <f t="shared" si="56"/>
        <v>21818</v>
      </c>
      <c r="J50" s="259">
        <f t="shared" si="34"/>
        <v>0</v>
      </c>
      <c r="K50" s="168"/>
      <c r="L50" s="259">
        <f t="shared" si="3"/>
        <v>21818</v>
      </c>
      <c r="M50" s="265">
        <f t="shared" si="51"/>
        <v>0</v>
      </c>
      <c r="N50" s="168">
        <v>3</v>
      </c>
      <c r="O50" s="259">
        <f t="shared" si="5"/>
        <v>21818</v>
      </c>
      <c r="P50" s="276">
        <f t="shared" si="52"/>
        <v>65454</v>
      </c>
      <c r="Q50" s="168">
        <v>7</v>
      </c>
      <c r="R50" s="259">
        <f t="shared" si="7"/>
        <v>21818</v>
      </c>
      <c r="S50" s="280">
        <f t="shared" si="53"/>
        <v>152726</v>
      </c>
      <c r="T50" s="168">
        <v>9</v>
      </c>
      <c r="U50" s="259">
        <f t="shared" si="9"/>
        <v>21818</v>
      </c>
      <c r="V50" s="284">
        <f t="shared" si="10"/>
        <v>196362</v>
      </c>
      <c r="W50" s="168"/>
      <c r="X50" s="259">
        <f t="shared" si="11"/>
        <v>21818</v>
      </c>
      <c r="Y50" s="286">
        <f t="shared" si="12"/>
        <v>0</v>
      </c>
      <c r="Z50" s="168">
        <v>15</v>
      </c>
      <c r="AA50" s="259">
        <f t="shared" si="14"/>
        <v>21818</v>
      </c>
      <c r="AB50" s="259">
        <f t="shared" si="54"/>
        <v>327270</v>
      </c>
    </row>
    <row r="51" spans="1:28" ht="42.75" customHeight="1">
      <c r="A51" s="119">
        <v>2.16</v>
      </c>
      <c r="B51" s="120" t="s">
        <v>57</v>
      </c>
      <c r="C51" s="121" t="s">
        <v>47</v>
      </c>
      <c r="D51" s="119">
        <v>15</v>
      </c>
      <c r="E51" s="125">
        <f>'FORMATO AIU'!F64</f>
        <v>34726</v>
      </c>
      <c r="F51" s="164">
        <f t="shared" si="55"/>
        <v>520890</v>
      </c>
      <c r="G51" s="164"/>
      <c r="H51" s="168"/>
      <c r="I51" s="169">
        <f t="shared" si="56"/>
        <v>34726</v>
      </c>
      <c r="J51" s="259">
        <f t="shared" si="34"/>
        <v>0</v>
      </c>
      <c r="K51" s="168"/>
      <c r="L51" s="259">
        <f t="shared" si="3"/>
        <v>34726</v>
      </c>
      <c r="M51" s="265">
        <f t="shared" si="51"/>
        <v>0</v>
      </c>
      <c r="N51" s="168"/>
      <c r="O51" s="259">
        <f t="shared" si="5"/>
        <v>34726</v>
      </c>
      <c r="P51" s="276">
        <f t="shared" si="52"/>
        <v>0</v>
      </c>
      <c r="Q51" s="168"/>
      <c r="R51" s="259">
        <f t="shared" si="7"/>
        <v>34726</v>
      </c>
      <c r="S51" s="280">
        <f t="shared" si="53"/>
        <v>0</v>
      </c>
      <c r="T51" s="168"/>
      <c r="U51" s="259">
        <f t="shared" si="9"/>
        <v>34726</v>
      </c>
      <c r="V51" s="284">
        <f t="shared" si="10"/>
        <v>0</v>
      </c>
      <c r="W51" s="168"/>
      <c r="X51" s="259">
        <f t="shared" si="11"/>
        <v>34726</v>
      </c>
      <c r="Y51" s="286">
        <f t="shared" si="12"/>
        <v>0</v>
      </c>
      <c r="Z51" s="168">
        <f t="shared" si="13"/>
        <v>0</v>
      </c>
      <c r="AA51" s="259">
        <f t="shared" si="14"/>
        <v>34726</v>
      </c>
      <c r="AB51" s="259">
        <f t="shared" si="54"/>
        <v>0</v>
      </c>
    </row>
    <row r="52" spans="1:28" ht="29.25" customHeight="1">
      <c r="A52" s="117">
        <v>3</v>
      </c>
      <c r="B52" s="128" t="s">
        <v>102</v>
      </c>
      <c r="C52" s="128"/>
      <c r="D52" s="128"/>
      <c r="E52" s="128"/>
      <c r="F52" s="165"/>
      <c r="G52" s="165"/>
      <c r="H52" s="168"/>
      <c r="I52" s="168"/>
      <c r="J52" s="168"/>
      <c r="K52" s="168"/>
      <c r="L52" s="259">
        <f t="shared" si="3"/>
        <v>0</v>
      </c>
      <c r="M52" s="267"/>
      <c r="N52" s="168"/>
      <c r="O52" s="259">
        <f t="shared" si="5"/>
        <v>0</v>
      </c>
      <c r="P52" s="275"/>
      <c r="Q52" s="168"/>
      <c r="R52" s="259">
        <f t="shared" si="7"/>
        <v>0</v>
      </c>
      <c r="S52" s="279"/>
      <c r="T52" s="168"/>
      <c r="U52" s="259">
        <f t="shared" si="9"/>
        <v>0</v>
      </c>
      <c r="V52" s="284">
        <f t="shared" si="10"/>
        <v>0</v>
      </c>
      <c r="W52" s="168"/>
      <c r="X52" s="259">
        <f t="shared" si="11"/>
        <v>0</v>
      </c>
      <c r="Y52" s="286">
        <f t="shared" si="12"/>
        <v>0</v>
      </c>
      <c r="Z52" s="168">
        <f t="shared" si="13"/>
        <v>0</v>
      </c>
      <c r="AA52" s="259">
        <f t="shared" si="14"/>
        <v>0</v>
      </c>
      <c r="AB52" s="168"/>
    </row>
    <row r="53" spans="1:28" ht="14.25">
      <c r="A53" s="116" t="s">
        <v>90</v>
      </c>
      <c r="B53" s="116" t="s">
        <v>91</v>
      </c>
      <c r="C53" s="116" t="s">
        <v>92</v>
      </c>
      <c r="D53" s="116" t="s">
        <v>93</v>
      </c>
      <c r="E53" s="116" t="s">
        <v>94</v>
      </c>
      <c r="F53" s="166" t="s">
        <v>95</v>
      </c>
      <c r="G53" s="166"/>
      <c r="H53" s="168"/>
      <c r="I53" s="168"/>
      <c r="J53" s="168"/>
      <c r="K53" s="168"/>
      <c r="L53" s="259"/>
      <c r="M53" s="267"/>
      <c r="N53" s="168"/>
      <c r="O53" s="259"/>
      <c r="P53" s="275"/>
      <c r="Q53" s="168"/>
      <c r="R53" s="259" t="str">
        <f t="shared" si="7"/>
        <v>VLR.UNIT.</v>
      </c>
      <c r="S53" s="279"/>
      <c r="T53" s="168"/>
      <c r="U53" s="259"/>
      <c r="V53" s="284"/>
      <c r="W53" s="168"/>
      <c r="X53" s="259" t="str">
        <f t="shared" si="11"/>
        <v>VLR.UNIT.</v>
      </c>
      <c r="Y53" s="286"/>
      <c r="Z53" s="168">
        <f t="shared" si="13"/>
        <v>0</v>
      </c>
      <c r="AA53" s="259"/>
      <c r="AB53" s="168"/>
    </row>
    <row r="54" spans="1:28" ht="14.25">
      <c r="A54" s="118" t="s">
        <v>100</v>
      </c>
      <c r="B54" s="118"/>
      <c r="C54" s="118"/>
      <c r="D54" s="118"/>
      <c r="E54" s="118"/>
      <c r="F54" s="163"/>
      <c r="G54" s="163"/>
      <c r="H54" s="260"/>
      <c r="I54" s="261"/>
      <c r="J54" s="262"/>
      <c r="K54" s="269"/>
      <c r="L54" s="270">
        <f t="shared" si="3"/>
        <v>0</v>
      </c>
      <c r="M54" s="266"/>
      <c r="N54" s="269"/>
      <c r="O54" s="259">
        <f t="shared" si="5"/>
        <v>0</v>
      </c>
      <c r="P54" s="277"/>
      <c r="Q54" s="269"/>
      <c r="R54" s="259">
        <f t="shared" si="7"/>
        <v>0</v>
      </c>
      <c r="S54" s="281"/>
      <c r="T54" s="269"/>
      <c r="U54" s="259">
        <f t="shared" si="9"/>
        <v>0</v>
      </c>
      <c r="V54" s="284">
        <f t="shared" si="10"/>
        <v>0</v>
      </c>
      <c r="W54" s="269"/>
      <c r="X54" s="259">
        <f t="shared" si="11"/>
        <v>0</v>
      </c>
      <c r="Y54" s="286">
        <f t="shared" ref="Y54:Y76" si="57">X54*W54</f>
        <v>0</v>
      </c>
      <c r="Z54" s="168">
        <f t="shared" si="13"/>
        <v>0</v>
      </c>
      <c r="AA54" s="273">
        <f t="shared" si="14"/>
        <v>0</v>
      </c>
      <c r="AB54" s="274"/>
    </row>
    <row r="55" spans="1:28" ht="45.75" customHeight="1">
      <c r="A55" s="119">
        <v>3.01</v>
      </c>
      <c r="B55" s="120" t="s">
        <v>25</v>
      </c>
      <c r="C55" s="121" t="s">
        <v>26</v>
      </c>
      <c r="D55" s="122">
        <v>36</v>
      </c>
      <c r="E55" s="123">
        <f>'FORMATO AIU'!F69</f>
        <v>423101</v>
      </c>
      <c r="F55" s="164">
        <f>+D55*E55</f>
        <v>15231636</v>
      </c>
      <c r="G55" s="164"/>
      <c r="H55" s="168"/>
      <c r="I55" s="259">
        <f>E55</f>
        <v>423101</v>
      </c>
      <c r="J55" s="259">
        <f t="shared" ref="J55:J76" si="58">I55*H55</f>
        <v>0</v>
      </c>
      <c r="K55" s="168"/>
      <c r="L55" s="259">
        <f t="shared" si="3"/>
        <v>423101</v>
      </c>
      <c r="M55" s="265">
        <f t="shared" ref="M55:M59" si="59">L55*K55</f>
        <v>0</v>
      </c>
      <c r="N55" s="168"/>
      <c r="O55" s="259">
        <f t="shared" si="5"/>
        <v>423101</v>
      </c>
      <c r="P55" s="276">
        <f t="shared" ref="P55:P59" si="60">O55*N55</f>
        <v>0</v>
      </c>
      <c r="Q55" s="168">
        <v>8</v>
      </c>
      <c r="R55" s="259">
        <f t="shared" si="7"/>
        <v>423101</v>
      </c>
      <c r="S55" s="280">
        <f t="shared" ref="S55:S59" si="61">R55*Q55</f>
        <v>3384808</v>
      </c>
      <c r="T55" s="168">
        <v>1</v>
      </c>
      <c r="U55" s="259">
        <f t="shared" si="9"/>
        <v>423101</v>
      </c>
      <c r="V55" s="284">
        <f t="shared" si="10"/>
        <v>423101</v>
      </c>
      <c r="W55" s="168">
        <f>24-9</f>
        <v>15</v>
      </c>
      <c r="X55" s="259">
        <f t="shared" si="11"/>
        <v>423101</v>
      </c>
      <c r="Y55" s="286">
        <f t="shared" si="57"/>
        <v>6346515</v>
      </c>
      <c r="Z55" s="168">
        <f t="shared" si="13"/>
        <v>24</v>
      </c>
      <c r="AA55" s="259">
        <f t="shared" si="14"/>
        <v>423101</v>
      </c>
      <c r="AB55" s="259">
        <f t="shared" ref="AB55:AB59" si="62">AA55*Z55</f>
        <v>10154424</v>
      </c>
    </row>
    <row r="56" spans="1:28" ht="42.75" customHeight="1">
      <c r="A56" s="119">
        <v>3.02</v>
      </c>
      <c r="B56" s="130" t="s">
        <v>27</v>
      </c>
      <c r="C56" s="131" t="s">
        <v>26</v>
      </c>
      <c r="D56" s="132">
        <v>28</v>
      </c>
      <c r="E56" s="125">
        <f>'FORMATO AIU'!F70</f>
        <v>153122</v>
      </c>
      <c r="F56" s="164">
        <f t="shared" ref="F56:F59" si="63">+D56*E56</f>
        <v>4287416</v>
      </c>
      <c r="G56" s="164"/>
      <c r="H56" s="168"/>
      <c r="I56" s="259">
        <f t="shared" ref="I56:I58" si="64">E56</f>
        <v>153122</v>
      </c>
      <c r="J56" s="259">
        <f t="shared" si="58"/>
        <v>0</v>
      </c>
      <c r="K56" s="168"/>
      <c r="L56" s="259">
        <f t="shared" si="3"/>
        <v>153122</v>
      </c>
      <c r="M56" s="265">
        <f t="shared" si="59"/>
        <v>0</v>
      </c>
      <c r="N56" s="168"/>
      <c r="O56" s="259">
        <f t="shared" si="5"/>
        <v>153122</v>
      </c>
      <c r="P56" s="276">
        <f t="shared" si="60"/>
        <v>0</v>
      </c>
      <c r="Q56" s="168">
        <v>16</v>
      </c>
      <c r="R56" s="259">
        <f t="shared" si="7"/>
        <v>153122</v>
      </c>
      <c r="S56" s="280">
        <f t="shared" si="61"/>
        <v>2449952</v>
      </c>
      <c r="T56" s="168">
        <v>0</v>
      </c>
      <c r="U56" s="259">
        <f t="shared" si="9"/>
        <v>153122</v>
      </c>
      <c r="V56" s="284">
        <f t="shared" si="10"/>
        <v>0</v>
      </c>
      <c r="W56" s="168">
        <v>5</v>
      </c>
      <c r="X56" s="259">
        <f t="shared" si="11"/>
        <v>153122</v>
      </c>
      <c r="Y56" s="286">
        <f t="shared" si="57"/>
        <v>765610</v>
      </c>
      <c r="Z56" s="168">
        <f t="shared" si="13"/>
        <v>21</v>
      </c>
      <c r="AA56" s="259">
        <f t="shared" si="14"/>
        <v>153122</v>
      </c>
      <c r="AB56" s="259">
        <f t="shared" si="62"/>
        <v>3215562</v>
      </c>
    </row>
    <row r="57" spans="1:28" ht="42.75" customHeight="1">
      <c r="A57" s="119">
        <v>3.03</v>
      </c>
      <c r="B57" s="120" t="s">
        <v>101</v>
      </c>
      <c r="C57" s="121" t="s">
        <v>26</v>
      </c>
      <c r="D57" s="122">
        <f>64+39+5</f>
        <v>108</v>
      </c>
      <c r="E57" s="129">
        <f>'FORMATO AIU'!F71</f>
        <v>236182</v>
      </c>
      <c r="F57" s="164">
        <f t="shared" si="63"/>
        <v>25507656</v>
      </c>
      <c r="G57" s="164"/>
      <c r="H57" s="168"/>
      <c r="I57" s="259">
        <f t="shared" si="64"/>
        <v>236182</v>
      </c>
      <c r="J57" s="259">
        <f t="shared" si="58"/>
        <v>0</v>
      </c>
      <c r="K57" s="168"/>
      <c r="L57" s="259">
        <f t="shared" si="3"/>
        <v>236182</v>
      </c>
      <c r="M57" s="265">
        <f t="shared" si="59"/>
        <v>0</v>
      </c>
      <c r="N57" s="168"/>
      <c r="O57" s="259">
        <f t="shared" si="5"/>
        <v>236182</v>
      </c>
      <c r="P57" s="276">
        <f t="shared" si="60"/>
        <v>0</v>
      </c>
      <c r="Q57" s="168"/>
      <c r="R57" s="259">
        <f t="shared" si="7"/>
        <v>236182</v>
      </c>
      <c r="S57" s="280">
        <f t="shared" si="61"/>
        <v>0</v>
      </c>
      <c r="T57" s="168">
        <v>99</v>
      </c>
      <c r="U57" s="259">
        <f t="shared" si="9"/>
        <v>236182</v>
      </c>
      <c r="V57" s="284">
        <f t="shared" si="10"/>
        <v>23382018</v>
      </c>
      <c r="W57" s="168">
        <v>6</v>
      </c>
      <c r="X57" s="259">
        <f t="shared" si="11"/>
        <v>236182</v>
      </c>
      <c r="Y57" s="286">
        <f t="shared" si="57"/>
        <v>1417092</v>
      </c>
      <c r="Z57" s="168">
        <f t="shared" si="13"/>
        <v>105</v>
      </c>
      <c r="AA57" s="259">
        <f t="shared" si="14"/>
        <v>236182</v>
      </c>
      <c r="AB57" s="259">
        <f t="shared" si="62"/>
        <v>24799110</v>
      </c>
    </row>
    <row r="58" spans="1:28" ht="42.75" customHeight="1">
      <c r="A58" s="119">
        <v>3.04</v>
      </c>
      <c r="B58" s="120" t="s">
        <v>28</v>
      </c>
      <c r="C58" s="121" t="s">
        <v>26</v>
      </c>
      <c r="D58" s="122">
        <v>2</v>
      </c>
      <c r="E58" s="123">
        <f>'FORMATO AIU'!F72</f>
        <v>262004</v>
      </c>
      <c r="F58" s="164">
        <f t="shared" si="63"/>
        <v>524008</v>
      </c>
      <c r="G58" s="164"/>
      <c r="H58" s="168"/>
      <c r="I58" s="259">
        <f t="shared" si="64"/>
        <v>262004</v>
      </c>
      <c r="J58" s="259">
        <f t="shared" si="58"/>
        <v>0</v>
      </c>
      <c r="K58" s="168"/>
      <c r="L58" s="259">
        <f t="shared" si="3"/>
        <v>262004</v>
      </c>
      <c r="M58" s="265">
        <f t="shared" si="59"/>
        <v>0</v>
      </c>
      <c r="N58" s="168"/>
      <c r="O58" s="259">
        <f t="shared" si="5"/>
        <v>262004</v>
      </c>
      <c r="P58" s="276">
        <f t="shared" si="60"/>
        <v>0</v>
      </c>
      <c r="Q58" s="168"/>
      <c r="R58" s="259">
        <f t="shared" si="7"/>
        <v>262004</v>
      </c>
      <c r="S58" s="280">
        <f t="shared" si="61"/>
        <v>0</v>
      </c>
      <c r="T58" s="168">
        <v>10</v>
      </c>
      <c r="U58" s="259">
        <f t="shared" si="9"/>
        <v>262004</v>
      </c>
      <c r="V58" s="284">
        <f t="shared" si="10"/>
        <v>2620040</v>
      </c>
      <c r="W58" s="168"/>
      <c r="X58" s="259">
        <f t="shared" si="11"/>
        <v>262004</v>
      </c>
      <c r="Y58" s="286">
        <f t="shared" si="57"/>
        <v>0</v>
      </c>
      <c r="Z58" s="168">
        <f t="shared" si="13"/>
        <v>10</v>
      </c>
      <c r="AA58" s="259">
        <f t="shared" si="14"/>
        <v>262004</v>
      </c>
      <c r="AB58" s="259">
        <f t="shared" si="62"/>
        <v>2620040</v>
      </c>
    </row>
    <row r="59" spans="1:28" ht="42.75" customHeight="1">
      <c r="A59" s="119">
        <v>3.05</v>
      </c>
      <c r="B59" s="120" t="s">
        <v>54</v>
      </c>
      <c r="C59" s="121" t="s">
        <v>26</v>
      </c>
      <c r="D59" s="122">
        <v>11</v>
      </c>
      <c r="E59" s="126">
        <f>'FORMATO AIU'!F73</f>
        <v>169031</v>
      </c>
      <c r="F59" s="164">
        <f t="shared" si="63"/>
        <v>1859341</v>
      </c>
      <c r="G59" s="164"/>
      <c r="H59" s="168"/>
      <c r="I59" s="259">
        <f>E59</f>
        <v>169031</v>
      </c>
      <c r="J59" s="259">
        <f t="shared" si="58"/>
        <v>0</v>
      </c>
      <c r="K59" s="168"/>
      <c r="L59" s="259">
        <f t="shared" si="3"/>
        <v>169031</v>
      </c>
      <c r="M59" s="265">
        <f t="shared" si="59"/>
        <v>0</v>
      </c>
      <c r="N59" s="168"/>
      <c r="O59" s="259">
        <f t="shared" si="5"/>
        <v>169031</v>
      </c>
      <c r="P59" s="276">
        <f t="shared" si="60"/>
        <v>0</v>
      </c>
      <c r="Q59" s="168">
        <v>9</v>
      </c>
      <c r="R59" s="259">
        <f t="shared" si="7"/>
        <v>169031</v>
      </c>
      <c r="S59" s="280">
        <f t="shared" si="61"/>
        <v>1521279</v>
      </c>
      <c r="T59" s="168">
        <v>10</v>
      </c>
      <c r="U59" s="259">
        <f t="shared" si="9"/>
        <v>169031</v>
      </c>
      <c r="V59" s="284">
        <f t="shared" si="10"/>
        <v>1690310</v>
      </c>
      <c r="W59" s="168"/>
      <c r="X59" s="259">
        <f t="shared" si="11"/>
        <v>169031</v>
      </c>
      <c r="Y59" s="286">
        <f t="shared" si="57"/>
        <v>0</v>
      </c>
      <c r="Z59" s="168">
        <v>10</v>
      </c>
      <c r="AA59" s="259">
        <f t="shared" si="14"/>
        <v>169031</v>
      </c>
      <c r="AB59" s="259">
        <f t="shared" si="62"/>
        <v>1690310</v>
      </c>
    </row>
    <row r="60" spans="1:28" ht="14.25">
      <c r="A60" s="118" t="s">
        <v>96</v>
      </c>
      <c r="B60" s="118"/>
      <c r="C60" s="118"/>
      <c r="D60" s="118"/>
      <c r="E60" s="118"/>
      <c r="F60" s="163"/>
      <c r="G60" s="163"/>
      <c r="H60" s="349"/>
      <c r="I60" s="350"/>
      <c r="J60" s="351"/>
      <c r="K60" s="269"/>
      <c r="L60" s="270">
        <f t="shared" si="3"/>
        <v>0</v>
      </c>
      <c r="M60" s="266"/>
      <c r="N60" s="269"/>
      <c r="O60" s="259">
        <f t="shared" si="5"/>
        <v>0</v>
      </c>
      <c r="P60" s="277"/>
      <c r="Q60" s="269"/>
      <c r="R60" s="259">
        <f t="shared" si="7"/>
        <v>0</v>
      </c>
      <c r="S60" s="281"/>
      <c r="T60" s="269"/>
      <c r="U60" s="259">
        <f t="shared" si="9"/>
        <v>0</v>
      </c>
      <c r="V60" s="284">
        <f t="shared" si="10"/>
        <v>0</v>
      </c>
      <c r="W60" s="269"/>
      <c r="X60" s="259">
        <f t="shared" si="11"/>
        <v>0</v>
      </c>
      <c r="Y60" s="286">
        <f t="shared" si="57"/>
        <v>0</v>
      </c>
      <c r="Z60" s="168">
        <f t="shared" si="13"/>
        <v>0</v>
      </c>
      <c r="AA60" s="273">
        <f t="shared" si="14"/>
        <v>0</v>
      </c>
      <c r="AB60" s="274"/>
    </row>
    <row r="61" spans="1:28" ht="42.75" customHeight="1">
      <c r="A61" s="119">
        <v>3.06</v>
      </c>
      <c r="B61" s="130" t="s">
        <v>31</v>
      </c>
      <c r="C61" s="133" t="s">
        <v>26</v>
      </c>
      <c r="D61" s="134">
        <v>36</v>
      </c>
      <c r="E61" s="125">
        <f>'FORMATO AIU'!F75</f>
        <v>23214</v>
      </c>
      <c r="F61" s="167">
        <f t="shared" ref="F61:F63" si="65">ROUND((D61*E61),0)</f>
        <v>835704</v>
      </c>
      <c r="G61" s="175"/>
      <c r="H61" s="168"/>
      <c r="I61" s="169">
        <f>E61</f>
        <v>23214</v>
      </c>
      <c r="J61" s="259">
        <f t="shared" si="58"/>
        <v>0</v>
      </c>
      <c r="K61" s="168"/>
      <c r="L61" s="259">
        <f t="shared" si="3"/>
        <v>23214</v>
      </c>
      <c r="M61" s="265">
        <f t="shared" ref="M61:M63" si="66">L61*K61</f>
        <v>0</v>
      </c>
      <c r="N61" s="168"/>
      <c r="O61" s="259">
        <f t="shared" si="5"/>
        <v>23214</v>
      </c>
      <c r="P61" s="276">
        <f t="shared" ref="P61:P63" si="67">O61*N61</f>
        <v>0</v>
      </c>
      <c r="Q61" s="168">
        <v>13</v>
      </c>
      <c r="R61" s="259">
        <f t="shared" si="7"/>
        <v>23214</v>
      </c>
      <c r="S61" s="280">
        <f t="shared" ref="S61:S63" si="68">R61*Q61</f>
        <v>301782</v>
      </c>
      <c r="T61" s="168">
        <v>23</v>
      </c>
      <c r="U61" s="259">
        <f t="shared" si="9"/>
        <v>23214</v>
      </c>
      <c r="V61" s="284">
        <f t="shared" si="10"/>
        <v>533922</v>
      </c>
      <c r="W61" s="168"/>
      <c r="X61" s="259">
        <f t="shared" si="11"/>
        <v>23214</v>
      </c>
      <c r="Y61" s="286">
        <f t="shared" si="57"/>
        <v>0</v>
      </c>
      <c r="Z61" s="168">
        <v>31</v>
      </c>
      <c r="AA61" s="259">
        <f t="shared" si="14"/>
        <v>23214</v>
      </c>
      <c r="AB61" s="259">
        <f t="shared" ref="AB61:AB63" si="69">AA61*Z61</f>
        <v>719634</v>
      </c>
    </row>
    <row r="62" spans="1:28" ht="28.5">
      <c r="A62" s="119">
        <v>3.07</v>
      </c>
      <c r="B62" s="130" t="s">
        <v>59</v>
      </c>
      <c r="C62" s="133" t="s">
        <v>26</v>
      </c>
      <c r="D62" s="134">
        <v>108</v>
      </c>
      <c r="E62" s="125">
        <f>'FORMATO AIU'!F76</f>
        <v>23214</v>
      </c>
      <c r="F62" s="167">
        <f t="shared" si="65"/>
        <v>2507112</v>
      </c>
      <c r="G62" s="175"/>
      <c r="H62" s="168"/>
      <c r="I62" s="169">
        <f t="shared" ref="I62:I63" si="70">E62</f>
        <v>23214</v>
      </c>
      <c r="J62" s="259">
        <f t="shared" si="58"/>
        <v>0</v>
      </c>
      <c r="K62" s="168"/>
      <c r="L62" s="259">
        <f t="shared" si="3"/>
        <v>23214</v>
      </c>
      <c r="M62" s="265">
        <f t="shared" si="66"/>
        <v>0</v>
      </c>
      <c r="N62" s="168"/>
      <c r="O62" s="259">
        <f t="shared" si="5"/>
        <v>23214</v>
      </c>
      <c r="P62" s="276">
        <f t="shared" si="67"/>
        <v>0</v>
      </c>
      <c r="Q62" s="168">
        <v>83</v>
      </c>
      <c r="R62" s="259">
        <f t="shared" si="7"/>
        <v>23214</v>
      </c>
      <c r="S62" s="280">
        <f t="shared" si="68"/>
        <v>1926762</v>
      </c>
      <c r="T62" s="168">
        <f>108-83</f>
        <v>25</v>
      </c>
      <c r="U62" s="259">
        <f t="shared" si="9"/>
        <v>23214</v>
      </c>
      <c r="V62" s="284">
        <f t="shared" si="10"/>
        <v>580350</v>
      </c>
      <c r="W62" s="168">
        <v>35</v>
      </c>
      <c r="X62" s="259">
        <f t="shared" si="11"/>
        <v>23214</v>
      </c>
      <c r="Y62" s="286">
        <f t="shared" si="57"/>
        <v>812490</v>
      </c>
      <c r="Z62" s="168">
        <f t="shared" si="13"/>
        <v>143</v>
      </c>
      <c r="AA62" s="259">
        <f t="shared" si="14"/>
        <v>23214</v>
      </c>
      <c r="AB62" s="259">
        <f t="shared" si="69"/>
        <v>3319602</v>
      </c>
    </row>
    <row r="63" spans="1:28" ht="42.75" customHeight="1">
      <c r="A63" s="119">
        <v>3.08</v>
      </c>
      <c r="B63" s="130" t="s">
        <v>60</v>
      </c>
      <c r="C63" s="133" t="s">
        <v>26</v>
      </c>
      <c r="D63" s="135">
        <v>1</v>
      </c>
      <c r="E63" s="136">
        <f>'FORMATO AIU'!F77</f>
        <v>988288</v>
      </c>
      <c r="F63" s="167">
        <f t="shared" si="65"/>
        <v>988288</v>
      </c>
      <c r="G63" s="175"/>
      <c r="H63" s="168"/>
      <c r="I63" s="169">
        <f t="shared" si="70"/>
        <v>988288</v>
      </c>
      <c r="J63" s="259">
        <f t="shared" si="58"/>
        <v>0</v>
      </c>
      <c r="K63" s="168"/>
      <c r="L63" s="259">
        <f t="shared" si="3"/>
        <v>988288</v>
      </c>
      <c r="M63" s="265">
        <f t="shared" si="66"/>
        <v>0</v>
      </c>
      <c r="N63" s="168"/>
      <c r="O63" s="259">
        <f t="shared" si="5"/>
        <v>988288</v>
      </c>
      <c r="P63" s="276">
        <f t="shared" si="67"/>
        <v>0</v>
      </c>
      <c r="Q63" s="168"/>
      <c r="R63" s="259">
        <f t="shared" si="7"/>
        <v>988288</v>
      </c>
      <c r="S63" s="280">
        <f t="shared" si="68"/>
        <v>0</v>
      </c>
      <c r="T63" s="168"/>
      <c r="U63" s="259">
        <f t="shared" si="9"/>
        <v>988288</v>
      </c>
      <c r="V63" s="284">
        <f t="shared" si="10"/>
        <v>0</v>
      </c>
      <c r="W63" s="168"/>
      <c r="X63" s="259">
        <f t="shared" si="11"/>
        <v>988288</v>
      </c>
      <c r="Y63" s="286">
        <f t="shared" si="57"/>
        <v>0</v>
      </c>
      <c r="Z63" s="168">
        <f t="shared" si="13"/>
        <v>0</v>
      </c>
      <c r="AA63" s="259">
        <f t="shared" si="14"/>
        <v>988288</v>
      </c>
      <c r="AB63" s="259">
        <f t="shared" si="69"/>
        <v>0</v>
      </c>
    </row>
    <row r="64" spans="1:28" ht="21.75" customHeight="1">
      <c r="A64" s="118" t="s">
        <v>97</v>
      </c>
      <c r="B64" s="118"/>
      <c r="C64" s="118"/>
      <c r="D64" s="118"/>
      <c r="E64" s="118"/>
      <c r="F64" s="163"/>
      <c r="G64" s="163"/>
      <c r="H64" s="260"/>
      <c r="I64" s="261"/>
      <c r="J64" s="262"/>
      <c r="K64" s="269"/>
      <c r="L64" s="270">
        <f t="shared" si="3"/>
        <v>0</v>
      </c>
      <c r="M64" s="266"/>
      <c r="N64" s="269"/>
      <c r="O64" s="259">
        <f t="shared" si="5"/>
        <v>0</v>
      </c>
      <c r="P64" s="277"/>
      <c r="Q64" s="269"/>
      <c r="R64" s="259">
        <f t="shared" si="7"/>
        <v>0</v>
      </c>
      <c r="S64" s="281"/>
      <c r="T64" s="269"/>
      <c r="U64" s="259">
        <f t="shared" si="9"/>
        <v>0</v>
      </c>
      <c r="V64" s="284">
        <f t="shared" si="10"/>
        <v>0</v>
      </c>
      <c r="W64" s="269"/>
      <c r="X64" s="259">
        <f t="shared" si="11"/>
        <v>0</v>
      </c>
      <c r="Y64" s="286">
        <f t="shared" si="57"/>
        <v>0</v>
      </c>
      <c r="Z64" s="168">
        <f t="shared" si="13"/>
        <v>0</v>
      </c>
      <c r="AA64" s="273">
        <f t="shared" si="14"/>
        <v>0</v>
      </c>
      <c r="AB64" s="274"/>
    </row>
    <row r="65" spans="1:28" ht="42.75" customHeight="1">
      <c r="A65" s="119">
        <v>3.09</v>
      </c>
      <c r="B65" s="137" t="s">
        <v>37</v>
      </c>
      <c r="C65" s="121" t="s">
        <v>26</v>
      </c>
      <c r="D65" s="119">
        <v>1</v>
      </c>
      <c r="E65" s="125">
        <f>'FORMATO AIU'!F79</f>
        <v>2001431</v>
      </c>
      <c r="F65" s="164">
        <f>+D65*E65</f>
        <v>2001431</v>
      </c>
      <c r="G65" s="164"/>
      <c r="H65" s="168"/>
      <c r="I65" s="169">
        <f>E65</f>
        <v>2001431</v>
      </c>
      <c r="J65" s="259">
        <f t="shared" si="58"/>
        <v>0</v>
      </c>
      <c r="K65" s="168"/>
      <c r="L65" s="259">
        <f t="shared" si="3"/>
        <v>2001431</v>
      </c>
      <c r="M65" s="265">
        <f t="shared" ref="M65:M71" si="71">L65*K65</f>
        <v>0</v>
      </c>
      <c r="N65" s="168"/>
      <c r="O65" s="259">
        <f t="shared" si="5"/>
        <v>2001431</v>
      </c>
      <c r="P65" s="276">
        <f t="shared" ref="P65:P71" si="72">O65*N65</f>
        <v>0</v>
      </c>
      <c r="Q65" s="168">
        <v>2</v>
      </c>
      <c r="R65" s="259">
        <f t="shared" si="7"/>
        <v>2001431</v>
      </c>
      <c r="S65" s="280">
        <f t="shared" ref="S65:S71" si="73">R65*Q65</f>
        <v>4002862</v>
      </c>
      <c r="T65" s="168"/>
      <c r="U65" s="259">
        <f t="shared" si="9"/>
        <v>2001431</v>
      </c>
      <c r="V65" s="284">
        <f t="shared" si="10"/>
        <v>0</v>
      </c>
      <c r="W65" s="168"/>
      <c r="X65" s="259">
        <f t="shared" si="11"/>
        <v>2001431</v>
      </c>
      <c r="Y65" s="286">
        <f t="shared" si="57"/>
        <v>0</v>
      </c>
      <c r="Z65" s="168">
        <f t="shared" si="13"/>
        <v>2</v>
      </c>
      <c r="AA65" s="259">
        <f t="shared" si="14"/>
        <v>2001431</v>
      </c>
      <c r="AB65" s="259">
        <f t="shared" ref="AB65:AB71" si="74">AA65*Z65</f>
        <v>4002862</v>
      </c>
    </row>
    <row r="66" spans="1:28" ht="42.75" customHeight="1">
      <c r="A66" s="119">
        <v>3.1</v>
      </c>
      <c r="B66" s="137" t="s">
        <v>38</v>
      </c>
      <c r="C66" s="121" t="s">
        <v>26</v>
      </c>
      <c r="D66" s="119">
        <v>1</v>
      </c>
      <c r="E66" s="125">
        <f>'FORMATO AIU'!F80</f>
        <v>476289</v>
      </c>
      <c r="F66" s="164">
        <f t="shared" ref="F66:F71" si="75">+D66*E66</f>
        <v>476289</v>
      </c>
      <c r="G66" s="164"/>
      <c r="H66" s="168"/>
      <c r="I66" s="169">
        <f t="shared" ref="I66:I71" si="76">E66</f>
        <v>476289</v>
      </c>
      <c r="J66" s="259">
        <f t="shared" si="58"/>
        <v>0</v>
      </c>
      <c r="K66" s="168"/>
      <c r="L66" s="259">
        <f t="shared" si="3"/>
        <v>476289</v>
      </c>
      <c r="M66" s="265">
        <f t="shared" si="71"/>
        <v>0</v>
      </c>
      <c r="N66" s="168"/>
      <c r="O66" s="259">
        <f t="shared" si="5"/>
        <v>476289</v>
      </c>
      <c r="P66" s="276">
        <f t="shared" si="72"/>
        <v>0</v>
      </c>
      <c r="Q66" s="168">
        <v>2</v>
      </c>
      <c r="R66" s="259">
        <f t="shared" si="7"/>
        <v>476289</v>
      </c>
      <c r="S66" s="280">
        <f t="shared" si="73"/>
        <v>952578</v>
      </c>
      <c r="T66" s="168"/>
      <c r="U66" s="259">
        <f t="shared" si="9"/>
        <v>476289</v>
      </c>
      <c r="V66" s="284">
        <f t="shared" si="10"/>
        <v>0</v>
      </c>
      <c r="W66" s="168"/>
      <c r="X66" s="259">
        <f t="shared" si="11"/>
        <v>476289</v>
      </c>
      <c r="Y66" s="286">
        <f t="shared" si="57"/>
        <v>0</v>
      </c>
      <c r="Z66" s="168">
        <f t="shared" si="13"/>
        <v>2</v>
      </c>
      <c r="AA66" s="259">
        <f t="shared" si="14"/>
        <v>476289</v>
      </c>
      <c r="AB66" s="259">
        <f t="shared" si="74"/>
        <v>952578</v>
      </c>
    </row>
    <row r="67" spans="1:28" ht="98.25" customHeight="1">
      <c r="A67" s="138">
        <v>3.11</v>
      </c>
      <c r="B67" s="137" t="s">
        <v>61</v>
      </c>
      <c r="C67" s="139" t="s">
        <v>26</v>
      </c>
      <c r="D67" s="140">
        <v>28</v>
      </c>
      <c r="E67" s="125">
        <f>'FORMATO AIU'!F81</f>
        <v>195769</v>
      </c>
      <c r="F67" s="164">
        <f t="shared" si="75"/>
        <v>5481532</v>
      </c>
      <c r="G67" s="164"/>
      <c r="H67" s="168"/>
      <c r="I67" s="169">
        <f t="shared" si="76"/>
        <v>195769</v>
      </c>
      <c r="J67" s="259">
        <f t="shared" si="58"/>
        <v>0</v>
      </c>
      <c r="K67" s="168"/>
      <c r="L67" s="259">
        <f t="shared" si="3"/>
        <v>195769</v>
      </c>
      <c r="M67" s="265">
        <f t="shared" si="71"/>
        <v>0</v>
      </c>
      <c r="N67" s="168"/>
      <c r="O67" s="259">
        <f t="shared" si="5"/>
        <v>195769</v>
      </c>
      <c r="P67" s="276">
        <f t="shared" si="72"/>
        <v>0</v>
      </c>
      <c r="Q67" s="168">
        <v>16</v>
      </c>
      <c r="R67" s="259">
        <f t="shared" si="7"/>
        <v>195769</v>
      </c>
      <c r="S67" s="280">
        <f t="shared" si="73"/>
        <v>3132304</v>
      </c>
      <c r="T67" s="168">
        <v>14</v>
      </c>
      <c r="U67" s="259">
        <f t="shared" si="9"/>
        <v>195769</v>
      </c>
      <c r="V67" s="284">
        <f t="shared" si="10"/>
        <v>2740766</v>
      </c>
      <c r="W67" s="168"/>
      <c r="X67" s="259">
        <f t="shared" si="11"/>
        <v>195769</v>
      </c>
      <c r="Y67" s="286">
        <f t="shared" si="57"/>
        <v>0</v>
      </c>
      <c r="Z67" s="168">
        <v>19</v>
      </c>
      <c r="AA67" s="259">
        <f t="shared" si="14"/>
        <v>195769</v>
      </c>
      <c r="AB67" s="259">
        <f t="shared" si="74"/>
        <v>3719611</v>
      </c>
    </row>
    <row r="68" spans="1:28" ht="71.25">
      <c r="A68" s="138">
        <v>3.12</v>
      </c>
      <c r="B68" s="130" t="s">
        <v>62</v>
      </c>
      <c r="C68" s="133" t="s">
        <v>26</v>
      </c>
      <c r="D68" s="141">
        <v>1</v>
      </c>
      <c r="E68" s="142">
        <f>'FORMATO AIU'!F82</f>
        <v>200211</v>
      </c>
      <c r="F68" s="164">
        <f t="shared" si="75"/>
        <v>200211</v>
      </c>
      <c r="G68" s="164"/>
      <c r="H68" s="168"/>
      <c r="I68" s="169">
        <f t="shared" si="76"/>
        <v>200211</v>
      </c>
      <c r="J68" s="259">
        <f t="shared" si="58"/>
        <v>0</v>
      </c>
      <c r="K68" s="168"/>
      <c r="L68" s="259">
        <f t="shared" si="3"/>
        <v>200211</v>
      </c>
      <c r="M68" s="265">
        <f t="shared" si="71"/>
        <v>0</v>
      </c>
      <c r="N68" s="168"/>
      <c r="O68" s="259">
        <f t="shared" si="5"/>
        <v>200211</v>
      </c>
      <c r="P68" s="276">
        <f t="shared" si="72"/>
        <v>0</v>
      </c>
      <c r="Q68" s="168">
        <v>3</v>
      </c>
      <c r="R68" s="259">
        <f t="shared" si="7"/>
        <v>200211</v>
      </c>
      <c r="S68" s="280">
        <f t="shared" si="73"/>
        <v>600633</v>
      </c>
      <c r="T68" s="168">
        <v>0</v>
      </c>
      <c r="U68" s="259">
        <f t="shared" si="9"/>
        <v>200211</v>
      </c>
      <c r="V68" s="284">
        <f t="shared" si="10"/>
        <v>0</v>
      </c>
      <c r="W68" s="168"/>
      <c r="X68" s="259">
        <f t="shared" si="11"/>
        <v>200211</v>
      </c>
      <c r="Y68" s="286">
        <f t="shared" si="57"/>
        <v>0</v>
      </c>
      <c r="Z68" s="168">
        <f t="shared" si="13"/>
        <v>3</v>
      </c>
      <c r="AA68" s="259">
        <f t="shared" si="14"/>
        <v>200211</v>
      </c>
      <c r="AB68" s="259">
        <f t="shared" si="74"/>
        <v>600633</v>
      </c>
    </row>
    <row r="69" spans="1:28" ht="28.5">
      <c r="A69" s="143">
        <v>3.13</v>
      </c>
      <c r="B69" s="144" t="s">
        <v>43</v>
      </c>
      <c r="C69" s="145" t="s">
        <v>26</v>
      </c>
      <c r="D69" s="146">
        <v>29</v>
      </c>
      <c r="E69" s="147">
        <f>'FORMATO AIU'!F83</f>
        <v>28093</v>
      </c>
      <c r="F69" s="164">
        <f t="shared" si="75"/>
        <v>814697</v>
      </c>
      <c r="G69" s="164"/>
      <c r="H69" s="168"/>
      <c r="I69" s="169">
        <f t="shared" si="76"/>
        <v>28093</v>
      </c>
      <c r="J69" s="259">
        <f t="shared" si="58"/>
        <v>0</v>
      </c>
      <c r="K69" s="168"/>
      <c r="L69" s="259">
        <f t="shared" si="3"/>
        <v>28093</v>
      </c>
      <c r="M69" s="265">
        <f t="shared" si="71"/>
        <v>0</v>
      </c>
      <c r="N69" s="168"/>
      <c r="O69" s="259">
        <f t="shared" si="5"/>
        <v>28093</v>
      </c>
      <c r="P69" s="276">
        <f t="shared" si="72"/>
        <v>0</v>
      </c>
      <c r="Q69" s="168">
        <v>9</v>
      </c>
      <c r="R69" s="259">
        <f t="shared" si="7"/>
        <v>28093</v>
      </c>
      <c r="S69" s="280">
        <f t="shared" si="73"/>
        <v>252837</v>
      </c>
      <c r="T69" s="168">
        <v>7</v>
      </c>
      <c r="U69" s="259">
        <f t="shared" si="9"/>
        <v>28093</v>
      </c>
      <c r="V69" s="284">
        <f t="shared" si="10"/>
        <v>196651</v>
      </c>
      <c r="W69" s="168">
        <v>3</v>
      </c>
      <c r="X69" s="259">
        <f t="shared" si="11"/>
        <v>28093</v>
      </c>
      <c r="Y69" s="286">
        <f t="shared" si="57"/>
        <v>84279</v>
      </c>
      <c r="Z69" s="168">
        <f t="shared" si="13"/>
        <v>19</v>
      </c>
      <c r="AA69" s="259">
        <f t="shared" si="14"/>
        <v>28093</v>
      </c>
      <c r="AB69" s="259">
        <f t="shared" si="74"/>
        <v>533767</v>
      </c>
    </row>
    <row r="70" spans="1:28" ht="73.5" customHeight="1">
      <c r="A70" s="148">
        <v>3.14</v>
      </c>
      <c r="B70" s="137" t="s">
        <v>39</v>
      </c>
      <c r="C70" s="121" t="s">
        <v>40</v>
      </c>
      <c r="D70" s="119">
        <v>50</v>
      </c>
      <c r="E70" s="125">
        <f>'FORMATO AIU'!F84</f>
        <v>11662</v>
      </c>
      <c r="F70" s="164">
        <f t="shared" si="75"/>
        <v>583100</v>
      </c>
      <c r="G70" s="164"/>
      <c r="H70" s="168"/>
      <c r="I70" s="169">
        <f t="shared" si="76"/>
        <v>11662</v>
      </c>
      <c r="J70" s="259">
        <f t="shared" si="58"/>
        <v>0</v>
      </c>
      <c r="K70" s="168"/>
      <c r="L70" s="259">
        <f t="shared" si="3"/>
        <v>11662</v>
      </c>
      <c r="M70" s="265">
        <f t="shared" si="71"/>
        <v>0</v>
      </c>
      <c r="N70" s="168"/>
      <c r="O70" s="259">
        <f t="shared" si="5"/>
        <v>11662</v>
      </c>
      <c r="P70" s="276">
        <f t="shared" si="72"/>
        <v>0</v>
      </c>
      <c r="Q70" s="168">
        <v>100</v>
      </c>
      <c r="R70" s="259">
        <f t="shared" si="7"/>
        <v>11662</v>
      </c>
      <c r="S70" s="280">
        <f t="shared" si="73"/>
        <v>1166200</v>
      </c>
      <c r="T70" s="168"/>
      <c r="U70" s="259">
        <f t="shared" si="9"/>
        <v>11662</v>
      </c>
      <c r="V70" s="284">
        <f t="shared" si="10"/>
        <v>0</v>
      </c>
      <c r="W70" s="168"/>
      <c r="X70" s="259">
        <f t="shared" si="11"/>
        <v>11662</v>
      </c>
      <c r="Y70" s="286">
        <f t="shared" si="57"/>
        <v>0</v>
      </c>
      <c r="Z70" s="168">
        <v>71.5</v>
      </c>
      <c r="AA70" s="259">
        <f t="shared" si="14"/>
        <v>11662</v>
      </c>
      <c r="AB70" s="259">
        <f t="shared" si="74"/>
        <v>833833</v>
      </c>
    </row>
    <row r="71" spans="1:28" ht="73.5" customHeight="1">
      <c r="A71" s="148">
        <v>3.15</v>
      </c>
      <c r="B71" s="137" t="s">
        <v>41</v>
      </c>
      <c r="C71" s="121" t="s">
        <v>40</v>
      </c>
      <c r="D71" s="119">
        <v>250</v>
      </c>
      <c r="E71" s="125">
        <f>'FORMATO AIU'!F85</f>
        <v>12694</v>
      </c>
      <c r="F71" s="164">
        <f t="shared" si="75"/>
        <v>3173500</v>
      </c>
      <c r="G71" s="164"/>
      <c r="H71" s="168"/>
      <c r="I71" s="169">
        <f t="shared" si="76"/>
        <v>12694</v>
      </c>
      <c r="J71" s="259">
        <f t="shared" si="58"/>
        <v>0</v>
      </c>
      <c r="K71" s="168"/>
      <c r="L71" s="259">
        <f t="shared" si="3"/>
        <v>12694</v>
      </c>
      <c r="M71" s="265">
        <f t="shared" si="71"/>
        <v>0</v>
      </c>
      <c r="N71" s="168"/>
      <c r="O71" s="259">
        <f t="shared" si="5"/>
        <v>12694</v>
      </c>
      <c r="P71" s="276">
        <f t="shared" si="72"/>
        <v>0</v>
      </c>
      <c r="Q71" s="168">
        <v>136.94999999999999</v>
      </c>
      <c r="R71" s="259">
        <f t="shared" si="7"/>
        <v>12694</v>
      </c>
      <c r="S71" s="280">
        <f t="shared" si="73"/>
        <v>1738443.2999999998</v>
      </c>
      <c r="T71" s="168">
        <f>170.45-136.95</f>
        <v>33.5</v>
      </c>
      <c r="U71" s="259">
        <f t="shared" si="9"/>
        <v>12694</v>
      </c>
      <c r="V71" s="284">
        <f t="shared" si="10"/>
        <v>425249</v>
      </c>
      <c r="W71" s="168">
        <v>80</v>
      </c>
      <c r="X71" s="259">
        <f t="shared" si="11"/>
        <v>12694</v>
      </c>
      <c r="Y71" s="286">
        <f t="shared" si="57"/>
        <v>1015520</v>
      </c>
      <c r="Z71" s="168">
        <f t="shared" si="13"/>
        <v>250.45</v>
      </c>
      <c r="AA71" s="259">
        <f t="shared" si="14"/>
        <v>12694</v>
      </c>
      <c r="AB71" s="259">
        <f t="shared" si="74"/>
        <v>3179212.3</v>
      </c>
    </row>
    <row r="72" spans="1:28" ht="14.25">
      <c r="A72" s="118" t="s">
        <v>98</v>
      </c>
      <c r="B72" s="118"/>
      <c r="C72" s="118"/>
      <c r="D72" s="118"/>
      <c r="E72" s="118"/>
      <c r="F72" s="163"/>
      <c r="G72" s="163"/>
      <c r="H72" s="349"/>
      <c r="I72" s="350"/>
      <c r="J72" s="351"/>
      <c r="K72" s="269"/>
      <c r="L72" s="270">
        <f t="shared" ref="L72:L76" si="77">E72</f>
        <v>0</v>
      </c>
      <c r="M72" s="266"/>
      <c r="N72" s="269"/>
      <c r="O72" s="259">
        <f t="shared" ref="O72:O76" si="78">E72</f>
        <v>0</v>
      </c>
      <c r="P72" s="277"/>
      <c r="Q72" s="269"/>
      <c r="R72" s="259">
        <f t="shared" ref="R72:R76" si="79">E72</f>
        <v>0</v>
      </c>
      <c r="S72" s="281"/>
      <c r="T72" s="269"/>
      <c r="U72" s="259">
        <f t="shared" ref="U72:U76" si="80">E72</f>
        <v>0</v>
      </c>
      <c r="V72" s="284">
        <f t="shared" ref="V72:V76" si="81">U72*T72</f>
        <v>0</v>
      </c>
      <c r="W72" s="269"/>
      <c r="X72" s="259">
        <f t="shared" ref="X72:X76" si="82">E72</f>
        <v>0</v>
      </c>
      <c r="Y72" s="286">
        <f t="shared" si="57"/>
        <v>0</v>
      </c>
      <c r="Z72" s="168">
        <f t="shared" ref="Z72:Z76" si="83">K72+H72+N72+Q72+T72+W72</f>
        <v>0</v>
      </c>
      <c r="AA72" s="273">
        <f t="shared" ref="AA72:AA76" si="84">E72</f>
        <v>0</v>
      </c>
      <c r="AB72" s="274"/>
    </row>
    <row r="73" spans="1:28" ht="42.75" customHeight="1">
      <c r="A73" s="119">
        <v>3.16</v>
      </c>
      <c r="B73" s="120" t="s">
        <v>45</v>
      </c>
      <c r="C73" s="121" t="s">
        <v>26</v>
      </c>
      <c r="D73" s="119">
        <v>36</v>
      </c>
      <c r="E73" s="125">
        <f>'FORMATO AIU'!F87</f>
        <v>22195</v>
      </c>
      <c r="F73" s="164">
        <f>+D73*E73</f>
        <v>799020</v>
      </c>
      <c r="G73" s="164"/>
      <c r="H73" s="168"/>
      <c r="I73" s="169">
        <f>E73</f>
        <v>22195</v>
      </c>
      <c r="J73" s="259">
        <f t="shared" si="58"/>
        <v>0</v>
      </c>
      <c r="K73" s="168"/>
      <c r="L73" s="259">
        <f t="shared" si="77"/>
        <v>22195</v>
      </c>
      <c r="M73" s="265">
        <f t="shared" ref="M73:M76" si="85">L73*K73</f>
        <v>0</v>
      </c>
      <c r="N73" s="168"/>
      <c r="O73" s="259">
        <f t="shared" si="78"/>
        <v>22195</v>
      </c>
      <c r="P73" s="276">
        <f t="shared" ref="P73:P76" si="86">O73*N73</f>
        <v>0</v>
      </c>
      <c r="Q73" s="168">
        <v>9</v>
      </c>
      <c r="R73" s="259">
        <f t="shared" si="79"/>
        <v>22195</v>
      </c>
      <c r="S73" s="280">
        <f t="shared" ref="S73:S76" si="87">R73*Q73</f>
        <v>199755</v>
      </c>
      <c r="T73" s="168">
        <v>16</v>
      </c>
      <c r="U73" s="259">
        <f t="shared" si="80"/>
        <v>22195</v>
      </c>
      <c r="V73" s="284">
        <f t="shared" si="81"/>
        <v>355120</v>
      </c>
      <c r="W73" s="168">
        <v>2</v>
      </c>
      <c r="X73" s="259">
        <f t="shared" si="82"/>
        <v>22195</v>
      </c>
      <c r="Y73" s="286">
        <f t="shared" si="57"/>
        <v>44390</v>
      </c>
      <c r="Z73" s="168">
        <f t="shared" si="83"/>
        <v>27</v>
      </c>
      <c r="AA73" s="259">
        <f t="shared" si="84"/>
        <v>22195</v>
      </c>
      <c r="AB73" s="259">
        <f t="shared" ref="AB73:AB76" si="88">AA73*Z73</f>
        <v>599265</v>
      </c>
    </row>
    <row r="74" spans="1:28" ht="42.75" customHeight="1">
      <c r="A74" s="119">
        <v>3.17</v>
      </c>
      <c r="B74" s="120" t="s">
        <v>46</v>
      </c>
      <c r="C74" s="121" t="s">
        <v>47</v>
      </c>
      <c r="D74" s="119">
        <v>16</v>
      </c>
      <c r="E74" s="125">
        <f>'FORMATO AIU'!F88</f>
        <v>32874</v>
      </c>
      <c r="F74" s="164">
        <f t="shared" ref="F74:F75" si="89">+D74*E74</f>
        <v>525984</v>
      </c>
      <c r="G74" s="164"/>
      <c r="H74" s="168"/>
      <c r="I74" s="169">
        <f t="shared" ref="I74:I76" si="90">E74</f>
        <v>32874</v>
      </c>
      <c r="J74" s="259">
        <f t="shared" si="58"/>
        <v>0</v>
      </c>
      <c r="K74" s="168"/>
      <c r="L74" s="259">
        <f t="shared" si="77"/>
        <v>32874</v>
      </c>
      <c r="M74" s="265">
        <f t="shared" si="85"/>
        <v>0</v>
      </c>
      <c r="N74" s="168"/>
      <c r="O74" s="259">
        <f t="shared" si="78"/>
        <v>32874</v>
      </c>
      <c r="P74" s="276">
        <f t="shared" si="86"/>
        <v>0</v>
      </c>
      <c r="Q74" s="168">
        <v>15</v>
      </c>
      <c r="R74" s="259">
        <f t="shared" si="79"/>
        <v>32874</v>
      </c>
      <c r="S74" s="280">
        <f t="shared" si="87"/>
        <v>493110</v>
      </c>
      <c r="T74" s="168">
        <v>1</v>
      </c>
      <c r="U74" s="259">
        <f t="shared" si="80"/>
        <v>32874</v>
      </c>
      <c r="V74" s="284">
        <f t="shared" si="81"/>
        <v>32874</v>
      </c>
      <c r="W74" s="168"/>
      <c r="X74" s="259">
        <f t="shared" si="82"/>
        <v>32874</v>
      </c>
      <c r="Y74" s="286">
        <f t="shared" si="57"/>
        <v>0</v>
      </c>
      <c r="Z74" s="168">
        <f t="shared" si="83"/>
        <v>16</v>
      </c>
      <c r="AA74" s="259">
        <f t="shared" si="84"/>
        <v>32874</v>
      </c>
      <c r="AB74" s="259">
        <f t="shared" si="88"/>
        <v>525984</v>
      </c>
    </row>
    <row r="75" spans="1:28" ht="42.75" customHeight="1">
      <c r="A75" s="119">
        <v>3.18</v>
      </c>
      <c r="B75" s="120" t="s">
        <v>49</v>
      </c>
      <c r="C75" s="121" t="s">
        <v>26</v>
      </c>
      <c r="D75" s="119">
        <v>28</v>
      </c>
      <c r="E75" s="125">
        <f>'FORMATO AIU'!F89</f>
        <v>21818</v>
      </c>
      <c r="F75" s="164">
        <f t="shared" si="89"/>
        <v>610904</v>
      </c>
      <c r="G75" s="164"/>
      <c r="H75" s="168"/>
      <c r="I75" s="169">
        <f t="shared" si="90"/>
        <v>21818</v>
      </c>
      <c r="J75" s="259">
        <f t="shared" si="58"/>
        <v>0</v>
      </c>
      <c r="K75" s="168"/>
      <c r="L75" s="259">
        <f t="shared" si="77"/>
        <v>21818</v>
      </c>
      <c r="M75" s="265">
        <f t="shared" si="85"/>
        <v>0</v>
      </c>
      <c r="N75" s="168"/>
      <c r="O75" s="259">
        <f t="shared" si="78"/>
        <v>21818</v>
      </c>
      <c r="P75" s="276">
        <f t="shared" si="86"/>
        <v>0</v>
      </c>
      <c r="Q75" s="168">
        <v>26</v>
      </c>
      <c r="R75" s="259">
        <f t="shared" si="79"/>
        <v>21818</v>
      </c>
      <c r="S75" s="280">
        <f t="shared" si="87"/>
        <v>567268</v>
      </c>
      <c r="T75" s="168">
        <v>2</v>
      </c>
      <c r="U75" s="259">
        <f t="shared" si="80"/>
        <v>21818</v>
      </c>
      <c r="V75" s="284">
        <f t="shared" si="81"/>
        <v>43636</v>
      </c>
      <c r="W75" s="168"/>
      <c r="X75" s="259">
        <f t="shared" si="82"/>
        <v>21818</v>
      </c>
      <c r="Y75" s="286">
        <f t="shared" si="57"/>
        <v>0</v>
      </c>
      <c r="Z75" s="168">
        <f t="shared" si="83"/>
        <v>28</v>
      </c>
      <c r="AA75" s="259">
        <f t="shared" si="84"/>
        <v>21818</v>
      </c>
      <c r="AB75" s="259">
        <f t="shared" si="88"/>
        <v>610904</v>
      </c>
    </row>
    <row r="76" spans="1:28" ht="42.75" customHeight="1">
      <c r="A76" s="119">
        <v>3.19</v>
      </c>
      <c r="B76" s="120" t="s">
        <v>57</v>
      </c>
      <c r="C76" s="121" t="s">
        <v>47</v>
      </c>
      <c r="D76" s="119">
        <v>10</v>
      </c>
      <c r="E76" s="125">
        <f>'FORMATO AIU'!F90</f>
        <v>34726</v>
      </c>
      <c r="F76" s="164">
        <f>+D76*E76</f>
        <v>347260</v>
      </c>
      <c r="G76" s="164"/>
      <c r="H76" s="168"/>
      <c r="I76" s="169">
        <f t="shared" si="90"/>
        <v>34726</v>
      </c>
      <c r="J76" s="259">
        <f t="shared" si="58"/>
        <v>0</v>
      </c>
      <c r="K76" s="168"/>
      <c r="L76" s="259">
        <f t="shared" si="77"/>
        <v>34726</v>
      </c>
      <c r="M76" s="265">
        <f t="shared" si="85"/>
        <v>0</v>
      </c>
      <c r="N76" s="168"/>
      <c r="O76" s="259">
        <f t="shared" si="78"/>
        <v>34726</v>
      </c>
      <c r="P76" s="276">
        <f t="shared" si="86"/>
        <v>0</v>
      </c>
      <c r="Q76" s="168">
        <v>4</v>
      </c>
      <c r="R76" s="259">
        <f t="shared" si="79"/>
        <v>34726</v>
      </c>
      <c r="S76" s="280">
        <f t="shared" si="87"/>
        <v>138904</v>
      </c>
      <c r="T76" s="168">
        <v>3</v>
      </c>
      <c r="U76" s="259">
        <f t="shared" si="80"/>
        <v>34726</v>
      </c>
      <c r="V76" s="284">
        <f t="shared" si="81"/>
        <v>104178</v>
      </c>
      <c r="W76" s="168"/>
      <c r="X76" s="259">
        <f t="shared" si="82"/>
        <v>34726</v>
      </c>
      <c r="Y76" s="286">
        <f t="shared" si="57"/>
        <v>0</v>
      </c>
      <c r="Z76" s="168">
        <f t="shared" si="83"/>
        <v>7</v>
      </c>
      <c r="AA76" s="259">
        <f t="shared" si="84"/>
        <v>34726</v>
      </c>
      <c r="AB76" s="259">
        <f t="shared" si="88"/>
        <v>243082</v>
      </c>
    </row>
    <row r="77" spans="1:28" ht="18" customHeight="1">
      <c r="A77" s="149"/>
      <c r="B77" s="150"/>
      <c r="C77" s="151"/>
      <c r="D77" s="152"/>
      <c r="E77" s="153"/>
      <c r="F77" s="154"/>
      <c r="G77" s="154"/>
    </row>
    <row r="78" spans="1:28" ht="15.95" customHeight="1">
      <c r="A78" s="345" t="s">
        <v>103</v>
      </c>
      <c r="B78" s="345"/>
      <c r="C78" s="345"/>
      <c r="D78" s="345"/>
      <c r="E78" s="155"/>
      <c r="F78" s="156">
        <f>SUM(F7:F76)</f>
        <v>307489077</v>
      </c>
      <c r="G78" s="156"/>
      <c r="H78" s="155"/>
      <c r="I78" s="156">
        <f>SUM(J7:J76)</f>
        <v>22938811</v>
      </c>
      <c r="K78" s="155"/>
      <c r="L78" s="156">
        <f>SUM(M7:M76)</f>
        <v>21288664</v>
      </c>
      <c r="N78" s="155"/>
      <c r="O78" s="156">
        <f>SUM(P7:P76)</f>
        <v>96523294</v>
      </c>
      <c r="Q78" s="155"/>
      <c r="R78" s="156">
        <f>SUM(S7:S76)</f>
        <v>88102293.640000001</v>
      </c>
      <c r="T78" s="155"/>
      <c r="U78" s="156">
        <f>SUM(V7:V76)</f>
        <v>74757565.859999999</v>
      </c>
      <c r="W78" s="155"/>
      <c r="X78" s="156">
        <f>SUM(Y7:Y76)</f>
        <v>36339347.939999998</v>
      </c>
      <c r="Z78" s="155"/>
      <c r="AA78" s="156">
        <f>SUM(AB7:AB76)</f>
        <v>292047339.30000001</v>
      </c>
    </row>
    <row r="79" spans="1:28" ht="15.75" customHeight="1">
      <c r="A79" s="345" t="s">
        <v>66</v>
      </c>
      <c r="B79" s="345"/>
      <c r="C79" s="345"/>
      <c r="D79" s="345"/>
      <c r="E79" s="157">
        <v>0.19</v>
      </c>
      <c r="F79" s="124">
        <f>F78*E79</f>
        <v>58422924.630000003</v>
      </c>
      <c r="G79" s="124"/>
      <c r="H79" s="157">
        <v>0.19</v>
      </c>
      <c r="I79" s="124">
        <f>I78*H79</f>
        <v>4358374.09</v>
      </c>
      <c r="K79" s="157">
        <v>0.19</v>
      </c>
      <c r="L79" s="124">
        <f>L78*K79</f>
        <v>4044846.16</v>
      </c>
      <c r="N79" s="157">
        <v>0.19</v>
      </c>
      <c r="O79" s="124">
        <f>O78*N79</f>
        <v>18339425.859999999</v>
      </c>
      <c r="Q79" s="157">
        <v>0.19</v>
      </c>
      <c r="R79" s="124">
        <f>R78*Q79</f>
        <v>16739435.7916</v>
      </c>
      <c r="T79" s="157">
        <v>0.19</v>
      </c>
      <c r="U79" s="124">
        <f>U78*T79</f>
        <v>14203937.5134</v>
      </c>
      <c r="W79" s="157">
        <v>0.19</v>
      </c>
      <c r="X79" s="124">
        <f>X78*W79</f>
        <v>6904476.1085999999</v>
      </c>
      <c r="Z79" s="157">
        <v>0.19</v>
      </c>
      <c r="AA79" s="124">
        <f>AA78*Z79</f>
        <v>55488994.467</v>
      </c>
    </row>
    <row r="80" spans="1:28" ht="15.75" customHeight="1">
      <c r="A80" s="345" t="s">
        <v>67</v>
      </c>
      <c r="B80" s="345"/>
      <c r="C80" s="345"/>
      <c r="D80" s="345"/>
      <c r="E80" s="158">
        <v>0.01</v>
      </c>
      <c r="F80" s="124">
        <f>F78*E80</f>
        <v>3074890.77</v>
      </c>
      <c r="G80" s="124"/>
      <c r="H80" s="158">
        <v>0.01</v>
      </c>
      <c r="I80" s="124">
        <f>I78*H80</f>
        <v>229388.11000000002</v>
      </c>
      <c r="K80" s="158">
        <v>0.01</v>
      </c>
      <c r="L80" s="124">
        <f>L78*K80</f>
        <v>212886.64</v>
      </c>
      <c r="N80" s="158">
        <v>0.01</v>
      </c>
      <c r="O80" s="124">
        <f>O78*N80</f>
        <v>965232.94000000006</v>
      </c>
      <c r="Q80" s="158">
        <v>0.01</v>
      </c>
      <c r="R80" s="124">
        <f>R78*Q80</f>
        <v>881022.93640000001</v>
      </c>
      <c r="T80" s="158">
        <v>0.01</v>
      </c>
      <c r="U80" s="124">
        <f>U78*T80</f>
        <v>747575.65859999997</v>
      </c>
      <c r="W80" s="158">
        <v>0.01</v>
      </c>
      <c r="X80" s="124">
        <f>X78*W80</f>
        <v>363393.47940000001</v>
      </c>
      <c r="Z80" s="158">
        <v>0.01</v>
      </c>
      <c r="AA80" s="124">
        <f>AA78*Z80</f>
        <v>2920473.3930000002</v>
      </c>
    </row>
    <row r="81" spans="1:27" ht="15.75" customHeight="1">
      <c r="A81" s="345" t="s">
        <v>68</v>
      </c>
      <c r="B81" s="345"/>
      <c r="C81" s="345"/>
      <c r="D81" s="345"/>
      <c r="E81" s="158">
        <v>0.05</v>
      </c>
      <c r="F81" s="159">
        <f>F78*E81</f>
        <v>15374453.850000001</v>
      </c>
      <c r="G81" s="159"/>
      <c r="H81" s="158">
        <v>0.05</v>
      </c>
      <c r="I81" s="159">
        <f>I78*H81</f>
        <v>1146940.55</v>
      </c>
      <c r="K81" s="158">
        <v>0.05</v>
      </c>
      <c r="L81" s="159">
        <f>L78*K81</f>
        <v>1064433.2</v>
      </c>
      <c r="N81" s="158">
        <v>0.05</v>
      </c>
      <c r="O81" s="159">
        <f>O78*N81</f>
        <v>4826164.7</v>
      </c>
      <c r="Q81" s="158">
        <v>0.05</v>
      </c>
      <c r="R81" s="159">
        <f>R78*Q81</f>
        <v>4405114.682</v>
      </c>
      <c r="T81" s="158">
        <v>0.05</v>
      </c>
      <c r="U81" s="159">
        <f>U78*T81</f>
        <v>3737878.2930000001</v>
      </c>
      <c r="W81" s="158">
        <v>0.05</v>
      </c>
      <c r="X81" s="159">
        <f>X78*W81</f>
        <v>1816967.3969999999</v>
      </c>
      <c r="Z81" s="158">
        <v>0.05</v>
      </c>
      <c r="AA81" s="159">
        <f>AA78*Z81</f>
        <v>14602366.965000002</v>
      </c>
    </row>
    <row r="82" spans="1:27" ht="12.75" customHeight="1">
      <c r="A82" s="345" t="s">
        <v>104</v>
      </c>
      <c r="B82" s="345"/>
      <c r="C82" s="345"/>
      <c r="D82" s="345"/>
      <c r="E82" s="158">
        <v>0.19</v>
      </c>
      <c r="F82" s="159">
        <f>F81*E82</f>
        <v>2921146.2315000002</v>
      </c>
      <c r="G82" s="159"/>
      <c r="H82" s="158">
        <v>0.19</v>
      </c>
      <c r="I82" s="159">
        <f>I81*H82</f>
        <v>217918.70450000002</v>
      </c>
      <c r="K82" s="158">
        <v>0.19</v>
      </c>
      <c r="L82" s="159">
        <f>L81*K82</f>
        <v>202242.30799999999</v>
      </c>
      <c r="N82" s="158">
        <v>0.19</v>
      </c>
      <c r="O82" s="159">
        <f>O81*N82</f>
        <v>916971.29300000006</v>
      </c>
      <c r="Q82" s="158">
        <v>0.19</v>
      </c>
      <c r="R82" s="159">
        <f>R81*Q82</f>
        <v>836971.78957999998</v>
      </c>
      <c r="T82" s="158">
        <v>0.19</v>
      </c>
      <c r="U82" s="159">
        <f>U81*T82</f>
        <v>710196.87566999998</v>
      </c>
      <c r="W82" s="158">
        <v>0.19</v>
      </c>
      <c r="X82" s="159">
        <f>X81*W82</f>
        <v>345223.80543000001</v>
      </c>
      <c r="Z82" s="158">
        <v>0.19</v>
      </c>
      <c r="AA82" s="159">
        <f>AA81*Z82</f>
        <v>2774449.7233500006</v>
      </c>
    </row>
    <row r="83" spans="1:27" ht="15.95" customHeight="1">
      <c r="A83" s="345" t="s">
        <v>105</v>
      </c>
      <c r="B83" s="345"/>
      <c r="C83" s="345"/>
      <c r="D83" s="345"/>
      <c r="E83" s="348">
        <f>F78+F79+F80+F81+F82</f>
        <v>387282492.48150003</v>
      </c>
      <c r="F83" s="348"/>
      <c r="G83" s="156"/>
      <c r="H83" s="348">
        <f>I78+I79+I80+I81+I82</f>
        <v>28891432.454500001</v>
      </c>
      <c r="I83" s="348"/>
      <c r="K83" s="348">
        <f>L78+L79+L80+L81+L82</f>
        <v>26813072.307999998</v>
      </c>
      <c r="L83" s="348"/>
      <c r="N83" s="348">
        <f>O78+O79+O80+O81+O82</f>
        <v>121571088.793</v>
      </c>
      <c r="O83" s="348"/>
      <c r="Q83" s="348">
        <f>R78+R79+R80+R81+R82</f>
        <v>110964838.83958</v>
      </c>
      <c r="R83" s="348"/>
      <c r="T83" s="348">
        <f>U78+U79+U80+U81+U82</f>
        <v>94157154.200670004</v>
      </c>
      <c r="U83" s="348"/>
      <c r="W83" s="348">
        <f>X78+X79+X80+X81+X82</f>
        <v>45769408.73043</v>
      </c>
      <c r="X83" s="348"/>
      <c r="Z83" s="348">
        <f>AA78+AA79+AA80+AA81+AA82</f>
        <v>367833623.84834999</v>
      </c>
      <c r="AA83" s="348"/>
    </row>
    <row r="84" spans="1:27" ht="22.5" customHeight="1">
      <c r="A84" s="341"/>
      <c r="B84" s="341"/>
      <c r="C84" s="341"/>
      <c r="D84" s="341"/>
      <c r="E84" s="341"/>
      <c r="F84" s="341"/>
      <c r="G84" s="172"/>
    </row>
    <row r="85" spans="1:27" ht="15.75" customHeight="1">
      <c r="A85" s="343"/>
      <c r="B85" s="341"/>
      <c r="C85" s="341"/>
      <c r="D85" s="341"/>
      <c r="E85" s="341"/>
      <c r="F85" s="341"/>
      <c r="G85" s="172"/>
    </row>
    <row r="86" spans="1:27" ht="14.25" customHeight="1">
      <c r="A86" s="346"/>
      <c r="B86" s="346"/>
      <c r="C86" s="160"/>
      <c r="D86" s="160"/>
      <c r="E86" s="160"/>
      <c r="F86" s="160"/>
      <c r="G86" s="160"/>
    </row>
    <row r="87" spans="1:27">
      <c r="A87" s="161"/>
      <c r="B87" s="161"/>
    </row>
    <row r="88" spans="1:27">
      <c r="A88" s="161"/>
      <c r="B88" s="161"/>
    </row>
  </sheetData>
  <mergeCells count="30">
    <mergeCell ref="K3:M3"/>
    <mergeCell ref="K83:L83"/>
    <mergeCell ref="Z3:AB3"/>
    <mergeCell ref="Z83:AA83"/>
    <mergeCell ref="A85:F85"/>
    <mergeCell ref="N3:P3"/>
    <mergeCell ref="N83:O83"/>
    <mergeCell ref="Q3:S3"/>
    <mergeCell ref="Q83:R83"/>
    <mergeCell ref="T3:V3"/>
    <mergeCell ref="T83:U83"/>
    <mergeCell ref="W3:Y3"/>
    <mergeCell ref="W83:X83"/>
    <mergeCell ref="A86:B86"/>
    <mergeCell ref="H3:J3"/>
    <mergeCell ref="A80:D80"/>
    <mergeCell ref="A81:D81"/>
    <mergeCell ref="A82:D82"/>
    <mergeCell ref="A83:D83"/>
    <mergeCell ref="E83:F83"/>
    <mergeCell ref="A84:F84"/>
    <mergeCell ref="H60:J60"/>
    <mergeCell ref="H72:J72"/>
    <mergeCell ref="H83:I83"/>
    <mergeCell ref="A79:D79"/>
    <mergeCell ref="A1:F1"/>
    <mergeCell ref="A2:F2"/>
    <mergeCell ref="A3:F3"/>
    <mergeCell ref="B5:F5"/>
    <mergeCell ref="A78:D78"/>
  </mergeCells>
  <pageMargins left="0.55118110236220474" right="0.43307086614173229" top="0.47244094488188981" bottom="0.27559055118110237" header="0.31496062992125984" footer="0.31496062992125984"/>
  <pageSetup scale="70" orientation="portrait" horizontalDpi="4294967294"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Z825"/>
  <sheetViews>
    <sheetView tabSelected="1" view="pageBreakPreview" zoomScale="62" zoomScaleNormal="62" zoomScaleSheetLayoutView="62" workbookViewId="0">
      <selection activeCell="D1" sqref="D1:H2"/>
    </sheetView>
  </sheetViews>
  <sheetFormatPr defaultColWidth="14.42578125" defaultRowHeight="15"/>
  <cols>
    <col min="1" max="1" width="7.42578125" style="2" customWidth="1"/>
    <col min="2" max="2" width="23.140625" style="2" customWidth="1"/>
    <col min="3" max="3" width="20.85546875" style="2" customWidth="1"/>
    <col min="4" max="4" width="21.85546875" style="2" customWidth="1"/>
    <col min="5" max="5" width="24.42578125" style="2" customWidth="1"/>
    <col min="6" max="6" width="20.5703125" style="2" customWidth="1"/>
    <col min="7" max="7" width="20.7109375" style="2" customWidth="1"/>
    <col min="8" max="8" width="22.28515625" style="2" customWidth="1"/>
    <col min="9" max="9" width="15.5703125" style="2" customWidth="1"/>
    <col min="10" max="10" width="24" style="2" customWidth="1"/>
    <col min="11" max="11" width="19" style="2" customWidth="1"/>
    <col min="12" max="12" width="16" style="2" customWidth="1"/>
    <col min="13" max="13" width="15.140625" style="2" customWidth="1"/>
    <col min="14" max="26" width="11.42578125" style="2" customWidth="1"/>
    <col min="27" max="16384" width="14.42578125" style="2"/>
  </cols>
  <sheetData>
    <row r="1" spans="1:26" ht="26.25" customHeight="1">
      <c r="A1" s="362"/>
      <c r="B1" s="526"/>
      <c r="C1" s="526"/>
      <c r="D1" s="374" t="s">
        <v>106</v>
      </c>
      <c r="E1" s="375"/>
      <c r="F1" s="375"/>
      <c r="G1" s="375"/>
      <c r="H1" s="376"/>
      <c r="I1" s="98"/>
      <c r="J1" s="375"/>
      <c r="K1" s="375"/>
      <c r="L1" s="376"/>
      <c r="M1" s="1"/>
      <c r="N1" s="1"/>
      <c r="O1" s="1"/>
      <c r="P1" s="1"/>
      <c r="Q1" s="1"/>
      <c r="R1" s="1"/>
      <c r="S1" s="1"/>
      <c r="T1" s="1"/>
      <c r="U1" s="1"/>
      <c r="V1" s="1"/>
      <c r="W1" s="1"/>
      <c r="X1" s="1"/>
      <c r="Y1" s="1"/>
      <c r="Z1" s="1"/>
    </row>
    <row r="2" spans="1:26" ht="46.5" customHeight="1">
      <c r="A2" s="527"/>
      <c r="B2" s="528"/>
      <c r="C2" s="529"/>
      <c r="D2" s="377"/>
      <c r="E2" s="378"/>
      <c r="F2" s="378"/>
      <c r="G2" s="378"/>
      <c r="H2" s="379"/>
      <c r="I2" s="99"/>
      <c r="J2" s="378"/>
      <c r="K2" s="378"/>
      <c r="L2" s="379"/>
      <c r="M2" s="1"/>
      <c r="N2" s="1"/>
      <c r="O2" s="1"/>
      <c r="P2" s="1"/>
      <c r="Q2" s="1"/>
      <c r="R2" s="1"/>
      <c r="S2" s="1"/>
      <c r="T2" s="1"/>
      <c r="U2" s="1"/>
      <c r="V2" s="1"/>
      <c r="W2" s="1"/>
      <c r="X2" s="1"/>
      <c r="Y2" s="1"/>
      <c r="Z2" s="1"/>
    </row>
    <row r="3" spans="1:26" ht="27" customHeight="1" thickBot="1">
      <c r="A3" s="530"/>
      <c r="B3" s="531"/>
      <c r="C3" s="531"/>
      <c r="D3" s="371" t="s">
        <v>107</v>
      </c>
      <c r="E3" s="372"/>
      <c r="F3" s="372"/>
      <c r="G3" s="372"/>
      <c r="H3" s="373"/>
      <c r="I3" s="100"/>
      <c r="J3" s="380"/>
      <c r="K3" s="380"/>
      <c r="L3" s="381"/>
      <c r="M3" s="1"/>
      <c r="N3" s="1"/>
      <c r="O3" s="1"/>
      <c r="P3" s="1"/>
      <c r="Q3" s="1"/>
      <c r="R3" s="1"/>
      <c r="S3" s="1"/>
      <c r="T3" s="1"/>
      <c r="U3" s="1"/>
      <c r="V3" s="1"/>
      <c r="W3" s="1"/>
      <c r="X3" s="1"/>
      <c r="Y3" s="1"/>
      <c r="Z3" s="1"/>
    </row>
    <row r="4" spans="1:26" ht="12.75" customHeight="1" thickBot="1">
      <c r="A4" s="3"/>
      <c r="B4" s="4"/>
      <c r="C4" s="4"/>
      <c r="D4" s="5"/>
      <c r="E4" s="5"/>
      <c r="F4" s="5"/>
      <c r="G4" s="4"/>
      <c r="H4" s="4"/>
      <c r="I4" s="4"/>
      <c r="J4" s="4"/>
      <c r="K4" s="4"/>
      <c r="L4" s="6"/>
      <c r="M4" s="7"/>
      <c r="N4" s="7"/>
      <c r="O4" s="7"/>
      <c r="P4" s="7"/>
      <c r="Q4" s="7"/>
      <c r="R4" s="7"/>
      <c r="S4" s="7"/>
      <c r="T4" s="7"/>
      <c r="U4" s="7"/>
      <c r="V4" s="7"/>
      <c r="W4" s="7"/>
      <c r="X4" s="7"/>
      <c r="Y4" s="7"/>
      <c r="Z4" s="7"/>
    </row>
    <row r="5" spans="1:26" ht="19.5" customHeight="1" thickBot="1">
      <c r="A5" s="363" t="s">
        <v>108</v>
      </c>
      <c r="B5" s="532"/>
      <c r="C5" s="532"/>
      <c r="D5" s="364">
        <v>6</v>
      </c>
      <c r="E5" s="533"/>
      <c r="F5" s="365" t="s">
        <v>109</v>
      </c>
      <c r="G5" s="534"/>
      <c r="H5" s="366">
        <v>45456</v>
      </c>
      <c r="I5" s="367"/>
      <c r="J5" s="535"/>
      <c r="K5" s="535"/>
      <c r="L5" s="536"/>
      <c r="M5" s="8"/>
      <c r="N5" s="8"/>
      <c r="O5" s="8"/>
      <c r="P5" s="8"/>
      <c r="Q5" s="8"/>
      <c r="R5" s="8"/>
      <c r="S5" s="8"/>
      <c r="T5" s="8"/>
      <c r="U5" s="8"/>
      <c r="V5" s="8"/>
      <c r="W5" s="8"/>
      <c r="X5" s="8"/>
      <c r="Y5" s="8"/>
      <c r="Z5" s="8"/>
    </row>
    <row r="6" spans="1:26" ht="12" customHeight="1" thickBot="1">
      <c r="A6" s="9"/>
      <c r="B6" s="7"/>
      <c r="C6" s="10"/>
      <c r="D6" s="10"/>
      <c r="E6" s="7"/>
      <c r="F6" s="7"/>
      <c r="G6" s="7"/>
      <c r="H6" s="7"/>
      <c r="I6" s="7"/>
      <c r="J6" s="7"/>
      <c r="K6" s="7"/>
      <c r="L6" s="11"/>
      <c r="M6" s="7"/>
      <c r="N6" s="7"/>
      <c r="O6" s="7"/>
      <c r="P6" s="7"/>
      <c r="Q6" s="7"/>
      <c r="R6" s="7"/>
      <c r="S6" s="7"/>
      <c r="T6" s="7"/>
      <c r="U6" s="7"/>
      <c r="V6" s="7"/>
      <c r="W6" s="7"/>
      <c r="X6" s="7"/>
      <c r="Y6" s="7"/>
      <c r="Z6" s="7"/>
    </row>
    <row r="7" spans="1:26" ht="16.5" customHeight="1" thickBot="1">
      <c r="A7" s="363" t="s">
        <v>110</v>
      </c>
      <c r="B7" s="368"/>
      <c r="C7" s="368"/>
      <c r="D7" s="368"/>
      <c r="E7" s="368"/>
      <c r="F7" s="368"/>
      <c r="G7" s="368"/>
      <c r="H7" s="369" t="s">
        <v>111</v>
      </c>
      <c r="I7" s="369"/>
      <c r="J7" s="369"/>
      <c r="K7" s="369"/>
      <c r="L7" s="370"/>
      <c r="M7" s="8"/>
      <c r="N7" s="8"/>
      <c r="O7" s="8"/>
      <c r="P7" s="8"/>
      <c r="Q7" s="8"/>
      <c r="R7" s="8"/>
      <c r="S7" s="8"/>
      <c r="T7" s="8"/>
      <c r="U7" s="8"/>
      <c r="V7" s="8"/>
      <c r="W7" s="8"/>
      <c r="X7" s="8"/>
      <c r="Y7" s="8"/>
      <c r="Z7" s="8"/>
    </row>
    <row r="8" spans="1:26" ht="15.75" customHeight="1">
      <c r="A8" s="382" t="s">
        <v>112</v>
      </c>
      <c r="B8" s="537"/>
      <c r="C8" s="383" t="s">
        <v>113</v>
      </c>
      <c r="D8" s="384"/>
      <c r="E8" s="385"/>
      <c r="F8" s="392"/>
      <c r="G8" s="538"/>
      <c r="H8" s="538"/>
      <c r="I8" s="538"/>
      <c r="J8" s="538"/>
      <c r="K8" s="538"/>
      <c r="L8" s="539"/>
      <c r="M8" s="12"/>
      <c r="N8" s="12"/>
      <c r="O8" s="12"/>
      <c r="P8" s="12"/>
      <c r="Q8" s="12"/>
      <c r="R8" s="12"/>
      <c r="S8" s="12"/>
      <c r="T8" s="12"/>
      <c r="U8" s="12"/>
      <c r="V8" s="12"/>
      <c r="W8" s="12"/>
      <c r="X8" s="12"/>
      <c r="Y8" s="12"/>
      <c r="Z8" s="12"/>
    </row>
    <row r="9" spans="1:26" ht="15.75" customHeight="1">
      <c r="A9" s="540"/>
      <c r="B9" s="541"/>
      <c r="C9" s="386"/>
      <c r="D9" s="387"/>
      <c r="E9" s="388"/>
      <c r="F9" s="542"/>
      <c r="G9" s="543"/>
      <c r="H9" s="543"/>
      <c r="I9" s="543"/>
      <c r="J9" s="543"/>
      <c r="K9" s="543"/>
      <c r="L9" s="544"/>
      <c r="M9" s="12"/>
      <c r="N9" s="12"/>
      <c r="O9" s="12"/>
      <c r="P9" s="12"/>
      <c r="Q9" s="12"/>
      <c r="R9" s="12"/>
      <c r="S9" s="12"/>
      <c r="T9" s="12"/>
      <c r="U9" s="12"/>
      <c r="V9" s="12"/>
      <c r="W9" s="12"/>
      <c r="X9" s="12"/>
      <c r="Y9" s="12"/>
      <c r="Z9" s="12"/>
    </row>
    <row r="10" spans="1:26" ht="15.75" customHeight="1">
      <c r="A10" s="540"/>
      <c r="B10" s="541"/>
      <c r="C10" s="386"/>
      <c r="D10" s="387"/>
      <c r="E10" s="388"/>
      <c r="F10" s="542"/>
      <c r="G10" s="543"/>
      <c r="H10" s="543"/>
      <c r="I10" s="543"/>
      <c r="J10" s="543"/>
      <c r="K10" s="543"/>
      <c r="L10" s="544"/>
      <c r="M10" s="12"/>
      <c r="N10" s="12"/>
      <c r="O10" s="12"/>
      <c r="P10" s="12"/>
      <c r="Q10" s="12"/>
      <c r="R10" s="12"/>
      <c r="S10" s="12"/>
      <c r="T10" s="12"/>
      <c r="U10" s="12"/>
      <c r="V10" s="12"/>
      <c r="W10" s="12"/>
      <c r="X10" s="12"/>
      <c r="Y10" s="12"/>
      <c r="Z10" s="12"/>
    </row>
    <row r="11" spans="1:26" ht="15.75" customHeight="1">
      <c r="A11" s="540"/>
      <c r="B11" s="541"/>
      <c r="C11" s="386"/>
      <c r="D11" s="387"/>
      <c r="E11" s="388"/>
      <c r="F11" s="542"/>
      <c r="G11" s="543"/>
      <c r="H11" s="543"/>
      <c r="I11" s="543"/>
      <c r="J11" s="543"/>
      <c r="K11" s="543"/>
      <c r="L11" s="544"/>
      <c r="M11" s="12"/>
      <c r="N11" s="12"/>
      <c r="O11" s="12"/>
      <c r="P11" s="12"/>
      <c r="Q11" s="12"/>
      <c r="R11" s="12"/>
      <c r="S11" s="12"/>
      <c r="T11" s="12"/>
      <c r="U11" s="12"/>
      <c r="V11" s="12"/>
      <c r="W11" s="12"/>
      <c r="X11" s="12"/>
      <c r="Y11" s="12"/>
      <c r="Z11" s="12"/>
    </row>
    <row r="12" spans="1:26" ht="88.5" customHeight="1">
      <c r="A12" s="545"/>
      <c r="B12" s="546"/>
      <c r="C12" s="389"/>
      <c r="D12" s="390"/>
      <c r="E12" s="391"/>
      <c r="F12" s="542"/>
      <c r="G12" s="543"/>
      <c r="H12" s="543"/>
      <c r="I12" s="543"/>
      <c r="J12" s="543"/>
      <c r="K12" s="543"/>
      <c r="L12" s="544"/>
      <c r="M12" s="12"/>
      <c r="N12" s="12"/>
      <c r="O12" s="12"/>
      <c r="P12" s="12"/>
      <c r="Q12" s="12"/>
      <c r="R12" s="12"/>
      <c r="S12" s="12"/>
      <c r="T12" s="12"/>
      <c r="U12" s="12"/>
      <c r="V12" s="12"/>
      <c r="W12" s="12"/>
      <c r="X12" s="12"/>
      <c r="Y12" s="12"/>
      <c r="Z12" s="12"/>
    </row>
    <row r="13" spans="1:26" ht="15.75" customHeight="1">
      <c r="A13" s="393" t="s">
        <v>114</v>
      </c>
      <c r="B13" s="547"/>
      <c r="C13" s="394" t="s">
        <v>111</v>
      </c>
      <c r="D13" s="395"/>
      <c r="E13" s="396"/>
      <c r="F13" s="542"/>
      <c r="G13" s="543"/>
      <c r="H13" s="543"/>
      <c r="I13" s="543"/>
      <c r="J13" s="543"/>
      <c r="K13" s="543"/>
      <c r="L13" s="544"/>
      <c r="M13" s="12"/>
      <c r="N13" s="12"/>
      <c r="O13" s="12"/>
      <c r="P13" s="12"/>
      <c r="Q13" s="12"/>
      <c r="R13" s="12"/>
      <c r="S13" s="12"/>
      <c r="T13" s="12"/>
      <c r="U13" s="12"/>
      <c r="V13" s="12"/>
      <c r="W13" s="12"/>
      <c r="X13" s="12"/>
      <c r="Y13" s="12"/>
      <c r="Z13" s="12"/>
    </row>
    <row r="14" spans="1:26" ht="15.75" customHeight="1">
      <c r="A14" s="393" t="s">
        <v>115</v>
      </c>
      <c r="B14" s="547"/>
      <c r="C14" s="397" t="s">
        <v>116</v>
      </c>
      <c r="D14" s="395"/>
      <c r="E14" s="396"/>
      <c r="F14" s="542"/>
      <c r="G14" s="543"/>
      <c r="H14" s="543"/>
      <c r="I14" s="543"/>
      <c r="J14" s="543"/>
      <c r="K14" s="543"/>
      <c r="L14" s="544"/>
      <c r="M14" s="12"/>
      <c r="N14" s="12"/>
      <c r="O14" s="12"/>
      <c r="P14" s="12"/>
      <c r="Q14" s="12"/>
      <c r="R14" s="12"/>
      <c r="S14" s="12"/>
      <c r="T14" s="12"/>
      <c r="U14" s="12"/>
      <c r="V14" s="12"/>
      <c r="W14" s="12"/>
      <c r="X14" s="12"/>
      <c r="Y14" s="12"/>
      <c r="Z14" s="12"/>
    </row>
    <row r="15" spans="1:26" ht="15.75" customHeight="1">
      <c r="A15" s="393" t="s">
        <v>117</v>
      </c>
      <c r="B15" s="547"/>
      <c r="C15" s="394"/>
      <c r="D15" s="395"/>
      <c r="E15" s="396"/>
      <c r="F15" s="542"/>
      <c r="G15" s="543"/>
      <c r="H15" s="543"/>
      <c r="I15" s="543"/>
      <c r="J15" s="543"/>
      <c r="K15" s="543"/>
      <c r="L15" s="544"/>
      <c r="M15" s="12"/>
      <c r="N15" s="12"/>
      <c r="O15" s="12"/>
      <c r="P15" s="12"/>
      <c r="Q15" s="12"/>
      <c r="R15" s="12"/>
      <c r="S15" s="12"/>
      <c r="T15" s="12"/>
      <c r="U15" s="12"/>
      <c r="V15" s="12"/>
      <c r="W15" s="12"/>
      <c r="X15" s="12"/>
      <c r="Y15" s="12"/>
      <c r="Z15" s="12"/>
    </row>
    <row r="16" spans="1:26" ht="15.75" customHeight="1">
      <c r="A16" s="393" t="s">
        <v>118</v>
      </c>
      <c r="B16" s="547"/>
      <c r="C16" s="398">
        <f>'FORMATO AIU'!G100</f>
        <v>387282493</v>
      </c>
      <c r="D16" s="548"/>
      <c r="E16" s="549"/>
      <c r="F16" s="542"/>
      <c r="G16" s="543"/>
      <c r="H16" s="543"/>
      <c r="I16" s="543"/>
      <c r="J16" s="543"/>
      <c r="K16" s="543"/>
      <c r="L16" s="544"/>
      <c r="M16" s="12"/>
      <c r="N16" s="12"/>
      <c r="O16" s="12"/>
      <c r="P16" s="12"/>
      <c r="Q16" s="12"/>
      <c r="R16" s="12"/>
      <c r="S16" s="12"/>
      <c r="T16" s="12"/>
      <c r="U16" s="12"/>
      <c r="V16" s="12"/>
      <c r="W16" s="12"/>
      <c r="X16" s="12"/>
      <c r="Y16" s="12"/>
      <c r="Z16" s="12"/>
    </row>
    <row r="17" spans="1:26" ht="15.75" customHeight="1">
      <c r="A17" s="393" t="s">
        <v>119</v>
      </c>
      <c r="B17" s="547"/>
      <c r="C17" s="400">
        <v>0</v>
      </c>
      <c r="D17" s="550"/>
      <c r="E17" s="551"/>
      <c r="F17" s="542"/>
      <c r="G17" s="543"/>
      <c r="H17" s="543"/>
      <c r="I17" s="543"/>
      <c r="J17" s="543"/>
      <c r="K17" s="543"/>
      <c r="L17" s="544"/>
      <c r="M17" s="12"/>
      <c r="N17" s="12"/>
      <c r="O17" s="12"/>
      <c r="P17" s="12"/>
      <c r="Q17" s="12"/>
      <c r="R17" s="12"/>
      <c r="S17" s="12"/>
      <c r="T17" s="12"/>
      <c r="U17" s="12"/>
      <c r="V17" s="12"/>
      <c r="W17" s="12"/>
      <c r="X17" s="12"/>
      <c r="Y17" s="12"/>
      <c r="Z17" s="12"/>
    </row>
    <row r="18" spans="1:26" ht="15.75" customHeight="1">
      <c r="A18" s="393" t="s">
        <v>120</v>
      </c>
      <c r="B18" s="547"/>
      <c r="C18" s="400">
        <v>0</v>
      </c>
      <c r="D18" s="550"/>
      <c r="E18" s="551"/>
      <c r="F18" s="542"/>
      <c r="G18" s="543"/>
      <c r="H18" s="543"/>
      <c r="I18" s="543"/>
      <c r="J18" s="543"/>
      <c r="K18" s="543"/>
      <c r="L18" s="544"/>
      <c r="M18" s="12"/>
      <c r="N18" s="12"/>
      <c r="O18" s="12"/>
      <c r="P18" s="12"/>
      <c r="Q18" s="12"/>
      <c r="R18" s="12"/>
      <c r="S18" s="12"/>
      <c r="T18" s="12"/>
      <c r="U18" s="12"/>
      <c r="V18" s="12"/>
      <c r="W18" s="12"/>
      <c r="X18" s="12"/>
      <c r="Y18" s="12"/>
      <c r="Z18" s="12"/>
    </row>
    <row r="19" spans="1:26" ht="15.75" customHeight="1">
      <c r="A19" s="393" t="s">
        <v>121</v>
      </c>
      <c r="B19" s="547"/>
      <c r="C19" s="398">
        <f>C16+C17+C18</f>
        <v>387282493</v>
      </c>
      <c r="D19" s="548"/>
      <c r="E19" s="549"/>
      <c r="F19" s="542"/>
      <c r="G19" s="543"/>
      <c r="H19" s="543"/>
      <c r="I19" s="543"/>
      <c r="J19" s="543"/>
      <c r="K19" s="543"/>
      <c r="L19" s="544"/>
      <c r="M19" s="12"/>
      <c r="N19" s="12"/>
      <c r="O19" s="12"/>
      <c r="P19" s="12"/>
      <c r="Q19" s="12"/>
      <c r="R19" s="12"/>
      <c r="S19" s="12"/>
      <c r="T19" s="12"/>
      <c r="U19" s="12"/>
      <c r="V19" s="12"/>
      <c r="W19" s="12"/>
      <c r="X19" s="12"/>
      <c r="Y19" s="12"/>
      <c r="Z19" s="12"/>
    </row>
    <row r="20" spans="1:26" ht="15.75" customHeight="1">
      <c r="A20" s="393" t="s">
        <v>122</v>
      </c>
      <c r="B20" s="547"/>
      <c r="C20" s="397">
        <v>70</v>
      </c>
      <c r="D20" s="395"/>
      <c r="E20" s="396"/>
      <c r="F20" s="542"/>
      <c r="G20" s="543"/>
      <c r="H20" s="543"/>
      <c r="I20" s="543"/>
      <c r="J20" s="543"/>
      <c r="K20" s="543"/>
      <c r="L20" s="544"/>
      <c r="M20" s="12"/>
      <c r="N20" s="12"/>
      <c r="O20" s="12"/>
      <c r="P20" s="12"/>
      <c r="Q20" s="12"/>
      <c r="R20" s="12"/>
      <c r="S20" s="12"/>
      <c r="T20" s="12"/>
      <c r="U20" s="12"/>
      <c r="V20" s="12"/>
      <c r="W20" s="12"/>
      <c r="X20" s="12"/>
      <c r="Y20" s="12"/>
      <c r="Z20" s="12"/>
    </row>
    <row r="21" spans="1:26" ht="15.75" customHeight="1">
      <c r="A21" s="393" t="s">
        <v>123</v>
      </c>
      <c r="B21" s="547"/>
      <c r="C21" s="399">
        <v>45401</v>
      </c>
      <c r="D21" s="395"/>
      <c r="E21" s="396"/>
      <c r="F21" s="542"/>
      <c r="G21" s="543"/>
      <c r="H21" s="543"/>
      <c r="I21" s="543"/>
      <c r="J21" s="543"/>
      <c r="K21" s="543"/>
      <c r="L21" s="544"/>
      <c r="M21" s="12"/>
      <c r="N21" s="12"/>
      <c r="O21" s="12"/>
      <c r="P21" s="12"/>
      <c r="Q21" s="12"/>
      <c r="R21" s="12"/>
      <c r="S21" s="12"/>
      <c r="T21" s="12"/>
      <c r="U21" s="12"/>
      <c r="V21" s="12"/>
      <c r="W21" s="12"/>
      <c r="X21" s="12"/>
      <c r="Y21" s="12"/>
      <c r="Z21" s="12"/>
    </row>
    <row r="22" spans="1:26" ht="35.25" customHeight="1">
      <c r="A22" s="393" t="s">
        <v>124</v>
      </c>
      <c r="B22" s="547"/>
      <c r="C22" s="399">
        <v>45105</v>
      </c>
      <c r="D22" s="395"/>
      <c r="E22" s="396"/>
      <c r="F22" s="542"/>
      <c r="G22" s="543"/>
      <c r="H22" s="543"/>
      <c r="I22" s="543"/>
      <c r="J22" s="543"/>
      <c r="K22" s="543"/>
      <c r="L22" s="544"/>
      <c r="M22" s="12"/>
      <c r="N22" s="12"/>
      <c r="O22" s="12"/>
      <c r="P22" s="12"/>
      <c r="Q22" s="12"/>
      <c r="R22" s="12"/>
      <c r="S22" s="12"/>
      <c r="T22" s="12"/>
      <c r="U22" s="12"/>
      <c r="V22" s="12"/>
      <c r="W22" s="12"/>
      <c r="X22" s="12"/>
      <c r="Y22" s="12"/>
      <c r="Z22" s="12"/>
    </row>
    <row r="23" spans="1:26" ht="16.5" customHeight="1" thickBot="1">
      <c r="A23" s="408" t="s">
        <v>125</v>
      </c>
      <c r="B23" s="552"/>
      <c r="C23" s="409">
        <f>C20</f>
        <v>70</v>
      </c>
      <c r="D23" s="410"/>
      <c r="E23" s="411"/>
      <c r="F23" s="553"/>
      <c r="G23" s="554"/>
      <c r="H23" s="554"/>
      <c r="I23" s="554"/>
      <c r="J23" s="554"/>
      <c r="K23" s="554"/>
      <c r="L23" s="555"/>
      <c r="M23" s="12"/>
      <c r="N23" s="12"/>
      <c r="O23" s="12"/>
      <c r="P23" s="12"/>
      <c r="Q23" s="12"/>
      <c r="R23" s="12"/>
      <c r="S23" s="12"/>
      <c r="T23" s="12"/>
      <c r="U23" s="12"/>
      <c r="V23" s="12"/>
      <c r="W23" s="12"/>
      <c r="X23" s="12"/>
      <c r="Y23" s="12"/>
      <c r="Z23" s="12"/>
    </row>
    <row r="24" spans="1:26" ht="11.25" customHeight="1">
      <c r="A24" s="9"/>
      <c r="B24" s="7"/>
      <c r="C24" s="10"/>
      <c r="D24" s="10"/>
      <c r="E24" s="7"/>
      <c r="F24" s="7"/>
      <c r="G24" s="7"/>
      <c r="H24" s="7"/>
      <c r="I24" s="7"/>
      <c r="J24" s="7"/>
      <c r="K24" s="7"/>
      <c r="L24" s="11"/>
      <c r="M24" s="7"/>
      <c r="N24" s="7"/>
      <c r="O24" s="7"/>
      <c r="P24" s="7"/>
      <c r="Q24" s="7"/>
      <c r="R24" s="7"/>
      <c r="S24" s="7"/>
      <c r="T24" s="7"/>
      <c r="U24" s="7"/>
      <c r="V24" s="7"/>
      <c r="W24" s="7"/>
      <c r="X24" s="7"/>
      <c r="Y24" s="7"/>
      <c r="Z24" s="7"/>
    </row>
    <row r="25" spans="1:26" ht="12" customHeight="1" thickBot="1">
      <c r="A25" s="9"/>
      <c r="B25" s="7"/>
      <c r="C25" s="10"/>
      <c r="D25" s="10"/>
      <c r="E25" s="7"/>
      <c r="F25" s="7"/>
      <c r="G25" s="7"/>
      <c r="H25" s="7"/>
      <c r="I25" s="7"/>
      <c r="J25" s="7"/>
      <c r="K25" s="7"/>
      <c r="L25" s="11"/>
      <c r="M25" s="7"/>
      <c r="N25" s="7"/>
      <c r="O25" s="7"/>
      <c r="P25" s="7"/>
      <c r="Q25" s="7"/>
      <c r="R25" s="7"/>
      <c r="S25" s="7"/>
      <c r="T25" s="7"/>
      <c r="U25" s="7"/>
      <c r="V25" s="7"/>
      <c r="W25" s="7"/>
      <c r="X25" s="7"/>
      <c r="Y25" s="7"/>
      <c r="Z25" s="7"/>
    </row>
    <row r="26" spans="1:26" ht="16.5" customHeight="1" thickBot="1">
      <c r="A26" s="412" t="s">
        <v>126</v>
      </c>
      <c r="B26" s="556"/>
      <c r="C26" s="556"/>
      <c r="D26" s="556"/>
      <c r="E26" s="556"/>
      <c r="F26" s="556"/>
      <c r="G26" s="556"/>
      <c r="H26" s="556"/>
      <c r="I26" s="556"/>
      <c r="J26" s="556"/>
      <c r="K26" s="556"/>
      <c r="L26" s="557"/>
      <c r="M26" s="8"/>
      <c r="N26" s="8"/>
      <c r="O26" s="8"/>
      <c r="P26" s="8"/>
      <c r="Q26" s="8"/>
      <c r="R26" s="8"/>
      <c r="S26" s="8"/>
      <c r="T26" s="8"/>
      <c r="U26" s="8"/>
      <c r="V26" s="8"/>
      <c r="W26" s="8"/>
      <c r="X26" s="8"/>
      <c r="Y26" s="8"/>
      <c r="Z26" s="8"/>
    </row>
    <row r="27" spans="1:26" ht="15.75" customHeight="1">
      <c r="A27" s="413" t="s">
        <v>127</v>
      </c>
      <c r="B27" s="558"/>
      <c r="C27" s="558"/>
      <c r="D27" s="558"/>
      <c r="E27" s="558"/>
      <c r="F27" s="414" t="s">
        <v>128</v>
      </c>
      <c r="G27" s="558"/>
      <c r="H27" s="558"/>
      <c r="I27" s="558"/>
      <c r="J27" s="558"/>
      <c r="K27" s="558"/>
      <c r="L27" s="559"/>
      <c r="M27" s="1"/>
      <c r="N27" s="1"/>
      <c r="O27" s="1"/>
      <c r="P27" s="1"/>
      <c r="Q27" s="1"/>
      <c r="R27" s="1"/>
      <c r="S27" s="1"/>
      <c r="T27" s="1"/>
      <c r="U27" s="1"/>
      <c r="V27" s="1"/>
      <c r="W27" s="1"/>
      <c r="X27" s="1"/>
      <c r="Y27" s="1"/>
      <c r="Z27" s="1"/>
    </row>
    <row r="28" spans="1:26" ht="12" customHeight="1">
      <c r="A28" s="39"/>
      <c r="B28" s="40"/>
      <c r="C28" s="40"/>
      <c r="D28" s="40"/>
      <c r="E28" s="40"/>
      <c r="F28" s="401" t="s">
        <v>129</v>
      </c>
      <c r="G28" s="560"/>
      <c r="H28" s="402" t="s">
        <v>130</v>
      </c>
      <c r="I28" s="403"/>
      <c r="J28" s="560"/>
      <c r="K28" s="402" t="s">
        <v>131</v>
      </c>
      <c r="L28" s="561"/>
      <c r="M28" s="7"/>
      <c r="N28" s="7"/>
      <c r="O28" s="7"/>
      <c r="P28" s="7"/>
      <c r="Q28" s="7"/>
      <c r="R28" s="7"/>
      <c r="S28" s="7"/>
      <c r="T28" s="7"/>
      <c r="U28" s="7"/>
      <c r="V28" s="7"/>
      <c r="W28" s="7"/>
      <c r="X28" s="7"/>
      <c r="Y28" s="7"/>
      <c r="Z28" s="7"/>
    </row>
    <row r="29" spans="1:26" ht="12.75" customHeight="1">
      <c r="A29" s="39"/>
      <c r="B29" s="40"/>
      <c r="C29" s="40"/>
      <c r="D29" s="40"/>
      <c r="E29" s="40"/>
      <c r="F29" s="404">
        <f>C20</f>
        <v>70</v>
      </c>
      <c r="G29" s="562"/>
      <c r="H29" s="405">
        <f>H5-C21</f>
        <v>55</v>
      </c>
      <c r="I29" s="406"/>
      <c r="J29" s="562"/>
      <c r="K29" s="407">
        <f>H29/F29</f>
        <v>0.7857142857142857</v>
      </c>
      <c r="L29" s="563"/>
      <c r="M29" s="7"/>
      <c r="N29" s="7"/>
      <c r="O29" s="7"/>
      <c r="P29" s="7"/>
      <c r="Q29" s="7"/>
      <c r="R29" s="7"/>
      <c r="S29" s="7"/>
      <c r="T29" s="7"/>
      <c r="U29" s="7"/>
      <c r="V29" s="7"/>
      <c r="W29" s="7"/>
      <c r="X29" s="7"/>
      <c r="Y29" s="7"/>
      <c r="Z29" s="7"/>
    </row>
    <row r="30" spans="1:26" ht="15.75" customHeight="1">
      <c r="A30" s="39"/>
      <c r="B30" s="40"/>
      <c r="C30" s="40"/>
      <c r="D30" s="40"/>
      <c r="E30" s="40"/>
      <c r="F30" s="419" t="s">
        <v>132</v>
      </c>
      <c r="G30" s="564"/>
      <c r="H30" s="564"/>
      <c r="I30" s="564"/>
      <c r="J30" s="564"/>
      <c r="K30" s="564"/>
      <c r="L30" s="561"/>
      <c r="M30" s="12"/>
      <c r="N30" s="12"/>
      <c r="O30" s="12"/>
      <c r="P30" s="12"/>
      <c r="Q30" s="12"/>
      <c r="R30" s="12"/>
      <c r="S30" s="12"/>
      <c r="T30" s="12"/>
      <c r="U30" s="12"/>
      <c r="V30" s="12"/>
      <c r="W30" s="12"/>
      <c r="X30" s="12"/>
      <c r="Y30" s="12"/>
      <c r="Z30" s="12"/>
    </row>
    <row r="31" spans="1:26" ht="12.75" customHeight="1">
      <c r="A31" s="39"/>
      <c r="B31" s="40"/>
      <c r="C31" s="40"/>
      <c r="D31" s="40"/>
      <c r="E31" s="40"/>
      <c r="F31" s="415" t="s">
        <v>133</v>
      </c>
      <c r="G31" s="564"/>
      <c r="H31" s="560"/>
      <c r="I31" s="97"/>
      <c r="J31" s="420">
        <f>C19</f>
        <v>387282493</v>
      </c>
      <c r="K31" s="564"/>
      <c r="L31" s="561"/>
      <c r="M31" s="7"/>
      <c r="N31" s="7"/>
      <c r="O31" s="7"/>
      <c r="P31" s="7"/>
      <c r="Q31" s="7"/>
      <c r="R31" s="7"/>
      <c r="S31" s="7"/>
      <c r="T31" s="7"/>
      <c r="U31" s="7"/>
      <c r="V31" s="7"/>
      <c r="W31" s="7"/>
      <c r="X31" s="7"/>
      <c r="Y31" s="7"/>
      <c r="Z31" s="7"/>
    </row>
    <row r="32" spans="1:26" ht="12.75" customHeight="1">
      <c r="A32" s="39"/>
      <c r="B32" s="40"/>
      <c r="C32" s="40"/>
      <c r="D32" s="40"/>
      <c r="E32" s="40"/>
      <c r="F32" s="415" t="s">
        <v>134</v>
      </c>
      <c r="G32" s="564"/>
      <c r="H32" s="560"/>
      <c r="I32" s="97"/>
      <c r="J32" s="420">
        <v>0</v>
      </c>
      <c r="K32" s="564"/>
      <c r="L32" s="561"/>
      <c r="M32" s="7"/>
      <c r="N32" s="7"/>
      <c r="O32" s="7"/>
      <c r="P32" s="7"/>
      <c r="Q32" s="7"/>
      <c r="R32" s="7"/>
      <c r="S32" s="7"/>
      <c r="T32" s="7"/>
      <c r="U32" s="7"/>
      <c r="V32" s="7"/>
      <c r="W32" s="7"/>
      <c r="X32" s="7"/>
      <c r="Y32" s="7"/>
      <c r="Z32" s="7"/>
    </row>
    <row r="33" spans="1:26" ht="12.75" customHeight="1">
      <c r="A33" s="39"/>
      <c r="B33" s="40"/>
      <c r="C33" s="40"/>
      <c r="D33" s="40"/>
      <c r="E33" s="40"/>
      <c r="F33" s="415" t="s">
        <v>135</v>
      </c>
      <c r="G33" s="564"/>
      <c r="H33" s="560"/>
      <c r="I33" s="97"/>
      <c r="J33" s="418">
        <f>J31-J32</f>
        <v>387282493</v>
      </c>
      <c r="K33" s="564"/>
      <c r="L33" s="561"/>
      <c r="M33" s="7"/>
      <c r="N33" s="7"/>
      <c r="O33" s="7"/>
      <c r="P33" s="7"/>
      <c r="Q33" s="7"/>
      <c r="R33" s="7"/>
      <c r="S33" s="7"/>
      <c r="T33" s="7"/>
      <c r="U33" s="7"/>
      <c r="V33" s="7"/>
      <c r="W33" s="7"/>
      <c r="X33" s="7"/>
      <c r="Y33" s="7"/>
      <c r="Z33" s="7"/>
    </row>
    <row r="34" spans="1:26" ht="12.75" customHeight="1">
      <c r="A34" s="39"/>
      <c r="B34" s="40"/>
      <c r="C34" s="40"/>
      <c r="D34" s="40"/>
      <c r="E34" s="40"/>
      <c r="F34" s="415" t="s">
        <v>136</v>
      </c>
      <c r="G34" s="564"/>
      <c r="H34" s="560"/>
      <c r="I34" s="97"/>
      <c r="J34" s="416">
        <v>0</v>
      </c>
      <c r="K34" s="565"/>
      <c r="L34" s="566"/>
      <c r="M34" s="7"/>
      <c r="N34" s="7"/>
      <c r="O34" s="7"/>
      <c r="P34" s="7"/>
      <c r="Q34" s="7"/>
      <c r="R34" s="7"/>
      <c r="S34" s="7"/>
      <c r="T34" s="7"/>
      <c r="U34" s="7"/>
      <c r="V34" s="7"/>
      <c r="W34" s="7"/>
      <c r="X34" s="7"/>
      <c r="Y34" s="7"/>
      <c r="Z34" s="7"/>
    </row>
    <row r="35" spans="1:26" ht="12.75" customHeight="1">
      <c r="A35" s="39"/>
      <c r="B35" s="40"/>
      <c r="C35" s="40"/>
      <c r="D35" s="40"/>
      <c r="E35" s="40"/>
      <c r="F35" s="415" t="s">
        <v>137</v>
      </c>
      <c r="G35" s="564"/>
      <c r="H35" s="560"/>
      <c r="I35" s="97"/>
      <c r="J35" s="417">
        <v>0</v>
      </c>
      <c r="K35" s="565"/>
      <c r="L35" s="566"/>
      <c r="M35" s="7"/>
      <c r="N35" s="7"/>
      <c r="O35" s="7"/>
      <c r="P35" s="7"/>
      <c r="Q35" s="7"/>
      <c r="R35" s="7"/>
      <c r="S35" s="7"/>
      <c r="T35" s="7"/>
      <c r="U35" s="7"/>
      <c r="V35" s="7"/>
      <c r="W35" s="7"/>
      <c r="X35" s="7"/>
      <c r="Y35" s="7"/>
      <c r="Z35" s="7"/>
    </row>
    <row r="36" spans="1:26" ht="25.5" customHeight="1">
      <c r="A36" s="39"/>
      <c r="B36" s="40"/>
      <c r="C36" s="40"/>
      <c r="D36" s="40"/>
      <c r="E36" s="40"/>
      <c r="F36" s="415" t="s">
        <v>138</v>
      </c>
      <c r="G36" s="564"/>
      <c r="H36" s="560"/>
      <c r="I36" s="97"/>
      <c r="J36" s="418">
        <f>J34-J35</f>
        <v>0</v>
      </c>
      <c r="K36" s="564"/>
      <c r="L36" s="561"/>
      <c r="M36" s="7"/>
      <c r="N36" s="7"/>
      <c r="O36" s="7"/>
      <c r="P36" s="7"/>
      <c r="Q36" s="7"/>
      <c r="R36" s="7"/>
      <c r="S36" s="7"/>
      <c r="T36" s="7"/>
      <c r="U36" s="7"/>
      <c r="V36" s="7"/>
      <c r="W36" s="7"/>
      <c r="X36" s="7"/>
      <c r="Y36" s="7"/>
      <c r="Z36" s="7"/>
    </row>
    <row r="37" spans="1:26" ht="37.5" customHeight="1" thickBot="1">
      <c r="A37" s="39"/>
      <c r="B37" s="40"/>
      <c r="C37" s="40"/>
      <c r="D37" s="40"/>
      <c r="E37" s="40"/>
      <c r="F37" s="63" t="s">
        <v>139</v>
      </c>
      <c r="G37" s="64" t="s">
        <v>103</v>
      </c>
      <c r="H37" s="64" t="s">
        <v>65</v>
      </c>
      <c r="I37" s="64" t="s">
        <v>140</v>
      </c>
      <c r="J37" s="64" t="s">
        <v>141</v>
      </c>
      <c r="K37" s="64" t="s">
        <v>142</v>
      </c>
      <c r="L37" s="65" t="s">
        <v>143</v>
      </c>
      <c r="M37" s="1"/>
      <c r="N37" s="1"/>
      <c r="O37" s="1"/>
      <c r="P37" s="1"/>
      <c r="Q37" s="1"/>
      <c r="R37" s="1"/>
      <c r="S37" s="1"/>
      <c r="T37" s="1"/>
      <c r="U37" s="1"/>
      <c r="V37" s="1"/>
      <c r="W37" s="1"/>
      <c r="X37" s="1"/>
      <c r="Y37" s="1"/>
      <c r="Z37" s="1"/>
    </row>
    <row r="38" spans="1:26" ht="12" customHeight="1">
      <c r="A38" s="39"/>
      <c r="B38" s="40"/>
      <c r="C38" s="40"/>
      <c r="D38" s="40"/>
      <c r="E38" s="40"/>
      <c r="F38" s="66">
        <v>1</v>
      </c>
      <c r="G38" s="67">
        <v>153744535</v>
      </c>
      <c r="H38" s="67">
        <v>38436133</v>
      </c>
      <c r="I38" s="67">
        <v>1460573</v>
      </c>
      <c r="J38" s="68">
        <f>G38+H38+I38</f>
        <v>193641241</v>
      </c>
      <c r="K38" s="69">
        <f>+J38/$C$19</f>
        <v>0.49999998579848021</v>
      </c>
      <c r="L38" s="70">
        <v>45448</v>
      </c>
      <c r="M38" s="7"/>
      <c r="N38" s="7"/>
      <c r="O38" s="7"/>
      <c r="P38" s="7"/>
      <c r="Q38" s="7"/>
      <c r="R38" s="7"/>
      <c r="S38" s="7"/>
      <c r="T38" s="7"/>
      <c r="U38" s="7"/>
      <c r="V38" s="7"/>
      <c r="W38" s="7"/>
      <c r="X38" s="7"/>
      <c r="Y38" s="7"/>
      <c r="Z38" s="7"/>
    </row>
    <row r="39" spans="1:26" ht="12" customHeight="1">
      <c r="A39" s="39"/>
      <c r="B39" s="40"/>
      <c r="C39" s="40"/>
      <c r="D39" s="40"/>
      <c r="E39" s="40"/>
      <c r="F39" s="71">
        <v>2</v>
      </c>
      <c r="G39" s="72">
        <v>0</v>
      </c>
      <c r="H39" s="72">
        <v>0</v>
      </c>
      <c r="I39" s="72"/>
      <c r="J39" s="73">
        <f t="shared" ref="J39:J49" si="0">+G39-H39</f>
        <v>0</v>
      </c>
      <c r="K39" s="74">
        <f t="shared" ref="K39:K49" si="1">+G39/$C$19</f>
        <v>0</v>
      </c>
      <c r="L39" s="75"/>
      <c r="M39" s="7"/>
      <c r="N39" s="7"/>
      <c r="O39" s="7"/>
      <c r="P39" s="7"/>
      <c r="Q39" s="7"/>
      <c r="R39" s="7"/>
      <c r="S39" s="7"/>
      <c r="T39" s="7"/>
      <c r="U39" s="7"/>
      <c r="V39" s="7"/>
      <c r="W39" s="7"/>
      <c r="X39" s="7"/>
      <c r="Y39" s="7"/>
      <c r="Z39" s="7"/>
    </row>
    <row r="40" spans="1:26" ht="12" customHeight="1">
      <c r="A40" s="39"/>
      <c r="B40" s="40"/>
      <c r="C40" s="40"/>
      <c r="D40" s="40"/>
      <c r="E40" s="40"/>
      <c r="F40" s="71">
        <v>3</v>
      </c>
      <c r="G40" s="72">
        <v>0</v>
      </c>
      <c r="H40" s="72">
        <v>0</v>
      </c>
      <c r="I40" s="72"/>
      <c r="J40" s="73">
        <f t="shared" si="0"/>
        <v>0</v>
      </c>
      <c r="K40" s="74">
        <f t="shared" si="1"/>
        <v>0</v>
      </c>
      <c r="L40" s="75"/>
      <c r="M40" s="7"/>
      <c r="N40" s="7"/>
      <c r="O40" s="7"/>
      <c r="P40" s="7"/>
      <c r="Q40" s="7"/>
      <c r="R40" s="7"/>
      <c r="S40" s="7"/>
      <c r="T40" s="7"/>
      <c r="U40" s="7"/>
      <c r="V40" s="7"/>
      <c r="W40" s="7"/>
      <c r="X40" s="7"/>
      <c r="Y40" s="7"/>
      <c r="Z40" s="7"/>
    </row>
    <row r="41" spans="1:26" ht="12" customHeight="1">
      <c r="A41" s="39"/>
      <c r="B41" s="40"/>
      <c r="C41" s="40"/>
      <c r="D41" s="40"/>
      <c r="E41" s="40"/>
      <c r="F41" s="76">
        <v>6</v>
      </c>
      <c r="G41" s="72">
        <v>0</v>
      </c>
      <c r="H41" s="72">
        <v>0</v>
      </c>
      <c r="I41" s="72"/>
      <c r="J41" s="77">
        <f>+G41-H41</f>
        <v>0</v>
      </c>
      <c r="K41" s="74">
        <f t="shared" si="1"/>
        <v>0</v>
      </c>
      <c r="L41" s="78"/>
      <c r="M41" s="7"/>
      <c r="N41" s="7"/>
      <c r="O41" s="7"/>
      <c r="P41" s="7"/>
      <c r="Q41" s="7"/>
      <c r="R41" s="7"/>
      <c r="S41" s="7"/>
      <c r="T41" s="7"/>
      <c r="U41" s="7"/>
      <c r="V41" s="7"/>
      <c r="W41" s="7"/>
      <c r="X41" s="7"/>
      <c r="Y41" s="7"/>
      <c r="Z41" s="7"/>
    </row>
    <row r="42" spans="1:26" ht="12" customHeight="1">
      <c r="A42" s="39"/>
      <c r="B42" s="40"/>
      <c r="C42" s="40"/>
      <c r="D42" s="40"/>
      <c r="E42" s="40"/>
      <c r="F42" s="76">
        <v>7</v>
      </c>
      <c r="G42" s="72">
        <v>0</v>
      </c>
      <c r="H42" s="72">
        <v>0</v>
      </c>
      <c r="I42" s="72"/>
      <c r="J42" s="77">
        <f t="shared" si="0"/>
        <v>0</v>
      </c>
      <c r="K42" s="74">
        <f t="shared" si="1"/>
        <v>0</v>
      </c>
      <c r="L42" s="78"/>
      <c r="M42" s="7"/>
      <c r="N42" s="7"/>
      <c r="O42" s="7"/>
      <c r="P42" s="7"/>
      <c r="Q42" s="7"/>
      <c r="R42" s="7"/>
      <c r="S42" s="7"/>
      <c r="T42" s="7"/>
      <c r="U42" s="7"/>
      <c r="V42" s="7"/>
      <c r="W42" s="7"/>
      <c r="X42" s="7"/>
      <c r="Y42" s="7"/>
      <c r="Z42" s="7"/>
    </row>
    <row r="43" spans="1:26" ht="12" customHeight="1">
      <c r="A43" s="39"/>
      <c r="B43" s="40"/>
      <c r="C43" s="40"/>
      <c r="D43" s="40"/>
      <c r="E43" s="40"/>
      <c r="F43" s="76">
        <v>8</v>
      </c>
      <c r="G43" s="72">
        <v>0</v>
      </c>
      <c r="H43" s="72">
        <v>0</v>
      </c>
      <c r="I43" s="72"/>
      <c r="J43" s="77">
        <f t="shared" si="0"/>
        <v>0</v>
      </c>
      <c r="K43" s="74">
        <f t="shared" si="1"/>
        <v>0</v>
      </c>
      <c r="L43" s="78"/>
      <c r="M43" s="7"/>
      <c r="N43" s="7"/>
      <c r="O43" s="7"/>
      <c r="P43" s="7"/>
      <c r="Q43" s="7"/>
      <c r="R43" s="7"/>
      <c r="S43" s="7"/>
      <c r="T43" s="7"/>
      <c r="U43" s="7"/>
      <c r="V43" s="7"/>
      <c r="W43" s="7"/>
      <c r="X43" s="7"/>
      <c r="Y43" s="7"/>
      <c r="Z43" s="7"/>
    </row>
    <row r="44" spans="1:26" ht="12" customHeight="1">
      <c r="A44" s="39"/>
      <c r="B44" s="40"/>
      <c r="C44" s="40"/>
      <c r="D44" s="40"/>
      <c r="E44" s="40"/>
      <c r="F44" s="76">
        <v>9</v>
      </c>
      <c r="G44" s="72">
        <v>0</v>
      </c>
      <c r="H44" s="79">
        <v>0</v>
      </c>
      <c r="I44" s="101"/>
      <c r="J44" s="77">
        <f>+G44-H44</f>
        <v>0</v>
      </c>
      <c r="K44" s="74">
        <f t="shared" si="1"/>
        <v>0</v>
      </c>
      <c r="L44" s="78"/>
      <c r="M44" s="7"/>
      <c r="N44" s="7"/>
      <c r="O44" s="7"/>
      <c r="P44" s="7"/>
      <c r="Q44" s="7"/>
      <c r="R44" s="7"/>
      <c r="S44" s="7"/>
      <c r="T44" s="7"/>
      <c r="U44" s="7"/>
      <c r="V44" s="7"/>
      <c r="W44" s="7"/>
      <c r="X44" s="7"/>
      <c r="Y44" s="7"/>
      <c r="Z44" s="7"/>
    </row>
    <row r="45" spans="1:26" ht="12" customHeight="1">
      <c r="A45" s="39"/>
      <c r="B45" s="40"/>
      <c r="C45" s="40"/>
      <c r="D45" s="40"/>
      <c r="E45" s="40"/>
      <c r="F45" s="76">
        <v>10</v>
      </c>
      <c r="G45" s="72">
        <v>0</v>
      </c>
      <c r="H45" s="80">
        <v>0</v>
      </c>
      <c r="I45" s="80"/>
      <c r="J45" s="77">
        <f t="shared" si="0"/>
        <v>0</v>
      </c>
      <c r="K45" s="74">
        <f t="shared" si="1"/>
        <v>0</v>
      </c>
      <c r="L45" s="78"/>
      <c r="M45" s="7"/>
      <c r="N45" s="7"/>
      <c r="O45" s="7"/>
      <c r="P45" s="7"/>
      <c r="Q45" s="7"/>
      <c r="R45" s="7"/>
      <c r="S45" s="7"/>
      <c r="T45" s="7"/>
      <c r="U45" s="7"/>
      <c r="V45" s="7"/>
      <c r="W45" s="7"/>
      <c r="X45" s="7"/>
      <c r="Y45" s="7"/>
      <c r="Z45" s="7"/>
    </row>
    <row r="46" spans="1:26" ht="30.75" customHeight="1" thickBot="1">
      <c r="A46" s="39"/>
      <c r="B46" s="40"/>
      <c r="C46" s="40"/>
      <c r="D46" s="40"/>
      <c r="E46" s="40"/>
      <c r="F46" s="76">
        <v>11</v>
      </c>
      <c r="G46" s="72">
        <v>0</v>
      </c>
      <c r="H46" s="72">
        <v>0</v>
      </c>
      <c r="I46" s="72"/>
      <c r="J46" s="77">
        <f t="shared" si="0"/>
        <v>0</v>
      </c>
      <c r="K46" s="74">
        <f t="shared" si="1"/>
        <v>0</v>
      </c>
      <c r="L46" s="78"/>
      <c r="M46" s="7"/>
      <c r="N46" s="7"/>
      <c r="O46" s="7"/>
      <c r="P46" s="7"/>
      <c r="Q46" s="7"/>
      <c r="R46" s="7"/>
      <c r="S46" s="7"/>
      <c r="T46" s="7"/>
      <c r="U46" s="7"/>
      <c r="V46" s="7"/>
      <c r="W46" s="7"/>
      <c r="X46" s="7"/>
      <c r="Y46" s="7"/>
      <c r="Z46" s="7"/>
    </row>
    <row r="47" spans="1:26" ht="12" customHeight="1">
      <c r="A47" s="431"/>
      <c r="B47" s="567"/>
      <c r="C47" s="81" t="s">
        <v>144</v>
      </c>
      <c r="D47" s="81" t="s">
        <v>145</v>
      </c>
      <c r="E47" s="82" t="s">
        <v>146</v>
      </c>
      <c r="F47" s="83">
        <v>12</v>
      </c>
      <c r="G47" s="72">
        <v>0</v>
      </c>
      <c r="H47" s="72">
        <f>G47*0.2</f>
        <v>0</v>
      </c>
      <c r="I47" s="72"/>
      <c r="J47" s="77">
        <f t="shared" si="0"/>
        <v>0</v>
      </c>
      <c r="K47" s="74">
        <f t="shared" si="1"/>
        <v>0</v>
      </c>
      <c r="L47" s="78"/>
      <c r="M47" s="7"/>
      <c r="N47" s="7"/>
      <c r="O47" s="7"/>
      <c r="P47" s="7"/>
      <c r="Q47" s="7"/>
      <c r="R47" s="7"/>
      <c r="S47" s="7"/>
      <c r="T47" s="7"/>
      <c r="U47" s="7"/>
      <c r="V47" s="7"/>
      <c r="W47" s="7"/>
      <c r="X47" s="7"/>
      <c r="Y47" s="7"/>
      <c r="Z47" s="7"/>
    </row>
    <row r="48" spans="1:26" ht="12.75" customHeight="1">
      <c r="A48" s="432" t="s">
        <v>147</v>
      </c>
      <c r="B48" s="560"/>
      <c r="C48" s="84">
        <v>0.2571</v>
      </c>
      <c r="D48" s="84">
        <v>0.66459999999999997</v>
      </c>
      <c r="E48" s="85">
        <f>D48-C48</f>
        <v>0.40749999999999997</v>
      </c>
      <c r="F48" s="83">
        <v>13</v>
      </c>
      <c r="G48" s="72">
        <v>0</v>
      </c>
      <c r="H48" s="72">
        <f>G48*0.2</f>
        <v>0</v>
      </c>
      <c r="I48" s="72"/>
      <c r="J48" s="77">
        <f t="shared" si="0"/>
        <v>0</v>
      </c>
      <c r="K48" s="74">
        <f t="shared" si="1"/>
        <v>0</v>
      </c>
      <c r="L48" s="78"/>
      <c r="M48" s="7"/>
      <c r="N48" s="7"/>
      <c r="O48" s="7"/>
      <c r="P48" s="7"/>
      <c r="Q48" s="7"/>
      <c r="R48" s="7"/>
      <c r="S48" s="7"/>
      <c r="T48" s="7"/>
      <c r="U48" s="7"/>
      <c r="V48" s="7"/>
      <c r="W48" s="7"/>
      <c r="X48" s="7"/>
      <c r="Y48" s="7"/>
      <c r="Z48" s="7"/>
    </row>
    <row r="49" spans="1:26" ht="12.75" customHeight="1">
      <c r="A49" s="432" t="s">
        <v>148</v>
      </c>
      <c r="B49" s="560"/>
      <c r="C49" s="84">
        <f>K29-C48</f>
        <v>0.5286142857142857</v>
      </c>
      <c r="D49" s="84">
        <f>E130-D48</f>
        <v>0.23861784024923649</v>
      </c>
      <c r="E49" s="85">
        <f>D49+D48-C49</f>
        <v>0.37460355453495076</v>
      </c>
      <c r="F49" s="83">
        <v>14</v>
      </c>
      <c r="G49" s="73">
        <v>0</v>
      </c>
      <c r="H49" s="73">
        <f>G49*0.2</f>
        <v>0</v>
      </c>
      <c r="I49" s="73"/>
      <c r="J49" s="77">
        <f t="shared" si="0"/>
        <v>0</v>
      </c>
      <c r="K49" s="74">
        <f t="shared" si="1"/>
        <v>0</v>
      </c>
      <c r="L49" s="78"/>
      <c r="M49" s="7"/>
      <c r="N49" s="7"/>
      <c r="O49" s="7"/>
      <c r="P49" s="7"/>
      <c r="Q49" s="7"/>
      <c r="R49" s="7"/>
      <c r="S49" s="7"/>
      <c r="T49" s="7"/>
      <c r="U49" s="7"/>
      <c r="V49" s="7"/>
      <c r="W49" s="7"/>
      <c r="X49" s="7"/>
      <c r="Y49" s="7"/>
      <c r="Z49" s="7"/>
    </row>
    <row r="50" spans="1:26" ht="21.75" customHeight="1" thickBot="1">
      <c r="A50" s="433" t="s">
        <v>149</v>
      </c>
      <c r="B50" s="568"/>
      <c r="C50" s="84">
        <f>C48+C49</f>
        <v>0.7857142857142857</v>
      </c>
      <c r="D50" s="86">
        <f>D48+D49</f>
        <v>0.90321784024923646</v>
      </c>
      <c r="E50" s="87">
        <f>D50-C50</f>
        <v>0.11750355453495076</v>
      </c>
      <c r="F50" s="88" t="s">
        <v>150</v>
      </c>
      <c r="G50" s="89">
        <f>SUM(G38:G48)</f>
        <v>153744535</v>
      </c>
      <c r="H50" s="89">
        <f>SUM(H38:H48)</f>
        <v>38436133</v>
      </c>
      <c r="I50" s="89"/>
      <c r="J50" s="89">
        <f>SUM(J38:J48)</f>
        <v>193641241</v>
      </c>
      <c r="K50" s="90">
        <f>SUM(K38:K49)</f>
        <v>0.49999998579848021</v>
      </c>
      <c r="L50" s="91"/>
      <c r="M50" s="7"/>
      <c r="N50" s="7"/>
      <c r="O50" s="7"/>
      <c r="P50" s="7"/>
      <c r="Q50" s="7"/>
      <c r="R50" s="7"/>
      <c r="S50" s="7"/>
      <c r="T50" s="7"/>
      <c r="U50" s="7"/>
      <c r="V50" s="7"/>
      <c r="W50" s="7"/>
      <c r="X50" s="7"/>
      <c r="Y50" s="7"/>
      <c r="Z50" s="7"/>
    </row>
    <row r="51" spans="1:26" ht="12.75" customHeight="1">
      <c r="A51" s="39"/>
      <c r="B51" s="40"/>
      <c r="C51" s="40"/>
      <c r="D51" s="40"/>
      <c r="E51" s="40"/>
      <c r="F51" s="58"/>
      <c r="G51" s="58"/>
      <c r="H51" s="58"/>
      <c r="I51" s="58"/>
      <c r="J51" s="58"/>
      <c r="K51" s="58"/>
      <c r="L51" s="92"/>
      <c r="M51" s="7"/>
      <c r="N51" s="7"/>
      <c r="O51" s="7"/>
      <c r="P51" s="7"/>
      <c r="Q51" s="7"/>
      <c r="R51" s="7"/>
      <c r="S51" s="7"/>
      <c r="T51" s="7"/>
      <c r="U51" s="7"/>
      <c r="V51" s="7"/>
      <c r="W51" s="7"/>
      <c r="X51" s="7"/>
      <c r="Y51" s="7"/>
      <c r="Z51" s="7"/>
    </row>
    <row r="52" spans="1:26" ht="12" customHeight="1" thickBot="1">
      <c r="A52" s="9"/>
      <c r="B52" s="7"/>
      <c r="C52" s="10"/>
      <c r="D52" s="10"/>
      <c r="E52" s="7"/>
      <c r="F52" s="7"/>
      <c r="G52" s="7"/>
      <c r="H52" s="7"/>
      <c r="I52" s="7"/>
      <c r="J52" s="7"/>
      <c r="K52" s="7"/>
      <c r="L52" s="11"/>
      <c r="M52" s="7"/>
      <c r="N52" s="7"/>
      <c r="O52" s="7"/>
      <c r="P52" s="7"/>
      <c r="Q52" s="7"/>
      <c r="R52" s="7"/>
      <c r="S52" s="7"/>
      <c r="T52" s="7"/>
      <c r="U52" s="7"/>
      <c r="V52" s="7"/>
      <c r="W52" s="7"/>
      <c r="X52" s="7"/>
      <c r="Y52" s="7"/>
      <c r="Z52" s="7"/>
    </row>
    <row r="53" spans="1:26" ht="15.75" customHeight="1" thickBot="1">
      <c r="A53" s="434" t="s">
        <v>151</v>
      </c>
      <c r="B53" s="569"/>
      <c r="C53" s="569"/>
      <c r="D53" s="569"/>
      <c r="E53" s="569"/>
      <c r="F53" s="569"/>
      <c r="G53" s="569"/>
      <c r="H53" s="569"/>
      <c r="I53" s="569"/>
      <c r="J53" s="569"/>
      <c r="K53" s="569"/>
      <c r="L53" s="570"/>
      <c r="M53" s="13"/>
      <c r="N53" s="13"/>
      <c r="O53" s="13"/>
      <c r="P53" s="13"/>
      <c r="Q53" s="13"/>
      <c r="R53" s="13"/>
      <c r="S53" s="13"/>
      <c r="T53" s="13"/>
      <c r="U53" s="13"/>
      <c r="V53" s="13"/>
      <c r="W53" s="13"/>
      <c r="X53" s="13"/>
      <c r="Y53" s="13"/>
      <c r="Z53" s="13"/>
    </row>
    <row r="54" spans="1:26" ht="15.75" customHeight="1">
      <c r="A54" s="435" t="s">
        <v>152</v>
      </c>
      <c r="B54" s="558"/>
      <c r="C54" s="558"/>
      <c r="D54" s="558"/>
      <c r="E54" s="571"/>
      <c r="F54" s="436">
        <f>J50</f>
        <v>193641241</v>
      </c>
      <c r="G54" s="572"/>
      <c r="H54" s="437" t="s">
        <v>153</v>
      </c>
      <c r="I54" s="438"/>
      <c r="J54" s="571"/>
      <c r="K54" s="439">
        <f>F54/J31</f>
        <v>0.49999998579848021</v>
      </c>
      <c r="L54" s="559"/>
      <c r="M54" s="13"/>
      <c r="N54" s="13"/>
      <c r="O54" s="13"/>
      <c r="P54" s="13"/>
      <c r="Q54" s="13"/>
      <c r="R54" s="13"/>
      <c r="S54" s="13"/>
      <c r="T54" s="13"/>
      <c r="U54" s="13"/>
      <c r="V54" s="13"/>
      <c r="W54" s="13"/>
      <c r="X54" s="13"/>
      <c r="Y54" s="13"/>
      <c r="Z54" s="13"/>
    </row>
    <row r="55" spans="1:26" ht="15.75" customHeight="1" thickBot="1">
      <c r="A55" s="421" t="s">
        <v>154</v>
      </c>
      <c r="B55" s="573"/>
      <c r="C55" s="573"/>
      <c r="D55" s="573"/>
      <c r="E55" s="574"/>
      <c r="F55" s="422">
        <f>J33-F54</f>
        <v>193641252</v>
      </c>
      <c r="G55" s="575"/>
      <c r="H55" s="423" t="s">
        <v>153</v>
      </c>
      <c r="I55" s="424"/>
      <c r="J55" s="574"/>
      <c r="K55" s="425">
        <f>F55/J31</f>
        <v>0.50000001420151985</v>
      </c>
      <c r="L55" s="576"/>
      <c r="M55" s="13"/>
      <c r="N55" s="13"/>
      <c r="O55" s="13"/>
      <c r="P55" s="13"/>
      <c r="Q55" s="13"/>
      <c r="R55" s="13"/>
      <c r="S55" s="13"/>
      <c r="T55" s="13"/>
      <c r="U55" s="13"/>
      <c r="V55" s="13"/>
      <c r="W55" s="13"/>
      <c r="X55" s="13"/>
      <c r="Y55" s="13"/>
      <c r="Z55" s="13"/>
    </row>
    <row r="56" spans="1:26" ht="16.5" customHeight="1" thickBot="1">
      <c r="A56" s="39"/>
      <c r="B56" s="40"/>
      <c r="C56" s="41"/>
      <c r="D56" s="41"/>
      <c r="E56" s="40"/>
      <c r="F56" s="40"/>
      <c r="G56" s="40"/>
      <c r="H56" s="40"/>
      <c r="I56" s="40"/>
      <c r="J56" s="40"/>
      <c r="K56" s="40"/>
      <c r="L56" s="42"/>
      <c r="M56" s="7"/>
      <c r="N56" s="7"/>
      <c r="O56" s="7"/>
      <c r="P56" s="7"/>
      <c r="Q56" s="7"/>
      <c r="R56" s="7"/>
      <c r="S56" s="7"/>
      <c r="T56" s="7"/>
      <c r="U56" s="7"/>
      <c r="V56" s="7"/>
      <c r="W56" s="7"/>
      <c r="X56" s="7"/>
      <c r="Y56" s="7"/>
      <c r="Z56" s="7"/>
    </row>
    <row r="57" spans="1:26" ht="15.75" customHeight="1" thickBot="1">
      <c r="A57" s="426" t="s">
        <v>155</v>
      </c>
      <c r="B57" s="427"/>
      <c r="C57" s="427"/>
      <c r="D57" s="427"/>
      <c r="E57" s="427"/>
      <c r="F57" s="427"/>
      <c r="G57" s="427"/>
      <c r="H57" s="427"/>
      <c r="I57" s="427"/>
      <c r="J57" s="427"/>
      <c r="K57" s="427"/>
      <c r="L57" s="428"/>
      <c r="M57" s="7"/>
      <c r="N57" s="7"/>
      <c r="O57" s="7"/>
      <c r="P57" s="7"/>
      <c r="Q57" s="7"/>
      <c r="R57" s="7"/>
      <c r="S57" s="7"/>
      <c r="T57" s="7"/>
      <c r="U57" s="7"/>
      <c r="V57" s="7"/>
      <c r="W57" s="7"/>
      <c r="X57" s="7"/>
      <c r="Y57" s="7"/>
      <c r="Z57" s="7"/>
    </row>
    <row r="58" spans="1:26" ht="20.100000000000001" customHeight="1">
      <c r="A58" s="43"/>
      <c r="B58" s="44"/>
      <c r="C58" s="44"/>
      <c r="D58" s="45"/>
      <c r="E58" s="45"/>
      <c r="F58" s="44"/>
      <c r="G58" s="44"/>
      <c r="H58" s="44"/>
      <c r="I58" s="44"/>
      <c r="J58" s="44"/>
      <c r="K58" s="44"/>
      <c r="L58" s="46"/>
      <c r="M58" s="7"/>
      <c r="N58" s="7"/>
      <c r="O58" s="7"/>
      <c r="P58" s="7"/>
      <c r="Q58" s="7"/>
      <c r="R58" s="7"/>
      <c r="S58" s="7"/>
      <c r="T58" s="7"/>
      <c r="U58" s="7"/>
      <c r="V58" s="7"/>
      <c r="W58" s="7"/>
      <c r="X58" s="7"/>
      <c r="Y58" s="7"/>
      <c r="Z58" s="7"/>
    </row>
    <row r="59" spans="1:26" ht="20.100000000000001" customHeight="1">
      <c r="A59" s="47" t="s">
        <v>156</v>
      </c>
      <c r="B59" s="429" t="s">
        <v>157</v>
      </c>
      <c r="C59" s="430"/>
      <c r="D59" s="48" t="s">
        <v>158</v>
      </c>
      <c r="E59" s="48" t="s">
        <v>159</v>
      </c>
      <c r="F59" s="49"/>
      <c r="G59" s="49"/>
      <c r="H59" s="49"/>
      <c r="I59" s="49"/>
      <c r="J59" s="49"/>
      <c r="K59" s="49"/>
      <c r="L59" s="50"/>
      <c r="M59" s="8"/>
      <c r="N59" s="8"/>
      <c r="O59" s="8"/>
      <c r="P59" s="8"/>
      <c r="Q59" s="8"/>
      <c r="R59" s="8"/>
      <c r="S59" s="8"/>
      <c r="T59" s="8"/>
      <c r="U59" s="8"/>
      <c r="V59" s="8"/>
      <c r="W59" s="8"/>
      <c r="X59" s="8"/>
      <c r="Y59" s="8"/>
      <c r="Z59" s="8"/>
    </row>
    <row r="60" spans="1:26" ht="20.100000000000001" customHeight="1">
      <c r="A60" s="47"/>
      <c r="B60" s="429" t="s">
        <v>160</v>
      </c>
      <c r="C60" s="430"/>
      <c r="D60" s="48"/>
      <c r="E60" s="48"/>
      <c r="F60" s="49"/>
      <c r="G60" s="49"/>
      <c r="H60" s="49"/>
      <c r="I60" s="49"/>
      <c r="J60" s="49"/>
      <c r="K60" s="49"/>
      <c r="L60" s="50"/>
      <c r="M60" s="8"/>
      <c r="N60" s="8"/>
      <c r="O60" s="8"/>
      <c r="P60" s="8"/>
      <c r="Q60" s="8"/>
      <c r="R60" s="8"/>
      <c r="S60" s="8"/>
      <c r="T60" s="8"/>
      <c r="U60" s="8"/>
      <c r="V60" s="8"/>
      <c r="W60" s="8"/>
      <c r="X60" s="8"/>
      <c r="Y60" s="8"/>
      <c r="Z60" s="8"/>
    </row>
    <row r="61" spans="1:26" ht="58.5" customHeight="1">
      <c r="A61" s="51">
        <v>1.01</v>
      </c>
      <c r="B61" s="442" t="s">
        <v>25</v>
      </c>
      <c r="C61" s="443"/>
      <c r="D61" s="177">
        <f>'AVANCE DE OBRA '!F7</f>
        <v>85043301</v>
      </c>
      <c r="E61" s="52">
        <f>'AVANCE DE OBRA '!AB7</f>
        <v>76581281</v>
      </c>
      <c r="F61" s="49"/>
      <c r="G61" s="49"/>
      <c r="H61" s="49"/>
      <c r="I61" s="49"/>
      <c r="J61" s="49"/>
      <c r="K61" s="49"/>
      <c r="L61" s="50"/>
      <c r="M61" s="16"/>
      <c r="N61" s="16"/>
      <c r="O61" s="16"/>
      <c r="P61" s="16"/>
      <c r="Q61" s="16"/>
      <c r="R61" s="16"/>
      <c r="S61" s="16"/>
      <c r="T61" s="16"/>
      <c r="U61" s="16"/>
      <c r="V61" s="16"/>
      <c r="W61" s="16"/>
      <c r="X61" s="16"/>
      <c r="Y61" s="16"/>
      <c r="Z61" s="16"/>
    </row>
    <row r="62" spans="1:26" ht="87" customHeight="1">
      <c r="A62" s="51">
        <v>1.02</v>
      </c>
      <c r="B62" s="442" t="s">
        <v>27</v>
      </c>
      <c r="C62" s="443"/>
      <c r="D62" s="52">
        <f>'AVANCE DE OBRA '!F8</f>
        <v>7349856</v>
      </c>
      <c r="E62" s="52">
        <f>'AVANCE DE OBRA '!AB8</f>
        <v>7349856</v>
      </c>
      <c r="F62" s="49"/>
      <c r="G62" s="49"/>
      <c r="H62" s="49"/>
      <c r="I62" s="49"/>
      <c r="J62" s="49"/>
      <c r="K62" s="49"/>
      <c r="L62" s="50"/>
      <c r="M62" s="104"/>
      <c r="N62" s="17"/>
      <c r="O62" s="17"/>
      <c r="P62" s="17"/>
      <c r="Q62" s="17"/>
      <c r="R62" s="17"/>
      <c r="S62" s="17"/>
      <c r="T62" s="17"/>
      <c r="U62" s="17"/>
      <c r="V62" s="17"/>
      <c r="W62" s="17"/>
      <c r="X62" s="17"/>
      <c r="Y62" s="17"/>
      <c r="Z62" s="17"/>
    </row>
    <row r="63" spans="1:26" ht="54" customHeight="1">
      <c r="A63" s="51">
        <v>1.03</v>
      </c>
      <c r="B63" s="442" t="str">
        <f>'AVANCE DE OBRA '!B9</f>
        <v>Suministro e instalación  de Luminaria - HERMETICA  IT 1OO AQ DUNA LENS E10 660X95X100 SOBRE PONER18W</v>
      </c>
      <c r="C63" s="443"/>
      <c r="D63" s="52">
        <f>'AVANCE DE OBRA '!F9</f>
        <v>2096032</v>
      </c>
      <c r="E63" s="52">
        <f>'AVANCE DE OBRA '!AB9</f>
        <v>1048016</v>
      </c>
      <c r="F63" s="49"/>
      <c r="G63" s="49"/>
      <c r="H63" s="49"/>
      <c r="I63" s="49"/>
      <c r="J63" s="49"/>
      <c r="K63" s="49"/>
      <c r="L63" s="50"/>
      <c r="M63" s="7"/>
      <c r="N63" s="7"/>
      <c r="O63" s="7"/>
      <c r="P63" s="7"/>
      <c r="Q63" s="7"/>
      <c r="R63" s="7"/>
      <c r="S63" s="7"/>
      <c r="T63" s="7"/>
      <c r="U63" s="7"/>
      <c r="V63" s="7"/>
      <c r="W63" s="7"/>
      <c r="X63" s="7"/>
      <c r="Y63" s="7"/>
      <c r="Z63" s="7"/>
    </row>
    <row r="64" spans="1:26" ht="52.5" customHeight="1">
      <c r="A64" s="51">
        <v>1.04</v>
      </c>
      <c r="B64" s="442" t="str">
        <f>'AVANCE DE OBRA '!B10</f>
        <v>Suministro  e  instalación  de Luminaria BALA LED REDONDA 22W pasillos</v>
      </c>
      <c r="C64" s="443"/>
      <c r="D64" s="52">
        <f>'AVANCE DE OBRA '!F10</f>
        <v>4732868</v>
      </c>
      <c r="E64" s="52">
        <f>'AVANCE DE OBRA '!AB10</f>
        <v>4732868</v>
      </c>
      <c r="F64" s="49"/>
      <c r="G64" s="49"/>
      <c r="H64" s="49"/>
      <c r="I64" s="49"/>
      <c r="J64" s="49"/>
      <c r="K64" s="49"/>
      <c r="L64" s="50"/>
      <c r="M64" s="8"/>
      <c r="N64" s="8"/>
      <c r="O64" s="8"/>
      <c r="P64" s="8"/>
      <c r="Q64" s="8"/>
      <c r="R64" s="8"/>
      <c r="S64" s="8"/>
      <c r="T64" s="8"/>
      <c r="U64" s="8"/>
      <c r="V64" s="8"/>
      <c r="W64" s="8"/>
      <c r="X64" s="8"/>
      <c r="Y64" s="8"/>
      <c r="Z64" s="8"/>
    </row>
    <row r="65" spans="1:26" ht="54" customHeight="1">
      <c r="A65" s="51">
        <v>1.05</v>
      </c>
      <c r="B65" s="442" t="str">
        <f>'AVANCE DE OBRA '!B12</f>
        <v>Retiro de Luminaria Existente de 60x60</v>
      </c>
      <c r="C65" s="443"/>
      <c r="D65" s="52">
        <f>'AVANCE DE OBRA '!F12</f>
        <v>4666014</v>
      </c>
      <c r="E65" s="52">
        <f>'AVANCE DE OBRA '!AB12</f>
        <v>4433874</v>
      </c>
      <c r="F65" s="49"/>
      <c r="G65" s="49"/>
      <c r="H65" s="49"/>
      <c r="I65" s="49"/>
      <c r="J65" s="49"/>
      <c r="K65" s="49"/>
      <c r="L65" s="50"/>
      <c r="M65" s="1"/>
      <c r="N65" s="1"/>
      <c r="O65" s="1"/>
      <c r="P65" s="1"/>
      <c r="Q65" s="1"/>
      <c r="R65" s="1"/>
      <c r="S65" s="1"/>
      <c r="T65" s="1"/>
      <c r="U65" s="1"/>
      <c r="V65" s="1"/>
      <c r="W65" s="1"/>
      <c r="X65" s="1"/>
      <c r="Y65" s="1"/>
      <c r="Z65" s="1"/>
    </row>
    <row r="66" spans="1:26" ht="47.25" customHeight="1">
      <c r="A66" s="51">
        <v>1.06</v>
      </c>
      <c r="B66" s="442" t="str">
        <f>'AVANCE DE OBRA '!B13</f>
        <v xml:space="preserve">Retiro de Luminaria Existente bala led de 22 w  en pasillos </v>
      </c>
      <c r="C66" s="443"/>
      <c r="D66" s="52">
        <f>'AVANCE DE OBRA '!F13</f>
        <v>649992</v>
      </c>
      <c r="E66" s="52">
        <f>'AVANCE DE OBRA '!AB13</f>
        <v>673206</v>
      </c>
      <c r="F66" s="49"/>
      <c r="G66" s="49"/>
      <c r="H66" s="49"/>
      <c r="I66" s="49"/>
      <c r="J66" s="49"/>
      <c r="K66" s="49"/>
      <c r="L66" s="50"/>
      <c r="M66" s="8"/>
      <c r="N66" s="8"/>
      <c r="O66" s="8"/>
      <c r="P66" s="8"/>
      <c r="Q66" s="8"/>
      <c r="R66" s="8"/>
      <c r="S66" s="8"/>
      <c r="T66" s="8"/>
      <c r="U66" s="8"/>
      <c r="V66" s="8"/>
      <c r="W66" s="8"/>
      <c r="X66" s="8"/>
      <c r="Y66" s="8"/>
      <c r="Z66" s="8"/>
    </row>
    <row r="67" spans="1:26" ht="72" customHeight="1">
      <c r="A67" s="51">
        <v>1.07</v>
      </c>
      <c r="B67" s="442" t="str">
        <f>'AVANCE DE OBRA '!B14</f>
        <v>Suspensión aislada de punto eléctrico existente</v>
      </c>
      <c r="C67" s="443"/>
      <c r="D67" s="52">
        <f>'AVANCE DE OBRA '!F14</f>
        <v>683160</v>
      </c>
      <c r="E67" s="52">
        <f>'AVANCE DE OBRA '!AB14</f>
        <v>683160</v>
      </c>
      <c r="F67" s="49"/>
      <c r="G67" s="49"/>
      <c r="H67" s="49"/>
      <c r="I67" s="49"/>
      <c r="J67" s="49"/>
      <c r="K67" s="49"/>
      <c r="L67" s="50"/>
      <c r="M67" s="1"/>
      <c r="N67" s="1"/>
      <c r="O67" s="1"/>
      <c r="P67" s="1"/>
      <c r="Q67" s="1"/>
      <c r="R67" s="1"/>
      <c r="S67" s="1"/>
      <c r="T67" s="1"/>
      <c r="U67" s="1"/>
      <c r="V67" s="1"/>
      <c r="W67" s="1"/>
      <c r="X67" s="1"/>
      <c r="Y67" s="1"/>
      <c r="Z67" s="1"/>
    </row>
    <row r="68" spans="1:26" ht="78" customHeight="1">
      <c r="A68" s="51">
        <v>1.08</v>
      </c>
      <c r="B68" s="442" t="str">
        <f>'AVANCE DE OBRA '!B15</f>
        <v>Reubicación de punto eléctrico</v>
      </c>
      <c r="C68" s="443"/>
      <c r="D68" s="52">
        <f>'AVANCE DE OBRA '!F15</f>
        <v>2641140</v>
      </c>
      <c r="E68" s="52">
        <f>'AVANCE DE OBRA '!AB15</f>
        <v>2641140</v>
      </c>
      <c r="F68" s="49"/>
      <c r="G68" s="49"/>
      <c r="H68" s="49"/>
      <c r="I68" s="49"/>
      <c r="J68" s="49"/>
      <c r="K68" s="49"/>
      <c r="L68" s="50"/>
      <c r="M68" s="1"/>
      <c r="N68" s="1"/>
      <c r="O68" s="1"/>
      <c r="P68" s="1"/>
      <c r="Q68" s="1"/>
      <c r="R68" s="1"/>
      <c r="S68" s="1"/>
      <c r="T68" s="1"/>
      <c r="U68" s="1"/>
      <c r="V68" s="1"/>
      <c r="W68" s="1"/>
      <c r="X68" s="1"/>
      <c r="Y68" s="1"/>
      <c r="Z68" s="1"/>
    </row>
    <row r="69" spans="1:26" ht="77.25" customHeight="1">
      <c r="A69" s="51">
        <v>1.0900000000000001</v>
      </c>
      <c r="B69" s="442" t="str">
        <f>'AVANCE DE OBRA '!B16</f>
        <v>Adecuación de Alimentación de luminarias existentes para unificar circuito de emergencia y circuito Normal</v>
      </c>
      <c r="C69" s="443"/>
      <c r="D69" s="52">
        <f>'AVANCE DE OBRA '!F16</f>
        <v>13193340</v>
      </c>
      <c r="E69" s="278">
        <f>'AVANCE DE OBRA '!AB16</f>
        <v>26166791</v>
      </c>
      <c r="F69" s="49"/>
      <c r="G69" s="49"/>
      <c r="H69" s="49"/>
      <c r="I69" s="49"/>
      <c r="J69" s="49"/>
      <c r="K69" s="49"/>
      <c r="L69" s="50"/>
      <c r="M69" s="1"/>
      <c r="N69" s="1"/>
      <c r="O69" s="1"/>
      <c r="P69" s="1"/>
      <c r="Q69" s="1"/>
      <c r="R69" s="1"/>
      <c r="S69" s="1"/>
      <c r="T69" s="1"/>
      <c r="U69" s="1"/>
      <c r="V69" s="1"/>
      <c r="W69" s="1"/>
      <c r="X69" s="1"/>
      <c r="Y69" s="1"/>
      <c r="Z69" s="1"/>
    </row>
    <row r="70" spans="1:26" ht="67.5" customHeight="1">
      <c r="A70" s="51">
        <v>1.1000000000000001</v>
      </c>
      <c r="B70" s="442" t="str">
        <f>'AVANCE DE OBRA '!B18</f>
        <v>Suministro e instalación de sensor provolt</v>
      </c>
      <c r="C70" s="443"/>
      <c r="D70" s="52">
        <f>'AVANCE DE OBRA '!F18</f>
        <v>46032913</v>
      </c>
      <c r="E70" s="52">
        <f>'AVANCE DE OBRA '!AB18</f>
        <v>38027189</v>
      </c>
      <c r="F70" s="49"/>
      <c r="G70" s="49"/>
      <c r="H70" s="49"/>
      <c r="I70" s="49"/>
      <c r="J70" s="49"/>
      <c r="K70" s="49"/>
      <c r="L70" s="50"/>
      <c r="M70" s="1"/>
      <c r="N70" s="1"/>
      <c r="O70" s="1"/>
      <c r="P70" s="1"/>
      <c r="Q70" s="1"/>
      <c r="R70" s="1"/>
      <c r="S70" s="1"/>
      <c r="T70" s="1"/>
      <c r="U70" s="1"/>
      <c r="V70" s="1"/>
      <c r="W70" s="1"/>
      <c r="X70" s="1"/>
      <c r="Y70" s="1"/>
      <c r="Z70" s="1"/>
    </row>
    <row r="71" spans="1:26" ht="74.25" customHeight="1">
      <c r="A71" s="51">
        <v>1.1100000000000001</v>
      </c>
      <c r="B71" s="442" t="str">
        <f>'AVANCE DE OBRA '!B19</f>
        <v xml:space="preserve">Suministro e instalación de Botonera 4 botones para atenuar luminarias a través de sensor </v>
      </c>
      <c r="C71" s="443"/>
      <c r="D71" s="52">
        <f>'AVANCE DE OBRA '!F19</f>
        <v>10954647</v>
      </c>
      <c r="E71" s="52">
        <f>'AVANCE DE OBRA '!AB19</f>
        <v>9049491</v>
      </c>
      <c r="F71" s="49"/>
      <c r="G71" s="49"/>
      <c r="H71" s="49"/>
      <c r="I71" s="49"/>
      <c r="J71" s="49"/>
      <c r="K71" s="49"/>
      <c r="L71" s="50"/>
      <c r="M71" s="1"/>
      <c r="N71" s="1"/>
      <c r="O71" s="1"/>
      <c r="P71" s="1"/>
      <c r="Q71" s="1"/>
      <c r="R71" s="1"/>
      <c r="S71" s="1"/>
      <c r="T71" s="1"/>
      <c r="U71" s="1"/>
      <c r="V71" s="1"/>
      <c r="W71" s="1"/>
      <c r="X71" s="1"/>
      <c r="Y71" s="1"/>
      <c r="Z71" s="1"/>
    </row>
    <row r="72" spans="1:26" ht="99.75" customHeight="1">
      <c r="A72" s="51">
        <v>1.1200000000000001</v>
      </c>
      <c r="B72" s="442" t="str">
        <f>'AVANCE DE OBRA '!B20</f>
        <v>Suministro e instalación de interconexión de control de lampara a lampara con cable de control de 2x20 AWG que va en las luminarias que utilizan  atenuador de  0-10v</v>
      </c>
      <c r="C72" s="443"/>
      <c r="D72" s="52">
        <f>'AVANCE DE OBRA '!F20</f>
        <v>14577500</v>
      </c>
      <c r="E72" s="52">
        <f>'AVANCE DE OBRA '!AB20</f>
        <v>12967560.9</v>
      </c>
      <c r="F72" s="49"/>
      <c r="G72" s="49"/>
      <c r="H72" s="49"/>
      <c r="I72" s="49"/>
      <c r="J72" s="49"/>
      <c r="K72" s="49"/>
      <c r="L72" s="50"/>
      <c r="M72" s="103"/>
      <c r="N72" s="1"/>
      <c r="O72" s="1"/>
      <c r="P72" s="1"/>
      <c r="Q72" s="1"/>
      <c r="R72" s="1"/>
      <c r="S72" s="1"/>
      <c r="T72" s="1"/>
      <c r="U72" s="1"/>
      <c r="V72" s="1"/>
      <c r="W72" s="1"/>
      <c r="X72" s="1"/>
      <c r="Y72" s="1"/>
      <c r="Z72" s="1"/>
    </row>
    <row r="73" spans="1:26" ht="58.5" customHeight="1">
      <c r="A73" s="51">
        <v>1.1299999999999999</v>
      </c>
      <c r="B73" s="442" t="str">
        <f>'AVANCE DE OBRA '!B21</f>
        <v>Suministro e instalación de encauchetado 3x16AWG desde caja de paso hasta luminaria con accesorios de fijación y empalme eléctrico</v>
      </c>
      <c r="C73" s="443"/>
      <c r="D73" s="52">
        <f>'AVANCE DE OBRA '!F21</f>
        <v>4442900</v>
      </c>
      <c r="E73" s="52">
        <f>'AVANCE DE OBRA '!AB21</f>
        <v>4252490</v>
      </c>
      <c r="F73" s="49"/>
      <c r="G73" s="49"/>
      <c r="H73" s="49"/>
      <c r="I73" s="49"/>
      <c r="J73" s="49"/>
      <c r="K73" s="49"/>
      <c r="L73" s="50"/>
      <c r="M73" s="1"/>
      <c r="N73" s="1"/>
      <c r="O73" s="1"/>
      <c r="P73" s="1"/>
      <c r="Q73" s="1"/>
      <c r="R73" s="1"/>
      <c r="S73" s="1"/>
      <c r="T73" s="1"/>
      <c r="U73" s="1"/>
      <c r="V73" s="1"/>
      <c r="W73" s="1"/>
      <c r="X73" s="1"/>
      <c r="Y73" s="1"/>
      <c r="Z73" s="1"/>
    </row>
    <row r="74" spans="1:26" ht="145.5" customHeight="1">
      <c r="A74" s="51">
        <v>1.1399999999999999</v>
      </c>
      <c r="B74" s="442" t="str">
        <f>'AVANCE DE OBRA '!B22</f>
        <v>Suministro e instalación de salida para iluminación en zona de iluminación de lámparas de emergencia para cumplir requerimiento RETILAP. No incluye tubería, ni circuitos de alimentación.</v>
      </c>
      <c r="C74" s="443"/>
      <c r="D74" s="52">
        <f>'AVANCE DE OBRA '!F22</f>
        <v>3317031</v>
      </c>
      <c r="E74" s="52">
        <f>'AVANCE DE OBRA '!AB22</f>
        <v>3808443</v>
      </c>
      <c r="F74" s="49"/>
      <c r="G74" s="49"/>
      <c r="H74" s="49"/>
      <c r="I74" s="49"/>
      <c r="J74" s="49"/>
      <c r="K74" s="49"/>
      <c r="L74" s="50"/>
      <c r="M74" s="1"/>
      <c r="N74" s="1"/>
      <c r="O74" s="1"/>
      <c r="P74" s="1"/>
      <c r="Q74" s="1"/>
      <c r="R74" s="1"/>
      <c r="S74" s="1"/>
      <c r="T74" s="1"/>
      <c r="U74" s="1"/>
      <c r="V74" s="1"/>
      <c r="W74" s="1"/>
      <c r="X74" s="1"/>
      <c r="Y74" s="1"/>
      <c r="Z74" s="1"/>
    </row>
    <row r="75" spans="1:26" ht="108.75" customHeight="1">
      <c r="A75" s="51">
        <v>1.1499999999999999</v>
      </c>
      <c r="B75" s="442" t="str">
        <f>'AVANCE DE OBRA '!B23</f>
        <v>Suministro e instalación interruptor sencillo.</v>
      </c>
      <c r="C75" s="443"/>
      <c r="D75" s="52">
        <f>'AVANCE DE OBRA '!F23</f>
        <v>449488</v>
      </c>
      <c r="E75" s="52">
        <f>'AVANCE DE OBRA '!AB23</f>
        <v>393302</v>
      </c>
      <c r="F75" s="49"/>
      <c r="G75" s="49"/>
      <c r="H75" s="49"/>
      <c r="I75" s="49"/>
      <c r="J75" s="49"/>
      <c r="K75" s="49"/>
      <c r="L75" s="50"/>
      <c r="M75" s="1"/>
      <c r="N75" s="1"/>
      <c r="O75" s="1"/>
      <c r="P75" s="1"/>
      <c r="Q75" s="1"/>
      <c r="R75" s="1"/>
      <c r="S75" s="1"/>
      <c r="T75" s="1"/>
      <c r="U75" s="1"/>
      <c r="V75" s="1"/>
      <c r="W75" s="1"/>
      <c r="X75" s="1"/>
      <c r="Y75" s="1"/>
      <c r="Z75" s="1"/>
    </row>
    <row r="76" spans="1:26" ht="33" customHeight="1">
      <c r="A76" s="51"/>
      <c r="B76" s="442" t="s">
        <v>63</v>
      </c>
      <c r="C76" s="443"/>
      <c r="D76" s="52"/>
      <c r="E76" s="52"/>
      <c r="F76" s="49"/>
      <c r="G76" s="49"/>
      <c r="H76" s="49"/>
      <c r="I76" s="49"/>
      <c r="J76" s="49"/>
      <c r="K76" s="49"/>
      <c r="L76" s="50"/>
      <c r="M76" s="102"/>
      <c r="N76" s="1"/>
      <c r="O76" s="1"/>
      <c r="P76" s="1"/>
      <c r="Q76" s="1"/>
      <c r="R76" s="1"/>
      <c r="S76" s="1"/>
      <c r="T76" s="1"/>
      <c r="U76" s="1"/>
      <c r="V76" s="1"/>
      <c r="W76" s="1"/>
      <c r="X76" s="1"/>
      <c r="Y76" s="1"/>
      <c r="Z76" s="1"/>
    </row>
    <row r="77" spans="1:26" ht="47.25" customHeight="1">
      <c r="A77" s="51">
        <v>1.1599999999999999</v>
      </c>
      <c r="B77" s="442" t="str">
        <f>'AVANCE DE OBRA '!B25</f>
        <v>Reparación de hueco de luminaria retirada</v>
      </c>
      <c r="C77" s="443"/>
      <c r="D77" s="52">
        <f>'AVANCE DE OBRA '!F25</f>
        <v>3662175</v>
      </c>
      <c r="E77" s="52">
        <f>'AVANCE DE OBRA '!AB25</f>
        <v>3329250</v>
      </c>
      <c r="F77" s="49"/>
      <c r="G77" s="49"/>
      <c r="H77" s="49"/>
      <c r="I77" s="49"/>
      <c r="J77" s="49"/>
      <c r="K77" s="49"/>
      <c r="L77" s="50"/>
      <c r="M77" s="8"/>
      <c r="N77" s="8"/>
      <c r="O77" s="8"/>
      <c r="P77" s="8"/>
      <c r="Q77" s="8"/>
      <c r="R77" s="8"/>
      <c r="S77" s="8"/>
      <c r="T77" s="8"/>
      <c r="U77" s="8"/>
      <c r="V77" s="8"/>
      <c r="W77" s="8"/>
      <c r="X77" s="8"/>
      <c r="Y77" s="8"/>
      <c r="Z77" s="8"/>
    </row>
    <row r="78" spans="1:26" ht="20.100000000000001" hidden="1" customHeight="1">
      <c r="A78" s="51">
        <v>8</v>
      </c>
      <c r="B78" s="442" t="str">
        <f>'[2]RESUMEN INFORME SEMANAL'!B396</f>
        <v>DUCHAS</v>
      </c>
      <c r="C78" s="443"/>
      <c r="D78" s="52">
        <f>'[2]RESUMEN INFORME SEMANAL'!AA396</f>
        <v>0</v>
      </c>
      <c r="E78" s="52">
        <f>'[2]RESUMEN INFORME SEMANAL'!W396</f>
        <v>0</v>
      </c>
      <c r="F78" s="49"/>
      <c r="G78" s="49"/>
      <c r="H78" s="49"/>
      <c r="I78" s="49"/>
      <c r="J78" s="49"/>
      <c r="K78" s="49"/>
      <c r="L78" s="50"/>
      <c r="M78" s="8"/>
      <c r="N78" s="8"/>
      <c r="O78" s="8"/>
      <c r="P78" s="8"/>
      <c r="Q78" s="8"/>
      <c r="R78" s="8"/>
      <c r="S78" s="8"/>
      <c r="T78" s="8"/>
      <c r="U78" s="8"/>
      <c r="V78" s="8"/>
      <c r="W78" s="8"/>
      <c r="X78" s="8"/>
      <c r="Y78" s="8"/>
      <c r="Z78" s="8"/>
    </row>
    <row r="79" spans="1:26" ht="33" customHeight="1">
      <c r="A79" s="51">
        <v>1.17</v>
      </c>
      <c r="B79" s="442" t="str">
        <f>'AVANCE DE OBRA '!B26</f>
        <v>Reparación de techo en oficinas por adecuaciones realizadas para salidas eléctricas en control</v>
      </c>
      <c r="C79" s="443"/>
      <c r="D79" s="52">
        <f>'AVANCE DE OBRA '!F26</f>
        <v>4109250</v>
      </c>
      <c r="E79" s="52">
        <f>'AVANCE DE OBRA '!AB26</f>
        <v>3813384</v>
      </c>
      <c r="F79" s="49"/>
      <c r="G79" s="49"/>
      <c r="H79" s="49"/>
      <c r="I79" s="49"/>
      <c r="J79" s="49"/>
      <c r="K79" s="49"/>
      <c r="L79" s="50"/>
      <c r="M79" s="1"/>
      <c r="N79" s="1"/>
      <c r="O79" s="1"/>
      <c r="P79" s="1"/>
      <c r="Q79" s="1"/>
      <c r="R79" s="1"/>
      <c r="S79" s="1"/>
      <c r="T79" s="1"/>
      <c r="U79" s="1"/>
      <c r="V79" s="1"/>
      <c r="W79" s="1"/>
      <c r="X79" s="1"/>
      <c r="Y79" s="1"/>
      <c r="Z79" s="1"/>
    </row>
    <row r="80" spans="1:26" ht="73.5" customHeight="1">
      <c r="A80" s="51">
        <v>1.18</v>
      </c>
      <c r="B80" s="442" t="str">
        <f>'AVANCE DE OBRA '!B27</f>
        <v>Reparación de muro afectado por interruptor de encendido por luminarias nuevas</v>
      </c>
      <c r="C80" s="443"/>
      <c r="D80" s="52">
        <f>'AVANCE DE OBRA '!F27</f>
        <v>277808</v>
      </c>
      <c r="E80" s="52">
        <f>'AVANCE DE OBRA '!AB27</f>
        <v>277808</v>
      </c>
      <c r="F80" s="49"/>
      <c r="G80" s="49"/>
      <c r="H80" s="49"/>
      <c r="I80" s="49"/>
      <c r="J80" s="49"/>
      <c r="K80" s="49"/>
      <c r="L80" s="50"/>
      <c r="M80" s="1"/>
      <c r="N80" s="1"/>
      <c r="O80" s="1"/>
      <c r="P80" s="1"/>
      <c r="Q80" s="1"/>
      <c r="R80" s="1"/>
      <c r="S80" s="1"/>
      <c r="T80" s="1"/>
      <c r="U80" s="1"/>
      <c r="V80" s="1"/>
      <c r="W80" s="1"/>
      <c r="X80" s="1"/>
      <c r="Y80" s="1"/>
      <c r="Z80" s="1"/>
    </row>
    <row r="81" spans="1:26" ht="33.75" customHeight="1">
      <c r="A81" s="51">
        <v>1.19</v>
      </c>
      <c r="B81" s="442" t="str">
        <f>'AVANCE DE OBRA '!B28</f>
        <v>Pintura de Techo zonas afectadas por hueco de luminaria</v>
      </c>
      <c r="C81" s="443"/>
      <c r="D81" s="52">
        <f>'AVANCE DE OBRA '!F28</f>
        <v>2749068</v>
      </c>
      <c r="E81" s="52">
        <f>'AVANCE DE OBRA '!AB28</f>
        <v>3010884</v>
      </c>
      <c r="F81" s="49"/>
      <c r="G81" s="49"/>
      <c r="H81" s="49"/>
      <c r="I81" s="49"/>
      <c r="J81" s="49"/>
      <c r="K81" s="49"/>
      <c r="L81" s="50"/>
      <c r="M81" s="1"/>
      <c r="N81" s="1"/>
      <c r="O81" s="1"/>
      <c r="P81" s="1"/>
      <c r="Q81" s="1"/>
      <c r="R81" s="1"/>
      <c r="S81" s="1"/>
      <c r="T81" s="1"/>
      <c r="U81" s="1"/>
      <c r="V81" s="1"/>
      <c r="W81" s="1"/>
      <c r="X81" s="1"/>
      <c r="Y81" s="1"/>
      <c r="Z81" s="1"/>
    </row>
    <row r="82" spans="1:26" ht="66.75" customHeight="1">
      <c r="A82" s="51">
        <v>1.2</v>
      </c>
      <c r="B82" s="524" t="str">
        <f>'AVANCE DE OBRA '!B29</f>
        <v>Pintura de muro zonas afectadas por interruptor de encendido por luminarias nuevas en archivos</v>
      </c>
      <c r="C82" s="525"/>
      <c r="D82" s="52">
        <f>'AVANCE DE OBRA '!F29</f>
        <v>356124</v>
      </c>
      <c r="E82" s="52">
        <f>'AVANCE DE OBRA '!AB29</f>
        <v>415478</v>
      </c>
      <c r="F82" s="49"/>
      <c r="G82" s="49"/>
      <c r="H82" s="49"/>
      <c r="I82" s="49"/>
      <c r="J82" s="49"/>
      <c r="K82" s="49"/>
      <c r="L82" s="50"/>
      <c r="M82" s="1"/>
      <c r="N82" s="1"/>
      <c r="O82" s="1"/>
      <c r="P82" s="1"/>
      <c r="Q82" s="1"/>
      <c r="R82" s="1"/>
      <c r="S82" s="1"/>
      <c r="T82" s="1"/>
      <c r="U82" s="1"/>
      <c r="V82" s="1"/>
      <c r="W82" s="1"/>
      <c r="X82" s="1"/>
      <c r="Y82" s="1"/>
      <c r="Z82" s="1"/>
    </row>
    <row r="83" spans="1:26" ht="66.75" customHeight="1">
      <c r="A83" s="51">
        <v>1.21</v>
      </c>
      <c r="B83" s="524" t="str">
        <f>'AVANCE DE OBRA '!B30</f>
        <v>Pintura de Techo zonas afectadas por adecuaciones realizadas para salidas eléctricas en control</v>
      </c>
      <c r="C83" s="525"/>
      <c r="D83" s="52">
        <f>'AVANCE DE OBRA '!F30</f>
        <v>237416</v>
      </c>
      <c r="E83" s="52">
        <f>'AVANCE DE OBRA '!AB30</f>
        <v>267093</v>
      </c>
      <c r="F83" s="49"/>
      <c r="G83" s="49"/>
      <c r="H83" s="49"/>
      <c r="I83" s="49"/>
      <c r="J83" s="49"/>
      <c r="K83" s="49"/>
      <c r="L83" s="50"/>
      <c r="M83" s="1"/>
      <c r="N83" s="1"/>
      <c r="O83" s="1"/>
      <c r="P83" s="1"/>
      <c r="Q83" s="1"/>
      <c r="R83" s="1"/>
      <c r="S83" s="1"/>
      <c r="T83" s="1"/>
      <c r="U83" s="1"/>
      <c r="V83" s="1"/>
      <c r="W83" s="1"/>
      <c r="X83" s="1"/>
      <c r="Y83" s="1"/>
      <c r="Z83" s="1"/>
    </row>
    <row r="84" spans="1:26" ht="66.75" customHeight="1">
      <c r="A84" s="47"/>
      <c r="B84" s="429" t="s">
        <v>161</v>
      </c>
      <c r="C84" s="430"/>
      <c r="D84" s="48"/>
      <c r="E84" s="48"/>
      <c r="F84" s="49"/>
      <c r="G84" s="49"/>
      <c r="H84" s="49"/>
      <c r="I84" s="49"/>
      <c r="J84" s="49"/>
      <c r="K84" s="49"/>
      <c r="L84" s="50"/>
      <c r="M84" s="1"/>
      <c r="N84" s="1"/>
      <c r="O84" s="1"/>
      <c r="P84" s="1"/>
      <c r="Q84" s="1"/>
      <c r="R84" s="1"/>
      <c r="S84" s="1"/>
      <c r="T84" s="1"/>
      <c r="U84" s="1"/>
      <c r="V84" s="1"/>
      <c r="W84" s="1"/>
      <c r="X84" s="1"/>
      <c r="Y84" s="1"/>
      <c r="Z84" s="1"/>
    </row>
    <row r="85" spans="1:26" ht="66.75" customHeight="1">
      <c r="A85" s="105">
        <v>2.0099999999999998</v>
      </c>
      <c r="B85" s="444" t="str">
        <f>'AVANCE DE OBRA '!B33</f>
        <v>Suministro e instalación de Luminaria-PANEL LED de 610X600X80 SOBREPONER 50W</v>
      </c>
      <c r="C85" s="445"/>
      <c r="D85" s="106">
        <f>'AVANCE DE OBRA '!F33</f>
        <v>8462020</v>
      </c>
      <c r="E85" s="282">
        <f>'AVANCE DE OBRA '!AB33</f>
        <v>8462020</v>
      </c>
      <c r="F85" s="49"/>
      <c r="G85" s="49"/>
      <c r="H85" s="49"/>
      <c r="I85" s="49"/>
      <c r="J85" s="49"/>
      <c r="K85" s="49"/>
      <c r="L85" s="50"/>
      <c r="M85" s="1"/>
      <c r="N85" s="1"/>
      <c r="O85" s="1"/>
      <c r="P85" s="1"/>
      <c r="Q85" s="1"/>
      <c r="R85" s="1"/>
      <c r="S85" s="1"/>
      <c r="T85" s="1"/>
      <c r="U85" s="1"/>
      <c r="V85" s="1"/>
      <c r="W85" s="1"/>
      <c r="X85" s="1"/>
      <c r="Y85" s="1"/>
      <c r="Z85" s="1"/>
    </row>
    <row r="86" spans="1:26" ht="66.75" customHeight="1">
      <c r="A86" s="51">
        <v>2.02</v>
      </c>
      <c r="B86" s="442" t="str">
        <f>'AVANCE DE OBRA '!B34</f>
        <v xml:space="preserve">Suministro  e  instalación  de Luminaria BALA LED REDONDA 22W </v>
      </c>
      <c r="C86" s="443"/>
      <c r="D86" s="52">
        <f>'AVANCE DE OBRA '!F34</f>
        <v>676124</v>
      </c>
      <c r="E86" s="52">
        <f>'AVANCE DE OBRA '!AB34</f>
        <v>1183217</v>
      </c>
      <c r="F86" s="49"/>
      <c r="G86" s="49"/>
      <c r="H86" s="49"/>
      <c r="I86" s="49"/>
      <c r="J86" s="49"/>
      <c r="K86" s="49"/>
      <c r="L86" s="50"/>
      <c r="M86" s="1"/>
      <c r="N86" s="1"/>
      <c r="O86" s="1"/>
      <c r="P86" s="1"/>
      <c r="Q86" s="1"/>
      <c r="R86" s="1"/>
      <c r="S86" s="1"/>
      <c r="T86" s="1"/>
      <c r="U86" s="1"/>
      <c r="V86" s="1"/>
      <c r="W86" s="1"/>
      <c r="X86" s="1"/>
      <c r="Y86" s="1"/>
      <c r="Z86" s="1"/>
    </row>
    <row r="87" spans="1:26" ht="66.75" customHeight="1">
      <c r="A87" s="51">
        <v>2.0299999999999998</v>
      </c>
      <c r="B87" s="360" t="str">
        <f>'AVANCE DE OBRA '!B35</f>
        <v>Suministro  e  instalación  de Luminaria Bombillas LED – CCCE</v>
      </c>
      <c r="C87" s="361"/>
      <c r="D87" s="52">
        <f>'AVANCE DE OBRA '!F35</f>
        <v>6613096</v>
      </c>
      <c r="E87" s="52">
        <f>'AVANCE DE OBRA '!AB35</f>
        <v>6376914</v>
      </c>
      <c r="F87" s="49"/>
      <c r="G87" s="49"/>
      <c r="H87" s="49"/>
      <c r="I87" s="49"/>
      <c r="J87" s="49"/>
      <c r="K87" s="49"/>
      <c r="L87" s="50"/>
      <c r="M87" s="1"/>
      <c r="N87" s="1"/>
      <c r="O87" s="1"/>
      <c r="P87" s="1"/>
      <c r="Q87" s="1"/>
      <c r="R87" s="1"/>
      <c r="S87" s="1"/>
      <c r="T87" s="1"/>
      <c r="U87" s="1"/>
      <c r="V87" s="1"/>
      <c r="W87" s="1"/>
      <c r="X87" s="1"/>
      <c r="Y87" s="1"/>
      <c r="Z87" s="1"/>
    </row>
    <row r="88" spans="1:26" ht="66.75" customHeight="1">
      <c r="A88" s="51">
        <v>2.04</v>
      </c>
      <c r="B88" s="360" t="str">
        <f>'AVANCE DE OBRA '!B36</f>
        <v>Suministro e instalación  de Luminaria - HERMETICA  IT 1OO AQ DUNA LENS E10 660X95X100 SOBRE PONER18W</v>
      </c>
      <c r="C88" s="361"/>
      <c r="D88" s="52">
        <f>'AVANCE DE OBRA '!F36</f>
        <v>1572024</v>
      </c>
      <c r="E88" s="52">
        <f>'AVANCE DE OBRA '!AB36</f>
        <v>1048016</v>
      </c>
      <c r="F88" s="49"/>
      <c r="G88" s="49"/>
      <c r="H88" s="49"/>
      <c r="I88" s="49"/>
      <c r="J88" s="49"/>
      <c r="K88" s="49"/>
      <c r="L88" s="50"/>
      <c r="M88" s="1"/>
      <c r="N88" s="1"/>
      <c r="O88" s="1"/>
      <c r="P88" s="1"/>
      <c r="Q88" s="1"/>
      <c r="R88" s="1"/>
      <c r="S88" s="1"/>
      <c r="T88" s="1"/>
      <c r="U88" s="1"/>
      <c r="V88" s="1"/>
      <c r="W88" s="1"/>
      <c r="X88" s="1"/>
      <c r="Y88" s="1"/>
      <c r="Z88" s="1"/>
    </row>
    <row r="89" spans="1:26" ht="66.75" customHeight="1">
      <c r="A89" s="51">
        <v>2.0499999999999998</v>
      </c>
      <c r="B89" s="360" t="str">
        <f>'AVANCE DE OBRA '!B37</f>
        <v>Suministro e instalación de Luminaria EMERGENCIA LED</v>
      </c>
      <c r="C89" s="361"/>
      <c r="D89" s="52">
        <f>'AVANCE DE OBRA '!F37</f>
        <v>1071854</v>
      </c>
      <c r="E89" s="52">
        <f>'AVANCE DE OBRA '!AB37</f>
        <v>918732</v>
      </c>
      <c r="F89" s="49"/>
      <c r="G89" s="49"/>
      <c r="H89" s="49"/>
      <c r="I89" s="49"/>
      <c r="J89" s="49"/>
      <c r="K89" s="49"/>
      <c r="L89" s="50"/>
      <c r="M89" s="1"/>
      <c r="N89" s="1"/>
      <c r="O89" s="1"/>
      <c r="P89" s="1"/>
      <c r="Q89" s="1"/>
      <c r="R89" s="1"/>
      <c r="S89" s="1"/>
      <c r="T89" s="1"/>
      <c r="U89" s="1"/>
      <c r="V89" s="1"/>
      <c r="W89" s="1"/>
      <c r="X89" s="1"/>
      <c r="Y89" s="1"/>
      <c r="Z89" s="1"/>
    </row>
    <row r="90" spans="1:26" ht="66.75" customHeight="1">
      <c r="A90" s="51">
        <v>2.06</v>
      </c>
      <c r="B90" s="358" t="str">
        <f>'AVANCE DE OBRA '!B39</f>
        <v>Retiro de Luminaria Existente de 60x60</v>
      </c>
      <c r="C90" s="359"/>
      <c r="D90" s="52">
        <f>'AVANCE DE OBRA '!F39</f>
        <v>464280</v>
      </c>
      <c r="E90" s="52">
        <f>'AVANCE DE OBRA '!AB39</f>
        <v>464280</v>
      </c>
      <c r="F90" s="49"/>
      <c r="G90" s="49"/>
      <c r="H90" s="49"/>
      <c r="I90" s="49"/>
      <c r="J90" s="49"/>
      <c r="K90" s="49"/>
      <c r="L90" s="50"/>
      <c r="M90" s="1"/>
      <c r="N90" s="1"/>
      <c r="O90" s="1"/>
      <c r="P90" s="1"/>
      <c r="Q90" s="1"/>
      <c r="R90" s="1"/>
      <c r="S90" s="1"/>
      <c r="T90" s="1"/>
      <c r="U90" s="1"/>
      <c r="V90" s="1"/>
      <c r="W90" s="1"/>
      <c r="X90" s="1"/>
      <c r="Y90" s="1"/>
      <c r="Z90" s="1"/>
    </row>
    <row r="91" spans="1:26" ht="66.75" customHeight="1">
      <c r="A91" s="51">
        <v>2.0699999999999998</v>
      </c>
      <c r="B91" s="358" t="str">
        <f>'AVANCE DE OBRA '!B40</f>
        <v>Retiro de Luminaria Colgante</v>
      </c>
      <c r="C91" s="359"/>
      <c r="D91" s="52">
        <f>'AVANCE DE OBRA '!F40</f>
        <v>649992</v>
      </c>
      <c r="E91" s="52">
        <f>'AVANCE DE OBRA '!AB40</f>
        <v>1114272</v>
      </c>
      <c r="F91" s="49"/>
      <c r="G91" s="49"/>
      <c r="H91" s="49"/>
      <c r="I91" s="49"/>
      <c r="J91" s="49"/>
      <c r="K91" s="49"/>
      <c r="L91" s="50"/>
      <c r="M91" s="1"/>
      <c r="N91" s="1"/>
      <c r="O91" s="1"/>
      <c r="P91" s="1"/>
      <c r="Q91" s="1"/>
      <c r="R91" s="1"/>
      <c r="S91" s="1"/>
      <c r="T91" s="1"/>
      <c r="U91" s="1"/>
      <c r="V91" s="1"/>
      <c r="W91" s="1"/>
      <c r="X91" s="1"/>
      <c r="Y91" s="1"/>
      <c r="Z91" s="1"/>
    </row>
    <row r="92" spans="1:26" ht="90" customHeight="1">
      <c r="A92" s="51">
        <v>2.08</v>
      </c>
      <c r="B92" s="360" t="str">
        <f>'AVANCE DE OBRA '!B42</f>
        <v>Suministro e instalación de interconexión de control de lampara a lampara con cable de control de 2x20 AWG que va en las luminarias que utilizan  atenuador de  0-10v</v>
      </c>
      <c r="C92" s="361"/>
      <c r="D92" s="52">
        <f>'AVANCE DE OBRA '!F42</f>
        <v>583100</v>
      </c>
      <c r="E92" s="52">
        <f>'AVANCE DE OBRA '!AB41</f>
        <v>0</v>
      </c>
      <c r="F92" s="49"/>
      <c r="G92" s="49"/>
      <c r="H92" s="49"/>
      <c r="I92" s="49"/>
      <c r="J92" s="49"/>
      <c r="K92" s="49"/>
      <c r="L92" s="50"/>
      <c r="M92" s="1"/>
      <c r="N92" s="1"/>
      <c r="O92" s="1"/>
      <c r="P92" s="1"/>
      <c r="Q92" s="1"/>
      <c r="R92" s="1"/>
      <c r="S92" s="1"/>
      <c r="T92" s="1"/>
      <c r="U92" s="1"/>
      <c r="V92" s="1"/>
      <c r="W92" s="1"/>
      <c r="X92" s="1"/>
      <c r="Y92" s="1"/>
      <c r="Z92" s="1"/>
    </row>
    <row r="93" spans="1:26" ht="66.75" customHeight="1">
      <c r="A93" s="51">
        <v>2.09</v>
      </c>
      <c r="B93" s="360" t="str">
        <f>'AVANCE DE OBRA '!B43</f>
        <v>Suministro e instalación de sensor provolt</v>
      </c>
      <c r="C93" s="361"/>
      <c r="D93" s="52">
        <f>'AVANCE DE OBRA '!F43</f>
        <v>2001431</v>
      </c>
      <c r="E93" s="52">
        <f>'AVANCE DE OBRA '!AB42</f>
        <v>0</v>
      </c>
      <c r="F93" s="49"/>
      <c r="G93" s="49"/>
      <c r="H93" s="49"/>
      <c r="I93" s="49"/>
      <c r="J93" s="49"/>
      <c r="K93" s="49"/>
      <c r="L93" s="50"/>
      <c r="M93" s="1"/>
      <c r="N93" s="1"/>
      <c r="O93" s="1"/>
      <c r="P93" s="1"/>
      <c r="Q93" s="1"/>
      <c r="R93" s="1"/>
      <c r="S93" s="1"/>
      <c r="T93" s="1"/>
      <c r="U93" s="1"/>
      <c r="V93" s="1"/>
      <c r="W93" s="1"/>
      <c r="X93" s="1"/>
      <c r="Y93" s="1"/>
      <c r="Z93" s="1"/>
    </row>
    <row r="94" spans="1:26" ht="109.5" customHeight="1">
      <c r="A94" s="51">
        <v>2.1</v>
      </c>
      <c r="B94" s="360" t="str">
        <f>'AVANCE DE OBRA '!B44</f>
        <v xml:space="preserve">Suministro e instalación de Botonera 4 botones para atenuar luminarias a través de sensor </v>
      </c>
      <c r="C94" s="361"/>
      <c r="D94" s="52">
        <f>'AVANCE DE OBRA '!F44</f>
        <v>476289</v>
      </c>
      <c r="E94" s="52">
        <f>'AVANCE DE OBRA '!AB43</f>
        <v>0</v>
      </c>
      <c r="F94" s="49"/>
      <c r="G94" s="49"/>
      <c r="H94" s="49"/>
      <c r="I94" s="49"/>
      <c r="J94" s="49"/>
      <c r="K94" s="49"/>
      <c r="L94" s="50"/>
      <c r="M94" s="1"/>
      <c r="N94" s="1"/>
      <c r="O94" s="1"/>
      <c r="P94" s="1"/>
      <c r="Q94" s="1"/>
      <c r="R94" s="1"/>
      <c r="S94" s="1"/>
      <c r="T94" s="1"/>
      <c r="U94" s="1"/>
      <c r="V94" s="1"/>
      <c r="W94" s="1"/>
      <c r="X94" s="1"/>
      <c r="Y94" s="1"/>
      <c r="Z94" s="1"/>
    </row>
    <row r="95" spans="1:26" ht="109.5" customHeight="1">
      <c r="A95" s="51">
        <v>2.11</v>
      </c>
      <c r="B95" s="360" t="str">
        <f>'AVANCE DE OBRA '!B45</f>
        <v>Suministro e instalación de encauchetado 3x16AWG desde caja de paso hasta luminaria con accesorios de fijación y empalme eléctrico</v>
      </c>
      <c r="C95" s="361"/>
      <c r="D95" s="52">
        <f>'AVANCE DE OBRA '!F45</f>
        <v>2538800</v>
      </c>
      <c r="E95" s="52">
        <f>'AVANCE DE OBRA '!AB45</f>
        <v>2762849.1</v>
      </c>
      <c r="F95" s="49"/>
      <c r="G95" s="49"/>
      <c r="H95" s="49"/>
      <c r="I95" s="49"/>
      <c r="J95" s="49"/>
      <c r="K95" s="49"/>
      <c r="L95" s="50"/>
      <c r="M95" s="1"/>
      <c r="N95" s="1"/>
      <c r="O95" s="1"/>
      <c r="P95" s="1"/>
      <c r="Q95" s="1"/>
      <c r="R95" s="1"/>
      <c r="S95" s="1"/>
      <c r="T95" s="1"/>
      <c r="U95" s="1"/>
      <c r="V95" s="1"/>
      <c r="W95" s="1"/>
      <c r="X95" s="1"/>
      <c r="Y95" s="1"/>
      <c r="Z95" s="1"/>
    </row>
    <row r="96" spans="1:26" ht="109.5" customHeight="1">
      <c r="A96" s="51">
        <v>2.12</v>
      </c>
      <c r="B96" s="360" t="str">
        <f>'AVANCE DE OBRA '!B46</f>
        <v>Suministro e instalación interruptor sencillo.</v>
      </c>
      <c r="C96" s="361"/>
      <c r="D96" s="52">
        <f>'AVANCE DE OBRA '!F46</f>
        <v>252837</v>
      </c>
      <c r="E96" s="52">
        <f>'AVANCE DE OBRA '!AB45</f>
        <v>2762849.1</v>
      </c>
      <c r="F96" s="49"/>
      <c r="G96" s="49"/>
      <c r="H96" s="49"/>
      <c r="I96" s="49"/>
      <c r="J96" s="49"/>
      <c r="K96" s="49"/>
      <c r="L96" s="50"/>
      <c r="M96" s="1"/>
      <c r="N96" s="1"/>
      <c r="O96" s="1"/>
      <c r="P96" s="1"/>
      <c r="Q96" s="1"/>
      <c r="R96" s="1"/>
      <c r="S96" s="1"/>
      <c r="T96" s="1"/>
      <c r="U96" s="1"/>
      <c r="V96" s="1"/>
      <c r="W96" s="1"/>
      <c r="X96" s="1"/>
      <c r="Y96" s="1"/>
      <c r="Z96" s="1"/>
    </row>
    <row r="97" spans="1:26" ht="109.5" customHeight="1">
      <c r="A97" s="51">
        <v>2.13</v>
      </c>
      <c r="B97" s="360" t="str">
        <f>'AVANCE DE OBRA '!B48</f>
        <v>Reparación de hueco de luminaria retirada</v>
      </c>
      <c r="C97" s="361"/>
      <c r="D97" s="52">
        <f>'AVANCE DE OBRA '!F48</f>
        <v>443900</v>
      </c>
      <c r="E97" s="52">
        <f>'AVANCE DE OBRA '!AB46</f>
        <v>421395</v>
      </c>
      <c r="F97" s="49"/>
      <c r="G97" s="49"/>
      <c r="H97" s="49"/>
      <c r="I97" s="49"/>
      <c r="J97" s="49"/>
      <c r="K97" s="49"/>
      <c r="L97" s="50"/>
      <c r="M97" s="1"/>
      <c r="N97" s="1"/>
      <c r="O97" s="1"/>
      <c r="P97" s="1"/>
      <c r="Q97" s="1"/>
      <c r="R97" s="1"/>
      <c r="S97" s="1"/>
      <c r="T97" s="1"/>
      <c r="U97" s="1"/>
      <c r="V97" s="1"/>
      <c r="W97" s="1"/>
      <c r="X97" s="1"/>
      <c r="Y97" s="1"/>
      <c r="Z97" s="1"/>
    </row>
    <row r="98" spans="1:26" ht="109.5" customHeight="1">
      <c r="A98" s="51">
        <v>2.14</v>
      </c>
      <c r="B98" s="360" t="str">
        <f>'AVANCE DE OBRA '!B49</f>
        <v>Reparación de techo en oficinas por adecuaciones realizadas para salidas eléctricas en control</v>
      </c>
      <c r="C98" s="361"/>
      <c r="D98" s="52">
        <f>'AVANCE DE OBRA '!F49</f>
        <v>788976</v>
      </c>
      <c r="E98" s="52">
        <f>'AVANCE DE OBRA '!AB47</f>
        <v>0</v>
      </c>
      <c r="F98" s="49"/>
      <c r="G98" s="49"/>
      <c r="H98" s="49"/>
      <c r="I98" s="49"/>
      <c r="J98" s="49"/>
      <c r="K98" s="49"/>
      <c r="L98" s="50"/>
      <c r="M98" s="1"/>
      <c r="N98" s="1"/>
      <c r="O98" s="1"/>
      <c r="P98" s="1"/>
      <c r="Q98" s="1"/>
      <c r="R98" s="1"/>
      <c r="S98" s="1"/>
      <c r="T98" s="1"/>
      <c r="U98" s="1"/>
      <c r="V98" s="1"/>
      <c r="W98" s="1"/>
      <c r="X98" s="1"/>
      <c r="Y98" s="1"/>
      <c r="Z98" s="1"/>
    </row>
    <row r="99" spans="1:26" ht="109.5" customHeight="1">
      <c r="A99" s="51">
        <v>2.15</v>
      </c>
      <c r="B99" s="360" t="str">
        <f>'AVANCE DE OBRA '!B50</f>
        <v>Pintura de Techo zonas afectadas por hueco de luminaria</v>
      </c>
      <c r="C99" s="361"/>
      <c r="D99" s="52">
        <f>'AVANCE DE OBRA '!F50</f>
        <v>1396352</v>
      </c>
      <c r="E99" s="52">
        <f>'AVANCE DE OBRA '!AB50</f>
        <v>327270</v>
      </c>
      <c r="F99" s="49"/>
      <c r="G99" s="49"/>
      <c r="H99" s="49"/>
      <c r="I99" s="49"/>
      <c r="J99" s="49"/>
      <c r="K99" s="49"/>
      <c r="L99" s="50"/>
      <c r="M99" s="1"/>
      <c r="N99" s="1"/>
      <c r="O99" s="1"/>
      <c r="P99" s="1"/>
      <c r="Q99" s="1"/>
      <c r="R99" s="1"/>
      <c r="S99" s="1"/>
      <c r="T99" s="1"/>
      <c r="U99" s="1"/>
      <c r="V99" s="1"/>
      <c r="W99" s="1"/>
      <c r="X99" s="1"/>
      <c r="Y99" s="1"/>
      <c r="Z99" s="1"/>
    </row>
    <row r="100" spans="1:26" ht="109.5" customHeight="1">
      <c r="A100" s="51">
        <v>2.16</v>
      </c>
      <c r="B100" s="360" t="str">
        <f>'AVANCE DE OBRA '!B51</f>
        <v>Pintura de muro zonas afectadas por interruptor de encendido por luminarias nuevas</v>
      </c>
      <c r="C100" s="361"/>
      <c r="D100" s="52">
        <f>'AVANCE DE OBRA '!F51</f>
        <v>520890</v>
      </c>
      <c r="E100" s="52">
        <f>'AVANCE DE OBRA '!AB49</f>
        <v>2103936</v>
      </c>
      <c r="F100" s="49"/>
      <c r="G100" s="49"/>
      <c r="H100" s="49"/>
      <c r="I100" s="49"/>
      <c r="J100" s="49"/>
      <c r="K100" s="49"/>
      <c r="L100" s="50"/>
      <c r="M100" s="1"/>
      <c r="N100" s="1"/>
      <c r="O100" s="1"/>
      <c r="P100" s="1"/>
      <c r="Q100" s="1"/>
      <c r="R100" s="1"/>
      <c r="S100" s="1"/>
      <c r="T100" s="1"/>
      <c r="U100" s="1"/>
      <c r="V100" s="1"/>
      <c r="W100" s="1"/>
      <c r="X100" s="1"/>
      <c r="Y100" s="1"/>
      <c r="Z100" s="1"/>
    </row>
    <row r="101" spans="1:26" ht="109.5" customHeight="1">
      <c r="A101" s="47"/>
      <c r="B101" s="429" t="s">
        <v>162</v>
      </c>
      <c r="C101" s="430"/>
      <c r="D101" s="48"/>
      <c r="E101" s="52"/>
      <c r="F101" s="49"/>
      <c r="G101" s="49"/>
      <c r="H101" s="49"/>
      <c r="I101" s="49"/>
      <c r="J101" s="49"/>
      <c r="K101" s="49"/>
      <c r="L101" s="50"/>
      <c r="M101" s="1"/>
      <c r="N101" s="1"/>
      <c r="O101" s="1"/>
      <c r="P101" s="1"/>
      <c r="Q101" s="1"/>
      <c r="R101" s="1"/>
      <c r="S101" s="1"/>
      <c r="T101" s="1"/>
      <c r="U101" s="1"/>
      <c r="V101" s="1"/>
      <c r="W101" s="1"/>
      <c r="X101" s="1"/>
      <c r="Y101" s="1"/>
      <c r="Z101" s="1"/>
    </row>
    <row r="102" spans="1:26" ht="109.5" customHeight="1">
      <c r="A102" s="119">
        <v>3.01</v>
      </c>
      <c r="B102" s="358" t="str">
        <f>'AVANCE DE OBRA '!B55</f>
        <v>Suministro e instalación de Luminaria-PANEL LED de 610X600X80 SOBREPONER 50W</v>
      </c>
      <c r="C102" s="359"/>
      <c r="D102" s="52">
        <f>'AVANCE DE OBRA '!F55</f>
        <v>15231636</v>
      </c>
      <c r="E102" s="52">
        <f>'AVANCE DE OBRA '!AB55</f>
        <v>10154424</v>
      </c>
      <c r="F102" s="49"/>
      <c r="G102" s="49"/>
      <c r="H102" s="49"/>
      <c r="I102" s="49"/>
      <c r="J102" s="49"/>
      <c r="K102" s="49"/>
      <c r="L102" s="50"/>
      <c r="M102" s="1"/>
      <c r="N102" s="1"/>
      <c r="O102" s="1"/>
      <c r="P102" s="1"/>
      <c r="Q102" s="1"/>
      <c r="R102" s="1"/>
      <c r="S102" s="1"/>
      <c r="T102" s="1"/>
      <c r="U102" s="1"/>
      <c r="V102" s="1"/>
      <c r="W102" s="1"/>
      <c r="X102" s="1"/>
      <c r="Y102" s="1"/>
      <c r="Z102" s="1"/>
    </row>
    <row r="103" spans="1:26" ht="109.5" customHeight="1">
      <c r="A103" s="51">
        <v>3.02</v>
      </c>
      <c r="B103" s="358" t="str">
        <f>'AVANCE DE OBRA '!B56</f>
        <v>Suministro e instalación de Luminaria EMERGENCIA LED</v>
      </c>
      <c r="C103" s="359"/>
      <c r="D103" s="52">
        <f>'AVANCE DE OBRA '!F56</f>
        <v>4287416</v>
      </c>
      <c r="E103" s="52">
        <f>'AVANCE DE OBRA '!AB56</f>
        <v>3215562</v>
      </c>
      <c r="F103" s="49"/>
      <c r="G103" s="49"/>
      <c r="H103" s="49"/>
      <c r="I103" s="49"/>
      <c r="J103" s="49"/>
      <c r="K103" s="49"/>
      <c r="L103" s="50"/>
      <c r="M103" s="1"/>
      <c r="N103" s="1"/>
      <c r="O103" s="1"/>
      <c r="P103" s="1"/>
      <c r="Q103" s="1"/>
      <c r="R103" s="1"/>
      <c r="S103" s="1"/>
      <c r="T103" s="1"/>
      <c r="U103" s="1"/>
      <c r="V103" s="1"/>
      <c r="W103" s="1"/>
      <c r="X103" s="1"/>
      <c r="Y103" s="1"/>
      <c r="Z103" s="1"/>
    </row>
    <row r="104" spans="1:26" ht="109.5" customHeight="1">
      <c r="A104" s="51">
        <v>3.03</v>
      </c>
      <c r="B104" s="358" t="str">
        <f>'AVANCE DE OBRA '!B57</f>
        <v>Suministro  e  instalación  de Luminaria Bombillas LED – CCCE</v>
      </c>
      <c r="C104" s="359"/>
      <c r="D104" s="52">
        <f>'AVANCE DE OBRA '!F57</f>
        <v>25507656</v>
      </c>
      <c r="E104" s="52">
        <f>'AVANCE DE OBRA '!AB53</f>
        <v>0</v>
      </c>
      <c r="F104" s="49"/>
      <c r="G104" s="49"/>
      <c r="H104" s="49"/>
      <c r="I104" s="49"/>
      <c r="J104" s="49"/>
      <c r="K104" s="49"/>
      <c r="L104" s="50"/>
      <c r="M104" s="1"/>
      <c r="N104" s="1"/>
      <c r="O104" s="1"/>
      <c r="P104" s="1"/>
      <c r="Q104" s="1"/>
      <c r="R104" s="1"/>
      <c r="S104" s="1"/>
      <c r="T104" s="1"/>
      <c r="U104" s="1"/>
      <c r="V104" s="1"/>
      <c r="W104" s="1"/>
      <c r="X104" s="1"/>
      <c r="Y104" s="1"/>
      <c r="Z104" s="1"/>
    </row>
    <row r="105" spans="1:26" ht="109.5" customHeight="1">
      <c r="A105" s="51">
        <v>3.04</v>
      </c>
      <c r="B105" s="360" t="str">
        <f>'AVANCE DE OBRA '!B58</f>
        <v>Suministro e instalación  de Luminaria - HERMETICA  IT 1OO AQ DUNA LENS E10 660X95X100 SOBRE PONER18W</v>
      </c>
      <c r="C105" s="361"/>
      <c r="D105" s="52">
        <f>'AVANCE DE OBRA '!F58</f>
        <v>524008</v>
      </c>
      <c r="E105" s="52">
        <f>'AVANCE DE OBRA '!AB54</f>
        <v>0</v>
      </c>
      <c r="F105" s="49"/>
      <c r="G105" s="49"/>
      <c r="H105" s="49"/>
      <c r="I105" s="49"/>
      <c r="J105" s="49"/>
      <c r="K105" s="49"/>
      <c r="L105" s="50"/>
      <c r="M105" s="1"/>
      <c r="N105" s="1"/>
      <c r="O105" s="1"/>
      <c r="P105" s="1"/>
      <c r="Q105" s="1"/>
      <c r="R105" s="1"/>
      <c r="S105" s="1"/>
      <c r="T105" s="1"/>
      <c r="U105" s="1"/>
      <c r="V105" s="1"/>
      <c r="W105" s="1"/>
      <c r="X105" s="1"/>
      <c r="Y105" s="1"/>
      <c r="Z105" s="1"/>
    </row>
    <row r="106" spans="1:26" ht="109.5" customHeight="1">
      <c r="A106" s="51">
        <v>3.05</v>
      </c>
      <c r="B106" s="360" t="str">
        <f>'AVANCE DE OBRA '!B59</f>
        <v xml:space="preserve">Suministro  e  instalación  de Luminaria BALA LED REDONDA 22W </v>
      </c>
      <c r="C106" s="361"/>
      <c r="D106" s="52">
        <f>'AVANCE DE OBRA '!F59</f>
        <v>1859341</v>
      </c>
      <c r="E106" s="52">
        <f>'AVANCE DE OBRA '!AB55</f>
        <v>10154424</v>
      </c>
      <c r="F106" s="49"/>
      <c r="G106" s="49"/>
      <c r="H106" s="49"/>
      <c r="I106" s="49"/>
      <c r="J106" s="49"/>
      <c r="K106" s="49"/>
      <c r="L106" s="50"/>
      <c r="M106" s="1"/>
      <c r="N106" s="1"/>
      <c r="O106" s="1"/>
      <c r="P106" s="1"/>
      <c r="Q106" s="1"/>
      <c r="R106" s="1"/>
      <c r="S106" s="1"/>
      <c r="T106" s="1"/>
      <c r="U106" s="1"/>
      <c r="V106" s="1"/>
      <c r="W106" s="1"/>
      <c r="X106" s="1"/>
      <c r="Y106" s="1"/>
      <c r="Z106" s="1"/>
    </row>
    <row r="107" spans="1:26" ht="109.5" customHeight="1">
      <c r="A107" s="51">
        <v>3.06</v>
      </c>
      <c r="B107" s="360" t="str">
        <f>'AVANCE DE OBRA '!B61</f>
        <v>Retiro de Luminaria Existente de 60x60</v>
      </c>
      <c r="C107" s="361"/>
      <c r="D107" s="52">
        <f>'AVANCE DE OBRA '!F61</f>
        <v>835704</v>
      </c>
      <c r="E107" s="52">
        <f>'AVANCE DE OBRA '!AB56</f>
        <v>3215562</v>
      </c>
      <c r="F107" s="49"/>
      <c r="G107" s="49"/>
      <c r="H107" s="49"/>
      <c r="I107" s="49"/>
      <c r="J107" s="49"/>
      <c r="K107" s="49"/>
      <c r="L107" s="50"/>
      <c r="M107" s="1"/>
      <c r="N107" s="1"/>
      <c r="O107" s="1"/>
      <c r="P107" s="1"/>
      <c r="Q107" s="1"/>
      <c r="R107" s="1"/>
      <c r="S107" s="1"/>
      <c r="T107" s="1"/>
      <c r="U107" s="1"/>
      <c r="V107" s="1"/>
      <c r="W107" s="1"/>
      <c r="X107" s="1"/>
      <c r="Y107" s="1"/>
      <c r="Z107" s="1"/>
    </row>
    <row r="108" spans="1:26" ht="109.5" customHeight="1">
      <c r="A108" s="51">
        <v>3.07</v>
      </c>
      <c r="B108" s="358" t="str">
        <f>'AVANCE DE OBRA '!B62</f>
        <v>Retiro de Luminaria Existente de 2 x 32 w</v>
      </c>
      <c r="C108" s="359"/>
      <c r="D108" s="52">
        <f>'AVANCE DE OBRA '!F62</f>
        <v>2507112</v>
      </c>
      <c r="E108" s="52">
        <f>'AVANCE DE OBRA '!AB62</f>
        <v>3319602</v>
      </c>
      <c r="F108" s="49"/>
      <c r="G108" s="49"/>
      <c r="H108" s="49"/>
      <c r="I108" s="49"/>
      <c r="J108" s="49"/>
      <c r="K108" s="49"/>
      <c r="L108" s="50"/>
      <c r="M108" s="1"/>
      <c r="N108" s="1"/>
      <c r="O108" s="1"/>
      <c r="P108" s="1"/>
      <c r="Q108" s="1"/>
      <c r="R108" s="1"/>
      <c r="S108" s="1"/>
      <c r="T108" s="1"/>
      <c r="U108" s="1"/>
      <c r="V108" s="1"/>
      <c r="W108" s="1"/>
      <c r="X108" s="1"/>
      <c r="Y108" s="1"/>
      <c r="Z108" s="1"/>
    </row>
    <row r="109" spans="1:26" ht="109.5" customHeight="1">
      <c r="A109" s="51">
        <v>3.08</v>
      </c>
      <c r="B109" s="358" t="str">
        <f>'AVANCE DE OBRA '!B63</f>
        <v xml:space="preserve">Suministro e instalación DPS tipo 2 tablero de emergencia eléctrico </v>
      </c>
      <c r="C109" s="359"/>
      <c r="D109" s="52">
        <f>'AVANCE DE OBRA '!F63</f>
        <v>988288</v>
      </c>
      <c r="E109" s="52">
        <f>'AVANCE DE OBRA '!AB63</f>
        <v>0</v>
      </c>
      <c r="F109" s="49"/>
      <c r="G109" s="49"/>
      <c r="H109" s="49"/>
      <c r="I109" s="49"/>
      <c r="J109" s="49"/>
      <c r="K109" s="49"/>
      <c r="L109" s="50"/>
      <c r="M109" s="1"/>
      <c r="N109" s="1"/>
      <c r="O109" s="1"/>
      <c r="P109" s="1"/>
      <c r="Q109" s="1"/>
      <c r="R109" s="1"/>
      <c r="S109" s="1"/>
      <c r="T109" s="1"/>
      <c r="U109" s="1"/>
      <c r="V109" s="1"/>
      <c r="W109" s="1"/>
      <c r="X109" s="1"/>
      <c r="Y109" s="1"/>
      <c r="Z109" s="1"/>
    </row>
    <row r="110" spans="1:26" ht="109.5" customHeight="1">
      <c r="A110" s="51">
        <v>3.09</v>
      </c>
      <c r="B110" s="358" t="str">
        <f>'AVANCE DE OBRA '!B65</f>
        <v>Suministro e instalación de sensor provolt</v>
      </c>
      <c r="C110" s="359"/>
      <c r="D110" s="52">
        <f>'AVANCE DE OBRA '!F65</f>
        <v>2001431</v>
      </c>
      <c r="E110" s="52">
        <f>'AVANCE DE OBRA '!AB65</f>
        <v>4002862</v>
      </c>
      <c r="F110" s="49"/>
      <c r="G110" s="49"/>
      <c r="H110" s="49"/>
      <c r="I110" s="49"/>
      <c r="J110" s="49"/>
      <c r="K110" s="49"/>
      <c r="L110" s="50"/>
      <c r="M110" s="1"/>
      <c r="N110" s="1"/>
      <c r="O110" s="1"/>
      <c r="P110" s="1"/>
      <c r="Q110" s="1"/>
      <c r="R110" s="1"/>
      <c r="S110" s="1"/>
      <c r="T110" s="1"/>
      <c r="U110" s="1"/>
      <c r="V110" s="1"/>
      <c r="W110" s="1"/>
      <c r="X110" s="1"/>
      <c r="Y110" s="1"/>
      <c r="Z110" s="1"/>
    </row>
    <row r="111" spans="1:26" ht="109.5" customHeight="1">
      <c r="A111" s="51">
        <v>3.1</v>
      </c>
      <c r="B111" s="358" t="str">
        <f>'AVANCE DE OBRA '!B66</f>
        <v xml:space="preserve">Suministro e instalación de Botonera 4 botones para atenuar luminarias a través de sensor </v>
      </c>
      <c r="C111" s="359"/>
      <c r="D111" s="52">
        <f>'AVANCE DE OBRA '!F66</f>
        <v>476289</v>
      </c>
      <c r="E111" s="52">
        <f>'AVANCE DE OBRA '!AB66</f>
        <v>952578</v>
      </c>
      <c r="F111" s="49"/>
      <c r="G111" s="49"/>
      <c r="H111" s="49"/>
      <c r="I111" s="49"/>
      <c r="J111" s="49"/>
      <c r="K111" s="49"/>
      <c r="L111" s="50"/>
      <c r="M111" s="1"/>
      <c r="N111" s="1"/>
      <c r="O111" s="1"/>
      <c r="P111" s="1"/>
      <c r="Q111" s="1"/>
      <c r="R111" s="1"/>
      <c r="S111" s="1"/>
      <c r="T111" s="1"/>
      <c r="U111" s="1"/>
      <c r="V111" s="1"/>
      <c r="W111" s="1"/>
      <c r="X111" s="1"/>
      <c r="Y111" s="1"/>
      <c r="Z111" s="1"/>
    </row>
    <row r="112" spans="1:26" ht="138" customHeight="1">
      <c r="A112" s="51">
        <v>3.11</v>
      </c>
      <c r="B112" s="358" t="str">
        <f>'AVANCE DE OBRA '!B67</f>
        <v>Suministro e instalación de salida para iluminación en zona de iluminación de lámparas de emergencia para cumplir requerimiento RETILAP.  incluye tubería, y circuitos de alimentación.</v>
      </c>
      <c r="C112" s="359"/>
      <c r="D112" s="52">
        <f>'AVANCE DE OBRA '!F67</f>
        <v>5481532</v>
      </c>
      <c r="E112" s="52">
        <f>'AVANCE DE OBRA '!AB67</f>
        <v>3719611</v>
      </c>
      <c r="F112" s="49"/>
      <c r="G112" s="49"/>
      <c r="H112" s="49"/>
      <c r="I112" s="49"/>
      <c r="J112" s="49"/>
      <c r="K112" s="49"/>
      <c r="L112" s="50"/>
      <c r="M112" s="1"/>
      <c r="N112" s="1"/>
      <c r="O112" s="1"/>
      <c r="P112" s="1"/>
      <c r="Q112" s="1"/>
      <c r="R112" s="1"/>
      <c r="S112" s="1"/>
      <c r="T112" s="1"/>
      <c r="U112" s="1"/>
      <c r="V112" s="1"/>
      <c r="W112" s="1"/>
      <c r="X112" s="1"/>
      <c r="Y112" s="1"/>
      <c r="Z112" s="1"/>
    </row>
    <row r="113" spans="1:26" ht="121.5" customHeight="1">
      <c r="A113" s="51">
        <v>3.12</v>
      </c>
      <c r="B113" s="358" t="str">
        <f>'AVANCE DE OBRA '!B68</f>
        <v>Suministro e instalación de salida para interruptor sencillo en zona de iluminación de archivo incluye afectación civil rompiendo pared para la ubicación del mismo.</v>
      </c>
      <c r="C113" s="359"/>
      <c r="D113" s="52">
        <f>'AVANCE DE OBRA '!F68</f>
        <v>200211</v>
      </c>
      <c r="E113" s="52">
        <f>'AVANCE DE OBRA '!AB68</f>
        <v>600633</v>
      </c>
      <c r="F113" s="49"/>
      <c r="G113" s="49"/>
      <c r="H113" s="49"/>
      <c r="I113" s="49"/>
      <c r="J113" s="49"/>
      <c r="K113" s="49"/>
      <c r="L113" s="50"/>
      <c r="M113" s="1"/>
      <c r="N113" s="1"/>
      <c r="O113" s="1"/>
      <c r="P113" s="1"/>
      <c r="Q113" s="1"/>
      <c r="R113" s="1"/>
      <c r="S113" s="1"/>
      <c r="T113" s="1"/>
      <c r="U113" s="1"/>
      <c r="V113" s="1"/>
      <c r="W113" s="1"/>
      <c r="X113" s="1"/>
      <c r="Y113" s="1"/>
      <c r="Z113" s="1"/>
    </row>
    <row r="114" spans="1:26" ht="109.5" customHeight="1">
      <c r="A114" s="51">
        <v>3.13</v>
      </c>
      <c r="B114" s="358" t="str">
        <f>'AVANCE DE OBRA '!B69</f>
        <v>Suministro e instalación interruptor sencillo.</v>
      </c>
      <c r="C114" s="359"/>
      <c r="D114" s="52">
        <f>'AVANCE DE OBRA '!F69</f>
        <v>814697</v>
      </c>
      <c r="E114" s="52">
        <f>'AVANCE DE OBRA '!AB69</f>
        <v>533767</v>
      </c>
      <c r="F114" s="49"/>
      <c r="G114" s="49"/>
      <c r="H114" s="49"/>
      <c r="I114" s="49"/>
      <c r="J114" s="49"/>
      <c r="K114" s="49"/>
      <c r="L114" s="50"/>
      <c r="M114" s="1"/>
      <c r="N114" s="1"/>
      <c r="O114" s="1"/>
      <c r="P114" s="1"/>
      <c r="Q114" s="1"/>
      <c r="R114" s="1"/>
      <c r="S114" s="1"/>
      <c r="T114" s="1"/>
      <c r="U114" s="1"/>
      <c r="V114" s="1"/>
      <c r="W114" s="1"/>
      <c r="X114" s="1"/>
      <c r="Y114" s="1"/>
      <c r="Z114" s="1"/>
    </row>
    <row r="115" spans="1:26" ht="109.5" customHeight="1">
      <c r="A115" s="51">
        <v>3.14</v>
      </c>
      <c r="B115" s="358" t="str">
        <f>'AVANCE DE OBRA '!B70</f>
        <v>Suministro e instalación de interconexión de control de lampara a lampara con cable de control de 2x20 AWG que va en las luminarias que utilizan  atenuador de  0-10v</v>
      </c>
      <c r="C115" s="359"/>
      <c r="D115" s="52">
        <f>'AVANCE DE OBRA '!F70</f>
        <v>583100</v>
      </c>
      <c r="E115" s="52">
        <f>'AVANCE DE OBRA '!AB70</f>
        <v>833833</v>
      </c>
      <c r="F115" s="49"/>
      <c r="G115" s="49"/>
      <c r="H115" s="49"/>
      <c r="I115" s="49"/>
      <c r="J115" s="49"/>
      <c r="K115" s="49"/>
      <c r="L115" s="50"/>
      <c r="M115" s="1"/>
      <c r="N115" s="1"/>
      <c r="O115" s="1"/>
      <c r="P115" s="1"/>
      <c r="Q115" s="1"/>
      <c r="R115" s="1"/>
      <c r="S115" s="1"/>
      <c r="T115" s="1"/>
      <c r="U115" s="1"/>
      <c r="V115" s="1"/>
      <c r="W115" s="1"/>
      <c r="X115" s="1"/>
      <c r="Y115" s="1"/>
      <c r="Z115" s="1"/>
    </row>
    <row r="116" spans="1:26" ht="109.5" customHeight="1">
      <c r="A116" s="51">
        <v>3.15</v>
      </c>
      <c r="B116" s="358" t="str">
        <f>'AVANCE DE OBRA '!B71</f>
        <v>Suministro e instalación de encauchetado 3x16AWG desde caja de paso hasta luminaria con accesorios de fijación y empalme eléctrico</v>
      </c>
      <c r="C116" s="359"/>
      <c r="D116" s="52">
        <f>'AVANCE DE OBRA '!F71</f>
        <v>3173500</v>
      </c>
      <c r="E116" s="52">
        <f>'AVANCE DE OBRA '!AB71</f>
        <v>3179212.3</v>
      </c>
      <c r="F116" s="49"/>
      <c r="G116" s="49"/>
      <c r="H116" s="49"/>
      <c r="I116" s="49"/>
      <c r="J116" s="49"/>
      <c r="K116" s="49"/>
      <c r="L116" s="50"/>
      <c r="M116" s="1"/>
      <c r="N116" s="1"/>
      <c r="O116" s="1"/>
      <c r="P116" s="1"/>
      <c r="Q116" s="1"/>
      <c r="R116" s="1"/>
      <c r="S116" s="1"/>
      <c r="T116" s="1"/>
      <c r="U116" s="1"/>
      <c r="V116" s="1"/>
      <c r="W116" s="1"/>
      <c r="X116" s="1"/>
      <c r="Y116" s="1"/>
      <c r="Z116" s="1"/>
    </row>
    <row r="117" spans="1:26" ht="109.5" customHeight="1">
      <c r="A117" s="51">
        <v>3.16</v>
      </c>
      <c r="B117" s="358" t="str">
        <f>'AVANCE DE OBRA '!B73</f>
        <v>Reparación de hueco de luminaria retirada</v>
      </c>
      <c r="C117" s="359"/>
      <c r="D117" s="52">
        <f>'AVANCE DE OBRA '!F73</f>
        <v>799020</v>
      </c>
      <c r="E117" s="52">
        <f>'AVANCE DE OBRA '!AB73</f>
        <v>599265</v>
      </c>
      <c r="F117" s="49"/>
      <c r="G117" s="49"/>
      <c r="H117" s="49"/>
      <c r="I117" s="49"/>
      <c r="J117" s="49"/>
      <c r="K117" s="49"/>
      <c r="L117" s="50"/>
      <c r="M117" s="1"/>
      <c r="N117" s="1"/>
      <c r="O117" s="1"/>
      <c r="P117" s="1"/>
      <c r="Q117" s="1"/>
      <c r="R117" s="1"/>
      <c r="S117" s="1"/>
      <c r="T117" s="1"/>
      <c r="U117" s="1"/>
      <c r="V117" s="1"/>
      <c r="W117" s="1"/>
      <c r="X117" s="1"/>
      <c r="Y117" s="1"/>
      <c r="Z117" s="1"/>
    </row>
    <row r="118" spans="1:26" ht="109.5" customHeight="1">
      <c r="A118" s="51">
        <v>3.17</v>
      </c>
      <c r="B118" s="358" t="str">
        <f>'AVANCE DE OBRA '!B74</f>
        <v>Reparación de techo en oficinas por adecuaciones realizadas para salidas eléctricas en control</v>
      </c>
      <c r="C118" s="359"/>
      <c r="D118" s="52">
        <f>'AVANCE DE OBRA '!F74</f>
        <v>525984</v>
      </c>
      <c r="E118" s="52">
        <f>'AVANCE DE OBRA '!AB74</f>
        <v>525984</v>
      </c>
      <c r="F118" s="49"/>
      <c r="G118" s="49"/>
      <c r="H118" s="49"/>
      <c r="I118" s="49"/>
      <c r="J118" s="49"/>
      <c r="K118" s="49"/>
      <c r="L118" s="50"/>
      <c r="M118" s="1"/>
      <c r="N118" s="1"/>
      <c r="O118" s="1"/>
      <c r="P118" s="1"/>
      <c r="Q118" s="1"/>
      <c r="R118" s="1"/>
      <c r="S118" s="1"/>
      <c r="T118" s="1"/>
      <c r="U118" s="1"/>
      <c r="V118" s="1"/>
      <c r="W118" s="1"/>
      <c r="X118" s="1"/>
      <c r="Y118" s="1"/>
      <c r="Z118" s="1"/>
    </row>
    <row r="119" spans="1:26" ht="109.5" customHeight="1">
      <c r="A119" s="51">
        <v>3.18</v>
      </c>
      <c r="B119" s="358" t="str">
        <f>'AVANCE DE OBRA '!B75</f>
        <v>Pintura de Techo zonas afectadas por hueco de luminaria</v>
      </c>
      <c r="C119" s="359"/>
      <c r="D119" s="52">
        <f>'AVANCE DE OBRA '!F75</f>
        <v>610904</v>
      </c>
      <c r="E119" s="52">
        <f>'AVANCE DE OBRA '!AB75</f>
        <v>610904</v>
      </c>
      <c r="F119" s="49"/>
      <c r="G119" s="49"/>
      <c r="H119" s="49"/>
      <c r="I119" s="49"/>
      <c r="J119" s="49"/>
      <c r="K119" s="49"/>
      <c r="L119" s="50"/>
      <c r="M119" s="1"/>
      <c r="N119" s="1"/>
      <c r="O119" s="1"/>
      <c r="P119" s="1"/>
      <c r="Q119" s="1"/>
      <c r="R119" s="1"/>
      <c r="S119" s="1"/>
      <c r="T119" s="1"/>
      <c r="U119" s="1"/>
      <c r="V119" s="1"/>
      <c r="W119" s="1"/>
      <c r="X119" s="1"/>
      <c r="Y119" s="1"/>
      <c r="Z119" s="1"/>
    </row>
    <row r="120" spans="1:26" ht="109.5" customHeight="1">
      <c r="A120" s="51">
        <v>3.19</v>
      </c>
      <c r="B120" s="358" t="str">
        <f>'AVANCE DE OBRA '!B76</f>
        <v>Pintura de muro zonas afectadas por interruptor de encendido por luminarias nuevas</v>
      </c>
      <c r="C120" s="359"/>
      <c r="D120" s="52">
        <f>'AVANCE DE OBRA '!F76</f>
        <v>347260</v>
      </c>
      <c r="E120" s="52">
        <f>'AVANCE DE OBRA '!AB76</f>
        <v>243082</v>
      </c>
      <c r="F120" s="49"/>
      <c r="G120" s="49"/>
      <c r="H120" s="49"/>
      <c r="I120" s="49"/>
      <c r="J120" s="49"/>
      <c r="K120" s="49"/>
      <c r="L120" s="50"/>
      <c r="M120" s="1"/>
      <c r="N120" s="1"/>
      <c r="O120" s="1"/>
      <c r="P120" s="1"/>
      <c r="Q120" s="1"/>
      <c r="R120" s="1"/>
      <c r="S120" s="1"/>
      <c r="T120" s="1"/>
      <c r="U120" s="1"/>
      <c r="V120" s="1"/>
      <c r="W120" s="1"/>
      <c r="X120" s="1"/>
      <c r="Y120" s="1"/>
      <c r="Z120" s="1"/>
    </row>
    <row r="121" spans="1:26" ht="109.5" customHeight="1">
      <c r="A121" s="51"/>
      <c r="B121" s="113"/>
      <c r="C121" s="114"/>
      <c r="D121" s="52"/>
      <c r="E121" s="52"/>
      <c r="F121" s="49"/>
      <c r="G121" s="49"/>
      <c r="H121" s="49"/>
      <c r="I121" s="49"/>
      <c r="J121" s="49"/>
      <c r="K121" s="49"/>
      <c r="L121" s="50"/>
      <c r="M121" s="1"/>
      <c r="N121" s="1"/>
      <c r="O121" s="1"/>
      <c r="P121" s="1"/>
      <c r="Q121" s="1"/>
      <c r="R121" s="1"/>
      <c r="S121" s="1"/>
      <c r="T121" s="1"/>
      <c r="U121" s="1"/>
      <c r="V121" s="1"/>
      <c r="W121" s="1"/>
      <c r="X121" s="1"/>
      <c r="Y121" s="1"/>
      <c r="Z121" s="1"/>
    </row>
    <row r="122" spans="1:26" ht="20.100000000000001" customHeight="1">
      <c r="A122" s="51"/>
      <c r="B122" s="442"/>
      <c r="C122" s="443"/>
      <c r="D122" s="52"/>
      <c r="E122" s="52"/>
      <c r="F122" s="49"/>
      <c r="G122" s="49"/>
      <c r="H122" s="49"/>
      <c r="I122" s="49"/>
      <c r="J122" s="49"/>
      <c r="K122" s="49"/>
      <c r="L122" s="50"/>
      <c r="M122" s="1"/>
      <c r="N122" s="1"/>
      <c r="O122" s="1"/>
      <c r="P122" s="1"/>
      <c r="Q122" s="1"/>
      <c r="R122" s="1"/>
      <c r="S122" s="1"/>
      <c r="T122" s="1"/>
      <c r="U122" s="1"/>
      <c r="V122" s="1"/>
      <c r="W122" s="1"/>
      <c r="X122" s="1"/>
      <c r="Y122" s="1"/>
      <c r="Z122" s="1"/>
    </row>
    <row r="123" spans="1:26" ht="20.100000000000001" customHeight="1">
      <c r="A123" s="51" t="s">
        <v>163</v>
      </c>
      <c r="B123" s="440" t="s">
        <v>164</v>
      </c>
      <c r="C123" s="441"/>
      <c r="D123" s="53">
        <f>SUM(D61:D120)</f>
        <v>307489077</v>
      </c>
      <c r="E123" s="53">
        <f>SUM(E61:E121)</f>
        <v>277729620.40000004</v>
      </c>
      <c r="F123" s="49"/>
      <c r="G123" s="49"/>
      <c r="H123" s="49"/>
      <c r="I123" s="49"/>
      <c r="J123" s="49"/>
      <c r="K123" s="49"/>
      <c r="L123" s="50"/>
      <c r="M123" s="1"/>
      <c r="N123" s="1"/>
      <c r="O123" s="1"/>
      <c r="P123" s="1"/>
      <c r="Q123" s="1"/>
      <c r="R123" s="1"/>
      <c r="S123" s="1"/>
      <c r="T123" s="1"/>
      <c r="U123" s="1"/>
      <c r="V123" s="1"/>
      <c r="W123" s="1"/>
      <c r="X123" s="1"/>
      <c r="Y123" s="1"/>
      <c r="Z123" s="1"/>
    </row>
    <row r="124" spans="1:26" ht="20.100000000000001" customHeight="1">
      <c r="A124" s="51" t="s">
        <v>163</v>
      </c>
      <c r="B124" s="107" t="s">
        <v>165</v>
      </c>
      <c r="C124" s="108">
        <v>0.19</v>
      </c>
      <c r="D124" s="52">
        <f>D123*C124</f>
        <v>58422924.630000003</v>
      </c>
      <c r="E124" s="52">
        <f>E123*C124</f>
        <v>52768627.876000009</v>
      </c>
      <c r="F124" s="49"/>
      <c r="G124" s="49"/>
      <c r="H124" s="49"/>
      <c r="I124" s="49"/>
      <c r="J124" s="49"/>
      <c r="K124" s="49"/>
      <c r="L124" s="50"/>
      <c r="M124" s="1"/>
      <c r="N124" s="1"/>
      <c r="O124" s="1"/>
      <c r="P124" s="1"/>
      <c r="Q124" s="1"/>
      <c r="R124" s="1"/>
      <c r="S124" s="1"/>
      <c r="T124" s="1"/>
      <c r="U124" s="1"/>
      <c r="V124" s="1"/>
      <c r="W124" s="1"/>
      <c r="X124" s="1"/>
      <c r="Y124" s="1"/>
      <c r="Z124" s="1"/>
    </row>
    <row r="125" spans="1:26" ht="20.100000000000001" hidden="1" customHeight="1">
      <c r="A125" s="51"/>
      <c r="B125" s="462" t="s">
        <v>67</v>
      </c>
      <c r="C125" s="463"/>
      <c r="D125" s="52">
        <f>(0)</f>
        <v>0</v>
      </c>
      <c r="E125" s="52">
        <f>(0)</f>
        <v>0</v>
      </c>
      <c r="F125" s="49"/>
      <c r="G125" s="49"/>
      <c r="H125" s="49"/>
      <c r="I125" s="49"/>
      <c r="J125" s="49"/>
      <c r="K125" s="49"/>
      <c r="L125" s="50"/>
      <c r="M125" s="1"/>
      <c r="N125" s="1"/>
      <c r="O125" s="1"/>
      <c r="P125" s="1"/>
      <c r="Q125" s="1"/>
      <c r="R125" s="1"/>
      <c r="S125" s="1"/>
      <c r="T125" s="1"/>
      <c r="U125" s="1"/>
      <c r="V125" s="1"/>
      <c r="W125" s="1"/>
      <c r="X125" s="1"/>
      <c r="Y125" s="1"/>
      <c r="Z125" s="1"/>
    </row>
    <row r="126" spans="1:26" ht="20.100000000000001" customHeight="1">
      <c r="A126" s="51" t="s">
        <v>163</v>
      </c>
      <c r="B126" s="107" t="s">
        <v>166</v>
      </c>
      <c r="C126" s="109">
        <v>0.01</v>
      </c>
      <c r="D126" s="54">
        <f>C126*D123</f>
        <v>3074890.77</v>
      </c>
      <c r="E126" s="54">
        <f>E123*C126</f>
        <v>2777296.2040000004</v>
      </c>
      <c r="F126" s="49"/>
      <c r="G126" s="49"/>
      <c r="H126" s="49"/>
      <c r="I126" s="49"/>
      <c r="J126" s="49"/>
      <c r="K126" s="49"/>
      <c r="L126" s="50"/>
      <c r="M126" s="1"/>
      <c r="N126" s="1"/>
      <c r="O126" s="1"/>
      <c r="P126" s="1"/>
      <c r="Q126" s="1"/>
      <c r="R126" s="1"/>
      <c r="S126" s="1"/>
      <c r="T126" s="1"/>
      <c r="U126" s="1"/>
      <c r="V126" s="1"/>
      <c r="W126" s="1"/>
      <c r="X126" s="1"/>
      <c r="Y126" s="1"/>
      <c r="Z126" s="1"/>
    </row>
    <row r="127" spans="1:26" ht="20.100000000000001" customHeight="1">
      <c r="A127" s="51">
        <v>13</v>
      </c>
      <c r="B127" s="110" t="s">
        <v>167</v>
      </c>
      <c r="C127" s="111">
        <v>0.05</v>
      </c>
      <c r="D127" s="52">
        <f>C127*D123</f>
        <v>15374453.850000001</v>
      </c>
      <c r="E127" s="52">
        <f>C127*E123</f>
        <v>13886481.020000003</v>
      </c>
      <c r="F127" s="49"/>
      <c r="G127" s="49"/>
      <c r="H127" s="49"/>
      <c r="I127" s="49"/>
      <c r="J127" s="49"/>
      <c r="K127" s="49"/>
      <c r="L127" s="50"/>
      <c r="M127" s="1"/>
      <c r="N127" s="1"/>
      <c r="O127" s="1"/>
      <c r="P127" s="1"/>
      <c r="Q127" s="1"/>
      <c r="R127" s="1"/>
      <c r="S127" s="1"/>
      <c r="T127" s="1"/>
      <c r="U127" s="1"/>
      <c r="V127" s="1"/>
      <c r="W127" s="1"/>
      <c r="X127" s="1"/>
      <c r="Y127" s="1"/>
      <c r="Z127" s="1"/>
    </row>
    <row r="128" spans="1:26" ht="20.100000000000001" customHeight="1">
      <c r="A128" s="51"/>
      <c r="B128" s="107" t="s">
        <v>168</v>
      </c>
      <c r="C128" s="112">
        <v>0.19</v>
      </c>
      <c r="D128" s="52">
        <f>C128*D127</f>
        <v>2921146.2315000002</v>
      </c>
      <c r="E128" s="52">
        <f>E127*C128</f>
        <v>2638431.3938000007</v>
      </c>
      <c r="F128" s="49"/>
      <c r="G128" s="49"/>
      <c r="H128" s="49"/>
      <c r="I128" s="49"/>
      <c r="J128" s="49"/>
      <c r="K128" s="49"/>
      <c r="L128" s="50"/>
      <c r="M128" s="1"/>
      <c r="N128" s="1"/>
      <c r="O128" s="1"/>
      <c r="P128" s="1"/>
      <c r="Q128" s="1"/>
      <c r="R128" s="1"/>
      <c r="S128" s="1"/>
      <c r="T128" s="1"/>
      <c r="U128" s="1"/>
      <c r="V128" s="1"/>
      <c r="W128" s="1"/>
      <c r="X128" s="1"/>
      <c r="Y128" s="1"/>
      <c r="Z128" s="1"/>
    </row>
    <row r="129" spans="1:26" ht="20.100000000000001" customHeight="1">
      <c r="A129" s="51" t="s">
        <v>163</v>
      </c>
      <c r="B129" s="464" t="s">
        <v>169</v>
      </c>
      <c r="C129" s="464"/>
      <c r="D129" s="53">
        <f>SUM(D123:D128)</f>
        <v>387282492.48150003</v>
      </c>
      <c r="E129" s="53">
        <f>SUM(E123:E128)</f>
        <v>349800456.89380002</v>
      </c>
      <c r="F129" s="49"/>
      <c r="G129" s="49"/>
      <c r="H129" s="49"/>
      <c r="I129" s="49"/>
      <c r="J129" s="49"/>
      <c r="K129" s="49"/>
      <c r="L129" s="50"/>
      <c r="M129" s="8"/>
      <c r="N129" s="8"/>
      <c r="O129" s="8"/>
      <c r="P129" s="8"/>
      <c r="Q129" s="8"/>
      <c r="R129" s="8"/>
      <c r="S129" s="8"/>
      <c r="T129" s="8"/>
      <c r="U129" s="8"/>
      <c r="V129" s="8"/>
      <c r="W129" s="8"/>
      <c r="X129" s="8"/>
      <c r="Y129" s="8"/>
      <c r="Z129" s="8"/>
    </row>
    <row r="130" spans="1:26" ht="20.100000000000001" customHeight="1">
      <c r="A130" s="55"/>
      <c r="B130" s="465" t="s">
        <v>170</v>
      </c>
      <c r="C130" s="466"/>
      <c r="D130" s="56">
        <f>D129/C16</f>
        <v>0.99999999866118405</v>
      </c>
      <c r="E130" s="56">
        <f>E129/C19</f>
        <v>0.90321784024923646</v>
      </c>
      <c r="F130" s="49"/>
      <c r="G130" s="49"/>
      <c r="H130" s="49"/>
      <c r="I130" s="49"/>
      <c r="J130" s="49"/>
      <c r="K130" s="49"/>
      <c r="L130" s="50"/>
      <c r="M130" s="1"/>
      <c r="N130" s="1"/>
      <c r="O130" s="1"/>
      <c r="P130" s="1"/>
      <c r="Q130" s="1"/>
      <c r="R130" s="1"/>
      <c r="S130" s="1"/>
      <c r="T130" s="1"/>
      <c r="U130" s="1"/>
      <c r="V130" s="1"/>
      <c r="W130" s="1"/>
      <c r="X130" s="1"/>
      <c r="Y130" s="1"/>
      <c r="Z130" s="1"/>
    </row>
    <row r="131" spans="1:26" ht="20.100000000000001" customHeight="1">
      <c r="A131" s="57"/>
      <c r="B131" s="58"/>
      <c r="C131" s="58"/>
      <c r="D131" s="18"/>
      <c r="E131" s="18"/>
      <c r="F131" s="49"/>
      <c r="G131" s="49"/>
      <c r="H131" s="49"/>
      <c r="I131" s="49"/>
      <c r="J131" s="49"/>
      <c r="K131" s="49"/>
      <c r="L131" s="50"/>
      <c r="M131" s="19"/>
      <c r="N131" s="19"/>
      <c r="O131" s="19"/>
      <c r="P131" s="19"/>
      <c r="Q131" s="19"/>
      <c r="R131" s="19"/>
      <c r="S131" s="1"/>
      <c r="T131" s="1"/>
      <c r="U131" s="1"/>
      <c r="V131" s="1"/>
      <c r="W131" s="1"/>
      <c r="X131" s="1"/>
      <c r="Y131" s="1"/>
      <c r="Z131" s="1"/>
    </row>
    <row r="132" spans="1:26" ht="20.100000000000001" customHeight="1" thickBot="1">
      <c r="A132" s="59"/>
      <c r="B132" s="60"/>
      <c r="C132" s="60"/>
      <c r="D132" s="61"/>
      <c r="E132" s="61"/>
      <c r="F132" s="60"/>
      <c r="G132" s="60"/>
      <c r="H132" s="60"/>
      <c r="I132" s="60"/>
      <c r="J132" s="60"/>
      <c r="K132" s="60"/>
      <c r="L132" s="62"/>
      <c r="M132" s="19"/>
      <c r="N132" s="19"/>
      <c r="O132" s="19"/>
      <c r="P132" s="19"/>
      <c r="Q132" s="19"/>
      <c r="R132" s="19"/>
      <c r="S132" s="1"/>
      <c r="T132" s="1"/>
      <c r="U132" s="1"/>
      <c r="V132" s="1"/>
      <c r="W132" s="1"/>
      <c r="X132" s="1"/>
      <c r="Y132" s="1"/>
      <c r="Z132" s="1"/>
    </row>
    <row r="133" spans="1:26" ht="20.100000000000001" customHeight="1" thickBot="1">
      <c r="A133" s="467" t="s">
        <v>171</v>
      </c>
      <c r="B133" s="468"/>
      <c r="C133" s="468"/>
      <c r="D133" s="468"/>
      <c r="E133" s="468"/>
      <c r="F133" s="468"/>
      <c r="G133" s="468"/>
      <c r="H133" s="468"/>
      <c r="I133" s="468"/>
      <c r="J133" s="468"/>
      <c r="K133" s="468"/>
      <c r="L133" s="469"/>
      <c r="M133" s="19"/>
      <c r="N133" s="19"/>
      <c r="O133" s="19"/>
      <c r="P133" s="19"/>
      <c r="Q133" s="19"/>
      <c r="R133" s="19"/>
      <c r="S133" s="1"/>
      <c r="T133" s="1"/>
      <c r="U133" s="1"/>
      <c r="V133" s="1"/>
      <c r="W133" s="1"/>
      <c r="X133" s="1"/>
      <c r="Y133" s="1"/>
      <c r="Z133" s="1"/>
    </row>
    <row r="134" spans="1:26" ht="20.100000000000001" customHeight="1">
      <c r="A134" s="446" t="s">
        <v>172</v>
      </c>
      <c r="B134" s="447"/>
      <c r="C134" s="448"/>
      <c r="D134" s="452">
        <v>3</v>
      </c>
      <c r="E134" s="453"/>
      <c r="F134" s="456" t="s">
        <v>173</v>
      </c>
      <c r="G134" s="456"/>
      <c r="H134" s="458">
        <v>6</v>
      </c>
      <c r="I134" s="95"/>
      <c r="J134" s="460" t="s">
        <v>174</v>
      </c>
      <c r="K134" s="460"/>
      <c r="L134" s="38">
        <v>6</v>
      </c>
      <c r="M134" s="20"/>
      <c r="N134" s="20"/>
      <c r="O134" s="20"/>
      <c r="P134" s="20"/>
      <c r="Q134" s="20"/>
      <c r="R134" s="20"/>
      <c r="S134" s="1"/>
      <c r="T134" s="1"/>
      <c r="U134" s="1"/>
      <c r="V134" s="1"/>
      <c r="W134" s="1"/>
      <c r="X134" s="1"/>
      <c r="Y134" s="1"/>
      <c r="Z134" s="1"/>
    </row>
    <row r="135" spans="1:26" ht="20.100000000000001" customHeight="1" thickBot="1">
      <c r="A135" s="449"/>
      <c r="B135" s="450"/>
      <c r="C135" s="451"/>
      <c r="D135" s="454"/>
      <c r="E135" s="455"/>
      <c r="F135" s="457"/>
      <c r="G135" s="457"/>
      <c r="H135" s="459"/>
      <c r="I135" s="96"/>
      <c r="J135" s="461" t="s">
        <v>175</v>
      </c>
      <c r="K135" s="461"/>
      <c r="L135" s="37">
        <v>0</v>
      </c>
      <c r="M135" s="21"/>
      <c r="N135" s="21"/>
      <c r="O135" s="21"/>
      <c r="P135" s="21"/>
      <c r="Q135" s="21"/>
      <c r="R135" s="21"/>
      <c r="S135" s="1"/>
      <c r="T135" s="1"/>
      <c r="U135" s="1"/>
      <c r="V135" s="1"/>
      <c r="W135" s="1"/>
      <c r="X135" s="1"/>
      <c r="Y135" s="1"/>
      <c r="Z135" s="1"/>
    </row>
    <row r="136" spans="1:26" ht="20.100000000000001" customHeight="1" thickBot="1">
      <c r="A136" s="22"/>
      <c r="B136" s="14"/>
      <c r="C136" s="23"/>
      <c r="D136" s="23"/>
      <c r="E136" s="14"/>
      <c r="F136" s="14"/>
      <c r="G136" s="14"/>
      <c r="H136" s="14"/>
      <c r="I136" s="14"/>
      <c r="J136" s="14"/>
      <c r="K136" s="14"/>
      <c r="L136" s="15"/>
      <c r="M136" s="24"/>
      <c r="N136" s="24"/>
      <c r="O136" s="24"/>
      <c r="P136" s="24"/>
      <c r="Q136" s="24"/>
      <c r="R136" s="24"/>
      <c r="S136" s="1"/>
      <c r="T136" s="1"/>
      <c r="U136" s="1"/>
      <c r="V136" s="1"/>
      <c r="W136" s="1"/>
      <c r="X136" s="1"/>
      <c r="Y136" s="1"/>
      <c r="Z136" s="1"/>
    </row>
    <row r="137" spans="1:26" ht="20.100000000000001" customHeight="1" thickBot="1">
      <c r="A137" s="467" t="s">
        <v>176</v>
      </c>
      <c r="B137" s="468"/>
      <c r="C137" s="468"/>
      <c r="D137" s="468"/>
      <c r="E137" s="468"/>
      <c r="F137" s="468"/>
      <c r="G137" s="468"/>
      <c r="H137" s="468"/>
      <c r="I137" s="468"/>
      <c r="J137" s="468"/>
      <c r="K137" s="468"/>
      <c r="L137" s="469"/>
      <c r="M137" s="24"/>
      <c r="N137" s="24"/>
      <c r="O137" s="24"/>
      <c r="P137" s="24"/>
      <c r="Q137" s="24"/>
      <c r="R137" s="24"/>
      <c r="S137" s="1"/>
      <c r="T137" s="1"/>
      <c r="U137" s="1"/>
      <c r="V137" s="1"/>
      <c r="W137" s="1"/>
      <c r="X137" s="1"/>
      <c r="Y137" s="1"/>
      <c r="Z137" s="1"/>
    </row>
    <row r="138" spans="1:26" ht="20.100000000000001" customHeight="1" thickBot="1">
      <c r="A138" s="479"/>
      <c r="B138" s="480"/>
      <c r="C138" s="480"/>
      <c r="D138" s="480"/>
      <c r="E138" s="480"/>
      <c r="F138" s="480"/>
      <c r="G138" s="480"/>
      <c r="H138" s="480"/>
      <c r="I138" s="480"/>
      <c r="J138" s="480"/>
      <c r="K138" s="480"/>
      <c r="L138" s="481"/>
      <c r="M138" s="24"/>
      <c r="N138" s="24"/>
      <c r="O138" s="24"/>
      <c r="P138" s="24"/>
      <c r="Q138" s="24"/>
      <c r="R138" s="24"/>
      <c r="S138" s="1"/>
      <c r="T138" s="1"/>
      <c r="U138" s="1"/>
      <c r="V138" s="1"/>
      <c r="W138" s="1"/>
      <c r="X138" s="1"/>
      <c r="Y138" s="1"/>
      <c r="Z138" s="1"/>
    </row>
    <row r="139" spans="1:26" ht="20.100000000000001" customHeight="1" thickBot="1">
      <c r="A139" s="482" t="s">
        <v>177</v>
      </c>
      <c r="B139" s="483"/>
      <c r="C139" s="483"/>
      <c r="D139" s="483"/>
      <c r="E139" s="483"/>
      <c r="F139" s="483"/>
      <c r="G139" s="483"/>
      <c r="H139" s="483"/>
      <c r="I139" s="483"/>
      <c r="J139" s="483"/>
      <c r="K139" s="483"/>
      <c r="L139" s="484"/>
      <c r="M139" s="24"/>
      <c r="N139" s="24"/>
      <c r="O139" s="24"/>
      <c r="P139" s="24"/>
      <c r="Q139" s="24"/>
      <c r="R139" s="24"/>
      <c r="S139" s="1"/>
      <c r="T139" s="1"/>
      <c r="U139" s="1"/>
      <c r="V139" s="1"/>
      <c r="W139" s="1"/>
      <c r="X139" s="1"/>
      <c r="Y139" s="1"/>
      <c r="Z139" s="1"/>
    </row>
    <row r="140" spans="1:26" ht="20.100000000000001" customHeight="1">
      <c r="A140" s="485" t="s">
        <v>178</v>
      </c>
      <c r="B140" s="486"/>
      <c r="C140" s="486"/>
      <c r="D140" s="486"/>
      <c r="E140" s="486"/>
      <c r="F140" s="486"/>
      <c r="G140" s="486"/>
      <c r="H140" s="486"/>
      <c r="I140" s="486"/>
      <c r="J140" s="486"/>
      <c r="K140" s="486"/>
      <c r="L140" s="487"/>
      <c r="M140" s="25"/>
      <c r="N140" s="25"/>
      <c r="O140" s="25"/>
      <c r="P140" s="25"/>
      <c r="Q140" s="25"/>
      <c r="R140" s="25"/>
      <c r="S140" s="1"/>
      <c r="T140" s="1"/>
      <c r="U140" s="1"/>
      <c r="V140" s="1"/>
      <c r="W140" s="1"/>
      <c r="X140" s="1"/>
      <c r="Y140" s="1"/>
      <c r="Z140" s="1"/>
    </row>
    <row r="141" spans="1:26" ht="20.100000000000001" customHeight="1">
      <c r="A141" s="488"/>
      <c r="B141" s="489"/>
      <c r="C141" s="489"/>
      <c r="D141" s="489"/>
      <c r="E141" s="489"/>
      <c r="F141" s="489"/>
      <c r="G141" s="489"/>
      <c r="H141" s="489"/>
      <c r="I141" s="489"/>
      <c r="J141" s="489"/>
      <c r="K141" s="489"/>
      <c r="L141" s="490"/>
      <c r="M141" s="1"/>
      <c r="N141" s="1"/>
      <c r="O141" s="1"/>
      <c r="P141" s="1"/>
      <c r="Q141" s="1"/>
      <c r="R141" s="1"/>
      <c r="S141" s="1"/>
      <c r="T141" s="1"/>
      <c r="U141" s="1"/>
      <c r="V141" s="1"/>
      <c r="W141" s="1"/>
      <c r="X141" s="1"/>
      <c r="Y141" s="1"/>
      <c r="Z141" s="1"/>
    </row>
    <row r="142" spans="1:26" ht="181.5" customHeight="1">
      <c r="A142" s="491" t="s">
        <v>179</v>
      </c>
      <c r="B142" s="492"/>
      <c r="C142" s="492"/>
      <c r="D142" s="492"/>
      <c r="E142" s="492"/>
      <c r="F142" s="492"/>
      <c r="G142" s="492"/>
      <c r="H142" s="492"/>
      <c r="I142" s="492"/>
      <c r="J142" s="492"/>
      <c r="K142" s="492"/>
      <c r="L142" s="493"/>
      <c r="M142" s="1"/>
      <c r="N142" s="1"/>
      <c r="O142" s="1"/>
      <c r="P142" s="1"/>
      <c r="Q142" s="1"/>
      <c r="R142" s="1"/>
      <c r="S142" s="1"/>
      <c r="T142" s="1"/>
      <c r="U142" s="1"/>
      <c r="V142" s="1"/>
      <c r="W142" s="1"/>
      <c r="X142" s="1"/>
      <c r="Y142" s="1"/>
      <c r="Z142" s="1"/>
    </row>
    <row r="143" spans="1:26" ht="23.25" customHeight="1" thickBot="1">
      <c r="A143" s="494"/>
      <c r="B143" s="495"/>
      <c r="C143" s="495"/>
      <c r="D143" s="495"/>
      <c r="E143" s="495"/>
      <c r="F143" s="495"/>
      <c r="G143" s="495"/>
      <c r="H143" s="495"/>
      <c r="I143" s="495"/>
      <c r="J143" s="495"/>
      <c r="K143" s="495"/>
      <c r="L143" s="496"/>
      <c r="M143" s="1"/>
      <c r="N143" s="1"/>
      <c r="O143" s="1"/>
      <c r="P143" s="1"/>
      <c r="Q143" s="1"/>
      <c r="R143" s="1"/>
      <c r="S143" s="1"/>
      <c r="T143" s="1"/>
      <c r="U143" s="1"/>
      <c r="V143" s="1"/>
      <c r="W143" s="1"/>
      <c r="X143" s="1"/>
      <c r="Y143" s="1"/>
      <c r="Z143" s="1"/>
    </row>
    <row r="144" spans="1:26" ht="20.100000000000001" customHeight="1" thickBot="1">
      <c r="A144" s="470" t="s">
        <v>180</v>
      </c>
      <c r="B144" s="471"/>
      <c r="C144" s="471"/>
      <c r="D144" s="471"/>
      <c r="E144" s="471"/>
      <c r="F144" s="471"/>
      <c r="G144" s="471"/>
      <c r="H144" s="471"/>
      <c r="I144" s="471"/>
      <c r="J144" s="471"/>
      <c r="K144" s="471"/>
      <c r="L144" s="472"/>
      <c r="M144" s="1"/>
      <c r="N144" s="1"/>
      <c r="O144" s="1"/>
      <c r="P144" s="1"/>
      <c r="Q144" s="1"/>
      <c r="R144" s="1"/>
      <c r="S144" s="1"/>
      <c r="T144" s="1"/>
      <c r="U144" s="1"/>
      <c r="V144" s="1"/>
      <c r="W144" s="1"/>
      <c r="X144" s="1"/>
      <c r="Y144" s="1"/>
      <c r="Z144" s="1"/>
    </row>
    <row r="145" spans="1:26" ht="20.100000000000001" customHeight="1">
      <c r="A145" s="473" t="s">
        <v>181</v>
      </c>
      <c r="B145" s="474"/>
      <c r="C145" s="474"/>
      <c r="D145" s="474"/>
      <c r="E145" s="474"/>
      <c r="F145" s="474"/>
      <c r="G145" s="474"/>
      <c r="H145" s="474"/>
      <c r="I145" s="474"/>
      <c r="J145" s="474"/>
      <c r="K145" s="474"/>
      <c r="L145" s="475"/>
      <c r="M145" s="1"/>
      <c r="N145" s="1"/>
      <c r="O145" s="1"/>
      <c r="P145" s="1"/>
      <c r="Q145" s="1"/>
      <c r="R145" s="1"/>
      <c r="S145" s="1"/>
      <c r="T145" s="1"/>
      <c r="U145" s="1"/>
      <c r="V145" s="1"/>
      <c r="W145" s="1"/>
      <c r="X145" s="1"/>
      <c r="Y145" s="1"/>
      <c r="Z145" s="1"/>
    </row>
    <row r="146" spans="1:26" ht="28.5" customHeight="1">
      <c r="A146" s="476"/>
      <c r="B146" s="477"/>
      <c r="C146" s="477"/>
      <c r="D146" s="477"/>
      <c r="E146" s="477"/>
      <c r="F146" s="477"/>
      <c r="G146" s="477"/>
      <c r="H146" s="477"/>
      <c r="I146" s="477"/>
      <c r="J146" s="477"/>
      <c r="K146" s="477"/>
      <c r="L146" s="478"/>
      <c r="M146" s="1"/>
      <c r="N146" s="1"/>
      <c r="O146" s="1"/>
      <c r="P146" s="1"/>
      <c r="Q146" s="1"/>
      <c r="R146" s="1"/>
      <c r="S146" s="1"/>
      <c r="T146" s="1"/>
      <c r="U146" s="1"/>
      <c r="V146" s="1"/>
      <c r="W146" s="1"/>
      <c r="X146" s="1"/>
      <c r="Y146" s="1"/>
      <c r="Z146" s="1"/>
    </row>
    <row r="147" spans="1:26" ht="40.5" customHeight="1">
      <c r="A147" s="476" t="s">
        <v>182</v>
      </c>
      <c r="B147" s="477"/>
      <c r="C147" s="477"/>
      <c r="D147" s="477"/>
      <c r="E147" s="477"/>
      <c r="F147" s="477"/>
      <c r="G147" s="477"/>
      <c r="H147" s="477"/>
      <c r="I147" s="477"/>
      <c r="J147" s="477"/>
      <c r="K147" s="477"/>
      <c r="L147" s="478"/>
      <c r="M147" s="1"/>
      <c r="N147" s="1"/>
      <c r="O147" s="1"/>
      <c r="P147" s="1"/>
      <c r="Q147" s="1"/>
      <c r="R147" s="1"/>
      <c r="S147" s="1"/>
      <c r="T147" s="1"/>
      <c r="U147" s="1"/>
      <c r="V147" s="1"/>
      <c r="W147" s="1"/>
      <c r="X147" s="1"/>
      <c r="Y147" s="1"/>
      <c r="Z147" s="1"/>
    </row>
    <row r="148" spans="1:26" ht="45" customHeight="1">
      <c r="A148" s="476" t="s">
        <v>183</v>
      </c>
      <c r="B148" s="477"/>
      <c r="C148" s="477"/>
      <c r="D148" s="477"/>
      <c r="E148" s="477"/>
      <c r="F148" s="477"/>
      <c r="G148" s="477"/>
      <c r="H148" s="477"/>
      <c r="I148" s="477"/>
      <c r="J148" s="477"/>
      <c r="K148" s="477"/>
      <c r="L148" s="478"/>
      <c r="M148" s="1"/>
      <c r="N148" s="1"/>
      <c r="O148" s="1"/>
      <c r="P148" s="1"/>
      <c r="Q148" s="1"/>
      <c r="R148" s="1"/>
      <c r="S148" s="1"/>
      <c r="T148" s="1"/>
      <c r="U148" s="1"/>
      <c r="V148" s="1"/>
      <c r="W148" s="1"/>
      <c r="X148" s="1"/>
      <c r="Y148" s="1"/>
      <c r="Z148" s="1"/>
    </row>
    <row r="149" spans="1:26" ht="46.5" customHeight="1">
      <c r="A149" s="476" t="s">
        <v>184</v>
      </c>
      <c r="B149" s="477"/>
      <c r="C149" s="477"/>
      <c r="D149" s="477"/>
      <c r="E149" s="477"/>
      <c r="F149" s="477"/>
      <c r="G149" s="477"/>
      <c r="H149" s="477"/>
      <c r="I149" s="477"/>
      <c r="J149" s="477"/>
      <c r="K149" s="477"/>
      <c r="L149" s="478"/>
      <c r="M149" s="1"/>
      <c r="N149" s="1"/>
      <c r="O149" s="1"/>
      <c r="P149" s="1"/>
      <c r="Q149" s="1"/>
      <c r="R149" s="1"/>
      <c r="S149" s="1"/>
      <c r="T149" s="1"/>
      <c r="U149" s="1"/>
      <c r="V149" s="1"/>
      <c r="W149" s="1"/>
      <c r="X149" s="1"/>
      <c r="Y149" s="1"/>
      <c r="Z149" s="1"/>
    </row>
    <row r="150" spans="1:26" ht="46.5" customHeight="1">
      <c r="A150" s="476" t="s">
        <v>185</v>
      </c>
      <c r="B150" s="477"/>
      <c r="C150" s="477"/>
      <c r="D150" s="477"/>
      <c r="E150" s="477"/>
      <c r="F150" s="477"/>
      <c r="G150" s="477"/>
      <c r="H150" s="477"/>
      <c r="I150" s="477"/>
      <c r="J150" s="477"/>
      <c r="K150" s="477"/>
      <c r="L150" s="478"/>
      <c r="M150" s="1"/>
      <c r="N150" s="1"/>
      <c r="O150" s="1"/>
      <c r="P150" s="1"/>
      <c r="Q150" s="1"/>
      <c r="R150" s="1"/>
      <c r="S150" s="1"/>
      <c r="T150" s="1"/>
      <c r="U150" s="1"/>
      <c r="V150" s="1"/>
      <c r="W150" s="1"/>
      <c r="X150" s="1"/>
      <c r="Y150" s="1"/>
      <c r="Z150" s="1"/>
    </row>
    <row r="151" spans="1:26" ht="42.75" customHeight="1">
      <c r="A151" s="476" t="s">
        <v>186</v>
      </c>
      <c r="B151" s="477"/>
      <c r="C151" s="477"/>
      <c r="D151" s="477"/>
      <c r="E151" s="477"/>
      <c r="F151" s="477"/>
      <c r="G151" s="477"/>
      <c r="H151" s="477"/>
      <c r="I151" s="477"/>
      <c r="J151" s="477"/>
      <c r="K151" s="477"/>
      <c r="L151" s="478"/>
      <c r="M151" s="1"/>
      <c r="N151" s="1"/>
      <c r="O151" s="1"/>
      <c r="P151" s="1"/>
      <c r="Q151" s="1"/>
      <c r="R151" s="1"/>
      <c r="S151" s="1"/>
      <c r="T151" s="1"/>
      <c r="U151" s="1"/>
      <c r="V151" s="1"/>
      <c r="W151" s="1"/>
      <c r="X151" s="1"/>
      <c r="Y151" s="1"/>
      <c r="Z151" s="1"/>
    </row>
    <row r="152" spans="1:26" ht="20.100000000000001" customHeight="1">
      <c r="A152" s="507"/>
      <c r="B152" s="508"/>
      <c r="C152" s="508"/>
      <c r="D152" s="508"/>
      <c r="E152" s="508"/>
      <c r="F152" s="508"/>
      <c r="G152" s="508"/>
      <c r="H152" s="508"/>
      <c r="I152" s="508"/>
      <c r="J152" s="508"/>
      <c r="K152" s="508"/>
      <c r="L152" s="509"/>
      <c r="M152" s="1"/>
      <c r="N152" s="1"/>
      <c r="O152" s="1"/>
      <c r="P152" s="1"/>
      <c r="Q152" s="1"/>
      <c r="R152" s="1"/>
      <c r="S152" s="1"/>
      <c r="T152" s="1"/>
      <c r="U152" s="1"/>
      <c r="V152" s="1"/>
      <c r="W152" s="1"/>
      <c r="X152" s="1"/>
      <c r="Y152" s="1"/>
      <c r="Z152" s="1"/>
    </row>
    <row r="153" spans="1:26" ht="20.100000000000001" customHeight="1">
      <c r="A153" s="511" t="s">
        <v>187</v>
      </c>
      <c r="B153" s="511"/>
      <c r="C153" s="511"/>
      <c r="D153" s="511"/>
      <c r="E153" s="511"/>
      <c r="F153" s="511"/>
      <c r="G153" s="511"/>
      <c r="H153" s="511"/>
      <c r="I153" s="511"/>
      <c r="J153" s="511"/>
      <c r="K153" s="511"/>
      <c r="L153" s="511"/>
      <c r="M153" s="1"/>
      <c r="N153" s="1"/>
      <c r="O153" s="1"/>
      <c r="P153" s="1"/>
      <c r="Q153" s="1"/>
      <c r="R153" s="1"/>
      <c r="S153" s="1"/>
      <c r="T153" s="1"/>
      <c r="U153" s="1"/>
      <c r="V153" s="1"/>
      <c r="W153" s="1"/>
      <c r="X153" s="1"/>
      <c r="Y153" s="1"/>
      <c r="Z153" s="1"/>
    </row>
    <row r="154" spans="1:26" ht="23.25" customHeight="1">
      <c r="A154" s="511" t="s">
        <v>188</v>
      </c>
      <c r="B154" s="511"/>
      <c r="C154" s="511"/>
      <c r="D154" s="511"/>
      <c r="E154" s="511"/>
      <c r="F154" s="511"/>
      <c r="G154" s="511"/>
      <c r="H154" s="511"/>
      <c r="I154" s="511"/>
      <c r="J154" s="511"/>
      <c r="K154" s="511"/>
      <c r="L154" s="511"/>
      <c r="M154" s="1"/>
      <c r="N154" s="1"/>
      <c r="O154" s="1"/>
      <c r="P154" s="1"/>
      <c r="Q154" s="1"/>
      <c r="R154" s="1"/>
      <c r="S154" s="1"/>
      <c r="T154" s="1"/>
      <c r="U154" s="1"/>
      <c r="V154" s="1"/>
      <c r="W154" s="1"/>
      <c r="X154" s="1"/>
      <c r="Y154" s="1"/>
      <c r="Z154" s="1"/>
    </row>
    <row r="155" spans="1:26" ht="24" customHeight="1">
      <c r="A155" s="511" t="s">
        <v>189</v>
      </c>
      <c r="B155" s="511"/>
      <c r="C155" s="511"/>
      <c r="D155" s="511"/>
      <c r="E155" s="511"/>
      <c r="F155" s="511"/>
      <c r="G155" s="511"/>
      <c r="H155" s="511"/>
      <c r="I155" s="511"/>
      <c r="J155" s="511"/>
      <c r="K155" s="511"/>
      <c r="L155" s="511"/>
      <c r="M155" s="1"/>
      <c r="N155" s="1"/>
      <c r="O155" s="1"/>
      <c r="P155" s="1"/>
      <c r="Q155" s="1"/>
      <c r="R155" s="1"/>
      <c r="S155" s="1"/>
      <c r="T155" s="1"/>
      <c r="U155" s="1"/>
      <c r="V155" s="1"/>
      <c r="W155" s="1"/>
      <c r="X155" s="1"/>
      <c r="Y155" s="1"/>
      <c r="Z155" s="1"/>
    </row>
    <row r="156" spans="1:26" ht="88.5" customHeight="1">
      <c r="A156" s="511" t="s">
        <v>190</v>
      </c>
      <c r="B156" s="511"/>
      <c r="C156" s="511"/>
      <c r="D156" s="511"/>
      <c r="E156" s="511"/>
      <c r="F156" s="511"/>
      <c r="G156" s="511"/>
      <c r="H156" s="511"/>
      <c r="I156" s="511"/>
      <c r="J156" s="511"/>
      <c r="K156" s="511"/>
      <c r="L156" s="511"/>
      <c r="M156" s="1"/>
      <c r="N156" s="1"/>
      <c r="O156" s="1"/>
      <c r="P156" s="1"/>
      <c r="Q156" s="1"/>
      <c r="R156" s="1"/>
      <c r="S156" s="1"/>
      <c r="T156" s="1"/>
      <c r="U156" s="1"/>
      <c r="V156" s="1"/>
      <c r="W156" s="1"/>
      <c r="X156" s="1"/>
      <c r="Y156" s="1"/>
      <c r="Z156" s="1"/>
    </row>
    <row r="157" spans="1:26" ht="20.100000000000001" customHeight="1">
      <c r="A157" s="510" t="s">
        <v>191</v>
      </c>
      <c r="B157" s="510"/>
      <c r="C157" s="510"/>
      <c r="D157" s="510"/>
      <c r="E157" s="510"/>
      <c r="F157" s="510"/>
      <c r="G157" s="510"/>
      <c r="H157" s="510"/>
      <c r="I157" s="510"/>
      <c r="J157" s="510"/>
      <c r="K157" s="510"/>
      <c r="L157" s="510"/>
      <c r="M157" s="1"/>
      <c r="N157" s="1"/>
      <c r="O157" s="1"/>
      <c r="P157" s="1"/>
      <c r="Q157" s="1"/>
      <c r="R157" s="1"/>
      <c r="S157" s="1"/>
      <c r="T157" s="1"/>
      <c r="U157" s="1"/>
      <c r="V157" s="1"/>
      <c r="W157" s="1"/>
      <c r="X157" s="1"/>
      <c r="Y157" s="1"/>
      <c r="Z157" s="1"/>
    </row>
    <row r="158" spans="1:26" ht="33.75" customHeight="1">
      <c r="A158" s="498"/>
      <c r="B158" s="499"/>
      <c r="C158" s="499"/>
      <c r="D158" s="499"/>
      <c r="E158" s="499"/>
      <c r="F158" s="499"/>
      <c r="G158" s="499"/>
      <c r="H158" s="499"/>
      <c r="I158" s="499"/>
      <c r="J158" s="499"/>
      <c r="K158" s="499"/>
      <c r="L158" s="500"/>
      <c r="M158" s="1"/>
      <c r="N158" s="1"/>
      <c r="O158" s="1"/>
      <c r="P158" s="1"/>
      <c r="Q158" s="1"/>
      <c r="R158" s="1"/>
      <c r="S158" s="1"/>
      <c r="T158" s="1"/>
      <c r="U158" s="1"/>
      <c r="V158" s="1"/>
      <c r="W158" s="1"/>
      <c r="X158" s="1"/>
      <c r="Y158" s="1"/>
      <c r="Z158" s="1"/>
    </row>
    <row r="159" spans="1:26" ht="26.25" customHeight="1">
      <c r="A159" s="501" t="s">
        <v>192</v>
      </c>
      <c r="B159" s="502"/>
      <c r="C159" s="502"/>
      <c r="D159" s="502"/>
      <c r="E159" s="502"/>
      <c r="F159" s="502"/>
      <c r="G159" s="502"/>
      <c r="H159" s="502"/>
      <c r="I159" s="502"/>
      <c r="J159" s="502"/>
      <c r="K159" s="502"/>
      <c r="L159" s="503"/>
      <c r="M159" s="1"/>
      <c r="N159" s="1"/>
      <c r="O159" s="1"/>
      <c r="P159" s="1"/>
      <c r="Q159" s="1"/>
      <c r="R159" s="1"/>
      <c r="S159" s="1"/>
      <c r="T159" s="1"/>
      <c r="U159" s="1"/>
      <c r="V159" s="1"/>
      <c r="W159" s="1"/>
      <c r="X159" s="1"/>
      <c r="Y159" s="1"/>
      <c r="Z159" s="1"/>
    </row>
    <row r="160" spans="1:26" ht="26.25" customHeight="1">
      <c r="A160" s="476" t="s">
        <v>193</v>
      </c>
      <c r="B160" s="477"/>
      <c r="C160" s="477"/>
      <c r="D160" s="477"/>
      <c r="E160" s="477"/>
      <c r="F160" s="477"/>
      <c r="G160" s="477"/>
      <c r="H160" s="477"/>
      <c r="I160" s="477"/>
      <c r="J160" s="477"/>
      <c r="K160" s="477"/>
      <c r="L160" s="478"/>
      <c r="M160" s="1"/>
      <c r="N160" s="1"/>
      <c r="O160" s="1"/>
      <c r="P160" s="1"/>
      <c r="Q160" s="1"/>
      <c r="R160" s="1"/>
      <c r="S160" s="1"/>
      <c r="T160" s="1"/>
      <c r="U160" s="1"/>
      <c r="V160" s="1"/>
      <c r="W160" s="1"/>
      <c r="X160" s="1"/>
      <c r="Y160" s="1"/>
      <c r="Z160" s="1"/>
    </row>
    <row r="161" spans="1:26" ht="26.25" customHeight="1">
      <c r="A161" s="476"/>
      <c r="B161" s="477"/>
      <c r="C161" s="477"/>
      <c r="D161" s="477"/>
      <c r="E161" s="477"/>
      <c r="F161" s="477"/>
      <c r="G161" s="477"/>
      <c r="H161" s="477"/>
      <c r="I161" s="477"/>
      <c r="J161" s="477"/>
      <c r="K161" s="477"/>
      <c r="L161" s="478"/>
      <c r="M161" s="1"/>
      <c r="N161" s="1"/>
      <c r="O161" s="1"/>
      <c r="P161" s="1"/>
      <c r="Q161" s="1"/>
      <c r="R161" s="1"/>
      <c r="S161" s="1"/>
      <c r="T161" s="1"/>
      <c r="U161" s="1"/>
      <c r="V161" s="1"/>
      <c r="W161" s="1"/>
      <c r="X161" s="1"/>
      <c r="Y161" s="1"/>
      <c r="Z161" s="1"/>
    </row>
    <row r="162" spans="1:26" ht="26.25" customHeight="1">
      <c r="A162" s="476" t="s">
        <v>194</v>
      </c>
      <c r="B162" s="477"/>
      <c r="C162" s="477"/>
      <c r="D162" s="477"/>
      <c r="E162" s="477"/>
      <c r="F162" s="477"/>
      <c r="G162" s="477"/>
      <c r="H162" s="477"/>
      <c r="I162" s="477"/>
      <c r="J162" s="477"/>
      <c r="K162" s="477"/>
      <c r="L162" s="478"/>
      <c r="M162" s="1"/>
      <c r="N162" s="1"/>
      <c r="O162" s="1"/>
      <c r="P162" s="1"/>
      <c r="Q162" s="1"/>
      <c r="R162" s="1"/>
      <c r="S162" s="1"/>
      <c r="T162" s="1"/>
      <c r="U162" s="1"/>
      <c r="V162" s="1"/>
      <c r="W162" s="1"/>
      <c r="X162" s="1"/>
      <c r="Y162" s="1"/>
      <c r="Z162" s="1"/>
    </row>
    <row r="163" spans="1:26" ht="26.25" customHeight="1">
      <c r="A163" s="476"/>
      <c r="B163" s="477"/>
      <c r="C163" s="477"/>
      <c r="D163" s="477"/>
      <c r="E163" s="477"/>
      <c r="F163" s="477"/>
      <c r="G163" s="477"/>
      <c r="H163" s="477"/>
      <c r="I163" s="477"/>
      <c r="J163" s="477"/>
      <c r="K163" s="477"/>
      <c r="L163" s="478"/>
      <c r="M163" s="1"/>
      <c r="N163" s="1"/>
      <c r="O163" s="1"/>
      <c r="P163" s="1"/>
      <c r="Q163" s="1"/>
      <c r="R163" s="1"/>
      <c r="S163" s="1"/>
      <c r="T163" s="1"/>
      <c r="U163" s="1"/>
      <c r="V163" s="1"/>
      <c r="W163" s="1"/>
      <c r="X163" s="1"/>
      <c r="Y163" s="1"/>
      <c r="Z163" s="1"/>
    </row>
    <row r="164" spans="1:26" ht="26.25" customHeight="1">
      <c r="A164" s="476"/>
      <c r="B164" s="477"/>
      <c r="C164" s="477"/>
      <c r="D164" s="477"/>
      <c r="E164" s="477"/>
      <c r="F164" s="477"/>
      <c r="G164" s="477"/>
      <c r="H164" s="477"/>
      <c r="I164" s="477"/>
      <c r="J164" s="477"/>
      <c r="K164" s="477"/>
      <c r="L164" s="478"/>
      <c r="M164" s="1"/>
      <c r="N164" s="1"/>
      <c r="O164" s="1"/>
      <c r="P164" s="1"/>
      <c r="Q164" s="1"/>
      <c r="R164" s="1"/>
      <c r="S164" s="1"/>
      <c r="T164" s="1"/>
      <c r="U164" s="1"/>
      <c r="V164" s="1"/>
      <c r="W164" s="1"/>
      <c r="X164" s="1"/>
      <c r="Y164" s="1"/>
      <c r="Z164" s="1"/>
    </row>
    <row r="165" spans="1:26" ht="26.25" customHeight="1">
      <c r="A165" s="513" t="s">
        <v>195</v>
      </c>
      <c r="B165" s="510"/>
      <c r="C165" s="510"/>
      <c r="D165" s="510"/>
      <c r="E165" s="510"/>
      <c r="F165" s="510"/>
      <c r="G165" s="510"/>
      <c r="H165" s="510"/>
      <c r="I165" s="510"/>
      <c r="J165" s="510"/>
      <c r="K165" s="510"/>
      <c r="L165" s="514"/>
      <c r="M165" s="1"/>
      <c r="N165" s="1"/>
      <c r="O165" s="1"/>
      <c r="P165" s="1"/>
      <c r="Q165" s="1"/>
      <c r="R165" s="1"/>
      <c r="S165" s="1"/>
      <c r="T165" s="1"/>
      <c r="U165" s="1"/>
      <c r="V165" s="1"/>
      <c r="W165" s="1"/>
      <c r="X165" s="1"/>
      <c r="Y165" s="1"/>
      <c r="Z165" s="1"/>
    </row>
    <row r="166" spans="1:26" ht="20.100000000000001" customHeight="1">
      <c r="A166" s="515"/>
      <c r="B166" s="516"/>
      <c r="C166" s="516"/>
      <c r="D166" s="516"/>
      <c r="E166" s="516"/>
      <c r="F166" s="516"/>
      <c r="G166" s="516"/>
      <c r="H166" s="516"/>
      <c r="I166" s="516"/>
      <c r="J166" s="516"/>
      <c r="K166" s="516"/>
      <c r="L166" s="517"/>
      <c r="M166" s="1"/>
      <c r="N166" s="1"/>
      <c r="O166" s="1"/>
      <c r="P166" s="1"/>
      <c r="Q166" s="1"/>
      <c r="R166" s="1"/>
      <c r="S166" s="1"/>
      <c r="T166" s="1"/>
      <c r="U166" s="1"/>
      <c r="V166" s="1"/>
      <c r="W166" s="1"/>
      <c r="X166" s="1"/>
      <c r="Y166" s="1"/>
      <c r="Z166" s="1"/>
    </row>
    <row r="167" spans="1:26" ht="87" customHeight="1">
      <c r="A167" s="491" t="s">
        <v>196</v>
      </c>
      <c r="B167" s="492"/>
      <c r="C167" s="492"/>
      <c r="D167" s="492"/>
      <c r="E167" s="492"/>
      <c r="F167" s="492"/>
      <c r="G167" s="492"/>
      <c r="H167" s="492"/>
      <c r="I167" s="492"/>
      <c r="J167" s="492"/>
      <c r="K167" s="492"/>
      <c r="L167" s="493"/>
      <c r="M167" s="1"/>
      <c r="N167" s="1"/>
      <c r="O167" s="1"/>
      <c r="P167" s="1"/>
      <c r="Q167" s="1"/>
      <c r="R167" s="1"/>
      <c r="S167" s="1"/>
      <c r="T167" s="1"/>
      <c r="U167" s="1"/>
      <c r="V167" s="1"/>
      <c r="W167" s="1"/>
      <c r="X167" s="1"/>
      <c r="Y167" s="1"/>
      <c r="Z167" s="1"/>
    </row>
    <row r="168" spans="1:26" ht="64.5" customHeight="1">
      <c r="A168" s="518" t="s">
        <v>197</v>
      </c>
      <c r="B168" s="519"/>
      <c r="C168" s="519"/>
      <c r="D168" s="519"/>
      <c r="E168" s="519"/>
      <c r="F168" s="519"/>
      <c r="G168" s="519"/>
      <c r="H168" s="519"/>
      <c r="I168" s="519"/>
      <c r="J168" s="519"/>
      <c r="K168" s="519"/>
      <c r="L168" s="520"/>
      <c r="M168" s="1"/>
      <c r="N168" s="1"/>
      <c r="O168" s="1"/>
      <c r="P168" s="1"/>
      <c r="Q168" s="1"/>
      <c r="R168" s="1"/>
      <c r="S168" s="1"/>
      <c r="T168" s="1"/>
      <c r="U168" s="1"/>
      <c r="V168" s="1"/>
      <c r="W168" s="1"/>
      <c r="X168" s="1"/>
      <c r="Y168" s="1"/>
      <c r="Z168" s="1"/>
    </row>
    <row r="169" spans="1:26" ht="69" customHeight="1">
      <c r="A169" s="491"/>
      <c r="B169" s="492"/>
      <c r="C169" s="492"/>
      <c r="D169" s="492"/>
      <c r="E169" s="492"/>
      <c r="F169" s="492"/>
      <c r="G169" s="492"/>
      <c r="H169" s="492"/>
      <c r="I169" s="492"/>
      <c r="J169" s="492"/>
      <c r="K169" s="492"/>
      <c r="L169" s="493"/>
      <c r="M169" s="1"/>
      <c r="N169" s="1"/>
      <c r="O169" s="1"/>
      <c r="P169" s="1"/>
      <c r="Q169" s="1"/>
      <c r="R169" s="1"/>
      <c r="S169" s="1"/>
      <c r="T169" s="1"/>
      <c r="U169" s="1"/>
      <c r="V169" s="1"/>
      <c r="W169" s="1"/>
      <c r="X169" s="1"/>
      <c r="Y169" s="1"/>
      <c r="Z169" s="1"/>
    </row>
    <row r="170" spans="1:26" ht="55.5" customHeight="1" thickBot="1">
      <c r="A170" s="521"/>
      <c r="B170" s="522"/>
      <c r="C170" s="522"/>
      <c r="D170" s="522"/>
      <c r="E170" s="522"/>
      <c r="F170" s="522"/>
      <c r="G170" s="522"/>
      <c r="H170" s="522"/>
      <c r="I170" s="522"/>
      <c r="J170" s="522"/>
      <c r="K170" s="522"/>
      <c r="L170" s="523"/>
      <c r="M170" s="1"/>
      <c r="N170" s="1"/>
      <c r="O170" s="1"/>
      <c r="P170" s="1"/>
      <c r="Q170" s="1"/>
      <c r="R170" s="1"/>
      <c r="S170" s="1"/>
      <c r="T170" s="1"/>
      <c r="U170" s="1"/>
      <c r="V170" s="1"/>
      <c r="W170" s="1"/>
      <c r="X170" s="1"/>
      <c r="Y170" s="1"/>
      <c r="Z170" s="1"/>
    </row>
    <row r="171" spans="1:26" ht="20.100000000000001" customHeight="1" thickBot="1">
      <c r="A171" s="363" t="s">
        <v>198</v>
      </c>
      <c r="B171" s="368"/>
      <c r="C171" s="368"/>
      <c r="D171" s="368"/>
      <c r="E171" s="368"/>
      <c r="F171" s="368"/>
      <c r="G171" s="368"/>
      <c r="H171" s="368"/>
      <c r="I171" s="368"/>
      <c r="J171" s="368"/>
      <c r="K171" s="368"/>
      <c r="L171" s="512"/>
      <c r="M171" s="1"/>
      <c r="N171" s="1"/>
      <c r="O171" s="1"/>
      <c r="P171" s="1"/>
      <c r="Q171" s="1"/>
      <c r="R171" s="1"/>
      <c r="S171" s="1"/>
      <c r="T171" s="1"/>
      <c r="U171" s="1"/>
      <c r="V171" s="1"/>
      <c r="W171" s="1"/>
      <c r="X171" s="1"/>
      <c r="Y171" s="1"/>
      <c r="Z171" s="1"/>
    </row>
    <row r="172" spans="1:26" ht="16.5" customHeight="1" thickBot="1">
      <c r="A172" s="26"/>
      <c r="B172" s="27"/>
      <c r="C172" s="27"/>
      <c r="D172" s="27"/>
      <c r="E172" s="27"/>
      <c r="F172" s="27"/>
      <c r="G172" s="27"/>
      <c r="H172" s="27"/>
      <c r="I172" s="27"/>
      <c r="J172" s="27"/>
      <c r="K172" s="27"/>
      <c r="L172" s="28"/>
      <c r="M172" s="8"/>
      <c r="N172" s="8"/>
      <c r="O172" s="8"/>
      <c r="P172" s="8"/>
      <c r="Q172" s="8"/>
      <c r="R172" s="8"/>
      <c r="S172" s="8"/>
      <c r="T172" s="8"/>
      <c r="U172" s="8"/>
      <c r="V172" s="8"/>
      <c r="W172" s="8"/>
      <c r="X172" s="8"/>
      <c r="Y172" s="8"/>
      <c r="Z172" s="8"/>
    </row>
    <row r="173" spans="1:26" ht="15.75" customHeight="1">
      <c r="A173" s="29"/>
      <c r="B173" s="27"/>
      <c r="C173" s="27"/>
      <c r="D173" s="27"/>
      <c r="E173" s="27"/>
      <c r="F173" s="27"/>
      <c r="G173" s="27"/>
      <c r="H173" s="27"/>
      <c r="I173" s="27"/>
      <c r="J173" s="27"/>
      <c r="K173" s="27"/>
      <c r="L173" s="28"/>
      <c r="M173" s="1"/>
      <c r="N173" s="1"/>
      <c r="O173" s="1"/>
      <c r="P173" s="1"/>
      <c r="Q173" s="1"/>
      <c r="R173" s="1"/>
      <c r="S173" s="1"/>
      <c r="T173" s="1"/>
      <c r="U173" s="1"/>
      <c r="V173" s="1"/>
      <c r="W173" s="1"/>
      <c r="X173" s="1"/>
      <c r="Y173" s="1"/>
      <c r="Z173" s="1"/>
    </row>
    <row r="174" spans="1:26" ht="15.75" customHeight="1">
      <c r="A174" s="29"/>
      <c r="B174" s="30"/>
      <c r="C174" s="30"/>
      <c r="D174" s="30"/>
      <c r="E174" s="30"/>
      <c r="F174" s="30"/>
      <c r="G174" s="30"/>
      <c r="H174" s="30"/>
      <c r="I174" s="30"/>
      <c r="J174" s="30"/>
      <c r="K174" s="30"/>
      <c r="L174" s="31"/>
      <c r="M174" s="1"/>
      <c r="N174" s="1"/>
      <c r="O174" s="1"/>
      <c r="P174" s="1"/>
      <c r="Q174" s="1"/>
      <c r="R174" s="1"/>
      <c r="S174" s="1"/>
      <c r="T174" s="1"/>
      <c r="U174" s="1"/>
      <c r="V174" s="1"/>
      <c r="W174" s="1"/>
      <c r="X174" s="1"/>
      <c r="Y174" s="1"/>
      <c r="Z174" s="1"/>
    </row>
    <row r="175" spans="1:26" ht="15.75" customHeight="1">
      <c r="A175" s="29"/>
      <c r="B175" s="504" t="s">
        <v>199</v>
      </c>
      <c r="C175" s="505"/>
      <c r="D175" s="505"/>
      <c r="E175" s="506"/>
      <c r="F175" s="30"/>
      <c r="G175" s="504" t="s">
        <v>200</v>
      </c>
      <c r="H175" s="505"/>
      <c r="I175" s="505"/>
      <c r="J175" s="506"/>
      <c r="K175" s="30"/>
      <c r="L175" s="31"/>
      <c r="M175" s="1"/>
      <c r="N175" s="1"/>
      <c r="O175" s="1"/>
      <c r="P175" s="1"/>
      <c r="Q175" s="1"/>
      <c r="R175" s="1"/>
      <c r="S175" s="1"/>
      <c r="T175" s="1"/>
      <c r="U175" s="1"/>
      <c r="V175" s="1"/>
      <c r="W175" s="1"/>
      <c r="X175" s="1"/>
      <c r="Y175" s="1"/>
      <c r="Z175" s="1"/>
    </row>
    <row r="176" spans="1:26" ht="15.75" customHeight="1">
      <c r="A176" s="29"/>
      <c r="B176"/>
      <c r="C176" s="30"/>
      <c r="D176" s="30"/>
      <c r="E176" s="30"/>
      <c r="F176" s="30"/>
      <c r="G176" s="30"/>
      <c r="H176" s="30"/>
      <c r="I176" s="30"/>
      <c r="J176" s="30"/>
      <c r="K176" s="30"/>
      <c r="L176" s="31"/>
      <c r="M176" s="1"/>
      <c r="N176" s="1"/>
      <c r="O176" s="1"/>
      <c r="P176" s="1"/>
      <c r="Q176" s="1"/>
      <c r="R176" s="1"/>
      <c r="S176" s="1"/>
      <c r="T176" s="1"/>
      <c r="U176" s="1"/>
      <c r="V176" s="1"/>
      <c r="W176" s="1"/>
      <c r="X176" s="1"/>
      <c r="Y176" s="1"/>
      <c r="Z176" s="1"/>
    </row>
    <row r="177" spans="1:26" ht="15.75" customHeight="1">
      <c r="A177" s="29"/>
      <c r="B177" s="30"/>
      <c r="C177" s="30"/>
      <c r="D177" s="30"/>
      <c r="E177" s="30"/>
      <c r="F177" s="30"/>
      <c r="G177" s="30"/>
      <c r="H177" s="30"/>
      <c r="I177" s="30"/>
      <c r="J177" s="30"/>
      <c r="K177" s="30"/>
      <c r="L177" s="31"/>
      <c r="M177" s="1"/>
      <c r="N177" s="1"/>
      <c r="O177" s="1"/>
      <c r="P177" s="1"/>
      <c r="Q177" s="1"/>
      <c r="R177" s="1"/>
      <c r="S177" s="1"/>
      <c r="T177" s="1"/>
      <c r="U177" s="1"/>
      <c r="V177" s="1"/>
      <c r="W177" s="1"/>
      <c r="X177" s="1"/>
      <c r="Y177" s="1"/>
      <c r="Z177" s="1"/>
    </row>
    <row r="178" spans="1:26" ht="15.75" customHeight="1">
      <c r="A178" s="29"/>
      <c r="B178" s="30"/>
      <c r="C178" s="30"/>
      <c r="D178" s="30"/>
      <c r="E178" s="30"/>
      <c r="F178" s="30"/>
      <c r="G178" s="30"/>
      <c r="H178" s="30"/>
      <c r="I178" s="30"/>
      <c r="J178" s="30"/>
      <c r="K178" s="30"/>
      <c r="L178" s="31"/>
      <c r="M178" s="1"/>
      <c r="N178" s="1"/>
      <c r="O178" s="1"/>
      <c r="P178" s="1"/>
      <c r="Q178" s="1"/>
      <c r="R178" s="1"/>
      <c r="S178" s="1"/>
      <c r="T178" s="1"/>
      <c r="U178" s="1"/>
      <c r="V178" s="1"/>
      <c r="W178" s="1"/>
      <c r="X178" s="1"/>
      <c r="Y178" s="1"/>
      <c r="Z178" s="1"/>
    </row>
    <row r="179" spans="1:26" ht="15.75" customHeight="1">
      <c r="A179" s="29"/>
      <c r="B179" s="30"/>
      <c r="C179" s="30"/>
      <c r="D179" s="30"/>
      <c r="E179" s="30"/>
      <c r="F179" s="30"/>
      <c r="G179" s="30"/>
      <c r="H179" s="30"/>
      <c r="I179" s="30"/>
      <c r="J179" s="30"/>
      <c r="K179" s="30"/>
      <c r="L179" s="31"/>
      <c r="M179" s="1"/>
      <c r="N179" s="1"/>
      <c r="O179" s="1"/>
      <c r="P179" s="1"/>
      <c r="Q179" s="1"/>
      <c r="R179" s="1"/>
      <c r="S179" s="1"/>
      <c r="T179" s="1"/>
      <c r="U179" s="1"/>
      <c r="V179" s="1"/>
      <c r="W179" s="1"/>
      <c r="X179" s="1"/>
      <c r="Y179" s="1"/>
      <c r="Z179" s="1"/>
    </row>
    <row r="180" spans="1:26" ht="15.75" customHeight="1">
      <c r="A180" s="29"/>
      <c r="B180" s="30"/>
      <c r="C180" s="30"/>
      <c r="D180" s="30"/>
      <c r="E180" s="30"/>
      <c r="F180" s="30"/>
      <c r="G180" s="30"/>
      <c r="H180" s="30"/>
      <c r="I180" s="30"/>
      <c r="J180" s="30"/>
      <c r="K180" s="30"/>
      <c r="L180" s="31"/>
      <c r="M180" s="1"/>
      <c r="N180" s="1"/>
      <c r="O180" s="1"/>
      <c r="P180" s="1"/>
      <c r="Q180" s="1"/>
      <c r="R180" s="1"/>
      <c r="S180" s="1"/>
      <c r="T180" s="1"/>
      <c r="U180" s="1"/>
      <c r="V180" s="1"/>
      <c r="W180" s="1"/>
      <c r="X180" s="1"/>
      <c r="Y180" s="1"/>
      <c r="Z180" s="1"/>
    </row>
    <row r="181" spans="1:26" ht="15.75" customHeight="1">
      <c r="A181" s="29"/>
      <c r="B181" s="30"/>
      <c r="C181" s="30"/>
      <c r="D181" s="30"/>
      <c r="E181" s="30"/>
      <c r="F181" s="30"/>
      <c r="G181" s="30"/>
      <c r="H181" s="30"/>
      <c r="I181" s="30"/>
      <c r="J181" s="30"/>
      <c r="K181" s="30"/>
      <c r="L181" s="31"/>
      <c r="M181" s="1"/>
      <c r="N181" s="1"/>
      <c r="O181" s="1"/>
      <c r="P181" s="1"/>
      <c r="Q181" s="1"/>
      <c r="R181" s="1"/>
      <c r="S181" s="1"/>
      <c r="T181" s="1"/>
      <c r="U181" s="1"/>
      <c r="V181" s="1"/>
      <c r="W181" s="1"/>
      <c r="X181" s="1"/>
      <c r="Y181" s="1"/>
      <c r="Z181" s="1"/>
    </row>
    <row r="182" spans="1:26" ht="15.75" customHeight="1">
      <c r="A182" s="29"/>
      <c r="B182" s="30"/>
      <c r="C182" s="30"/>
      <c r="D182" s="30"/>
      <c r="E182" s="30"/>
      <c r="F182" s="30"/>
      <c r="G182" s="30"/>
      <c r="H182" s="30"/>
      <c r="I182" s="30"/>
      <c r="J182" s="30"/>
      <c r="K182" s="30"/>
      <c r="L182" s="31"/>
      <c r="M182" s="1"/>
      <c r="N182" s="1"/>
      <c r="O182" s="1"/>
      <c r="P182" s="1"/>
      <c r="Q182" s="1"/>
      <c r="R182" s="1"/>
      <c r="S182" s="1"/>
      <c r="T182" s="1"/>
      <c r="U182" s="1"/>
      <c r="V182" s="1"/>
      <c r="W182" s="1"/>
      <c r="X182" s="1"/>
      <c r="Y182" s="1"/>
      <c r="Z182" s="1"/>
    </row>
    <row r="183" spans="1:26" ht="15.75" customHeight="1">
      <c r="A183" s="29"/>
      <c r="B183" s="30"/>
      <c r="C183" s="30"/>
      <c r="D183" s="30"/>
      <c r="E183" s="30"/>
      <c r="F183" s="30"/>
      <c r="G183" s="30"/>
      <c r="H183" s="30"/>
      <c r="I183" s="30"/>
      <c r="J183" s="30"/>
      <c r="K183" s="30"/>
      <c r="L183" s="31"/>
      <c r="M183" s="1"/>
      <c r="N183" s="1"/>
      <c r="O183" s="1"/>
      <c r="P183" s="1"/>
      <c r="Q183" s="1"/>
      <c r="R183" s="1"/>
      <c r="S183" s="1"/>
      <c r="T183" s="1"/>
      <c r="U183" s="1"/>
      <c r="V183" s="1"/>
      <c r="W183" s="1"/>
      <c r="X183" s="1"/>
      <c r="Y183" s="1"/>
      <c r="Z183" s="1"/>
    </row>
    <row r="184" spans="1:26" ht="15.75" customHeight="1">
      <c r="A184" s="29"/>
      <c r="B184" s="30"/>
      <c r="C184" s="30"/>
      <c r="D184" s="30"/>
      <c r="E184" s="30"/>
      <c r="F184" s="32"/>
      <c r="G184" s="30"/>
      <c r="H184" s="30"/>
      <c r="I184" s="30"/>
      <c r="J184" s="30"/>
      <c r="K184" s="30"/>
      <c r="L184" s="31"/>
      <c r="M184" s="1"/>
      <c r="N184" s="1"/>
      <c r="O184" s="1"/>
      <c r="P184" s="1"/>
      <c r="Q184" s="1"/>
      <c r="R184" s="1"/>
      <c r="S184" s="1"/>
      <c r="T184" s="1"/>
      <c r="U184" s="1"/>
      <c r="V184" s="1"/>
      <c r="W184" s="1"/>
      <c r="X184" s="1"/>
      <c r="Y184" s="1"/>
      <c r="Z184" s="1"/>
    </row>
    <row r="185" spans="1:26" ht="15.75" customHeight="1">
      <c r="A185" s="29"/>
      <c r="B185" s="30"/>
      <c r="C185" s="30"/>
      <c r="D185" s="30"/>
      <c r="E185" s="30"/>
      <c r="F185" s="30"/>
      <c r="G185" s="30"/>
      <c r="H185" s="30"/>
      <c r="I185" s="30"/>
      <c r="J185" s="30"/>
      <c r="K185" s="30"/>
      <c r="L185" s="31"/>
      <c r="M185" s="1"/>
      <c r="N185" s="1"/>
      <c r="O185" s="1"/>
      <c r="P185" s="1"/>
      <c r="Q185" s="1"/>
      <c r="R185" s="1"/>
      <c r="S185" s="1"/>
      <c r="T185" s="1"/>
      <c r="U185" s="1"/>
      <c r="V185" s="1"/>
      <c r="W185" s="1"/>
      <c r="X185" s="1"/>
      <c r="Y185" s="1"/>
      <c r="Z185" s="1"/>
    </row>
    <row r="186" spans="1:26" ht="15.75" customHeight="1">
      <c r="A186" s="29"/>
      <c r="B186" s="30"/>
      <c r="C186" s="30"/>
      <c r="D186" s="30"/>
      <c r="E186" s="30"/>
      <c r="F186" s="30"/>
      <c r="G186" s="30"/>
      <c r="H186" s="30"/>
      <c r="I186" s="30"/>
      <c r="J186" s="30"/>
      <c r="K186" s="30"/>
      <c r="L186" s="31"/>
      <c r="M186" s="1"/>
      <c r="N186" s="1"/>
      <c r="O186" s="1"/>
      <c r="P186" s="1"/>
      <c r="Q186" s="1"/>
      <c r="R186" s="1"/>
      <c r="S186" s="1"/>
      <c r="T186" s="1"/>
      <c r="U186" s="1"/>
      <c r="V186" s="1"/>
      <c r="W186" s="1"/>
      <c r="X186" s="1"/>
      <c r="Y186" s="1"/>
      <c r="Z186" s="1"/>
    </row>
    <row r="187" spans="1:26" ht="15.75" customHeight="1">
      <c r="A187" s="29"/>
      <c r="B187" s="30"/>
      <c r="C187" s="30"/>
      <c r="D187" s="30"/>
      <c r="E187" s="30"/>
      <c r="F187" s="30"/>
      <c r="G187" s="30"/>
      <c r="H187" s="30"/>
      <c r="I187" s="30"/>
      <c r="J187" s="30"/>
      <c r="K187" s="30"/>
      <c r="L187" s="31"/>
      <c r="M187" s="1"/>
      <c r="N187" s="1"/>
      <c r="O187" s="1"/>
      <c r="P187" s="1"/>
      <c r="Q187" s="1"/>
      <c r="R187" s="1"/>
      <c r="S187" s="1"/>
      <c r="T187" s="1"/>
      <c r="U187" s="1"/>
      <c r="V187" s="1"/>
      <c r="W187" s="1"/>
      <c r="X187" s="1"/>
      <c r="Y187" s="1"/>
      <c r="Z187" s="1"/>
    </row>
    <row r="188" spans="1:26" ht="15.75" customHeight="1">
      <c r="A188" s="29"/>
      <c r="B188" s="30"/>
      <c r="C188" s="30"/>
      <c r="D188" s="30"/>
      <c r="E188" s="30"/>
      <c r="F188" s="30"/>
      <c r="G188" s="30"/>
      <c r="H188" s="30"/>
      <c r="I188" s="30"/>
      <c r="J188" s="30"/>
      <c r="K188" s="30"/>
      <c r="L188" s="31"/>
      <c r="M188" s="1"/>
      <c r="N188" s="1"/>
      <c r="O188" s="1"/>
      <c r="P188" s="1"/>
      <c r="Q188" s="1"/>
      <c r="R188" s="1"/>
      <c r="S188" s="1"/>
      <c r="T188" s="1"/>
      <c r="U188" s="1"/>
      <c r="V188" s="1"/>
      <c r="W188" s="1"/>
      <c r="X188" s="1"/>
      <c r="Y188" s="1"/>
      <c r="Z188" s="1"/>
    </row>
    <row r="189" spans="1:26" ht="15.75" customHeight="1">
      <c r="A189" s="29"/>
      <c r="B189" s="30"/>
      <c r="C189" s="30"/>
      <c r="D189" s="30"/>
      <c r="E189" s="30"/>
      <c r="F189" s="30"/>
      <c r="G189" s="30"/>
      <c r="H189" s="30"/>
      <c r="I189" s="30"/>
      <c r="J189" s="30"/>
      <c r="K189" s="30"/>
      <c r="L189" s="31"/>
      <c r="M189" s="1"/>
      <c r="N189" s="1"/>
      <c r="O189" s="1"/>
      <c r="P189" s="1"/>
      <c r="Q189" s="1"/>
      <c r="R189" s="1"/>
      <c r="S189" s="1"/>
      <c r="T189" s="1"/>
      <c r="U189" s="1"/>
      <c r="V189" s="1"/>
      <c r="W189" s="1"/>
      <c r="X189" s="1"/>
      <c r="Y189" s="1"/>
      <c r="Z189" s="1"/>
    </row>
    <row r="190" spans="1:26" ht="15.75" customHeight="1">
      <c r="A190" s="29"/>
      <c r="B190" s="30"/>
      <c r="C190" s="30"/>
      <c r="D190" s="30"/>
      <c r="E190" s="30"/>
      <c r="F190" s="30"/>
      <c r="G190" s="30"/>
      <c r="H190" s="30"/>
      <c r="I190" s="30"/>
      <c r="J190" s="30"/>
      <c r="K190" s="30"/>
      <c r="L190" s="31"/>
      <c r="M190" s="1"/>
      <c r="N190" s="1"/>
      <c r="O190" s="1"/>
      <c r="P190" s="1"/>
      <c r="Q190" s="1"/>
      <c r="R190" s="1"/>
      <c r="S190" s="1"/>
      <c r="T190" s="1"/>
      <c r="U190" s="1"/>
      <c r="V190" s="1"/>
      <c r="W190" s="1"/>
      <c r="X190" s="1"/>
      <c r="Y190" s="1"/>
      <c r="Z190" s="1"/>
    </row>
    <row r="191" spans="1:26" ht="15.75" customHeight="1">
      <c r="A191" s="29"/>
      <c r="B191" s="30"/>
      <c r="C191" s="30"/>
      <c r="D191" s="30"/>
      <c r="E191" s="30"/>
      <c r="F191" s="30"/>
      <c r="G191" s="30"/>
      <c r="H191" s="30"/>
      <c r="I191" s="30"/>
      <c r="J191" s="30"/>
      <c r="K191" s="30"/>
      <c r="L191" s="31"/>
      <c r="M191" s="1"/>
      <c r="N191" s="1"/>
      <c r="O191" s="1"/>
      <c r="P191" s="1"/>
      <c r="Q191" s="1"/>
      <c r="R191" s="1"/>
      <c r="S191" s="1"/>
      <c r="T191" s="1"/>
      <c r="U191" s="1"/>
      <c r="V191" s="1"/>
      <c r="W191" s="1"/>
      <c r="X191" s="1"/>
      <c r="Y191" s="1"/>
      <c r="Z191" s="1"/>
    </row>
    <row r="192" spans="1:26" ht="15.75" customHeight="1">
      <c r="A192" s="29"/>
      <c r="B192" s="30"/>
      <c r="C192" s="30"/>
      <c r="D192" s="30"/>
      <c r="E192" s="30"/>
      <c r="F192" s="30"/>
      <c r="G192" s="30"/>
      <c r="H192" s="30"/>
      <c r="I192" s="30"/>
      <c r="J192" s="30"/>
      <c r="K192" s="30"/>
      <c r="L192" s="31"/>
      <c r="M192" s="1"/>
      <c r="N192" s="1"/>
      <c r="O192" s="1"/>
      <c r="P192" s="1"/>
      <c r="Q192" s="1"/>
      <c r="R192" s="1"/>
      <c r="S192" s="1"/>
      <c r="T192" s="1"/>
      <c r="U192" s="1"/>
      <c r="V192" s="1"/>
      <c r="W192" s="1"/>
      <c r="X192" s="1"/>
      <c r="Y192" s="1"/>
      <c r="Z192" s="1"/>
    </row>
    <row r="193" spans="1:26" ht="15.75" customHeight="1">
      <c r="A193" s="29"/>
      <c r="B193" s="504" t="s">
        <v>201</v>
      </c>
      <c r="C193" s="505"/>
      <c r="D193" s="505"/>
      <c r="E193" s="506"/>
      <c r="F193" s="30"/>
      <c r="G193" s="504" t="s">
        <v>202</v>
      </c>
      <c r="H193" s="505"/>
      <c r="I193" s="505"/>
      <c r="J193" s="505"/>
      <c r="K193" s="506"/>
      <c r="L193" s="31"/>
      <c r="M193" s="1"/>
      <c r="N193" s="1"/>
      <c r="O193" s="1"/>
      <c r="P193" s="1"/>
      <c r="Q193" s="1"/>
      <c r="R193" s="1"/>
      <c r="S193" s="1"/>
      <c r="T193" s="1"/>
      <c r="U193" s="1"/>
      <c r="V193" s="1"/>
      <c r="W193" s="1"/>
      <c r="X193" s="1"/>
      <c r="Y193" s="1"/>
      <c r="Z193" s="1"/>
    </row>
    <row r="194" spans="1:26" ht="15.75" customHeight="1">
      <c r="A194" s="29"/>
      <c r="B194" s="30"/>
      <c r="C194" s="30"/>
      <c r="D194" s="30"/>
      <c r="E194" s="30"/>
      <c r="F194" s="30"/>
      <c r="G194" s="30"/>
      <c r="H194" s="30"/>
      <c r="I194" s="30"/>
      <c r="J194" s="30"/>
      <c r="K194" s="30"/>
      <c r="L194" s="31"/>
      <c r="M194" s="1"/>
      <c r="N194" s="1"/>
      <c r="O194" s="1"/>
      <c r="P194" s="1"/>
      <c r="Q194" s="1"/>
      <c r="R194" s="1"/>
      <c r="S194" s="1"/>
      <c r="T194" s="1"/>
      <c r="U194" s="1"/>
      <c r="V194" s="1"/>
      <c r="W194" s="1"/>
      <c r="X194" s="1"/>
      <c r="Y194" s="1"/>
      <c r="Z194" s="1"/>
    </row>
    <row r="195" spans="1:26" ht="15.75" customHeight="1">
      <c r="A195" s="29"/>
      <c r="B195" s="30"/>
      <c r="C195" s="30"/>
      <c r="D195" s="30"/>
      <c r="E195" s="30"/>
      <c r="F195" s="30"/>
      <c r="G195" s="30"/>
      <c r="H195" s="30"/>
      <c r="I195" s="30"/>
      <c r="J195" s="30"/>
      <c r="K195" s="30"/>
      <c r="L195" s="31"/>
      <c r="M195" s="1"/>
      <c r="N195" s="1"/>
      <c r="O195" s="1"/>
      <c r="P195" s="1"/>
      <c r="Q195" s="1"/>
      <c r="R195" s="1"/>
      <c r="S195" s="1"/>
      <c r="T195" s="1"/>
      <c r="U195" s="1"/>
      <c r="V195" s="1"/>
      <c r="W195" s="1"/>
      <c r="X195" s="1"/>
      <c r="Y195" s="1"/>
      <c r="Z195" s="1"/>
    </row>
    <row r="196" spans="1:26" ht="15.75" customHeight="1">
      <c r="A196" s="29"/>
      <c r="B196" s="30"/>
      <c r="C196" s="30"/>
      <c r="D196" s="30"/>
      <c r="E196" s="30"/>
      <c r="F196" s="30"/>
      <c r="G196" s="30"/>
      <c r="H196" s="30"/>
      <c r="I196" s="30"/>
      <c r="J196" s="30"/>
      <c r="K196" s="30"/>
      <c r="L196" s="31"/>
      <c r="M196" s="1"/>
      <c r="N196" s="1"/>
      <c r="O196" s="1"/>
      <c r="P196" s="1"/>
      <c r="Q196" s="1"/>
      <c r="R196" s="1"/>
      <c r="S196" s="1"/>
      <c r="T196" s="1"/>
      <c r="U196" s="1"/>
      <c r="V196" s="1"/>
      <c r="W196" s="1"/>
      <c r="X196" s="1"/>
      <c r="Y196" s="1"/>
      <c r="Z196" s="1"/>
    </row>
    <row r="197" spans="1:26" ht="15.75" customHeight="1">
      <c r="A197" s="29"/>
      <c r="B197" s="30"/>
      <c r="C197" s="30"/>
      <c r="D197" s="30"/>
      <c r="E197" s="30"/>
      <c r="F197" s="30"/>
      <c r="G197" s="30"/>
      <c r="H197" s="30"/>
      <c r="I197" s="30"/>
      <c r="J197" s="30"/>
      <c r="K197" s="30"/>
      <c r="L197" s="31"/>
      <c r="M197" s="1"/>
      <c r="N197" s="1"/>
      <c r="O197" s="1"/>
      <c r="P197" s="1"/>
      <c r="Q197" s="1"/>
      <c r="R197" s="1"/>
      <c r="S197" s="1"/>
      <c r="T197" s="1"/>
      <c r="U197" s="1"/>
      <c r="V197" s="1"/>
      <c r="W197" s="1"/>
      <c r="X197" s="1"/>
      <c r="Y197" s="1"/>
      <c r="Z197" s="1"/>
    </row>
    <row r="198" spans="1:26" ht="15.75" customHeight="1">
      <c r="A198" s="29"/>
      <c r="B198" s="30"/>
      <c r="C198" s="30"/>
      <c r="D198" s="30"/>
      <c r="E198" s="30"/>
      <c r="F198" s="30"/>
      <c r="G198" s="30"/>
      <c r="H198" s="30"/>
      <c r="I198" s="30"/>
      <c r="J198" s="30"/>
      <c r="K198" s="30"/>
      <c r="L198" s="31"/>
      <c r="M198" s="1"/>
      <c r="N198" s="1"/>
      <c r="O198" s="1"/>
      <c r="P198" s="1"/>
      <c r="Q198" s="1"/>
      <c r="R198" s="1"/>
      <c r="S198" s="1"/>
      <c r="T198" s="1"/>
      <c r="U198" s="1"/>
      <c r="V198" s="1"/>
      <c r="W198" s="1"/>
      <c r="X198" s="1"/>
      <c r="Y198" s="1"/>
      <c r="Z198" s="1"/>
    </row>
    <row r="199" spans="1:26" ht="15.75" customHeight="1">
      <c r="A199" s="29"/>
      <c r="B199" s="30"/>
      <c r="C199" s="30"/>
      <c r="D199" s="30"/>
      <c r="E199" s="30"/>
      <c r="F199" s="30"/>
      <c r="G199" s="30"/>
      <c r="H199" s="30"/>
      <c r="I199" s="30"/>
      <c r="J199" s="30"/>
      <c r="K199" s="30"/>
      <c r="L199" s="31"/>
      <c r="M199" s="1"/>
      <c r="N199" s="1"/>
      <c r="O199" s="1"/>
      <c r="P199" s="1"/>
      <c r="Q199" s="1"/>
      <c r="R199" s="1"/>
      <c r="S199" s="1"/>
      <c r="T199" s="1"/>
      <c r="U199" s="1"/>
      <c r="V199" s="1"/>
      <c r="W199" s="1"/>
      <c r="X199" s="1"/>
      <c r="Y199" s="1"/>
      <c r="Z199" s="1"/>
    </row>
    <row r="200" spans="1:26" ht="15.75" customHeight="1">
      <c r="A200" s="29"/>
      <c r="B200" s="30"/>
      <c r="C200" s="30"/>
      <c r="D200" s="30"/>
      <c r="E200" s="30"/>
      <c r="F200" s="30"/>
      <c r="G200" s="30"/>
      <c r="H200" s="30"/>
      <c r="I200" s="30"/>
      <c r="J200" s="30"/>
      <c r="K200" s="30"/>
      <c r="L200" s="31"/>
      <c r="M200" s="1"/>
      <c r="N200" s="1"/>
      <c r="O200" s="1"/>
      <c r="P200" s="1"/>
      <c r="Q200" s="1"/>
      <c r="R200" s="1"/>
      <c r="S200" s="1"/>
      <c r="T200" s="1"/>
      <c r="U200" s="1"/>
      <c r="V200" s="1"/>
      <c r="W200" s="1"/>
      <c r="X200" s="1"/>
      <c r="Y200" s="1"/>
      <c r="Z200" s="1"/>
    </row>
    <row r="201" spans="1:26" ht="15.75" customHeight="1">
      <c r="A201" s="29"/>
      <c r="B201" s="30"/>
      <c r="C201" s="30"/>
      <c r="D201" s="30"/>
      <c r="E201" s="30"/>
      <c r="F201" s="30"/>
      <c r="G201" s="30"/>
      <c r="H201" s="30"/>
      <c r="I201" s="30"/>
      <c r="J201" s="30"/>
      <c r="K201" s="30"/>
      <c r="L201" s="31"/>
      <c r="M201" s="1"/>
      <c r="N201" s="1"/>
      <c r="O201" s="1"/>
      <c r="P201" s="1"/>
      <c r="Q201" s="1"/>
      <c r="R201" s="1"/>
      <c r="S201" s="1"/>
      <c r="T201" s="1"/>
      <c r="U201" s="1"/>
      <c r="V201" s="1"/>
      <c r="W201" s="1"/>
      <c r="X201" s="1"/>
      <c r="Y201" s="1"/>
      <c r="Z201" s="1"/>
    </row>
    <row r="202" spans="1:26" ht="15.75" customHeight="1">
      <c r="A202" s="29"/>
      <c r="B202" s="30"/>
      <c r="C202" s="30"/>
      <c r="D202" s="30"/>
      <c r="E202" s="30"/>
      <c r="F202" s="30"/>
      <c r="G202" s="30"/>
      <c r="H202" s="30"/>
      <c r="I202" s="30"/>
      <c r="J202" s="30"/>
      <c r="K202" s="30"/>
      <c r="L202" s="31"/>
      <c r="M202" s="1"/>
      <c r="N202" s="1"/>
      <c r="O202" s="1"/>
      <c r="P202" s="1"/>
      <c r="Q202" s="1"/>
      <c r="R202" s="1"/>
      <c r="S202" s="1"/>
      <c r="T202" s="1"/>
      <c r="U202" s="1"/>
      <c r="V202" s="1"/>
      <c r="W202" s="1"/>
      <c r="X202" s="1"/>
      <c r="Y202" s="1"/>
      <c r="Z202" s="1"/>
    </row>
    <row r="203" spans="1:26" ht="15.75" customHeight="1">
      <c r="A203" s="29"/>
      <c r="B203" s="30"/>
      <c r="C203" s="30"/>
      <c r="D203" s="30"/>
      <c r="E203" s="30"/>
      <c r="F203" s="30"/>
      <c r="G203" s="30"/>
      <c r="H203" s="30"/>
      <c r="I203" s="30"/>
      <c r="J203" s="30"/>
      <c r="K203" s="30"/>
      <c r="L203" s="31"/>
      <c r="M203" s="1"/>
      <c r="N203" s="1"/>
      <c r="O203" s="1"/>
      <c r="P203" s="1"/>
      <c r="Q203" s="1"/>
      <c r="R203" s="1"/>
      <c r="S203" s="1"/>
      <c r="T203" s="1"/>
      <c r="U203" s="1"/>
      <c r="V203" s="1"/>
      <c r="W203" s="1"/>
      <c r="X203" s="1"/>
      <c r="Y203" s="1"/>
      <c r="Z203" s="1"/>
    </row>
    <row r="204" spans="1:26" ht="15.75" customHeight="1">
      <c r="A204" s="29"/>
      <c r="B204" s="30"/>
      <c r="C204" s="30"/>
      <c r="D204" s="30"/>
      <c r="E204" s="30"/>
      <c r="F204" s="30"/>
      <c r="G204" s="30"/>
      <c r="H204" s="30"/>
      <c r="I204" s="30"/>
      <c r="J204" s="30"/>
      <c r="K204" s="30"/>
      <c r="L204" s="31"/>
      <c r="M204" s="1"/>
      <c r="N204" s="1"/>
      <c r="O204" s="1"/>
      <c r="P204" s="1"/>
      <c r="Q204" s="1"/>
      <c r="R204" s="1"/>
      <c r="S204" s="1"/>
      <c r="T204" s="1"/>
      <c r="U204" s="1"/>
      <c r="V204" s="1"/>
      <c r="W204" s="1"/>
      <c r="X204" s="1"/>
      <c r="Y204" s="1"/>
      <c r="Z204" s="1"/>
    </row>
    <row r="205" spans="1:26" ht="15.75" customHeight="1">
      <c r="A205" s="29"/>
      <c r="B205" s="30"/>
      <c r="C205" s="30"/>
      <c r="D205" s="30"/>
      <c r="E205" s="30"/>
      <c r="F205" s="30"/>
      <c r="G205" s="30"/>
      <c r="H205" s="30"/>
      <c r="I205" s="30"/>
      <c r="J205" s="30"/>
      <c r="K205" s="30"/>
      <c r="L205" s="31"/>
      <c r="M205" s="1"/>
      <c r="N205" s="1"/>
      <c r="O205" s="1"/>
      <c r="P205" s="1"/>
      <c r="Q205" s="1"/>
      <c r="R205" s="1"/>
      <c r="S205" s="1"/>
      <c r="T205" s="1"/>
      <c r="U205" s="1"/>
      <c r="V205" s="1"/>
      <c r="W205" s="1"/>
      <c r="X205" s="1"/>
      <c r="Y205" s="1"/>
      <c r="Z205" s="1"/>
    </row>
    <row r="206" spans="1:26" ht="15.75" customHeight="1">
      <c r="A206" s="29"/>
      <c r="B206" s="30"/>
      <c r="C206" s="30"/>
      <c r="D206" s="30"/>
      <c r="E206" s="30"/>
      <c r="F206" s="30"/>
      <c r="G206" s="30"/>
      <c r="H206" s="30"/>
      <c r="I206" s="30"/>
      <c r="J206" s="30"/>
      <c r="K206" s="30"/>
      <c r="L206" s="31"/>
      <c r="M206" s="1"/>
      <c r="N206" s="1"/>
      <c r="O206" s="1"/>
      <c r="P206" s="1"/>
      <c r="Q206" s="1"/>
      <c r="R206" s="1"/>
      <c r="S206" s="1"/>
      <c r="T206" s="1"/>
      <c r="U206" s="1"/>
      <c r="V206" s="1"/>
      <c r="W206" s="1"/>
      <c r="X206" s="1"/>
      <c r="Y206" s="1"/>
      <c r="Z206" s="1"/>
    </row>
    <row r="207" spans="1:26" ht="15.75" customHeight="1">
      <c r="A207" s="29"/>
      <c r="B207" s="30"/>
      <c r="C207" s="30"/>
      <c r="D207" s="30"/>
      <c r="E207" s="30"/>
      <c r="F207" s="30"/>
      <c r="G207" s="30"/>
      <c r="H207" s="30"/>
      <c r="I207" s="30"/>
      <c r="J207" s="30"/>
      <c r="K207" s="30"/>
      <c r="L207" s="31"/>
      <c r="M207" s="1"/>
      <c r="N207" s="1"/>
      <c r="O207" s="1"/>
      <c r="P207" s="1"/>
      <c r="Q207" s="1"/>
      <c r="R207" s="1"/>
      <c r="S207" s="1"/>
      <c r="T207" s="1"/>
      <c r="U207" s="1"/>
      <c r="V207" s="1"/>
      <c r="W207" s="1"/>
      <c r="X207" s="1"/>
      <c r="Y207" s="1"/>
      <c r="Z207" s="1"/>
    </row>
    <row r="208" spans="1:26" ht="15.75" customHeight="1">
      <c r="A208" s="29"/>
      <c r="B208" s="30"/>
      <c r="C208" s="30"/>
      <c r="D208" s="30"/>
      <c r="E208" s="30"/>
      <c r="F208" s="30"/>
      <c r="G208" s="30"/>
      <c r="H208" s="30"/>
      <c r="I208" s="30"/>
      <c r="J208" s="30"/>
      <c r="K208" s="30"/>
      <c r="L208" s="31"/>
      <c r="M208" s="1"/>
      <c r="N208" s="1"/>
      <c r="O208" s="1"/>
      <c r="P208" s="1"/>
      <c r="Q208" s="1"/>
      <c r="R208" s="1"/>
      <c r="S208" s="1"/>
      <c r="T208" s="1"/>
      <c r="U208" s="1"/>
      <c r="V208" s="1"/>
      <c r="W208" s="1"/>
      <c r="X208" s="1"/>
      <c r="Y208" s="1"/>
      <c r="Z208" s="1"/>
    </row>
    <row r="209" spans="1:26" ht="15.75" customHeight="1">
      <c r="A209" s="29"/>
      <c r="B209" s="30"/>
      <c r="C209" s="30"/>
      <c r="D209" s="30"/>
      <c r="E209" s="30"/>
      <c r="F209" s="30"/>
      <c r="G209" s="30"/>
      <c r="H209" s="30"/>
      <c r="I209" s="30"/>
      <c r="J209" s="30"/>
      <c r="K209" s="30"/>
      <c r="L209" s="31"/>
      <c r="M209" s="1"/>
      <c r="N209" s="1"/>
      <c r="O209" s="1"/>
      <c r="P209" s="1"/>
      <c r="Q209" s="1"/>
      <c r="R209" s="1"/>
      <c r="S209" s="1"/>
      <c r="T209" s="1"/>
      <c r="U209" s="1"/>
      <c r="V209" s="1"/>
      <c r="W209" s="1"/>
      <c r="X209" s="1"/>
      <c r="Y209" s="1"/>
      <c r="Z209" s="1"/>
    </row>
    <row r="210" spans="1:26" ht="15.75" customHeight="1">
      <c r="A210" s="29"/>
      <c r="B210" s="30"/>
      <c r="C210" s="30"/>
      <c r="D210" s="30"/>
      <c r="E210" s="30"/>
      <c r="F210" s="30"/>
      <c r="G210" s="30"/>
      <c r="H210" s="30"/>
      <c r="I210" s="30"/>
      <c r="J210" s="30"/>
      <c r="K210" s="30"/>
      <c r="L210" s="31"/>
      <c r="M210" s="1"/>
      <c r="N210" s="1"/>
      <c r="O210" s="1"/>
      <c r="P210" s="1"/>
      <c r="Q210" s="1"/>
      <c r="R210" s="1"/>
      <c r="S210" s="1"/>
      <c r="T210" s="1"/>
      <c r="U210" s="1"/>
      <c r="V210" s="1"/>
      <c r="W210" s="1"/>
      <c r="X210" s="1"/>
      <c r="Y210" s="1"/>
      <c r="Z210" s="1"/>
    </row>
    <row r="211" spans="1:26" ht="15.75" customHeight="1">
      <c r="A211" s="29"/>
      <c r="B211" s="30"/>
      <c r="C211" s="30"/>
      <c r="D211" s="30"/>
      <c r="E211" s="30"/>
      <c r="F211" s="30"/>
      <c r="G211" s="30"/>
      <c r="H211" s="30"/>
      <c r="I211" s="30"/>
      <c r="J211" s="30"/>
      <c r="K211" s="30"/>
      <c r="L211" s="31"/>
      <c r="M211" s="1"/>
      <c r="N211" s="1"/>
      <c r="O211" s="1"/>
      <c r="P211" s="1"/>
      <c r="Q211" s="1"/>
      <c r="R211" s="1"/>
      <c r="S211" s="1"/>
      <c r="T211" s="1"/>
      <c r="U211" s="1"/>
      <c r="V211" s="1"/>
      <c r="W211" s="1"/>
      <c r="X211" s="1"/>
      <c r="Y211" s="1"/>
      <c r="Z211" s="1"/>
    </row>
    <row r="212" spans="1:26" ht="15.75" customHeight="1">
      <c r="A212" s="29"/>
      <c r="B212" s="30"/>
      <c r="C212" s="30"/>
      <c r="D212" s="30"/>
      <c r="E212" s="30"/>
      <c r="F212" s="30"/>
      <c r="G212" s="30"/>
      <c r="H212" s="30"/>
      <c r="I212" s="30"/>
      <c r="J212" s="30"/>
      <c r="K212" s="30"/>
      <c r="L212" s="31"/>
      <c r="M212" s="1"/>
      <c r="N212" s="1"/>
      <c r="O212" s="1"/>
      <c r="P212" s="1"/>
      <c r="Q212" s="1"/>
      <c r="R212" s="1"/>
      <c r="S212" s="1"/>
      <c r="T212" s="1"/>
      <c r="U212" s="1"/>
      <c r="V212" s="1"/>
      <c r="W212" s="1"/>
      <c r="X212" s="1"/>
      <c r="Y212" s="1"/>
      <c r="Z212" s="1"/>
    </row>
    <row r="213" spans="1:26" ht="0.75" customHeight="1">
      <c r="A213" s="29"/>
      <c r="B213" s="30"/>
      <c r="C213" s="30"/>
      <c r="D213" s="30"/>
      <c r="E213" s="30"/>
      <c r="F213" s="30"/>
      <c r="G213" s="30"/>
      <c r="H213" s="30"/>
      <c r="I213" s="30"/>
      <c r="J213" s="30"/>
      <c r="K213" s="30"/>
      <c r="L213" s="31"/>
      <c r="M213" s="1"/>
      <c r="N213" s="1"/>
      <c r="O213" s="1"/>
      <c r="P213" s="1"/>
      <c r="Q213" s="1"/>
      <c r="R213" s="1"/>
      <c r="S213" s="1"/>
      <c r="T213" s="1"/>
      <c r="U213" s="1"/>
      <c r="V213" s="1"/>
      <c r="W213" s="1"/>
      <c r="X213" s="1"/>
      <c r="Y213" s="1"/>
      <c r="Z213" s="1"/>
    </row>
    <row r="214" spans="1:26" ht="15.75" customHeight="1">
      <c r="A214" s="29"/>
      <c r="B214" s="504" t="s">
        <v>203</v>
      </c>
      <c r="C214" s="505"/>
      <c r="D214" s="505"/>
      <c r="E214" s="506"/>
      <c r="F214" s="33"/>
      <c r="G214" s="504" t="s">
        <v>204</v>
      </c>
      <c r="H214" s="505"/>
      <c r="I214" s="505"/>
      <c r="J214" s="505"/>
      <c r="K214" s="506"/>
      <c r="L214" s="31"/>
      <c r="M214" s="1"/>
      <c r="N214" s="1"/>
      <c r="O214" s="1"/>
      <c r="P214" s="1"/>
      <c r="Q214" s="1"/>
      <c r="R214" s="1"/>
      <c r="S214" s="1"/>
      <c r="T214" s="1"/>
      <c r="U214" s="1"/>
      <c r="V214" s="1"/>
      <c r="W214" s="1"/>
      <c r="X214" s="1"/>
      <c r="Y214" s="1"/>
      <c r="Z214" s="1"/>
    </row>
    <row r="215" spans="1:26" ht="32.25" customHeight="1">
      <c r="A215" s="29"/>
      <c r="B215" s="33"/>
      <c r="C215" s="33"/>
      <c r="D215" s="33"/>
      <c r="E215" s="33"/>
      <c r="F215" s="30"/>
      <c r="G215" s="30"/>
      <c r="H215" s="30"/>
      <c r="I215" s="30"/>
      <c r="J215" s="30"/>
      <c r="K215" s="30"/>
      <c r="L215" s="31"/>
      <c r="M215" s="1"/>
      <c r="N215" s="1"/>
      <c r="O215" s="1"/>
      <c r="P215" s="1"/>
      <c r="Q215" s="1"/>
      <c r="R215" s="1"/>
      <c r="S215" s="1"/>
      <c r="T215" s="1"/>
      <c r="U215" s="1"/>
      <c r="V215" s="1"/>
      <c r="W215" s="1"/>
      <c r="X215" s="1"/>
      <c r="Y215" s="1"/>
      <c r="Z215" s="1"/>
    </row>
    <row r="216" spans="1:26" ht="15.75" customHeight="1">
      <c r="A216" s="29"/>
      <c r="B216" s="30"/>
      <c r="C216" s="30"/>
      <c r="D216" s="30"/>
      <c r="E216" s="30"/>
      <c r="F216" s="30"/>
      <c r="G216" s="30"/>
      <c r="H216" s="30"/>
      <c r="I216" s="30"/>
      <c r="J216" s="30"/>
      <c r="K216" s="30"/>
      <c r="L216" s="31"/>
      <c r="M216" s="1"/>
      <c r="N216" s="1"/>
      <c r="O216" s="1"/>
      <c r="P216" s="1"/>
      <c r="Q216" s="1"/>
      <c r="R216" s="1"/>
      <c r="S216" s="1"/>
      <c r="T216" s="1"/>
      <c r="U216" s="1"/>
      <c r="V216" s="1"/>
      <c r="W216" s="1"/>
      <c r="X216" s="1"/>
      <c r="Y216" s="1"/>
      <c r="Z216" s="1"/>
    </row>
    <row r="217" spans="1:26" ht="15.75" customHeight="1">
      <c r="A217" s="29"/>
      <c r="B217" s="30"/>
      <c r="C217" s="30"/>
      <c r="D217" s="30"/>
      <c r="E217" s="30"/>
      <c r="F217" s="30"/>
      <c r="G217" s="30"/>
      <c r="H217" s="30"/>
      <c r="I217" s="30"/>
      <c r="J217" s="30"/>
      <c r="K217" s="30"/>
      <c r="L217" s="31"/>
      <c r="M217" s="1"/>
      <c r="N217" s="1"/>
      <c r="O217" s="1"/>
      <c r="P217" s="1"/>
      <c r="Q217" s="1"/>
      <c r="R217" s="1"/>
      <c r="S217" s="1"/>
      <c r="T217" s="1"/>
      <c r="U217" s="1"/>
      <c r="V217" s="1"/>
      <c r="W217" s="1"/>
      <c r="X217" s="1"/>
      <c r="Y217" s="1"/>
      <c r="Z217" s="1"/>
    </row>
    <row r="218" spans="1:26" ht="15.75" customHeight="1">
      <c r="A218" s="29"/>
      <c r="B218" s="30"/>
      <c r="C218"/>
      <c r="D218" s="30"/>
      <c r="E218" s="30"/>
      <c r="F218" s="30"/>
      <c r="G218" s="30"/>
      <c r="H218" s="30"/>
      <c r="I218" s="30"/>
      <c r="J218" s="30"/>
      <c r="K218" s="30"/>
      <c r="L218" s="31"/>
      <c r="M218" s="1"/>
      <c r="N218" s="1"/>
      <c r="O218" s="1"/>
      <c r="P218" s="1"/>
      <c r="Q218" s="1"/>
      <c r="R218" s="1"/>
      <c r="S218" s="1"/>
      <c r="T218" s="1"/>
      <c r="U218" s="1"/>
      <c r="V218" s="1"/>
      <c r="W218" s="1"/>
      <c r="X218" s="1"/>
      <c r="Y218" s="1"/>
      <c r="Z218" s="1"/>
    </row>
    <row r="219" spans="1:26" ht="15.75" customHeight="1">
      <c r="A219" s="29"/>
      <c r="B219" s="30"/>
      <c r="C219" s="30"/>
      <c r="D219" s="30"/>
      <c r="E219" s="30"/>
      <c r="F219" s="30"/>
      <c r="G219" s="30"/>
      <c r="H219" s="30"/>
      <c r="I219" s="30"/>
      <c r="J219" s="30"/>
      <c r="K219" s="30"/>
      <c r="L219" s="31"/>
      <c r="M219" s="1"/>
      <c r="N219" s="1"/>
      <c r="O219" s="1"/>
      <c r="P219" s="1"/>
      <c r="Q219" s="1"/>
      <c r="R219" s="1"/>
      <c r="S219" s="1"/>
      <c r="T219" s="1"/>
      <c r="U219" s="1"/>
      <c r="V219" s="1"/>
      <c r="W219" s="1"/>
      <c r="X219" s="1"/>
      <c r="Y219" s="1"/>
      <c r="Z219" s="1"/>
    </row>
    <row r="220" spans="1:26" ht="15.75" customHeight="1">
      <c r="A220" s="29"/>
      <c r="B220" s="30"/>
      <c r="C220" s="30"/>
      <c r="D220" s="30"/>
      <c r="E220" s="30"/>
      <c r="F220" s="30"/>
      <c r="G220" s="30"/>
      <c r="H220" s="30"/>
      <c r="I220" s="30"/>
      <c r="J220" s="30"/>
      <c r="K220" s="30"/>
      <c r="L220" s="31"/>
      <c r="M220" s="1"/>
      <c r="N220" s="1"/>
      <c r="O220" s="1"/>
      <c r="P220" s="1"/>
      <c r="Q220" s="1"/>
      <c r="R220" s="1"/>
      <c r="S220" s="1"/>
      <c r="T220" s="1"/>
      <c r="U220" s="1"/>
      <c r="V220" s="1"/>
      <c r="W220" s="1"/>
      <c r="X220" s="1"/>
      <c r="Y220" s="1"/>
      <c r="Z220" s="1"/>
    </row>
    <row r="221" spans="1:26" ht="15.75" customHeight="1">
      <c r="A221" s="29"/>
      <c r="B221" s="30"/>
      <c r="C221" s="30"/>
      <c r="D221" s="30"/>
      <c r="E221" s="30"/>
      <c r="F221" s="30"/>
      <c r="G221" s="30"/>
      <c r="H221" s="30"/>
      <c r="I221" s="30"/>
      <c r="J221" s="30"/>
      <c r="K221" s="30"/>
      <c r="L221" s="31"/>
      <c r="M221" s="1"/>
      <c r="N221" s="1"/>
      <c r="O221" s="1"/>
      <c r="P221" s="1"/>
      <c r="Q221" s="1"/>
      <c r="R221" s="1"/>
      <c r="S221" s="1"/>
      <c r="T221" s="1"/>
      <c r="U221" s="1"/>
      <c r="V221" s="1"/>
      <c r="W221" s="1"/>
      <c r="X221" s="1"/>
      <c r="Y221" s="1"/>
      <c r="Z221" s="1"/>
    </row>
    <row r="222" spans="1:26" ht="15.75" customHeight="1">
      <c r="A222" s="29"/>
      <c r="B222" s="30"/>
      <c r="C222" s="30"/>
      <c r="D222" s="30"/>
      <c r="E222" s="30"/>
      <c r="F222" s="30"/>
      <c r="G222" s="30"/>
      <c r="H222" s="30"/>
      <c r="I222" s="30"/>
      <c r="J222" s="30"/>
      <c r="K222" s="30"/>
      <c r="L222" s="31"/>
      <c r="M222" s="1"/>
      <c r="N222" s="1"/>
      <c r="O222" s="1"/>
      <c r="P222" s="1"/>
      <c r="Q222" s="1"/>
      <c r="R222" s="1"/>
      <c r="S222" s="1"/>
      <c r="T222" s="1"/>
      <c r="U222" s="1"/>
      <c r="V222" s="1"/>
      <c r="W222" s="1"/>
      <c r="X222" s="1"/>
      <c r="Y222" s="1"/>
      <c r="Z222" s="1"/>
    </row>
    <row r="223" spans="1:26" ht="15.75" customHeight="1">
      <c r="A223" s="29"/>
      <c r="B223" s="30"/>
      <c r="C223" s="30"/>
      <c r="D223" s="30"/>
      <c r="E223" s="30"/>
      <c r="F223" s="30"/>
      <c r="G223" s="30"/>
      <c r="H223" s="30"/>
      <c r="I223" s="30"/>
      <c r="J223" s="30"/>
      <c r="K223" s="30"/>
      <c r="L223" s="31"/>
      <c r="M223" s="1"/>
      <c r="N223" s="1"/>
      <c r="O223" s="1"/>
      <c r="P223" s="1"/>
      <c r="Q223" s="1"/>
      <c r="R223" s="1"/>
      <c r="S223" s="1"/>
      <c r="T223" s="1"/>
      <c r="U223" s="1"/>
      <c r="V223" s="1"/>
      <c r="W223" s="1"/>
      <c r="X223" s="1"/>
      <c r="Y223" s="1"/>
      <c r="Z223" s="1"/>
    </row>
    <row r="224" spans="1:26" ht="15.75" customHeight="1">
      <c r="A224" s="29"/>
      <c r="B224" s="30"/>
      <c r="C224" s="30"/>
      <c r="D224" s="30"/>
      <c r="E224" s="30"/>
      <c r="F224" s="30"/>
      <c r="G224" s="30"/>
      <c r="H224" s="30"/>
      <c r="I224" s="30"/>
      <c r="J224" s="30"/>
      <c r="K224" s="30"/>
      <c r="L224" s="31"/>
      <c r="M224" s="1"/>
      <c r="N224" s="1"/>
      <c r="O224" s="1"/>
      <c r="P224" s="1"/>
      <c r="Q224" s="1"/>
      <c r="R224" s="1"/>
      <c r="S224" s="1"/>
      <c r="T224" s="1"/>
      <c r="U224" s="1"/>
      <c r="V224" s="1"/>
      <c r="W224" s="1"/>
      <c r="X224" s="1"/>
      <c r="Y224" s="1"/>
      <c r="Z224" s="1"/>
    </row>
    <row r="225" spans="1:26" ht="15.75" customHeight="1">
      <c r="A225" s="29"/>
      <c r="B225" s="30"/>
      <c r="C225" s="30"/>
      <c r="D225" s="30"/>
      <c r="E225" s="30"/>
      <c r="F225" s="30"/>
      <c r="G225" s="30"/>
      <c r="H225" s="30"/>
      <c r="I225" s="30"/>
      <c r="J225" s="30"/>
      <c r="K225" s="30"/>
      <c r="L225" s="31"/>
      <c r="M225" s="1"/>
      <c r="N225" s="1"/>
      <c r="O225" s="1"/>
      <c r="P225" s="1"/>
      <c r="Q225" s="1"/>
      <c r="R225" s="1"/>
      <c r="S225" s="1"/>
      <c r="T225" s="1"/>
      <c r="U225" s="1"/>
      <c r="V225" s="1"/>
      <c r="W225" s="1"/>
      <c r="X225" s="1"/>
      <c r="Y225" s="1"/>
      <c r="Z225" s="1"/>
    </row>
    <row r="226" spans="1:26" ht="15.75" customHeight="1">
      <c r="A226" s="29"/>
      <c r="B226" s="30"/>
      <c r="C226" s="30"/>
      <c r="D226" s="30"/>
      <c r="E226" s="30"/>
      <c r="F226" s="30"/>
      <c r="G226" s="30"/>
      <c r="H226" s="30"/>
      <c r="I226" s="30"/>
      <c r="J226" s="30"/>
      <c r="K226" s="30"/>
      <c r="L226" s="31"/>
      <c r="M226" s="1"/>
      <c r="N226" s="1"/>
      <c r="O226" s="1"/>
      <c r="P226" s="1"/>
      <c r="Q226" s="1"/>
      <c r="R226" s="1"/>
      <c r="S226" s="1"/>
      <c r="T226" s="1"/>
      <c r="U226" s="1"/>
      <c r="V226" s="1"/>
      <c r="W226" s="1"/>
      <c r="X226" s="1"/>
      <c r="Y226" s="1"/>
      <c r="Z226" s="1"/>
    </row>
    <row r="227" spans="1:26" ht="15.75" customHeight="1">
      <c r="A227" s="29"/>
      <c r="B227" s="30"/>
      <c r="C227" s="30"/>
      <c r="D227" s="30"/>
      <c r="E227" s="30"/>
      <c r="F227" s="30"/>
      <c r="G227" s="30"/>
      <c r="H227" s="30"/>
      <c r="I227" s="30"/>
      <c r="J227" s="30"/>
      <c r="K227" s="30"/>
      <c r="L227" s="31"/>
      <c r="M227" s="1"/>
      <c r="N227" s="1"/>
      <c r="O227" s="1"/>
      <c r="P227" s="1"/>
      <c r="Q227" s="1"/>
      <c r="R227" s="1"/>
      <c r="S227" s="1"/>
      <c r="T227" s="1"/>
      <c r="U227" s="1"/>
      <c r="V227" s="1"/>
      <c r="W227" s="1"/>
      <c r="X227" s="1"/>
      <c r="Y227" s="1"/>
      <c r="Z227" s="1"/>
    </row>
    <row r="228" spans="1:26" ht="15.75" customHeight="1">
      <c r="A228" s="29"/>
      <c r="B228" s="30"/>
      <c r="C228" s="30"/>
      <c r="D228" s="30"/>
      <c r="E228" s="30"/>
      <c r="F228" s="30"/>
      <c r="G228" s="30"/>
      <c r="H228" s="30"/>
      <c r="I228" s="30"/>
      <c r="J228" s="30"/>
      <c r="K228" s="30"/>
      <c r="L228" s="31"/>
      <c r="M228" s="1"/>
      <c r="N228" s="1"/>
      <c r="O228" s="1"/>
      <c r="P228" s="1"/>
      <c r="Q228" s="1"/>
      <c r="R228" s="1"/>
      <c r="S228" s="1"/>
      <c r="T228" s="1"/>
      <c r="U228" s="1"/>
      <c r="V228" s="1"/>
      <c r="W228" s="1"/>
      <c r="X228" s="1"/>
      <c r="Y228" s="1"/>
      <c r="Z228" s="1"/>
    </row>
    <row r="229" spans="1:26" ht="15.75" customHeight="1">
      <c r="A229" s="29"/>
      <c r="B229" s="30"/>
      <c r="C229" s="30"/>
      <c r="D229" s="30"/>
      <c r="E229" s="30"/>
      <c r="F229" s="30"/>
      <c r="G229" s="30"/>
      <c r="H229" s="30"/>
      <c r="I229" s="30"/>
      <c r="J229" s="30"/>
      <c r="K229" s="30"/>
      <c r="L229" s="31"/>
      <c r="M229" s="1"/>
      <c r="N229" s="1"/>
      <c r="O229" s="1"/>
      <c r="P229" s="1"/>
      <c r="Q229" s="1"/>
      <c r="R229" s="1"/>
      <c r="S229" s="1"/>
      <c r="T229" s="1"/>
      <c r="U229" s="1"/>
      <c r="V229" s="1"/>
      <c r="W229" s="1"/>
      <c r="X229" s="1"/>
      <c r="Y229" s="1"/>
      <c r="Z229" s="1"/>
    </row>
    <row r="230" spans="1:26" ht="15.75" customHeight="1">
      <c r="A230" s="29"/>
      <c r="B230" s="30"/>
      <c r="C230" s="30"/>
      <c r="D230" s="30"/>
      <c r="E230" s="30"/>
      <c r="F230" s="30"/>
      <c r="G230" s="30"/>
      <c r="H230" s="30"/>
      <c r="I230" s="30"/>
      <c r="J230" s="30"/>
      <c r="K230" s="30"/>
      <c r="L230" s="31"/>
      <c r="M230" s="1"/>
      <c r="N230" s="1"/>
      <c r="O230" s="1"/>
      <c r="P230" s="1"/>
      <c r="Q230" s="1"/>
      <c r="R230" s="1"/>
      <c r="S230" s="1"/>
      <c r="T230" s="1"/>
      <c r="U230" s="1"/>
      <c r="V230" s="1"/>
      <c r="W230" s="1"/>
      <c r="X230" s="1"/>
      <c r="Y230" s="1"/>
      <c r="Z230" s="1"/>
    </row>
    <row r="231" spans="1:26" ht="15.75" customHeight="1">
      <c r="A231" s="29"/>
      <c r="B231" s="30"/>
      <c r="C231" s="30"/>
      <c r="D231" s="30"/>
      <c r="E231" s="30"/>
      <c r="F231" s="30"/>
      <c r="G231" s="30"/>
      <c r="H231" s="30"/>
      <c r="I231" s="30"/>
      <c r="J231" s="30"/>
      <c r="K231" s="30"/>
      <c r="L231" s="31"/>
      <c r="M231" s="1"/>
      <c r="N231" s="1"/>
      <c r="O231" s="1"/>
      <c r="P231" s="1"/>
      <c r="Q231" s="1"/>
      <c r="R231" s="1"/>
      <c r="S231" s="1"/>
      <c r="T231" s="1"/>
      <c r="U231" s="1"/>
      <c r="V231" s="1"/>
      <c r="W231" s="1"/>
      <c r="X231" s="1"/>
      <c r="Y231" s="1"/>
      <c r="Z231" s="1"/>
    </row>
    <row r="232" spans="1:26" ht="15.75" customHeight="1">
      <c r="A232" s="29"/>
      <c r="B232" s="30"/>
      <c r="C232" s="30"/>
      <c r="D232" s="30"/>
      <c r="E232" s="30"/>
      <c r="F232" s="30"/>
      <c r="G232" s="30"/>
      <c r="H232" s="30"/>
      <c r="I232" s="30"/>
      <c r="J232" s="30"/>
      <c r="K232" s="30"/>
      <c r="L232" s="31"/>
      <c r="M232" s="1"/>
      <c r="N232" s="1"/>
      <c r="O232" s="1"/>
      <c r="P232" s="1"/>
      <c r="Q232" s="1"/>
      <c r="R232" s="1"/>
      <c r="S232" s="1"/>
      <c r="T232" s="1"/>
      <c r="U232" s="1"/>
      <c r="V232" s="1"/>
      <c r="W232" s="1"/>
      <c r="X232" s="1"/>
      <c r="Y232" s="1"/>
      <c r="Z232" s="1"/>
    </row>
    <row r="233" spans="1:26" ht="15.75" customHeight="1">
      <c r="A233" s="29"/>
      <c r="B233" s="30"/>
      <c r="C233" s="30"/>
      <c r="D233" s="30"/>
      <c r="E233" s="30"/>
      <c r="F233" s="30"/>
      <c r="G233" s="30"/>
      <c r="H233" s="30"/>
      <c r="I233" s="30"/>
      <c r="J233" s="30"/>
      <c r="K233" s="30"/>
      <c r="L233" s="31"/>
      <c r="M233" s="1"/>
      <c r="N233" s="1"/>
      <c r="O233" s="1"/>
      <c r="P233" s="1"/>
      <c r="Q233" s="1"/>
      <c r="R233" s="1"/>
      <c r="S233" s="1"/>
      <c r="T233" s="1"/>
      <c r="U233" s="1"/>
      <c r="V233" s="1"/>
      <c r="W233" s="1"/>
      <c r="X233" s="1"/>
      <c r="Y233" s="1"/>
      <c r="Z233" s="1"/>
    </row>
    <row r="234" spans="1:26" ht="15.75" customHeight="1">
      <c r="A234" s="29"/>
      <c r="B234" s="30"/>
      <c r="C234" s="30"/>
      <c r="D234" s="30"/>
      <c r="E234" s="30"/>
      <c r="F234" s="30"/>
      <c r="G234" s="30"/>
      <c r="H234" s="30"/>
      <c r="I234" s="30"/>
      <c r="J234" s="30"/>
      <c r="K234" s="30"/>
      <c r="L234" s="31"/>
      <c r="M234" s="1"/>
      <c r="N234" s="1"/>
      <c r="O234" s="1"/>
      <c r="P234" s="1"/>
      <c r="Q234" s="1"/>
      <c r="R234" s="1"/>
      <c r="S234" s="1"/>
      <c r="T234" s="1"/>
      <c r="U234" s="1"/>
      <c r="V234" s="1"/>
      <c r="W234" s="1"/>
      <c r="X234" s="1"/>
      <c r="Y234" s="1"/>
      <c r="Z234" s="1"/>
    </row>
    <row r="235" spans="1:26" ht="15.75" customHeight="1">
      <c r="A235" s="29"/>
      <c r="B235" s="504" t="s">
        <v>205</v>
      </c>
      <c r="C235" s="505"/>
      <c r="D235" s="505"/>
      <c r="E235" s="506"/>
      <c r="F235" s="30"/>
      <c r="G235" s="504" t="s">
        <v>206</v>
      </c>
      <c r="H235" s="505"/>
      <c r="I235" s="505"/>
      <c r="J235" s="506"/>
      <c r="K235" s="30"/>
      <c r="L235" s="31"/>
      <c r="M235" s="1"/>
      <c r="N235" s="1"/>
      <c r="O235" s="1"/>
      <c r="P235" s="1"/>
      <c r="Q235" s="1"/>
      <c r="R235" s="1"/>
      <c r="S235" s="1"/>
      <c r="T235" s="1"/>
      <c r="U235" s="1"/>
      <c r="V235" s="1"/>
      <c r="W235" s="1"/>
      <c r="X235" s="1"/>
      <c r="Y235" s="1"/>
      <c r="Z235" s="1"/>
    </row>
    <row r="236" spans="1:26" ht="15.75" customHeight="1">
      <c r="A236" s="29"/>
      <c r="B236" s="33"/>
      <c r="C236" s="33"/>
      <c r="D236" s="33"/>
      <c r="E236" s="33"/>
      <c r="F236" s="30"/>
      <c r="G236" s="33"/>
      <c r="H236" s="33"/>
      <c r="I236" s="33"/>
      <c r="J236" s="33"/>
      <c r="K236" s="33"/>
      <c r="L236" s="31"/>
      <c r="M236" s="1"/>
      <c r="N236" s="1"/>
      <c r="O236" s="1"/>
      <c r="P236" s="1"/>
      <c r="Q236" s="1"/>
      <c r="R236" s="1"/>
      <c r="S236" s="1"/>
      <c r="T236" s="1"/>
      <c r="U236" s="1"/>
      <c r="V236" s="1"/>
      <c r="W236" s="1"/>
      <c r="X236" s="1"/>
      <c r="Y236" s="1"/>
      <c r="Z236" s="1"/>
    </row>
    <row r="237" spans="1:26" ht="15.75" customHeight="1">
      <c r="A237" s="29"/>
      <c r="B237" s="33"/>
      <c r="C237" s="33"/>
      <c r="D237" s="33"/>
      <c r="E237" s="33"/>
      <c r="F237" s="30"/>
      <c r="G237" s="33"/>
      <c r="H237" s="33"/>
      <c r="I237" s="33"/>
      <c r="J237" s="33"/>
      <c r="K237" s="33"/>
      <c r="L237" s="31"/>
      <c r="M237" s="1"/>
      <c r="N237" s="1"/>
      <c r="O237" s="1"/>
      <c r="P237" s="1"/>
      <c r="Q237" s="1"/>
      <c r="R237" s="1"/>
      <c r="S237" s="1"/>
      <c r="T237" s="1"/>
      <c r="U237" s="1"/>
      <c r="V237" s="1"/>
      <c r="W237" s="1"/>
      <c r="X237" s="1"/>
      <c r="Y237" s="1"/>
      <c r="Z237" s="1"/>
    </row>
    <row r="238" spans="1:26" ht="15.75" customHeight="1">
      <c r="A238" s="29"/>
      <c r="B238" s="33"/>
      <c r="C238" s="33"/>
      <c r="D238" s="33"/>
      <c r="E238" s="33"/>
      <c r="F238" s="30"/>
      <c r="G238" s="33"/>
      <c r="H238" s="33"/>
      <c r="I238" s="33"/>
      <c r="J238" s="33"/>
      <c r="K238" s="33"/>
      <c r="L238" s="31"/>
      <c r="M238" s="1"/>
      <c r="N238" s="1"/>
      <c r="O238" s="1"/>
      <c r="P238" s="1"/>
      <c r="Q238" s="1"/>
      <c r="R238" s="1"/>
      <c r="S238" s="1"/>
      <c r="T238" s="1"/>
      <c r="U238" s="1"/>
      <c r="V238" s="1"/>
      <c r="W238" s="1"/>
      <c r="X238" s="1"/>
      <c r="Y238" s="1"/>
      <c r="Z238" s="1"/>
    </row>
    <row r="239" spans="1:26" ht="15.75" customHeight="1">
      <c r="A239" s="29"/>
      <c r="B239" s="33"/>
      <c r="C239" s="33"/>
      <c r="D239" s="33"/>
      <c r="E239" s="33"/>
      <c r="F239" s="30"/>
      <c r="G239" s="33"/>
      <c r="H239" s="33"/>
      <c r="I239" s="33"/>
      <c r="J239" s="33"/>
      <c r="K239" s="33"/>
      <c r="L239" s="31"/>
      <c r="M239" s="1"/>
      <c r="N239" s="1"/>
      <c r="O239" s="1"/>
      <c r="P239" s="1"/>
      <c r="Q239" s="1"/>
      <c r="R239" s="1"/>
      <c r="S239" s="1"/>
      <c r="T239" s="1"/>
      <c r="U239" s="1"/>
      <c r="V239" s="1"/>
      <c r="W239" s="1"/>
      <c r="X239" s="1"/>
      <c r="Y239" s="1"/>
      <c r="Z239" s="1"/>
    </row>
    <row r="240" spans="1:26" ht="15.75" customHeight="1">
      <c r="A240" s="29"/>
      <c r="B240" s="33"/>
      <c r="C240" s="33"/>
      <c r="D240" s="33"/>
      <c r="E240" s="33"/>
      <c r="F240" s="30"/>
      <c r="G240" s="33"/>
      <c r="H240" s="33"/>
      <c r="I240" s="33"/>
      <c r="J240" s="33"/>
      <c r="K240" s="33"/>
      <c r="L240" s="31"/>
      <c r="M240" s="1"/>
      <c r="N240" s="1"/>
      <c r="O240" s="1"/>
      <c r="P240" s="1"/>
      <c r="Q240" s="1"/>
      <c r="R240" s="1"/>
      <c r="S240" s="1"/>
      <c r="T240" s="1"/>
      <c r="U240" s="1"/>
      <c r="V240" s="1"/>
      <c r="W240" s="1"/>
      <c r="X240" s="1"/>
      <c r="Y240" s="1"/>
      <c r="Z240" s="1"/>
    </row>
    <row r="241" spans="1:26" ht="15.75" customHeight="1">
      <c r="A241" s="29"/>
      <c r="B241" s="33"/>
      <c r="C241" s="33"/>
      <c r="D241" s="33"/>
      <c r="E241" s="33"/>
      <c r="F241" s="30"/>
      <c r="G241" s="33"/>
      <c r="H241" s="33"/>
      <c r="I241" s="33"/>
      <c r="J241" s="33"/>
      <c r="K241" s="33"/>
      <c r="L241" s="31"/>
      <c r="M241" s="1"/>
      <c r="N241" s="1"/>
      <c r="O241" s="1"/>
      <c r="P241" s="1"/>
      <c r="Q241" s="1"/>
      <c r="R241" s="1"/>
      <c r="S241" s="1"/>
      <c r="T241" s="1"/>
      <c r="U241" s="1"/>
      <c r="V241" s="1"/>
      <c r="W241" s="1"/>
      <c r="X241" s="1"/>
      <c r="Y241" s="1"/>
      <c r="Z241" s="1"/>
    </row>
    <row r="242" spans="1:26" ht="15.75" customHeight="1">
      <c r="A242" s="29"/>
      <c r="B242" s="33"/>
      <c r="C242" s="33"/>
      <c r="D242" s="33"/>
      <c r="E242" s="33"/>
      <c r="F242" s="30"/>
      <c r="G242" s="33"/>
      <c r="H242" s="33"/>
      <c r="I242" s="33"/>
      <c r="J242" s="33"/>
      <c r="K242" s="33"/>
      <c r="L242" s="31"/>
      <c r="M242" s="1"/>
      <c r="N242" s="1"/>
      <c r="O242" s="1"/>
      <c r="P242" s="1"/>
      <c r="Q242" s="1"/>
      <c r="R242" s="1"/>
      <c r="S242" s="1"/>
      <c r="T242" s="1"/>
      <c r="U242" s="1"/>
      <c r="V242" s="1"/>
      <c r="W242" s="1"/>
      <c r="X242" s="1"/>
      <c r="Y242" s="1"/>
      <c r="Z242" s="1"/>
    </row>
    <row r="243" spans="1:26" ht="15.75" customHeight="1">
      <c r="A243" s="29"/>
      <c r="B243" s="33"/>
      <c r="C243" s="33"/>
      <c r="D243" s="33"/>
      <c r="E243" s="33"/>
      <c r="F243" s="33"/>
      <c r="G243" s="33"/>
      <c r="H243" s="33"/>
      <c r="I243" s="33"/>
      <c r="J243" s="33"/>
      <c r="K243" s="33"/>
      <c r="L243" s="31"/>
      <c r="M243" s="1"/>
      <c r="N243" s="1"/>
      <c r="O243" s="1"/>
      <c r="P243" s="1"/>
      <c r="Q243" s="1"/>
      <c r="R243" s="1"/>
      <c r="S243" s="1"/>
      <c r="T243" s="1"/>
      <c r="U243" s="1"/>
      <c r="V243" s="1"/>
      <c r="W243" s="1"/>
      <c r="X243" s="1"/>
      <c r="Y243" s="1"/>
      <c r="Z243" s="1"/>
    </row>
    <row r="244" spans="1:26" ht="15.75" customHeight="1">
      <c r="A244" s="29"/>
      <c r="B244" s="33"/>
      <c r="C244" s="33"/>
      <c r="D244" s="33"/>
      <c r="E244" s="33"/>
      <c r="F244" s="33"/>
      <c r="G244" s="33"/>
      <c r="H244" s="33"/>
      <c r="I244" s="33"/>
      <c r="J244" s="33"/>
      <c r="K244" s="33"/>
      <c r="L244" s="31"/>
      <c r="M244" s="1"/>
      <c r="N244" s="1"/>
      <c r="O244" s="1"/>
      <c r="P244" s="1"/>
      <c r="Q244" s="1"/>
      <c r="R244" s="1"/>
      <c r="S244" s="1"/>
      <c r="T244" s="1"/>
      <c r="U244" s="1"/>
      <c r="V244" s="1"/>
      <c r="W244" s="1"/>
      <c r="X244" s="1"/>
      <c r="Y244" s="1"/>
      <c r="Z244" s="1"/>
    </row>
    <row r="245" spans="1:26" ht="15.75" customHeight="1">
      <c r="A245" s="29"/>
      <c r="B245" s="33"/>
      <c r="C245" s="33"/>
      <c r="D245" s="33"/>
      <c r="E245" s="33"/>
      <c r="F245" s="33"/>
      <c r="G245" s="33"/>
      <c r="H245" s="33"/>
      <c r="I245" s="33"/>
      <c r="J245" s="33"/>
      <c r="K245" s="33"/>
      <c r="L245" s="31"/>
      <c r="M245" s="1"/>
      <c r="N245" s="1"/>
      <c r="O245" s="1"/>
      <c r="P245" s="1"/>
      <c r="Q245" s="1"/>
      <c r="R245" s="1"/>
      <c r="S245" s="1"/>
      <c r="T245" s="1"/>
      <c r="U245" s="1"/>
      <c r="V245" s="1"/>
      <c r="W245" s="1"/>
      <c r="X245" s="1"/>
      <c r="Y245" s="1"/>
      <c r="Z245" s="1"/>
    </row>
    <row r="246" spans="1:26" ht="15.75" customHeight="1">
      <c r="A246" s="29"/>
      <c r="B246" s="33"/>
      <c r="C246" s="33"/>
      <c r="D246" s="33"/>
      <c r="E246" s="33"/>
      <c r="F246" s="33"/>
      <c r="G246" s="33"/>
      <c r="H246" s="33"/>
      <c r="I246" s="33"/>
      <c r="J246" s="33"/>
      <c r="K246" s="33"/>
      <c r="L246" s="31"/>
      <c r="M246" s="1"/>
      <c r="N246" s="1"/>
      <c r="O246" s="1"/>
      <c r="P246" s="1"/>
      <c r="Q246" s="1"/>
      <c r="R246" s="1"/>
      <c r="S246" s="1"/>
      <c r="T246" s="1"/>
      <c r="U246" s="1"/>
      <c r="V246" s="1"/>
      <c r="W246" s="1"/>
      <c r="X246" s="1"/>
      <c r="Y246" s="1"/>
      <c r="Z246" s="1"/>
    </row>
    <row r="247" spans="1:26" ht="15.75" customHeight="1">
      <c r="A247" s="29"/>
      <c r="B247" s="33"/>
      <c r="C247" s="33"/>
      <c r="D247" s="33"/>
      <c r="E247" s="33"/>
      <c r="F247" s="33"/>
      <c r="G247" s="33"/>
      <c r="H247" s="33"/>
      <c r="I247" s="33"/>
      <c r="J247" s="33"/>
      <c r="K247" s="33"/>
      <c r="L247" s="31"/>
      <c r="M247" s="1"/>
      <c r="N247" s="1"/>
      <c r="O247" s="1"/>
      <c r="P247" s="1"/>
      <c r="Q247" s="1"/>
      <c r="R247" s="1"/>
      <c r="S247" s="1"/>
      <c r="T247" s="1"/>
      <c r="U247" s="1"/>
      <c r="V247" s="1"/>
      <c r="W247" s="1"/>
      <c r="X247" s="1"/>
      <c r="Y247" s="1"/>
      <c r="Z247" s="1"/>
    </row>
    <row r="248" spans="1:26" ht="15.75" customHeight="1">
      <c r="A248" s="29"/>
      <c r="B248" s="33"/>
      <c r="C248" s="33"/>
      <c r="D248" s="33"/>
      <c r="E248" s="33"/>
      <c r="F248" s="33"/>
      <c r="G248" s="33"/>
      <c r="H248" s="33"/>
      <c r="I248" s="33"/>
      <c r="J248" s="33"/>
      <c r="K248" s="33"/>
      <c r="L248" s="31"/>
      <c r="M248" s="1"/>
      <c r="N248" s="1"/>
      <c r="O248" s="1"/>
      <c r="P248" s="1"/>
      <c r="Q248" s="1"/>
      <c r="R248" s="1"/>
      <c r="S248" s="1"/>
      <c r="T248" s="1"/>
      <c r="U248" s="1"/>
      <c r="V248" s="1"/>
      <c r="W248" s="1"/>
      <c r="X248" s="1"/>
      <c r="Y248" s="1"/>
      <c r="Z248" s="1"/>
    </row>
    <row r="249" spans="1:26" ht="15.75" customHeight="1">
      <c r="A249" s="29"/>
      <c r="B249" s="30"/>
      <c r="C249" s="30"/>
      <c r="D249" s="30"/>
      <c r="E249" s="30"/>
      <c r="F249" s="30"/>
      <c r="G249" s="30"/>
      <c r="H249" s="30"/>
      <c r="I249" s="30"/>
      <c r="J249" s="30"/>
      <c r="K249" s="30"/>
      <c r="L249" s="31"/>
      <c r="M249" s="1"/>
      <c r="N249" s="1"/>
      <c r="O249" s="1"/>
      <c r="P249" s="1"/>
      <c r="Q249" s="1"/>
      <c r="R249" s="1"/>
      <c r="S249" s="1"/>
      <c r="T249" s="1"/>
      <c r="U249" s="1"/>
      <c r="V249" s="1"/>
      <c r="W249" s="1"/>
      <c r="X249" s="1"/>
      <c r="Y249" s="1"/>
      <c r="Z249" s="1"/>
    </row>
    <row r="250" spans="1:26" ht="15.75" customHeight="1">
      <c r="A250" s="29"/>
      <c r="B250" s="30"/>
      <c r="C250" s="30"/>
      <c r="D250" s="30"/>
      <c r="E250" s="30"/>
      <c r="F250" s="30"/>
      <c r="G250" s="30"/>
      <c r="H250" s="30"/>
      <c r="I250" s="30"/>
      <c r="J250" s="30"/>
      <c r="K250" s="30"/>
      <c r="L250" s="31"/>
      <c r="M250" s="1"/>
      <c r="N250" s="1"/>
      <c r="O250" s="1"/>
      <c r="P250" s="1"/>
      <c r="Q250" s="1"/>
      <c r="R250" s="1"/>
      <c r="S250" s="1"/>
      <c r="T250" s="1"/>
      <c r="U250" s="1"/>
      <c r="V250" s="1"/>
      <c r="W250" s="1"/>
      <c r="X250" s="1"/>
      <c r="Y250" s="1"/>
      <c r="Z250" s="1"/>
    </row>
    <row r="251" spans="1:26" ht="15.75" customHeight="1">
      <c r="A251" s="29"/>
      <c r="B251" s="30"/>
      <c r="C251" s="30"/>
      <c r="D251" s="30"/>
      <c r="E251" s="30"/>
      <c r="F251" s="30"/>
      <c r="G251" s="30"/>
      <c r="H251" s="30"/>
      <c r="I251" s="30"/>
      <c r="J251" s="30"/>
      <c r="K251" s="30"/>
      <c r="L251" s="31"/>
      <c r="M251" s="1"/>
      <c r="N251" s="1"/>
      <c r="O251" s="1"/>
      <c r="P251" s="1"/>
      <c r="Q251" s="1"/>
      <c r="R251" s="1"/>
      <c r="S251" s="1"/>
      <c r="T251" s="1"/>
      <c r="U251" s="1"/>
      <c r="V251" s="1"/>
      <c r="W251" s="1"/>
      <c r="X251" s="1"/>
      <c r="Y251" s="1"/>
      <c r="Z251" s="1"/>
    </row>
    <row r="252" spans="1:26" ht="15.75" customHeight="1">
      <c r="A252" s="29"/>
      <c r="B252" s="504"/>
      <c r="C252" s="505"/>
      <c r="D252" s="505"/>
      <c r="E252" s="506"/>
      <c r="F252" s="30"/>
      <c r="G252" s="30"/>
      <c r="H252" s="30"/>
      <c r="I252" s="30"/>
      <c r="J252" s="30"/>
      <c r="K252" s="30"/>
      <c r="L252" s="31"/>
      <c r="M252" s="1"/>
      <c r="N252" s="1"/>
      <c r="O252" s="1"/>
      <c r="P252" s="1"/>
      <c r="Q252" s="1"/>
      <c r="R252" s="1"/>
      <c r="S252" s="1"/>
      <c r="T252" s="1"/>
      <c r="U252" s="1"/>
      <c r="V252" s="1"/>
      <c r="W252" s="1"/>
      <c r="X252" s="1"/>
      <c r="Y252" s="1"/>
      <c r="Z252" s="1"/>
    </row>
    <row r="253" spans="1:26" ht="15.75" customHeight="1">
      <c r="A253" s="29"/>
      <c r="B253" s="30"/>
      <c r="C253" s="30"/>
      <c r="D253" s="30"/>
      <c r="E253" s="30"/>
      <c r="F253" s="30"/>
      <c r="G253" s="30"/>
      <c r="H253" s="30"/>
      <c r="I253" s="30"/>
      <c r="J253" s="30"/>
      <c r="K253" s="30"/>
      <c r="L253" s="31"/>
      <c r="M253" s="1"/>
      <c r="N253" s="1"/>
      <c r="O253" s="1"/>
      <c r="P253" s="1"/>
      <c r="Q253" s="1"/>
      <c r="R253" s="1"/>
      <c r="S253" s="1"/>
      <c r="T253" s="1"/>
      <c r="U253" s="1"/>
      <c r="V253" s="1"/>
      <c r="W253" s="1"/>
      <c r="X253" s="1"/>
      <c r="Y253" s="1"/>
      <c r="Z253" s="1"/>
    </row>
    <row r="254" spans="1:26" ht="15.75" customHeight="1" thickBot="1">
      <c r="A254" s="34"/>
      <c r="B254" s="35"/>
      <c r="C254" s="35"/>
      <c r="D254" s="35"/>
      <c r="E254" s="35"/>
      <c r="F254" s="35"/>
      <c r="G254" s="35"/>
      <c r="H254" s="35"/>
      <c r="I254" s="35"/>
      <c r="J254" s="35"/>
      <c r="K254" s="35"/>
      <c r="L254" s="36"/>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497" t="s">
        <v>207</v>
      </c>
      <c r="D256" s="497"/>
      <c r="E256" s="497"/>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t="s">
        <v>208</v>
      </c>
      <c r="C257" s="1" t="s">
        <v>209</v>
      </c>
      <c r="D257" s="1" t="s">
        <v>159</v>
      </c>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t="s">
        <v>210</v>
      </c>
      <c r="C258" s="93">
        <v>0.125</v>
      </c>
      <c r="D258" s="94">
        <v>7.51E-2</v>
      </c>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t="s">
        <v>211</v>
      </c>
      <c r="C259" s="93">
        <v>0.25</v>
      </c>
      <c r="D259" s="94">
        <v>7.3899999999999993E-2</v>
      </c>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t="s">
        <v>212</v>
      </c>
      <c r="C260" s="93">
        <v>0.375</v>
      </c>
      <c r="D260" s="93">
        <v>0.157</v>
      </c>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t="s">
        <v>213</v>
      </c>
      <c r="C261" s="93">
        <v>0.5</v>
      </c>
      <c r="D261" s="93">
        <v>0.44500000000000001</v>
      </c>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t="s">
        <v>214</v>
      </c>
      <c r="C262" s="93">
        <v>0.625</v>
      </c>
      <c r="D262" s="93">
        <v>0.69</v>
      </c>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t="s">
        <v>215</v>
      </c>
      <c r="C263" s="93">
        <v>0.78</v>
      </c>
      <c r="D263" s="93">
        <v>0.9032</v>
      </c>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t="s">
        <v>216</v>
      </c>
      <c r="C264" s="93">
        <f>C258*7</f>
        <v>0.875</v>
      </c>
      <c r="D264" s="93"/>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t="s">
        <v>217</v>
      </c>
      <c r="C265" s="93">
        <f>C258*8</f>
        <v>1</v>
      </c>
      <c r="D265" s="93"/>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497" t="s">
        <v>218</v>
      </c>
      <c r="C267" s="497"/>
      <c r="D267" s="497"/>
      <c r="E267" s="497"/>
      <c r="F267" s="497"/>
      <c r="G267" s="497"/>
      <c r="H267" s="497"/>
      <c r="I267" s="497"/>
      <c r="J267" s="497"/>
      <c r="K267" s="497"/>
      <c r="L267" s="497"/>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497" t="s">
        <v>219</v>
      </c>
      <c r="D271" s="497"/>
      <c r="E271" s="497"/>
      <c r="F271" s="1"/>
      <c r="G271" s="497" t="s">
        <v>219</v>
      </c>
      <c r="H271" s="497"/>
      <c r="I271" s="497"/>
      <c r="J271" s="1"/>
      <c r="K271" s="1"/>
      <c r="L271" s="1"/>
      <c r="M271" s="1"/>
      <c r="N271" s="1"/>
      <c r="O271" s="1"/>
      <c r="P271" s="1"/>
      <c r="Q271" s="1"/>
      <c r="R271" s="1"/>
      <c r="S271" s="1"/>
      <c r="T271" s="1"/>
      <c r="U271" s="1"/>
      <c r="V271" s="1"/>
      <c r="W271" s="1"/>
      <c r="X271" s="1"/>
      <c r="Y271" s="1"/>
      <c r="Z271" s="1"/>
    </row>
    <row r="272" spans="1:26" ht="15.75" customHeight="1">
      <c r="A272" s="1"/>
      <c r="B272" s="1"/>
      <c r="C272" s="497" t="s">
        <v>220</v>
      </c>
      <c r="D272" s="497"/>
      <c r="E272" s="497"/>
      <c r="F272" s="1"/>
      <c r="G272" s="497" t="s">
        <v>221</v>
      </c>
      <c r="H272" s="497"/>
      <c r="I272" s="497"/>
      <c r="J272" s="1"/>
      <c r="K272" s="1"/>
      <c r="L272" s="1"/>
      <c r="M272" s="1"/>
      <c r="N272" s="1"/>
      <c r="O272" s="1"/>
      <c r="P272" s="1"/>
      <c r="Q272" s="1"/>
      <c r="R272" s="1"/>
      <c r="S272" s="1"/>
      <c r="T272" s="1"/>
      <c r="U272" s="1"/>
      <c r="V272" s="1"/>
      <c r="W272" s="1"/>
      <c r="X272" s="1"/>
      <c r="Y272" s="1"/>
      <c r="Z272" s="1"/>
    </row>
    <row r="273" spans="1:26" ht="15.75" customHeight="1">
      <c r="A273" s="1"/>
      <c r="B273" s="1"/>
      <c r="C273" s="497"/>
      <c r="D273" s="497"/>
      <c r="E273" s="497"/>
      <c r="F273" s="1"/>
      <c r="G273" s="497"/>
      <c r="H273" s="497"/>
      <c r="I273" s="497"/>
      <c r="J273" s="1"/>
      <c r="K273" s="1"/>
      <c r="L273" s="1"/>
      <c r="M273" s="1"/>
      <c r="N273" s="1"/>
      <c r="O273" s="1"/>
      <c r="P273" s="1"/>
      <c r="Q273" s="1"/>
      <c r="R273" s="1"/>
      <c r="S273" s="1"/>
      <c r="T273" s="1"/>
      <c r="U273" s="1"/>
      <c r="V273" s="1"/>
      <c r="W273" s="1"/>
      <c r="X273" s="1"/>
      <c r="Y273" s="1"/>
      <c r="Z273" s="1"/>
    </row>
    <row r="274" spans="1:26" ht="15.75" customHeight="1">
      <c r="A274" s="1"/>
      <c r="B274" s="1"/>
      <c r="C274" s="497"/>
      <c r="D274" s="497"/>
      <c r="E274" s="497"/>
      <c r="F274" s="1"/>
      <c r="G274" s="497"/>
      <c r="H274" s="497"/>
      <c r="I274" s="497"/>
      <c r="J274" s="1"/>
      <c r="K274" s="1"/>
      <c r="L274" s="1"/>
      <c r="M274" s="1"/>
      <c r="N274" s="1"/>
      <c r="O274" s="1"/>
      <c r="P274" s="1"/>
      <c r="Q274" s="1"/>
      <c r="R274" s="1"/>
      <c r="S274" s="1"/>
      <c r="T274" s="1"/>
      <c r="U274" s="1"/>
      <c r="V274" s="1"/>
      <c r="W274" s="1"/>
      <c r="X274" s="1"/>
      <c r="Y274" s="1"/>
      <c r="Z274" s="1"/>
    </row>
    <row r="275" spans="1:26" ht="15.75" customHeight="1">
      <c r="A275" s="1"/>
      <c r="B275" s="1"/>
      <c r="C275" s="497"/>
      <c r="D275" s="497"/>
      <c r="E275" s="497"/>
      <c r="F275" s="1"/>
      <c r="G275" s="497"/>
      <c r="H275" s="497"/>
      <c r="I275" s="497"/>
      <c r="J275" s="1"/>
      <c r="K275" s="1"/>
      <c r="L275" s="1"/>
      <c r="M275" s="1"/>
      <c r="N275" s="1"/>
      <c r="O275" s="1"/>
      <c r="P275" s="1"/>
      <c r="Q275" s="1"/>
      <c r="R275" s="1"/>
      <c r="S275" s="1"/>
      <c r="T275" s="1"/>
      <c r="U275" s="1"/>
      <c r="V275" s="1"/>
      <c r="W275" s="1"/>
      <c r="X275" s="1"/>
      <c r="Y275" s="1"/>
      <c r="Z275" s="1"/>
    </row>
    <row r="276" spans="1:26" ht="15.75" customHeight="1">
      <c r="A276" s="1"/>
      <c r="B276" s="1"/>
      <c r="C276" s="497" t="s">
        <v>222</v>
      </c>
      <c r="D276" s="497"/>
      <c r="E276" s="497"/>
      <c r="F276" s="1"/>
      <c r="G276" s="497" t="s">
        <v>223</v>
      </c>
      <c r="H276" s="497"/>
      <c r="I276" s="497"/>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M825" s="1"/>
      <c r="N825" s="1"/>
      <c r="O825" s="1"/>
      <c r="P825" s="1"/>
      <c r="Q825" s="1"/>
      <c r="R825" s="1"/>
      <c r="S825" s="1"/>
      <c r="T825" s="1"/>
      <c r="U825" s="1"/>
      <c r="V825" s="1"/>
      <c r="W825" s="1"/>
      <c r="X825" s="1"/>
      <c r="Y825" s="1"/>
      <c r="Z825" s="1"/>
    </row>
  </sheetData>
  <mergeCells count="195">
    <mergeCell ref="B101:C101"/>
    <mergeCell ref="B102:C102"/>
    <mergeCell ref="B103:C103"/>
    <mergeCell ref="B60:C60"/>
    <mergeCell ref="B74:C74"/>
    <mergeCell ref="B75:C75"/>
    <mergeCell ref="B82:C82"/>
    <mergeCell ref="B83:C83"/>
    <mergeCell ref="B84:C84"/>
    <mergeCell ref="B81:C81"/>
    <mergeCell ref="B67:C67"/>
    <mergeCell ref="B68:C68"/>
    <mergeCell ref="B69:C69"/>
    <mergeCell ref="B70:C70"/>
    <mergeCell ref="B71:C71"/>
    <mergeCell ref="B72:C72"/>
    <mergeCell ref="B61:C61"/>
    <mergeCell ref="B62:C62"/>
    <mergeCell ref="B63:C63"/>
    <mergeCell ref="B64:C64"/>
    <mergeCell ref="B65:C65"/>
    <mergeCell ref="B66:C66"/>
    <mergeCell ref="A149:L149"/>
    <mergeCell ref="A150:L150"/>
    <mergeCell ref="A151:L151"/>
    <mergeCell ref="A152:L152"/>
    <mergeCell ref="A157:L157"/>
    <mergeCell ref="A153:L153"/>
    <mergeCell ref="A154:L154"/>
    <mergeCell ref="C272:E275"/>
    <mergeCell ref="G272:I275"/>
    <mergeCell ref="A155:L155"/>
    <mergeCell ref="A156:L156"/>
    <mergeCell ref="A171:L171"/>
    <mergeCell ref="B193:E193"/>
    <mergeCell ref="G193:K193"/>
    <mergeCell ref="B175:E175"/>
    <mergeCell ref="G175:J175"/>
    <mergeCell ref="A165:L165"/>
    <mergeCell ref="A166:L166"/>
    <mergeCell ref="A167:L167"/>
    <mergeCell ref="A168:L168"/>
    <mergeCell ref="A169:L169"/>
    <mergeCell ref="A170:L170"/>
    <mergeCell ref="B235:E235"/>
    <mergeCell ref="G235:J235"/>
    <mergeCell ref="C276:E276"/>
    <mergeCell ref="G276:I276"/>
    <mergeCell ref="A158:L158"/>
    <mergeCell ref="A159:L159"/>
    <mergeCell ref="A160:L160"/>
    <mergeCell ref="A163:L163"/>
    <mergeCell ref="A164:L164"/>
    <mergeCell ref="A161:L161"/>
    <mergeCell ref="A162:L162"/>
    <mergeCell ref="G271:I271"/>
    <mergeCell ref="C271:E271"/>
    <mergeCell ref="B267:L267"/>
    <mergeCell ref="C256:E256"/>
    <mergeCell ref="B252:E252"/>
    <mergeCell ref="B214:E214"/>
    <mergeCell ref="G214:K214"/>
    <mergeCell ref="A144:L144"/>
    <mergeCell ref="A145:L146"/>
    <mergeCell ref="A147:L147"/>
    <mergeCell ref="A148:L148"/>
    <mergeCell ref="A137:L137"/>
    <mergeCell ref="A138:L138"/>
    <mergeCell ref="A139:L139"/>
    <mergeCell ref="A140:L141"/>
    <mergeCell ref="A142:L142"/>
    <mergeCell ref="A143:L143"/>
    <mergeCell ref="A134:C135"/>
    <mergeCell ref="D134:E135"/>
    <mergeCell ref="F134:G135"/>
    <mergeCell ref="H134:H135"/>
    <mergeCell ref="J134:K134"/>
    <mergeCell ref="J135:K135"/>
    <mergeCell ref="B125:C125"/>
    <mergeCell ref="B129:C129"/>
    <mergeCell ref="B130:C130"/>
    <mergeCell ref="A133:L133"/>
    <mergeCell ref="B123:C123"/>
    <mergeCell ref="B73:C73"/>
    <mergeCell ref="B76:C76"/>
    <mergeCell ref="B77:C77"/>
    <mergeCell ref="B78:C78"/>
    <mergeCell ref="B79:C79"/>
    <mergeCell ref="B80:C80"/>
    <mergeCell ref="B122:C122"/>
    <mergeCell ref="B85:C85"/>
    <mergeCell ref="B86:C86"/>
    <mergeCell ref="B87:C87"/>
    <mergeCell ref="B88:C88"/>
    <mergeCell ref="B89:C89"/>
    <mergeCell ref="B90:C90"/>
    <mergeCell ref="B91:C91"/>
    <mergeCell ref="B92:C92"/>
    <mergeCell ref="B93:C93"/>
    <mergeCell ref="B94:C94"/>
    <mergeCell ref="B95:C95"/>
    <mergeCell ref="B96:C96"/>
    <mergeCell ref="B97:C97"/>
    <mergeCell ref="B98:C98"/>
    <mergeCell ref="B99:C99"/>
    <mergeCell ref="B100:C100"/>
    <mergeCell ref="A55:E55"/>
    <mergeCell ref="F55:G55"/>
    <mergeCell ref="H55:J55"/>
    <mergeCell ref="K55:L55"/>
    <mergeCell ref="A57:L57"/>
    <mergeCell ref="B59:C59"/>
    <mergeCell ref="A47:B47"/>
    <mergeCell ref="A48:B48"/>
    <mergeCell ref="A49:B49"/>
    <mergeCell ref="A50:B50"/>
    <mergeCell ref="A53:L53"/>
    <mergeCell ref="A54:E54"/>
    <mergeCell ref="F54:G54"/>
    <mergeCell ref="H54:J54"/>
    <mergeCell ref="K54:L54"/>
    <mergeCell ref="F34:H34"/>
    <mergeCell ref="J34:L34"/>
    <mergeCell ref="F35:H35"/>
    <mergeCell ref="J35:L35"/>
    <mergeCell ref="F36:H36"/>
    <mergeCell ref="J36:L36"/>
    <mergeCell ref="F30:L30"/>
    <mergeCell ref="F31:H31"/>
    <mergeCell ref="J31:L31"/>
    <mergeCell ref="F32:H32"/>
    <mergeCell ref="J32:L32"/>
    <mergeCell ref="F33:H33"/>
    <mergeCell ref="J33:L33"/>
    <mergeCell ref="F28:G28"/>
    <mergeCell ref="H28:J28"/>
    <mergeCell ref="K28:L28"/>
    <mergeCell ref="F29:G29"/>
    <mergeCell ref="H29:J29"/>
    <mergeCell ref="K29:L29"/>
    <mergeCell ref="A22:B22"/>
    <mergeCell ref="C22:E22"/>
    <mergeCell ref="A23:B23"/>
    <mergeCell ref="C23:E23"/>
    <mergeCell ref="A26:L26"/>
    <mergeCell ref="A27:E27"/>
    <mergeCell ref="F27:L27"/>
    <mergeCell ref="A21:B21"/>
    <mergeCell ref="C21:E21"/>
    <mergeCell ref="C15:E15"/>
    <mergeCell ref="A16:B16"/>
    <mergeCell ref="C16:E16"/>
    <mergeCell ref="A17:B17"/>
    <mergeCell ref="C17:E17"/>
    <mergeCell ref="A18:B18"/>
    <mergeCell ref="C18:E18"/>
    <mergeCell ref="B104:C104"/>
    <mergeCell ref="B105:C105"/>
    <mergeCell ref="A1:C3"/>
    <mergeCell ref="A5:C5"/>
    <mergeCell ref="D5:E5"/>
    <mergeCell ref="F5:G5"/>
    <mergeCell ref="H5:L5"/>
    <mergeCell ref="A7:G7"/>
    <mergeCell ref="H7:L7"/>
    <mergeCell ref="D3:H3"/>
    <mergeCell ref="D1:H2"/>
    <mergeCell ref="J1:L3"/>
    <mergeCell ref="A8:B12"/>
    <mergeCell ref="C8:E12"/>
    <mergeCell ref="F8:L23"/>
    <mergeCell ref="A13:B13"/>
    <mergeCell ref="C13:E13"/>
    <mergeCell ref="A14:B14"/>
    <mergeCell ref="C14:E14"/>
    <mergeCell ref="A15:B15"/>
    <mergeCell ref="A19:B19"/>
    <mergeCell ref="C19:E19"/>
    <mergeCell ref="A20:B20"/>
    <mergeCell ref="C20:E20"/>
    <mergeCell ref="B115:C115"/>
    <mergeCell ref="B116:C116"/>
    <mergeCell ref="B117:C117"/>
    <mergeCell ref="B118:C118"/>
    <mergeCell ref="B119:C119"/>
    <mergeCell ref="B120:C120"/>
    <mergeCell ref="B106:C106"/>
    <mergeCell ref="B107:C107"/>
    <mergeCell ref="B108:C108"/>
    <mergeCell ref="B109:C109"/>
    <mergeCell ref="B110:C110"/>
    <mergeCell ref="B111:C111"/>
    <mergeCell ref="B112:C112"/>
    <mergeCell ref="B113:C113"/>
    <mergeCell ref="B114:C114"/>
  </mergeCells>
  <printOptions verticalCentered="1"/>
  <pageMargins left="0.98425196850393704" right="0.98425196850393704" top="0.59055118110236227" bottom="0.98425196850393704" header="0.51181102362204722" footer="0.51181102362204722"/>
  <pageSetup paperSize="9" scale="33" fitToHeight="0" orientation="portrait" r:id="rId1"/>
  <rowBreaks count="2" manualBreakCount="2">
    <brk id="132" max="11" man="1"/>
    <brk id="170" max="11"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Roney Yally Bartolo Florez</cp:lastModifiedBy>
  <cp:revision/>
  <dcterms:created xsi:type="dcterms:W3CDTF">2020-10-13T23:22:29Z</dcterms:created>
  <dcterms:modified xsi:type="dcterms:W3CDTF">2024-07-12T18:50:17Z</dcterms:modified>
  <cp:category/>
  <cp:contentStatus/>
</cp:coreProperties>
</file>