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A MARTHA\1. MEN\2024 MEN\PROCESOS\MINIMA CUANTIA RIO FRIO\SEPTIMA REVISION\"/>
    </mc:Choice>
  </mc:AlternateContent>
  <xr:revisionPtr revIDLastSave="0" documentId="8_{5835D8F3-E505-49FE-AD49-27EEFAEA0DFB}" xr6:coauthVersionLast="47" xr6:coauthVersionMax="47" xr10:uidLastSave="{00000000-0000-0000-0000-000000000000}"/>
  <bookViews>
    <workbookView xWindow="-120" yWindow="-120" windowWidth="20730" windowHeight="11040" tabRatio="747" activeTab="2" xr2:uid="{43FF7580-5E8B-CF41-A6B0-B9A85E0A8407}"/>
  </bookViews>
  <sheets>
    <sheet name="Primeras tres cotizaciones" sheetId="7" r:id="rId1"/>
    <sheet name="Cotizaciones recibidas Riofrío" sheetId="3" r:id="rId2"/>
    <sheet name="Presupuesto Interventoría Riofr" sheetId="1" r:id="rId3"/>
    <sheet name="Módelo de cotización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8" i="7" l="1"/>
  <c r="O26" i="7"/>
  <c r="O24" i="7"/>
  <c r="O22" i="7"/>
  <c r="O20" i="7"/>
  <c r="O18" i="7"/>
  <c r="O16" i="7"/>
  <c r="O15" i="7"/>
  <c r="O14" i="7"/>
  <c r="O11" i="7"/>
  <c r="O8" i="7"/>
  <c r="O9" i="7"/>
  <c r="O10" i="7"/>
  <c r="O7" i="7"/>
  <c r="J22" i="7"/>
  <c r="J20" i="7"/>
  <c r="N20" i="7"/>
  <c r="N22" i="7"/>
  <c r="N15" i="7"/>
  <c r="N16" i="7" s="1"/>
  <c r="N14" i="7"/>
  <c r="N10" i="7"/>
  <c r="N9" i="7"/>
  <c r="N8" i="7"/>
  <c r="N7" i="7"/>
  <c r="N11" i="7" l="1"/>
  <c r="N18" i="7" s="1"/>
  <c r="N24" i="7"/>
  <c r="N26" i="7" l="1"/>
  <c r="N28" i="7" s="1"/>
  <c r="J15" i="7" l="1"/>
  <c r="J14" i="7"/>
  <c r="J16" i="7" s="1"/>
  <c r="J10" i="7"/>
  <c r="J9" i="7"/>
  <c r="J8" i="7"/>
  <c r="J7" i="7"/>
  <c r="J11" i="7" l="1"/>
  <c r="J18" i="7" s="1"/>
  <c r="J24" i="7" l="1"/>
  <c r="J26" i="7" s="1"/>
  <c r="J28" i="7" l="1"/>
  <c r="F15" i="7"/>
  <c r="F14" i="7"/>
  <c r="F16" i="7" s="1"/>
  <c r="F10" i="7"/>
  <c r="F9" i="7"/>
  <c r="F8" i="7"/>
  <c r="F7" i="7"/>
  <c r="F11" i="7" l="1"/>
  <c r="F18" i="7" s="1"/>
  <c r="F22" i="7" s="1"/>
  <c r="F20" i="7" l="1"/>
  <c r="F24" i="7"/>
  <c r="F26" i="7" s="1"/>
  <c r="F28" i="7" s="1"/>
  <c r="BB7" i="1" l="1"/>
  <c r="BB6" i="1"/>
  <c r="BB5" i="1"/>
  <c r="AY24" i="1"/>
  <c r="AY23" i="1"/>
  <c r="AX18" i="1"/>
  <c r="AX17" i="1"/>
  <c r="AW18" i="1"/>
  <c r="AW17" i="1"/>
  <c r="AY17" i="1" s="1"/>
  <c r="AY14" i="1"/>
  <c r="AY13" i="1"/>
  <c r="AX14" i="1"/>
  <c r="AX13" i="1"/>
  <c r="AX10" i="1"/>
  <c r="AY10" i="1" s="1"/>
  <c r="AX9" i="1"/>
  <c r="AY9" i="1" s="1"/>
  <c r="AX8" i="1"/>
  <c r="AY8" i="1" s="1"/>
  <c r="AX7" i="1"/>
  <c r="AX6" i="1"/>
  <c r="AY6" i="1" s="1"/>
  <c r="AX5" i="1"/>
  <c r="AY5" i="1" s="1"/>
  <c r="AY7" i="1"/>
  <c r="AV5" i="1"/>
  <c r="AS18" i="1"/>
  <c r="AS17" i="1"/>
  <c r="AS6" i="1"/>
  <c r="AS7" i="1"/>
  <c r="AS8" i="1"/>
  <c r="AS9" i="1"/>
  <c r="AS10" i="1"/>
  <c r="AS13" i="1"/>
  <c r="AS14" i="1"/>
  <c r="AR5" i="1"/>
  <c r="AS5" i="1"/>
  <c r="AY18" i="1" l="1"/>
  <c r="AY19" i="1"/>
  <c r="AY15" i="1"/>
  <c r="AY11" i="1"/>
  <c r="AY20" i="1" l="1"/>
  <c r="AY21" i="1" s="1"/>
  <c r="AY22" i="1" s="1"/>
  <c r="F18" i="5" l="1"/>
  <c r="F17" i="5"/>
  <c r="F14" i="5"/>
  <c r="F13" i="5"/>
  <c r="F15" i="5" s="1"/>
  <c r="F10" i="5"/>
  <c r="F9" i="5"/>
  <c r="F8" i="5"/>
  <c r="F7" i="5"/>
  <c r="F6" i="5"/>
  <c r="F5" i="5"/>
  <c r="F19" i="5" l="1"/>
  <c r="F11" i="5"/>
  <c r="F20" i="5" l="1"/>
  <c r="F21" i="5" s="1"/>
  <c r="F22" i="5" s="1"/>
  <c r="V18" i="3" l="1"/>
  <c r="S18" i="3"/>
  <c r="P18" i="3"/>
  <c r="M18" i="3"/>
  <c r="J18" i="3"/>
  <c r="G18" i="3"/>
  <c r="V17" i="3"/>
  <c r="V19" i="3" s="1"/>
  <c r="S17" i="3"/>
  <c r="S19" i="3" s="1"/>
  <c r="P17" i="3"/>
  <c r="M17" i="3"/>
  <c r="J17" i="3"/>
  <c r="J19" i="3" s="1"/>
  <c r="G17" i="3"/>
  <c r="G19" i="3" s="1"/>
  <c r="V14" i="3"/>
  <c r="S14" i="3"/>
  <c r="P14" i="3"/>
  <c r="M14" i="3"/>
  <c r="J14" i="3"/>
  <c r="G14" i="3"/>
  <c r="V13" i="3"/>
  <c r="V15" i="3" s="1"/>
  <c r="S13" i="3"/>
  <c r="P13" i="3"/>
  <c r="M13" i="3"/>
  <c r="M15" i="3" s="1"/>
  <c r="J13" i="3"/>
  <c r="J15" i="3" s="1"/>
  <c r="G13" i="3"/>
  <c r="V10" i="3"/>
  <c r="S10" i="3"/>
  <c r="P10" i="3"/>
  <c r="M10" i="3"/>
  <c r="J10" i="3"/>
  <c r="G10" i="3"/>
  <c r="V9" i="3"/>
  <c r="S9" i="3"/>
  <c r="P9" i="3"/>
  <c r="M9" i="3"/>
  <c r="J9" i="3"/>
  <c r="G9" i="3"/>
  <c r="V8" i="3"/>
  <c r="S8" i="3"/>
  <c r="P8" i="3"/>
  <c r="M8" i="3"/>
  <c r="J8" i="3"/>
  <c r="G8" i="3"/>
  <c r="V7" i="3"/>
  <c r="S7" i="3"/>
  <c r="P7" i="3"/>
  <c r="M7" i="3"/>
  <c r="J7" i="3"/>
  <c r="G7" i="3"/>
  <c r="V6" i="3"/>
  <c r="S6" i="3"/>
  <c r="P6" i="3"/>
  <c r="M6" i="3"/>
  <c r="J6" i="3"/>
  <c r="G6" i="3"/>
  <c r="V5" i="3"/>
  <c r="V11" i="3" s="1"/>
  <c r="V20" i="3" s="1"/>
  <c r="S5" i="3"/>
  <c r="P5" i="3"/>
  <c r="M5" i="3"/>
  <c r="J5" i="3"/>
  <c r="J11" i="3" s="1"/>
  <c r="J20" i="3" s="1"/>
  <c r="G5" i="3"/>
  <c r="AQ18" i="1"/>
  <c r="AQ17" i="1"/>
  <c r="AQ14" i="1"/>
  <c r="AQ13" i="1"/>
  <c r="AQ10" i="1"/>
  <c r="AQ9" i="1"/>
  <c r="AQ8" i="1"/>
  <c r="AQ7" i="1"/>
  <c r="AQ6" i="1"/>
  <c r="AQ5" i="1"/>
  <c r="AR18" i="1"/>
  <c r="AT18" i="1" s="1"/>
  <c r="AV18" i="1" s="1"/>
  <c r="AR17" i="1"/>
  <c r="AR14" i="1"/>
  <c r="AU14" i="1" s="1"/>
  <c r="AV14" i="1" s="1"/>
  <c r="AR13" i="1"/>
  <c r="AU13" i="1" s="1"/>
  <c r="AV13" i="1" s="1"/>
  <c r="AR6" i="1"/>
  <c r="AU6" i="1" s="1"/>
  <c r="AV6" i="1" s="1"/>
  <c r="AR7" i="1"/>
  <c r="AU7" i="1" s="1"/>
  <c r="AV7" i="1" s="1"/>
  <c r="AR8" i="1"/>
  <c r="AU8" i="1" s="1"/>
  <c r="AV8" i="1" s="1"/>
  <c r="AR9" i="1"/>
  <c r="AU9" i="1" s="1"/>
  <c r="AV9" i="1" s="1"/>
  <c r="AR10" i="1"/>
  <c r="AU10" i="1" s="1"/>
  <c r="AV10" i="1" s="1"/>
  <c r="AU5" i="1"/>
  <c r="AT17" i="1"/>
  <c r="AV17" i="1" s="1"/>
  <c r="M11" i="3" l="1"/>
  <c r="P11" i="3"/>
  <c r="P15" i="3"/>
  <c r="M19" i="3"/>
  <c r="G11" i="3"/>
  <c r="S11" i="3"/>
  <c r="G15" i="3"/>
  <c r="S15" i="3"/>
  <c r="P19" i="3"/>
  <c r="V21" i="3"/>
  <c r="V22" i="3" s="1"/>
  <c r="P20" i="3"/>
  <c r="J21" i="3"/>
  <c r="J22" i="3" s="1"/>
  <c r="AV11" i="1"/>
  <c r="AV19" i="1"/>
  <c r="AV15" i="1"/>
  <c r="S20" i="3" l="1"/>
  <c r="S21" i="3" s="1"/>
  <c r="S22" i="3" s="1"/>
  <c r="G20" i="3"/>
  <c r="G21" i="3" s="1"/>
  <c r="G22" i="3" s="1"/>
  <c r="M20" i="3"/>
  <c r="P21" i="3"/>
  <c r="P22" i="3" s="1"/>
  <c r="AV20" i="1"/>
  <c r="AV21" i="1" s="1"/>
  <c r="AV22" i="1" s="1"/>
  <c r="AL17" i="1"/>
  <c r="AL18" i="1"/>
  <c r="AK17" i="1"/>
  <c r="AK18" i="1"/>
  <c r="AJ17" i="1"/>
  <c r="AJ18" i="1"/>
  <c r="AI17" i="1"/>
  <c r="AI18" i="1"/>
  <c r="AH17" i="1"/>
  <c r="AH18" i="1"/>
  <c r="AL6" i="1"/>
  <c r="AL7" i="1"/>
  <c r="AL8" i="1"/>
  <c r="AL9" i="1"/>
  <c r="AL10" i="1"/>
  <c r="AL13" i="1"/>
  <c r="AL14" i="1"/>
  <c r="AL5" i="1"/>
  <c r="AK5" i="1"/>
  <c r="AK6" i="1"/>
  <c r="AK7" i="1"/>
  <c r="AK8" i="1"/>
  <c r="AK9" i="1"/>
  <c r="AK10" i="1"/>
  <c r="AK13" i="1"/>
  <c r="AK14" i="1"/>
  <c r="AJ5" i="1"/>
  <c r="AI5" i="1"/>
  <c r="AH5" i="1"/>
  <c r="AJ7" i="1"/>
  <c r="AJ8" i="1"/>
  <c r="AJ9" i="1"/>
  <c r="AJ10" i="1"/>
  <c r="AJ13" i="1"/>
  <c r="AJ14" i="1"/>
  <c r="AJ6" i="1"/>
  <c r="AI6" i="1"/>
  <c r="AI7" i="1"/>
  <c r="AI8" i="1"/>
  <c r="AI9" i="1"/>
  <c r="AI10" i="1"/>
  <c r="AI13" i="1"/>
  <c r="AI14" i="1"/>
  <c r="AH6" i="1"/>
  <c r="AH13" i="1"/>
  <c r="AH14" i="1"/>
  <c r="AH7" i="1"/>
  <c r="AH8" i="1"/>
  <c r="AH9" i="1"/>
  <c r="AH10" i="1"/>
  <c r="AF18" i="1"/>
  <c r="AF17" i="1"/>
  <c r="AF14" i="1"/>
  <c r="AF13" i="1"/>
  <c r="AF6" i="1"/>
  <c r="AF7" i="1"/>
  <c r="AF8" i="1"/>
  <c r="AF9" i="1"/>
  <c r="AF10" i="1"/>
  <c r="AF5" i="1"/>
  <c r="AM17" i="1" l="1"/>
  <c r="AN10" i="1"/>
  <c r="AP10" i="1" s="1"/>
  <c r="AN6" i="1"/>
  <c r="AP6" i="1" s="1"/>
  <c r="AM5" i="1"/>
  <c r="AM13" i="1"/>
  <c r="AM7" i="1"/>
  <c r="AM18" i="1"/>
  <c r="AM10" i="1"/>
  <c r="AM6" i="1"/>
  <c r="AM9" i="1"/>
  <c r="AM14" i="1"/>
  <c r="AM8" i="1"/>
  <c r="M21" i="3"/>
  <c r="M22" i="3" s="1"/>
  <c r="AO10" i="1"/>
  <c r="AN5" i="1"/>
  <c r="AP5" i="1" s="1"/>
  <c r="AN9" i="1"/>
  <c r="AP9" i="1" s="1"/>
  <c r="AN18" i="1"/>
  <c r="AO18" i="1" s="1"/>
  <c r="AN14" i="1"/>
  <c r="AP14" i="1" s="1"/>
  <c r="AN8" i="1"/>
  <c r="AP8" i="1" s="1"/>
  <c r="AN17" i="1"/>
  <c r="AO17" i="1" s="1"/>
  <c r="AN13" i="1"/>
  <c r="AP13" i="1" s="1"/>
  <c r="AN7" i="1"/>
  <c r="AO7" i="1" s="1"/>
  <c r="AC18" i="1"/>
  <c r="AE18" i="1" s="1"/>
  <c r="AC17" i="1"/>
  <c r="AE17" i="1" s="1"/>
  <c r="AD14" i="1"/>
  <c r="AE14" i="1" s="1"/>
  <c r="AD13" i="1"/>
  <c r="AE13" i="1" s="1"/>
  <c r="AD6" i="1"/>
  <c r="AE6" i="1" s="1"/>
  <c r="AD7" i="1"/>
  <c r="AE7" i="1" s="1"/>
  <c r="AD8" i="1"/>
  <c r="AE8" i="1" s="1"/>
  <c r="AD9" i="1"/>
  <c r="AE9" i="1" s="1"/>
  <c r="AD10" i="1"/>
  <c r="AE10" i="1" s="1"/>
  <c r="AD5" i="1"/>
  <c r="AE5" i="1" s="1"/>
  <c r="Z18" i="1"/>
  <c r="AB18" i="1" s="1"/>
  <c r="Z17" i="1"/>
  <c r="AB17" i="1" s="1"/>
  <c r="AA14" i="1"/>
  <c r="AB14" i="1" s="1"/>
  <c r="AA13" i="1"/>
  <c r="AB13" i="1" s="1"/>
  <c r="AA6" i="1"/>
  <c r="AB6" i="1" s="1"/>
  <c r="AA7" i="1"/>
  <c r="AB7" i="1" s="1"/>
  <c r="AA8" i="1"/>
  <c r="AB8" i="1" s="1"/>
  <c r="AA9" i="1"/>
  <c r="AB9" i="1" s="1"/>
  <c r="AA10" i="1"/>
  <c r="AB10" i="1" s="1"/>
  <c r="AA5" i="1"/>
  <c r="AB5" i="1" s="1"/>
  <c r="W18" i="1"/>
  <c r="Y18" i="1" s="1"/>
  <c r="W17" i="1"/>
  <c r="Y17" i="1" s="1"/>
  <c r="X14" i="1"/>
  <c r="Y14" i="1" s="1"/>
  <c r="X13" i="1"/>
  <c r="Y13" i="1" s="1"/>
  <c r="X6" i="1"/>
  <c r="Y6" i="1" s="1"/>
  <c r="X7" i="1"/>
  <c r="Y7" i="1" s="1"/>
  <c r="X8" i="1"/>
  <c r="Y8" i="1" s="1"/>
  <c r="X9" i="1"/>
  <c r="Y9" i="1" s="1"/>
  <c r="X10" i="1"/>
  <c r="Y10" i="1" s="1"/>
  <c r="X5" i="1"/>
  <c r="Y5" i="1" s="1"/>
  <c r="V14" i="1"/>
  <c r="V13" i="1"/>
  <c r="V6" i="1"/>
  <c r="V7" i="1"/>
  <c r="V8" i="1"/>
  <c r="V9" i="1"/>
  <c r="V10" i="1"/>
  <c r="V5" i="1"/>
  <c r="V18" i="1"/>
  <c r="V17" i="1"/>
  <c r="S14" i="1"/>
  <c r="S13" i="1"/>
  <c r="S6" i="1"/>
  <c r="S7" i="1"/>
  <c r="S8" i="1"/>
  <c r="S9" i="1"/>
  <c r="S10" i="1"/>
  <c r="S5" i="1"/>
  <c r="S18" i="1"/>
  <c r="S17" i="1"/>
  <c r="P14" i="1"/>
  <c r="P13" i="1"/>
  <c r="P6" i="1"/>
  <c r="P7" i="1"/>
  <c r="P8" i="1"/>
  <c r="P9" i="1"/>
  <c r="P10" i="1"/>
  <c r="P5" i="1"/>
  <c r="P18" i="1"/>
  <c r="P17" i="1"/>
  <c r="M14" i="1"/>
  <c r="M13" i="1"/>
  <c r="M6" i="1"/>
  <c r="M7" i="1"/>
  <c r="M8" i="1"/>
  <c r="M9" i="1"/>
  <c r="M10" i="1"/>
  <c r="M5" i="1"/>
  <c r="M18" i="1"/>
  <c r="M17" i="1"/>
  <c r="J18" i="1"/>
  <c r="J17" i="1"/>
  <c r="J14" i="1"/>
  <c r="J13" i="1"/>
  <c r="J6" i="1"/>
  <c r="J7" i="1"/>
  <c r="J8" i="1"/>
  <c r="J9" i="1"/>
  <c r="J10" i="1"/>
  <c r="J5" i="1"/>
  <c r="G18" i="1"/>
  <c r="G17" i="1"/>
  <c r="G14" i="1"/>
  <c r="G13" i="1"/>
  <c r="G6" i="1"/>
  <c r="G7" i="1"/>
  <c r="G8" i="1"/>
  <c r="G9" i="1"/>
  <c r="G10" i="1"/>
  <c r="G5" i="1"/>
  <c r="AO5" i="1" l="1"/>
  <c r="AO6" i="1"/>
  <c r="AO8" i="1"/>
  <c r="AO13" i="1"/>
  <c r="AP7" i="1"/>
  <c r="AG13" i="1"/>
  <c r="AP18" i="1"/>
  <c r="AG9" i="1"/>
  <c r="AO14" i="1"/>
  <c r="AO9" i="1"/>
  <c r="AP17" i="1"/>
  <c r="AG14" i="1"/>
  <c r="AG6" i="1"/>
  <c r="AG7" i="1"/>
  <c r="AG8" i="1"/>
  <c r="AG10" i="1"/>
  <c r="AG5" i="1"/>
  <c r="G19" i="1"/>
  <c r="J15" i="1"/>
  <c r="S19" i="1"/>
  <c r="J19" i="1"/>
  <c r="P19" i="1"/>
  <c r="Y15" i="1"/>
  <c r="AB11" i="1"/>
  <c r="G15" i="1"/>
  <c r="J11" i="1"/>
  <c r="V19" i="1"/>
  <c r="Y11" i="1"/>
  <c r="Y19" i="1"/>
  <c r="G11" i="1"/>
  <c r="P11" i="1"/>
  <c r="M11" i="1"/>
  <c r="P15" i="1"/>
  <c r="V15" i="1"/>
  <c r="M15" i="1"/>
  <c r="AE19" i="1"/>
  <c r="AE15" i="1"/>
  <c r="AE11" i="1"/>
  <c r="AB19" i="1"/>
  <c r="AB15" i="1"/>
  <c r="V11" i="1"/>
  <c r="S15" i="1"/>
  <c r="S11" i="1"/>
  <c r="M19" i="1"/>
  <c r="V20" i="1" l="1"/>
  <c r="V21" i="1" s="1"/>
  <c r="V22" i="1" s="1"/>
  <c r="J20" i="1"/>
  <c r="J21" i="1" s="1"/>
  <c r="J22" i="1" s="1"/>
  <c r="G20" i="1"/>
  <c r="G21" i="1" s="1"/>
  <c r="G22" i="1" s="1"/>
  <c r="P20" i="1"/>
  <c r="P21" i="1" s="1"/>
  <c r="P22" i="1" s="1"/>
  <c r="M20" i="1"/>
  <c r="M21" i="1" s="1"/>
  <c r="M22" i="1" s="1"/>
  <c r="Y20" i="1"/>
  <c r="AB20" i="1"/>
  <c r="AB21" i="1" s="1"/>
  <c r="AB22" i="1" s="1"/>
  <c r="AE20" i="1"/>
  <c r="AE21" i="1" s="1"/>
  <c r="AE22" i="1" s="1"/>
  <c r="S20" i="1"/>
  <c r="S21" i="1" s="1"/>
  <c r="S22" i="1" s="1"/>
  <c r="Y21" i="1" l="1"/>
  <c r="Y22" i="1" s="1"/>
</calcChain>
</file>

<file path=xl/sharedStrings.xml><?xml version="1.0" encoding="utf-8"?>
<sst xmlns="http://schemas.openxmlformats.org/spreadsheetml/2006/main" count="314" uniqueCount="84">
  <si>
    <t>Director de Interventoría</t>
  </si>
  <si>
    <t>Inspector SISO</t>
  </si>
  <si>
    <t>Profesional para Dotación</t>
  </si>
  <si>
    <t>Auxiliar Contable</t>
  </si>
  <si>
    <t>Profesional de Apoyo Juridico</t>
  </si>
  <si>
    <t>Personal</t>
  </si>
  <si>
    <t>Unidad</t>
  </si>
  <si>
    <t>Duración Meses</t>
  </si>
  <si>
    <t>Dedicación</t>
  </si>
  <si>
    <t>Valor Unitario</t>
  </si>
  <si>
    <t>Valor Total</t>
  </si>
  <si>
    <t>Otros Costos</t>
  </si>
  <si>
    <t>Alquiler de Vehiculo Transporte Interventoría</t>
  </si>
  <si>
    <t>Viaticos Equipo de Interventoría</t>
  </si>
  <si>
    <t>Administración</t>
  </si>
  <si>
    <t>Utilidad</t>
  </si>
  <si>
    <t>Administración y Utilidad</t>
  </si>
  <si>
    <t>Subtotal</t>
  </si>
  <si>
    <t>IVA</t>
  </si>
  <si>
    <t>TOTAL</t>
  </si>
  <si>
    <t>Aleph Ingenieria y Consultoria S.A.S.</t>
  </si>
  <si>
    <t>Asesoria &amp; Consultoria Proyectos de Ingenieria</t>
  </si>
  <si>
    <t>DAC Ingeniria</t>
  </si>
  <si>
    <t>Ingenieros Consultores S.A.</t>
  </si>
  <si>
    <t>Martin`s Ingenieria S.A.S.</t>
  </si>
  <si>
    <t>SICSAS</t>
  </si>
  <si>
    <t>Promedio Valor Unitario</t>
  </si>
  <si>
    <t>Promedio Valor total</t>
  </si>
  <si>
    <t>Media (Promedio)</t>
  </si>
  <si>
    <t>Mediana</t>
  </si>
  <si>
    <t>Moda</t>
  </si>
  <si>
    <t>Sección 1 - Comparación de ofertas</t>
  </si>
  <si>
    <t>Desviación</t>
  </si>
  <si>
    <t>Coeficiente de Variación</t>
  </si>
  <si>
    <t>Q1</t>
  </si>
  <si>
    <t>Q2 (mediana)</t>
  </si>
  <si>
    <t>Q3</t>
  </si>
  <si>
    <t>Máximo</t>
  </si>
  <si>
    <t>Mínimo</t>
  </si>
  <si>
    <t>Rango</t>
  </si>
  <si>
    <t>Rango Intercuartilico</t>
  </si>
  <si>
    <t>Limite Inferior</t>
  </si>
  <si>
    <t>Limite Superior</t>
  </si>
  <si>
    <t>Media Podada ajustada</t>
  </si>
  <si>
    <t>PRESUPUESTO INTERVENTORIA PARA EL PROYECTO DE CONSTRUCCIÓN Y DOTACIÓN DE MOBILIARIO DE UN AULA MULTIPROPÓSITO EN LA INSTITUCIÓN EDUCATIVA ALFREDO GARRIDO TOVAR, CORREGIMIENTO PORTUGAL DE PIEDRAS, MUNICIPIO DE RIOFRÍO, VALLE DEL CAUCA</t>
  </si>
  <si>
    <r>
      <rPr>
        <b/>
        <sz val="9"/>
        <rFont val="Calibri"/>
        <family val="2"/>
        <scheme val="minor"/>
      </rPr>
      <t>Nota1:</t>
    </r>
    <r>
      <rPr>
        <sz val="9"/>
        <rFont val="Calibri"/>
        <family val="2"/>
        <scheme val="minor"/>
      </rPr>
      <t xml:space="preserve"> Consultar las condiciones técnicas definidas en el documento anexo.</t>
    </r>
  </si>
  <si>
    <r>
      <rPr>
        <b/>
        <sz val="9"/>
        <rFont val="Calibri"/>
        <family val="2"/>
        <scheme val="minor"/>
      </rPr>
      <t>Nota2:</t>
    </r>
    <r>
      <rPr>
        <sz val="9"/>
        <rFont val="Calibri"/>
        <family val="2"/>
        <scheme val="minor"/>
      </rPr>
      <t xml:space="preserve"> La interventoría se planea realizarla iniciando en la vigencia 2023 y terminando en el primer semestre de la vigencia 2024.</t>
    </r>
  </si>
  <si>
    <r>
      <rPr>
        <b/>
        <sz val="9"/>
        <rFont val="Calibri"/>
        <family val="2"/>
        <scheme val="minor"/>
      </rPr>
      <t>Nota3:</t>
    </r>
    <r>
      <rPr>
        <sz val="9"/>
        <rFont val="Calibri"/>
        <family val="2"/>
        <scheme val="minor"/>
      </rPr>
      <t xml:space="preserve"> Cotizar en pesos colombianos</t>
    </r>
  </si>
  <si>
    <t>Media Armonica</t>
  </si>
  <si>
    <t>Presupuesto Final Media Podada</t>
  </si>
  <si>
    <t>Presupuesto Final Media Geometrica</t>
  </si>
  <si>
    <t xml:space="preserve"> </t>
  </si>
  <si>
    <t>Media Acotada</t>
  </si>
  <si>
    <t xml:space="preserve">Precios Techo </t>
  </si>
  <si>
    <t xml:space="preserve"> Total  </t>
  </si>
  <si>
    <t>Otros costos</t>
  </si>
  <si>
    <t>UNIDAD</t>
  </si>
  <si>
    <t>DURACION EN MESES</t>
  </si>
  <si>
    <t>DEDICACION</t>
  </si>
  <si>
    <t>VALOR UNITARIO</t>
  </si>
  <si>
    <t>VALOR TOTAL</t>
  </si>
  <si>
    <t>PERSONAL DE OBRA</t>
  </si>
  <si>
    <t>DIRECTOR DE INTERVENTORIA</t>
  </si>
  <si>
    <t>INGENIERO RESIDENTE DE OBRA</t>
  </si>
  <si>
    <t>INSPECTOR SISO</t>
  </si>
  <si>
    <t>PROFESIONAL PARA DOTACION</t>
  </si>
  <si>
    <t>TOTAL PERSONAL OBRA</t>
  </si>
  <si>
    <t>PERSONAL ADMINISTRATIVO</t>
  </si>
  <si>
    <t>APOYO ADMINISTRATIVO Y FINANCIERO</t>
  </si>
  <si>
    <t>PROFESIONAL DE APOYO JURIDICO</t>
  </si>
  <si>
    <t>TOTAL PERSONAL ADMINISTRATIVO</t>
  </si>
  <si>
    <t>SUBTOTAL COSTO DE PERSONAL</t>
  </si>
  <si>
    <t>ADMINISTRACION</t>
  </si>
  <si>
    <t>SUBTOTAL INCLUIDO ADMINISTRACION</t>
  </si>
  <si>
    <t>UTILIDAD</t>
  </si>
  <si>
    <t>SUBTOTAL</t>
  </si>
  <si>
    <t>COSTO TOTAL INTERVENTORIA</t>
  </si>
  <si>
    <t>ARG Consultores y Servicios</t>
  </si>
  <si>
    <t>Espacios Urbanos</t>
  </si>
  <si>
    <t>SCAIN</t>
  </si>
  <si>
    <t xml:space="preserve">Administración </t>
  </si>
  <si>
    <t>Promedio</t>
  </si>
  <si>
    <t>Componente</t>
  </si>
  <si>
    <t>Ingeniero Residente de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</si>
</sst>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* #,##0.00_-;\-&quot;$&quot;* #,##0.00_-;_-&quot;$&quot;* &quot;-&quot;_-;_-@_-"/>
    <numFmt numFmtId="167" formatCode="&quot;$&quot;\ #,##0.00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</cellStyleXfs>
  <cellXfs count="320">
    <xf numFmtId="0" fontId="0" fillId="0" borderId="0" xfId="0"/>
    <xf numFmtId="165" fontId="0" fillId="0" borderId="0" xfId="0" applyNumberForma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166" fontId="0" fillId="0" borderId="1" xfId="1" applyNumberFormat="1" applyFont="1" applyBorder="1"/>
    <xf numFmtId="165" fontId="0" fillId="0" borderId="1" xfId="0" applyNumberFormat="1" applyBorder="1"/>
    <xf numFmtId="165" fontId="0" fillId="2" borderId="1" xfId="0" applyNumberFormat="1" applyFill="1" applyBorder="1"/>
    <xf numFmtId="166" fontId="0" fillId="2" borderId="1" xfId="0" applyNumberFormat="1" applyFill="1" applyBorder="1"/>
    <xf numFmtId="166" fontId="0" fillId="0" borderId="1" xfId="0" applyNumberFormat="1" applyBorder="1"/>
    <xf numFmtId="164" fontId="0" fillId="0" borderId="1" xfId="1" applyFont="1" applyBorder="1"/>
    <xf numFmtId="164" fontId="0" fillId="0" borderId="1" xfId="0" applyNumberFormat="1" applyBorder="1"/>
    <xf numFmtId="164" fontId="0" fillId="2" borderId="1" xfId="0" applyNumberFormat="1" applyFill="1" applyBorder="1"/>
    <xf numFmtId="166" fontId="4" fillId="0" borderId="1" xfId="0" applyNumberFormat="1" applyFont="1" applyBorder="1"/>
    <xf numFmtId="165" fontId="4" fillId="0" borderId="1" xfId="0" applyNumberFormat="1" applyFont="1" applyBorder="1"/>
    <xf numFmtId="166" fontId="4" fillId="0" borderId="1" xfId="1" applyNumberFormat="1" applyFont="1" applyBorder="1"/>
    <xf numFmtId="0" fontId="4" fillId="0" borderId="0" xfId="0" applyFont="1"/>
    <xf numFmtId="9" fontId="0" fillId="0" borderId="2" xfId="0" applyNumberFormat="1" applyBorder="1" applyAlignment="1">
      <alignment horizontal="center"/>
    </xf>
    <xf numFmtId="0" fontId="0" fillId="0" borderId="2" xfId="0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7" xfId="0" applyBorder="1"/>
    <xf numFmtId="166" fontId="0" fillId="0" borderId="8" xfId="1" applyNumberFormat="1" applyFont="1" applyBorder="1"/>
    <xf numFmtId="166" fontId="0" fillId="2" borderId="8" xfId="0" applyNumberFormat="1" applyFill="1" applyBorder="1"/>
    <xf numFmtId="166" fontId="0" fillId="0" borderId="8" xfId="0" applyNumberFormat="1" applyBorder="1"/>
    <xf numFmtId="0" fontId="4" fillId="0" borderId="7" xfId="0" applyFont="1" applyBorder="1"/>
    <xf numFmtId="0" fontId="0" fillId="0" borderId="8" xfId="0" applyBorder="1" applyAlignment="1">
      <alignment horizontal="center"/>
    </xf>
    <xf numFmtId="166" fontId="4" fillId="0" borderId="8" xfId="0" applyNumberFormat="1" applyFont="1" applyBorder="1"/>
    <xf numFmtId="166" fontId="4" fillId="0" borderId="8" xfId="1" applyNumberFormat="1" applyFont="1" applyBorder="1"/>
    <xf numFmtId="0" fontId="4" fillId="0" borderId="9" xfId="0" applyFont="1" applyBorder="1"/>
    <xf numFmtId="0" fontId="4" fillId="0" borderId="10" xfId="0" applyFont="1" applyBorder="1"/>
    <xf numFmtId="165" fontId="4" fillId="3" borderId="10" xfId="0" applyNumberFormat="1" applyFont="1" applyFill="1" applyBorder="1"/>
    <xf numFmtId="165" fontId="4" fillId="3" borderId="11" xfId="0" applyNumberFormat="1" applyFont="1" applyFill="1" applyBorder="1"/>
    <xf numFmtId="0" fontId="4" fillId="0" borderId="2" xfId="0" applyFont="1" applyBorder="1"/>
    <xf numFmtId="0" fontId="4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4" fillId="0" borderId="8" xfId="0" applyFont="1" applyBorder="1"/>
    <xf numFmtId="0" fontId="4" fillId="0" borderId="11" xfId="0" applyFont="1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/>
    <xf numFmtId="0" fontId="4" fillId="0" borderId="22" xfId="0" applyFont="1" applyBorder="1"/>
    <xf numFmtId="0" fontId="4" fillId="0" borderId="3" xfId="0" applyFont="1" applyBorder="1"/>
    <xf numFmtId="0" fontId="4" fillId="0" borderId="23" xfId="0" applyFont="1" applyBorder="1"/>
    <xf numFmtId="0" fontId="0" fillId="0" borderId="16" xfId="0" applyBorder="1"/>
    <xf numFmtId="0" fontId="0" fillId="0" borderId="17" xfId="0" applyBorder="1"/>
    <xf numFmtId="0" fontId="4" fillId="0" borderId="24" xfId="0" applyFont="1" applyBorder="1" applyAlignment="1">
      <alignment horizontal="center"/>
    </xf>
    <xf numFmtId="166" fontId="0" fillId="0" borderId="24" xfId="1" applyNumberFormat="1" applyFont="1" applyBorder="1"/>
    <xf numFmtId="166" fontId="0" fillId="2" borderId="24" xfId="0" applyNumberFormat="1" applyFill="1" applyBorder="1"/>
    <xf numFmtId="166" fontId="0" fillId="0" borderId="24" xfId="0" applyNumberFormat="1" applyBorder="1"/>
    <xf numFmtId="166" fontId="4" fillId="0" borderId="24" xfId="0" applyNumberFormat="1" applyFont="1" applyBorder="1"/>
    <xf numFmtId="166" fontId="4" fillId="0" borderId="24" xfId="1" applyNumberFormat="1" applyFont="1" applyBorder="1"/>
    <xf numFmtId="0" fontId="2" fillId="0" borderId="0" xfId="3"/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10" fontId="0" fillId="0" borderId="26" xfId="2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0" fontId="0" fillId="0" borderId="7" xfId="2" applyNumberFormat="1" applyFont="1" applyBorder="1" applyAlignment="1">
      <alignment horizontal="center" vertical="center"/>
    </xf>
    <xf numFmtId="10" fontId="0" fillId="0" borderId="8" xfId="2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8" xfId="1" applyNumberFormat="1" applyFont="1" applyBorder="1" applyAlignment="1">
      <alignment horizontal="center" vertical="center"/>
    </xf>
    <xf numFmtId="166" fontId="0" fillId="0" borderId="24" xfId="1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7" xfId="1" applyNumberFormat="1" applyFont="1" applyBorder="1" applyAlignment="1">
      <alignment horizontal="center" vertical="center"/>
    </xf>
    <xf numFmtId="166" fontId="0" fillId="0" borderId="26" xfId="1" applyNumberFormat="1" applyFont="1" applyBorder="1" applyAlignment="1">
      <alignment horizontal="center" vertical="center"/>
    </xf>
    <xf numFmtId="166" fontId="0" fillId="0" borderId="35" xfId="1" applyNumberFormat="1" applyFon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2" borderId="8" xfId="0" applyNumberFormat="1" applyFill="1" applyBorder="1" applyAlignment="1">
      <alignment horizontal="center" vertical="center"/>
    </xf>
    <xf numFmtId="166" fontId="0" fillId="2" borderId="24" xfId="0" applyNumberFormat="1" applyFill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4" fontId="0" fillId="0" borderId="8" xfId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35" xfId="2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166" fontId="4" fillId="0" borderId="24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6" fontId="4" fillId="0" borderId="7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8" xfId="1" applyNumberFormat="1" applyFont="1" applyBorder="1" applyAlignment="1">
      <alignment horizontal="center" vertical="center"/>
    </xf>
    <xf numFmtId="166" fontId="4" fillId="0" borderId="24" xfId="1" applyNumberFormat="1" applyFont="1" applyBorder="1" applyAlignment="1">
      <alignment horizontal="center" vertical="center"/>
    </xf>
    <xf numFmtId="165" fontId="4" fillId="0" borderId="8" xfId="1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166" fontId="4" fillId="2" borderId="8" xfId="1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5" fontId="4" fillId="3" borderId="10" xfId="0" applyNumberFormat="1" applyFont="1" applyFill="1" applyBorder="1" applyAlignment="1">
      <alignment horizontal="center" vertical="center"/>
    </xf>
    <xf numFmtId="165" fontId="4" fillId="3" borderId="11" xfId="0" applyNumberFormat="1" applyFont="1" applyFill="1" applyBorder="1" applyAlignment="1">
      <alignment horizontal="center" vertical="center"/>
    </xf>
    <xf numFmtId="165" fontId="4" fillId="3" borderId="24" xfId="0" applyNumberFormat="1" applyFont="1" applyFill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66" fontId="4" fillId="2" borderId="11" xfId="0" applyNumberFormat="1" applyFont="1" applyFill="1" applyBorder="1" applyAlignment="1">
      <alignment horizontal="center" vertical="center"/>
    </xf>
    <xf numFmtId="43" fontId="4" fillId="0" borderId="0" xfId="5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0" fillId="0" borderId="41" xfId="0" applyFont="1" applyBorder="1" applyAlignment="1">
      <alignment vertical="center"/>
    </xf>
    <xf numFmtId="0" fontId="9" fillId="0" borderId="41" xfId="0" applyFont="1" applyBorder="1" applyAlignment="1">
      <alignment horizontal="center" vertical="center"/>
    </xf>
    <xf numFmtId="165" fontId="10" fillId="0" borderId="33" xfId="0" applyNumberFormat="1" applyFont="1" applyBorder="1" applyAlignment="1">
      <alignment horizontal="right" vertical="center"/>
    </xf>
    <xf numFmtId="165" fontId="9" fillId="0" borderId="33" xfId="0" applyNumberFormat="1" applyFont="1" applyBorder="1" applyAlignment="1">
      <alignment horizontal="right" vertical="center"/>
    </xf>
    <xf numFmtId="165" fontId="4" fillId="3" borderId="45" xfId="0" applyNumberFormat="1" applyFont="1" applyFill="1" applyBorder="1"/>
    <xf numFmtId="9" fontId="0" fillId="0" borderId="7" xfId="0" applyNumberFormat="1" applyBorder="1" applyAlignment="1">
      <alignment horizontal="center"/>
    </xf>
    <xf numFmtId="0" fontId="1" fillId="0" borderId="0" xfId="6"/>
    <xf numFmtId="0" fontId="5" fillId="0" borderId="16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1" fillId="0" borderId="1" xfId="6" applyBorder="1"/>
    <xf numFmtId="0" fontId="5" fillId="0" borderId="1" xfId="6" applyFont="1" applyBorder="1"/>
    <xf numFmtId="0" fontId="1" fillId="0" borderId="1" xfId="6" applyBorder="1" applyAlignment="1">
      <alignment horizontal="center" vertical="center"/>
    </xf>
    <xf numFmtId="0" fontId="1" fillId="10" borderId="1" xfId="6" applyFill="1" applyBorder="1" applyAlignment="1">
      <alignment horizontal="center" vertical="center"/>
    </xf>
    <xf numFmtId="9" fontId="1" fillId="10" borderId="1" xfId="6" applyNumberFormat="1" applyFill="1" applyBorder="1" applyAlignment="1">
      <alignment horizontal="center" vertical="center"/>
    </xf>
    <xf numFmtId="167" fontId="1" fillId="10" borderId="1" xfId="6" applyNumberFormat="1" applyFill="1" applyBorder="1" applyAlignment="1">
      <alignment horizontal="center" vertical="center"/>
    </xf>
    <xf numFmtId="167" fontId="1" fillId="10" borderId="1" xfId="6" applyNumberFormat="1" applyFill="1" applyBorder="1" applyAlignment="1">
      <alignment horizontal="right" vertical="center"/>
    </xf>
    <xf numFmtId="0" fontId="1" fillId="0" borderId="24" xfId="6" applyBorder="1" applyAlignment="1">
      <alignment horizontal="right"/>
    </xf>
    <xf numFmtId="0" fontId="1" fillId="0" borderId="46" xfId="6" applyBorder="1" applyAlignment="1">
      <alignment horizontal="right"/>
    </xf>
    <xf numFmtId="167" fontId="1" fillId="10" borderId="39" xfId="6" applyNumberFormat="1" applyFill="1" applyBorder="1" applyAlignment="1">
      <alignment horizontal="right" vertical="center"/>
    </xf>
    <xf numFmtId="0" fontId="1" fillId="0" borderId="16" xfId="6" applyBorder="1"/>
    <xf numFmtId="167" fontId="1" fillId="10" borderId="1" xfId="6" applyNumberFormat="1" applyFill="1" applyBorder="1"/>
    <xf numFmtId="0" fontId="1" fillId="0" borderId="1" xfId="6" applyBorder="1" applyAlignment="1">
      <alignment horizontal="left"/>
    </xf>
    <xf numFmtId="167" fontId="1" fillId="10" borderId="39" xfId="6" applyNumberFormat="1" applyFill="1" applyBorder="1"/>
    <xf numFmtId="0" fontId="1" fillId="0" borderId="47" xfId="6" applyBorder="1" applyAlignment="1">
      <alignment horizontal="right"/>
    </xf>
    <xf numFmtId="0" fontId="1" fillId="0" borderId="0" xfId="6" applyAlignment="1">
      <alignment horizontal="right"/>
    </xf>
    <xf numFmtId="0" fontId="5" fillId="0" borderId="1" xfId="6" applyFont="1" applyBorder="1" applyAlignment="1">
      <alignment horizontal="left"/>
    </xf>
    <xf numFmtId="10" fontId="1" fillId="10" borderId="1" xfId="6" applyNumberFormat="1" applyFill="1" applyBorder="1" applyAlignment="1">
      <alignment horizontal="center" vertical="center"/>
    </xf>
    <xf numFmtId="0" fontId="1" fillId="0" borderId="47" xfId="6" applyBorder="1" applyAlignment="1">
      <alignment horizontal="left"/>
    </xf>
    <xf numFmtId="0" fontId="1" fillId="0" borderId="0" xfId="6" applyAlignment="1">
      <alignment horizontal="left"/>
    </xf>
    <xf numFmtId="167" fontId="1" fillId="10" borderId="39" xfId="6" applyNumberFormat="1" applyFill="1" applyBorder="1" applyAlignment="1">
      <alignment horizontal="right"/>
    </xf>
    <xf numFmtId="0" fontId="1" fillId="0" borderId="51" xfId="6" applyBorder="1"/>
    <xf numFmtId="0" fontId="5" fillId="0" borderId="0" xfId="6" applyFont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9" fontId="0" fillId="10" borderId="1" xfId="0" applyNumberFormat="1" applyFill="1" applyBorder="1" applyAlignment="1">
      <alignment horizontal="center" vertical="center"/>
    </xf>
    <xf numFmtId="167" fontId="0" fillId="10" borderId="1" xfId="0" applyNumberFormat="1" applyFill="1" applyBorder="1" applyAlignment="1">
      <alignment horizontal="center" vertical="center"/>
    </xf>
    <xf numFmtId="167" fontId="0" fillId="10" borderId="1" xfId="0" applyNumberFormat="1" applyFill="1" applyBorder="1" applyAlignment="1">
      <alignment horizontal="right" vertical="center"/>
    </xf>
    <xf numFmtId="0" fontId="0" fillId="0" borderId="46" xfId="0" applyBorder="1" applyAlignment="1">
      <alignment horizontal="right"/>
    </xf>
    <xf numFmtId="167" fontId="0" fillId="10" borderId="1" xfId="0" applyNumberForma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9" fontId="5" fillId="0" borderId="0" xfId="0" applyNumberFormat="1" applyFont="1"/>
    <xf numFmtId="9" fontId="4" fillId="0" borderId="0" xfId="0" applyNumberFormat="1" applyFont="1" applyAlignment="1">
      <alignment horizontal="right"/>
    </xf>
    <xf numFmtId="0" fontId="5" fillId="0" borderId="53" xfId="0" applyFont="1" applyBorder="1" applyAlignment="1">
      <alignment horizontal="center"/>
    </xf>
    <xf numFmtId="0" fontId="0" fillId="0" borderId="24" xfId="0" applyBorder="1"/>
    <xf numFmtId="167" fontId="0" fillId="10" borderId="24" xfId="0" applyNumberFormat="1" applyFill="1" applyBorder="1" applyAlignment="1">
      <alignment horizontal="right" vertical="center"/>
    </xf>
    <xf numFmtId="167" fontId="0" fillId="10" borderId="18" xfId="0" applyNumberFormat="1" applyFill="1" applyBorder="1" applyAlignment="1">
      <alignment horizontal="right" vertical="center"/>
    </xf>
    <xf numFmtId="0" fontId="0" fillId="0" borderId="53" xfId="0" applyBorder="1"/>
    <xf numFmtId="167" fontId="0" fillId="10" borderId="24" xfId="0" applyNumberFormat="1" applyFill="1" applyBorder="1"/>
    <xf numFmtId="167" fontId="0" fillId="10" borderId="18" xfId="0" applyNumberFormat="1" applyFill="1" applyBorder="1"/>
    <xf numFmtId="167" fontId="0" fillId="10" borderId="18" xfId="0" applyNumberFormat="1" applyFill="1" applyBorder="1" applyAlignment="1">
      <alignment horizontal="right"/>
    </xf>
    <xf numFmtId="0" fontId="0" fillId="0" borderId="47" xfId="0" applyBorder="1"/>
    <xf numFmtId="0" fontId="5" fillId="0" borderId="1" xfId="0" applyFont="1" applyBorder="1" applyAlignment="1">
      <alignment horizontal="center"/>
    </xf>
    <xf numFmtId="167" fontId="1" fillId="0" borderId="1" xfId="6" applyNumberFormat="1" applyBorder="1"/>
    <xf numFmtId="167" fontId="5" fillId="0" borderId="1" xfId="6" applyNumberFormat="1" applyFont="1" applyBorder="1"/>
    <xf numFmtId="0" fontId="4" fillId="0" borderId="1" xfId="0" applyFont="1" applyBorder="1" applyAlignment="1">
      <alignment horizontal="left"/>
    </xf>
    <xf numFmtId="9" fontId="4" fillId="0" borderId="1" xfId="0" applyNumberFormat="1" applyFont="1" applyBorder="1" applyAlignment="1">
      <alignment horizontal="left"/>
    </xf>
    <xf numFmtId="167" fontId="0" fillId="10" borderId="1" xfId="0" applyNumberFormat="1" applyFill="1" applyBorder="1" applyAlignment="1">
      <alignment horizontal="right"/>
    </xf>
    <xf numFmtId="0" fontId="5" fillId="11" borderId="1" xfId="6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1" xfId="6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5" fillId="0" borderId="46" xfId="0" applyFont="1" applyBorder="1" applyAlignment="1">
      <alignment horizontal="right"/>
    </xf>
    <xf numFmtId="0" fontId="5" fillId="0" borderId="24" xfId="6" applyFont="1" applyBorder="1" applyAlignment="1">
      <alignment horizontal="center" vertical="center"/>
    </xf>
    <xf numFmtId="0" fontId="6" fillId="0" borderId="0" xfId="6" applyFont="1" applyAlignment="1">
      <alignment horizontal="left" vertical="center"/>
    </xf>
    <xf numFmtId="0" fontId="5" fillId="0" borderId="1" xfId="6" applyFont="1" applyBorder="1" applyAlignment="1">
      <alignment horizontal="center" vertical="center" wrapText="1"/>
    </xf>
    <xf numFmtId="0" fontId="0" fillId="0" borderId="4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49" xfId="0" applyBorder="1" applyAlignment="1">
      <alignment horizontal="center"/>
    </xf>
    <xf numFmtId="0" fontId="1" fillId="0" borderId="48" xfId="6" applyBorder="1" applyAlignment="1">
      <alignment horizontal="center"/>
    </xf>
    <xf numFmtId="0" fontId="1" fillId="0" borderId="49" xfId="6" applyBorder="1" applyAlignment="1">
      <alignment horizontal="center"/>
    </xf>
    <xf numFmtId="0" fontId="1" fillId="0" borderId="50" xfId="6" applyBorder="1" applyAlignment="1">
      <alignment horizontal="center"/>
    </xf>
    <xf numFmtId="0" fontId="5" fillId="0" borderId="47" xfId="6" applyFont="1" applyBorder="1" applyAlignment="1">
      <alignment horizontal="right"/>
    </xf>
    <xf numFmtId="0" fontId="5" fillId="0" borderId="0" xfId="6" applyFont="1" applyAlignment="1">
      <alignment horizontal="right"/>
    </xf>
    <xf numFmtId="0" fontId="1" fillId="0" borderId="47" xfId="6" applyBorder="1" applyAlignment="1">
      <alignment horizontal="center"/>
    </xf>
    <xf numFmtId="0" fontId="1" fillId="0" borderId="0" xfId="6" applyAlignment="1">
      <alignment horizontal="center"/>
    </xf>
    <xf numFmtId="0" fontId="1" fillId="0" borderId="24" xfId="6" applyBorder="1" applyAlignment="1">
      <alignment horizontal="center"/>
    </xf>
    <xf numFmtId="0" fontId="1" fillId="0" borderId="46" xfId="6" applyBorder="1" applyAlignment="1">
      <alignment horizontal="center"/>
    </xf>
    <xf numFmtId="0" fontId="5" fillId="0" borderId="24" xfId="6" applyFont="1" applyBorder="1" applyAlignment="1">
      <alignment horizontal="right"/>
    </xf>
    <xf numFmtId="0" fontId="5" fillId="0" borderId="46" xfId="6" applyFont="1" applyBorder="1" applyAlignment="1">
      <alignment horizontal="right"/>
    </xf>
    <xf numFmtId="0" fontId="5" fillId="0" borderId="28" xfId="6" applyFont="1" applyBorder="1" applyAlignment="1">
      <alignment horizontal="center" vertical="center" wrapText="1"/>
    </xf>
    <xf numFmtId="0" fontId="5" fillId="0" borderId="29" xfId="6" applyFont="1" applyBorder="1" applyAlignment="1">
      <alignment horizontal="center" vertical="center" wrapText="1"/>
    </xf>
    <xf numFmtId="0" fontId="5" fillId="0" borderId="30" xfId="6" applyFont="1" applyBorder="1" applyAlignment="1">
      <alignment horizontal="center" vertical="center" wrapText="1"/>
    </xf>
    <xf numFmtId="0" fontId="5" fillId="0" borderId="3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 wrapText="1"/>
    </xf>
    <xf numFmtId="0" fontId="5" fillId="0" borderId="52" xfId="6" applyFont="1" applyBorder="1" applyAlignment="1">
      <alignment horizontal="center" vertical="center" wrapText="1"/>
    </xf>
    <xf numFmtId="0" fontId="1" fillId="0" borderId="24" xfId="6" applyBorder="1" applyAlignment="1">
      <alignment horizontal="right"/>
    </xf>
    <xf numFmtId="0" fontId="1" fillId="0" borderId="46" xfId="6" applyBorder="1" applyAlignment="1">
      <alignment horizontal="right"/>
    </xf>
    <xf numFmtId="0" fontId="1" fillId="0" borderId="1" xfId="6" applyBorder="1" applyAlignment="1">
      <alignment horizontal="right"/>
    </xf>
    <xf numFmtId="0" fontId="0" fillId="0" borderId="3" xfId="0" applyBorder="1" applyAlignment="1">
      <alignment horizontal="center"/>
    </xf>
    <xf numFmtId="0" fontId="4" fillId="4" borderId="42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9" borderId="18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5" fillId="0" borderId="28" xfId="3" applyFont="1" applyBorder="1" applyAlignment="1">
      <alignment horizontal="center" vertical="center" wrapText="1"/>
    </xf>
    <xf numFmtId="0" fontId="5" fillId="0" borderId="29" xfId="3" applyFont="1" applyBorder="1" applyAlignment="1">
      <alignment horizontal="center" vertical="center" wrapText="1"/>
    </xf>
    <xf numFmtId="0" fontId="5" fillId="0" borderId="30" xfId="3" applyFont="1" applyBorder="1" applyAlignment="1">
      <alignment horizontal="center" vertical="center" wrapText="1"/>
    </xf>
    <xf numFmtId="0" fontId="5" fillId="0" borderId="31" xfId="3" applyFont="1" applyBorder="1" applyAlignment="1">
      <alignment horizontal="center" vertical="center" wrapText="1"/>
    </xf>
    <xf numFmtId="0" fontId="5" fillId="0" borderId="32" xfId="3" applyFont="1" applyBorder="1" applyAlignment="1">
      <alignment horizontal="center" vertical="center" wrapText="1"/>
    </xf>
    <xf numFmtId="0" fontId="5" fillId="0" borderId="33" xfId="3" applyFont="1" applyBorder="1" applyAlignment="1">
      <alignment horizontal="center" vertical="center" wrapText="1"/>
    </xf>
  </cellXfs>
  <cellStyles count="7">
    <cellStyle name="Millares" xfId="5" builtinId="3"/>
    <cellStyle name="Moneda [0]" xfId="1" builtinId="7"/>
    <cellStyle name="Moneda 2" xfId="4" xr:uid="{168675D6-7617-4312-B3AB-F1B0FC391932}"/>
    <cellStyle name="Normal" xfId="0" builtinId="0"/>
    <cellStyle name="Normal 2" xfId="3" xr:uid="{A82D1D5F-2455-42C4-8967-01EA73CF5AA3}"/>
    <cellStyle name="Normal 3" xfId="6" xr:uid="{71F1AB45-804E-482A-AFF3-A28764540CB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4ECE1-5C38-496C-99C4-E2B071EC6623}">
  <dimension ref="A1:O32"/>
  <sheetViews>
    <sheetView topLeftCell="E1" zoomScaleNormal="100" workbookViewId="0">
      <selection activeCell="J1" sqref="J1"/>
    </sheetView>
  </sheetViews>
  <sheetFormatPr baseColWidth="10" defaultRowHeight="15" x14ac:dyDescent="0.25"/>
  <cols>
    <col min="1" max="1" width="30.125" style="165" bestFit="1" customWidth="1"/>
    <col min="2" max="2" width="11" style="165"/>
    <col min="3" max="3" width="17.875" style="165" customWidth="1"/>
    <col min="4" max="4" width="10.25" style="165" bestFit="1" customWidth="1"/>
    <col min="5" max="5" width="13.75" style="165" bestFit="1" customWidth="1"/>
    <col min="6" max="6" width="13.125" style="165" bestFit="1" customWidth="1"/>
    <col min="7" max="8" width="11" style="165"/>
    <col min="9" max="9" width="14.25" style="165" bestFit="1" customWidth="1"/>
    <col min="10" max="10" width="14.875" style="165" bestFit="1" customWidth="1"/>
    <col min="11" max="11" width="14.625" style="165" customWidth="1"/>
    <col min="12" max="12" width="11" style="165"/>
    <col min="13" max="13" width="14.25" style="165" bestFit="1" customWidth="1"/>
    <col min="14" max="14" width="14.875" style="165" bestFit="1" customWidth="1"/>
    <col min="15" max="15" width="13.25" style="165" bestFit="1" customWidth="1"/>
    <col min="16" max="16384" width="11" style="165"/>
  </cols>
  <sheetData>
    <row r="1" spans="1:15" ht="21" customHeight="1" x14ac:dyDescent="0.25">
      <c r="A1" s="248" t="s">
        <v>44</v>
      </c>
      <c r="B1" s="249"/>
      <c r="C1" s="249"/>
      <c r="D1" s="249"/>
      <c r="E1" s="249"/>
      <c r="F1" s="250"/>
    </row>
    <row r="2" spans="1:15" ht="22.5" customHeight="1" thickBot="1" x14ac:dyDescent="0.3">
      <c r="A2" s="251"/>
      <c r="B2" s="252"/>
      <c r="C2" s="252"/>
      <c r="D2" s="252"/>
      <c r="E2" s="252"/>
      <c r="F2" s="253"/>
    </row>
    <row r="3" spans="1:15" ht="22.5" customHeight="1" x14ac:dyDescent="0.25">
      <c r="A3" s="190"/>
      <c r="B3" s="233" t="s">
        <v>77</v>
      </c>
      <c r="C3" s="233"/>
      <c r="D3" s="233"/>
      <c r="E3" s="233"/>
      <c r="F3" s="233"/>
      <c r="G3" s="224" t="s">
        <v>78</v>
      </c>
      <c r="H3" s="224"/>
      <c r="I3" s="224"/>
      <c r="J3" s="231"/>
      <c r="K3" s="224" t="s">
        <v>79</v>
      </c>
      <c r="L3" s="224"/>
      <c r="M3" s="224"/>
      <c r="N3" s="224"/>
      <c r="O3" s="168"/>
    </row>
    <row r="4" spans="1:15" s="167" customFormat="1" x14ac:dyDescent="0.25">
      <c r="A4" s="166"/>
      <c r="B4" s="166" t="s">
        <v>56</v>
      </c>
      <c r="C4" s="166" t="s">
        <v>57</v>
      </c>
      <c r="D4" s="166" t="s">
        <v>58</v>
      </c>
      <c r="E4" s="166" t="s">
        <v>59</v>
      </c>
      <c r="F4" s="166" t="s">
        <v>60</v>
      </c>
      <c r="G4" s="191" t="s">
        <v>57</v>
      </c>
      <c r="H4" s="191" t="s">
        <v>58</v>
      </c>
      <c r="I4" s="191" t="s">
        <v>59</v>
      </c>
      <c r="J4" s="206" t="s">
        <v>60</v>
      </c>
      <c r="K4" s="215" t="s">
        <v>57</v>
      </c>
      <c r="L4" s="215" t="s">
        <v>58</v>
      </c>
      <c r="M4" s="215" t="s">
        <v>59</v>
      </c>
      <c r="N4" s="215" t="s">
        <v>60</v>
      </c>
      <c r="O4" s="221" t="s">
        <v>81</v>
      </c>
    </row>
    <row r="5" spans="1:15" ht="15.75" x14ac:dyDescent="0.25">
      <c r="A5" s="168"/>
      <c r="B5" s="168"/>
      <c r="C5" s="168"/>
      <c r="D5" s="168"/>
      <c r="E5" s="168"/>
      <c r="F5" s="168"/>
      <c r="G5" s="2"/>
      <c r="H5" s="2"/>
      <c r="I5" s="2"/>
      <c r="J5" s="207"/>
      <c r="K5" s="2"/>
      <c r="L5" s="2"/>
      <c r="M5" s="2"/>
      <c r="N5" s="2"/>
      <c r="O5" s="168"/>
    </row>
    <row r="6" spans="1:15" ht="15.75" x14ac:dyDescent="0.25">
      <c r="A6" s="169" t="s">
        <v>61</v>
      </c>
      <c r="B6" s="170"/>
      <c r="C6" s="170"/>
      <c r="D6" s="170"/>
      <c r="E6" s="170"/>
      <c r="F6" s="170"/>
      <c r="G6" s="69"/>
      <c r="H6" s="69"/>
      <c r="I6" s="69"/>
      <c r="J6" s="85"/>
      <c r="K6" s="69"/>
      <c r="L6" s="69"/>
      <c r="M6" s="69"/>
      <c r="N6" s="69"/>
      <c r="O6" s="168"/>
    </row>
    <row r="7" spans="1:15" ht="15.75" x14ac:dyDescent="0.25">
      <c r="A7" s="168" t="s">
        <v>62</v>
      </c>
      <c r="B7" s="170">
        <v>1</v>
      </c>
      <c r="C7" s="171">
        <v>7</v>
      </c>
      <c r="D7" s="172">
        <v>1</v>
      </c>
      <c r="E7" s="173">
        <v>12000000</v>
      </c>
      <c r="F7" s="174">
        <f>C7*D7*E7</f>
        <v>84000000</v>
      </c>
      <c r="G7" s="192">
        <v>7</v>
      </c>
      <c r="H7" s="193">
        <v>0.5</v>
      </c>
      <c r="I7" s="194">
        <v>9000000</v>
      </c>
      <c r="J7" s="208">
        <f>G7*H7*I7</f>
        <v>31500000</v>
      </c>
      <c r="K7" s="192">
        <v>7</v>
      </c>
      <c r="L7" s="193">
        <v>0.5</v>
      </c>
      <c r="M7" s="194">
        <v>18000000</v>
      </c>
      <c r="N7" s="195">
        <f>K7*L7*M7</f>
        <v>63000000</v>
      </c>
      <c r="O7" s="216">
        <f>AVERAGE(F7,J7,N7)</f>
        <v>59500000</v>
      </c>
    </row>
    <row r="8" spans="1:15" ht="15.75" x14ac:dyDescent="0.25">
      <c r="A8" s="168" t="s">
        <v>63</v>
      </c>
      <c r="B8" s="170">
        <v>1</v>
      </c>
      <c r="C8" s="171">
        <v>6</v>
      </c>
      <c r="D8" s="172">
        <v>1</v>
      </c>
      <c r="E8" s="173">
        <v>8000000</v>
      </c>
      <c r="F8" s="174">
        <f t="shared" ref="F8:F10" si="0">C8*D8*E8</f>
        <v>48000000</v>
      </c>
      <c r="G8" s="192">
        <v>6</v>
      </c>
      <c r="H8" s="193">
        <v>1</v>
      </c>
      <c r="I8" s="194">
        <v>6000000</v>
      </c>
      <c r="J8" s="208">
        <f t="shared" ref="J8:J10" si="1">G8*H8*I8</f>
        <v>36000000</v>
      </c>
      <c r="K8" s="192">
        <v>6</v>
      </c>
      <c r="L8" s="193">
        <v>1</v>
      </c>
      <c r="M8" s="194">
        <v>8500000</v>
      </c>
      <c r="N8" s="195">
        <f t="shared" ref="N8:N10" si="2">K8*L8*M8</f>
        <v>51000000</v>
      </c>
      <c r="O8" s="216">
        <f t="shared" ref="O8:O10" si="3">AVERAGE(F8,J8,N8)</f>
        <v>45000000</v>
      </c>
    </row>
    <row r="9" spans="1:15" ht="15.75" x14ac:dyDescent="0.25">
      <c r="A9" s="168" t="s">
        <v>64</v>
      </c>
      <c r="B9" s="170">
        <v>1</v>
      </c>
      <c r="C9" s="171">
        <v>6</v>
      </c>
      <c r="D9" s="172">
        <v>1</v>
      </c>
      <c r="E9" s="173">
        <v>8000000</v>
      </c>
      <c r="F9" s="174">
        <f t="shared" si="0"/>
        <v>48000000</v>
      </c>
      <c r="G9" s="192">
        <v>6</v>
      </c>
      <c r="H9" s="193">
        <v>1</v>
      </c>
      <c r="I9" s="194">
        <v>4500000</v>
      </c>
      <c r="J9" s="208">
        <f t="shared" si="1"/>
        <v>27000000</v>
      </c>
      <c r="K9" s="192">
        <v>6</v>
      </c>
      <c r="L9" s="193">
        <v>1</v>
      </c>
      <c r="M9" s="194">
        <v>7500000</v>
      </c>
      <c r="N9" s="195">
        <f t="shared" si="2"/>
        <v>45000000</v>
      </c>
      <c r="O9" s="216">
        <f t="shared" si="3"/>
        <v>40000000</v>
      </c>
    </row>
    <row r="10" spans="1:15" ht="16.5" thickBot="1" x14ac:dyDescent="0.3">
      <c r="A10" s="168" t="s">
        <v>65</v>
      </c>
      <c r="B10" s="170">
        <v>1</v>
      </c>
      <c r="C10" s="171">
        <v>3</v>
      </c>
      <c r="D10" s="172">
        <v>1</v>
      </c>
      <c r="E10" s="173">
        <v>6500000</v>
      </c>
      <c r="F10" s="174">
        <f t="shared" si="0"/>
        <v>19500000</v>
      </c>
      <c r="G10" s="192">
        <v>2</v>
      </c>
      <c r="H10" s="193">
        <v>0.25</v>
      </c>
      <c r="I10" s="194">
        <v>3000000</v>
      </c>
      <c r="J10" s="208">
        <f t="shared" si="1"/>
        <v>1500000</v>
      </c>
      <c r="K10" s="192">
        <v>2</v>
      </c>
      <c r="L10" s="193">
        <v>0.25</v>
      </c>
      <c r="M10" s="194">
        <v>7000000</v>
      </c>
      <c r="N10" s="195">
        <f t="shared" si="2"/>
        <v>3500000</v>
      </c>
      <c r="O10" s="216">
        <f t="shared" si="3"/>
        <v>8166666.666666667</v>
      </c>
    </row>
    <row r="11" spans="1:15" ht="16.5" thickBot="1" x14ac:dyDescent="0.3">
      <c r="A11" s="254" t="s">
        <v>66</v>
      </c>
      <c r="B11" s="255"/>
      <c r="C11" s="255"/>
      <c r="D11" s="255"/>
      <c r="E11" s="255"/>
      <c r="F11" s="177">
        <f>SUM(F7:F10)</f>
        <v>199500000</v>
      </c>
      <c r="G11" s="234"/>
      <c r="H11" s="234"/>
      <c r="I11" s="234"/>
      <c r="J11" s="209">
        <f>SUM(J7:J10)</f>
        <v>96000000</v>
      </c>
      <c r="K11" s="225"/>
      <c r="L11" s="225"/>
      <c r="M11" s="225"/>
      <c r="N11" s="195">
        <f>SUM(N7:N10)</f>
        <v>162500000</v>
      </c>
      <c r="O11" s="217">
        <f>SUM(O7:O10)</f>
        <v>152666666.66666666</v>
      </c>
    </row>
    <row r="12" spans="1:15" ht="15.75" x14ac:dyDescent="0.25">
      <c r="A12" s="168"/>
      <c r="B12" s="168"/>
      <c r="C12" s="168"/>
      <c r="D12" s="168"/>
      <c r="E12" s="168"/>
      <c r="F12" s="178"/>
      <c r="G12" s="2"/>
      <c r="H12" s="2"/>
      <c r="I12" s="2"/>
      <c r="J12" s="210"/>
      <c r="K12" s="2"/>
      <c r="L12" s="2"/>
      <c r="M12" s="2"/>
      <c r="N12" s="2"/>
      <c r="O12" s="168"/>
    </row>
    <row r="13" spans="1:15" ht="15.75" x14ac:dyDescent="0.25">
      <c r="A13" s="169" t="s">
        <v>67</v>
      </c>
      <c r="B13" s="168"/>
      <c r="C13" s="168"/>
      <c r="D13" s="168"/>
      <c r="E13" s="168"/>
      <c r="F13" s="168"/>
      <c r="G13" s="2"/>
      <c r="H13" s="2"/>
      <c r="I13" s="2"/>
      <c r="J13" s="207"/>
      <c r="K13" s="2"/>
      <c r="L13" s="2"/>
      <c r="M13" s="2"/>
      <c r="N13" s="2"/>
      <c r="O13" s="168"/>
    </row>
    <row r="14" spans="1:15" ht="15.75" x14ac:dyDescent="0.25">
      <c r="A14" s="168" t="s">
        <v>68</v>
      </c>
      <c r="B14" s="170">
        <v>1</v>
      </c>
      <c r="C14" s="171">
        <v>7</v>
      </c>
      <c r="D14" s="172">
        <v>1</v>
      </c>
      <c r="E14" s="173">
        <v>5500000</v>
      </c>
      <c r="F14" s="179">
        <f>C14*D14*E14</f>
        <v>38500000</v>
      </c>
      <c r="G14" s="192">
        <v>7</v>
      </c>
      <c r="H14" s="193">
        <v>0.2</v>
      </c>
      <c r="I14" s="194">
        <v>3000000</v>
      </c>
      <c r="J14" s="211">
        <f>G14*H14*I14</f>
        <v>4200000</v>
      </c>
      <c r="K14" s="192">
        <v>7</v>
      </c>
      <c r="L14" s="193">
        <v>0.2</v>
      </c>
      <c r="M14" s="194">
        <v>5000000</v>
      </c>
      <c r="N14" s="197">
        <f>K14*L14*M14</f>
        <v>7000000.0000000009</v>
      </c>
      <c r="O14" s="216">
        <f t="shared" ref="O14:O15" si="4">AVERAGE(F14,J14,N14)</f>
        <v>16566666.666666666</v>
      </c>
    </row>
    <row r="15" spans="1:15" ht="16.5" thickBot="1" x14ac:dyDescent="0.3">
      <c r="A15" s="180" t="s">
        <v>69</v>
      </c>
      <c r="B15" s="170">
        <v>1</v>
      </c>
      <c r="C15" s="171">
        <v>7</v>
      </c>
      <c r="D15" s="172">
        <v>0.2</v>
      </c>
      <c r="E15" s="173">
        <v>12000000</v>
      </c>
      <c r="F15" s="179">
        <f>C15*D15*E15</f>
        <v>16800000</v>
      </c>
      <c r="G15" s="192">
        <v>7</v>
      </c>
      <c r="H15" s="193">
        <v>0.2</v>
      </c>
      <c r="I15" s="194">
        <v>10000000</v>
      </c>
      <c r="J15" s="211">
        <f>G15*H15*I15</f>
        <v>14000000.000000002</v>
      </c>
      <c r="K15" s="192">
        <v>7</v>
      </c>
      <c r="L15" s="193">
        <v>0.2</v>
      </c>
      <c r="M15" s="194">
        <v>15000000</v>
      </c>
      <c r="N15" s="197">
        <f>K15*L15*M15</f>
        <v>21000000.000000004</v>
      </c>
      <c r="O15" s="216">
        <f t="shared" si="4"/>
        <v>17266666.666666668</v>
      </c>
    </row>
    <row r="16" spans="1:15" ht="16.5" thickBot="1" x14ac:dyDescent="0.3">
      <c r="A16" s="254" t="s">
        <v>70</v>
      </c>
      <c r="B16" s="255"/>
      <c r="C16" s="255"/>
      <c r="D16" s="255"/>
      <c r="E16" s="255"/>
      <c r="F16" s="181">
        <f>SUM(F14:F15)</f>
        <v>55300000</v>
      </c>
      <c r="G16" s="234"/>
      <c r="H16" s="234"/>
      <c r="I16" s="234"/>
      <c r="J16" s="212">
        <f>SUM(J14:J15)</f>
        <v>18200000</v>
      </c>
      <c r="K16" s="225"/>
      <c r="L16" s="225"/>
      <c r="M16" s="225"/>
      <c r="N16" s="197">
        <f>SUM(N14:N15)</f>
        <v>28000000.000000004</v>
      </c>
      <c r="O16" s="216">
        <f>SUM(O14:O15)</f>
        <v>33833333.333333336</v>
      </c>
    </row>
    <row r="17" spans="1:15" ht="16.5" thickBot="1" x14ac:dyDescent="0.3">
      <c r="A17" s="175"/>
      <c r="B17" s="176"/>
      <c r="C17" s="176"/>
      <c r="D17" s="176"/>
      <c r="E17" s="176"/>
      <c r="G17" s="196"/>
      <c r="H17" s="196"/>
      <c r="I17" s="196"/>
      <c r="J17"/>
      <c r="K17" s="199"/>
      <c r="L17" s="199"/>
      <c r="M17" s="199"/>
      <c r="N17" s="2"/>
      <c r="O17" s="168"/>
    </row>
    <row r="18" spans="1:15" ht="16.5" thickBot="1" x14ac:dyDescent="0.3">
      <c r="A18" s="256" t="s">
        <v>71</v>
      </c>
      <c r="B18" s="256"/>
      <c r="C18" s="256"/>
      <c r="D18" s="256"/>
      <c r="E18" s="256"/>
      <c r="F18" s="181">
        <f>F11+F16</f>
        <v>254800000</v>
      </c>
      <c r="G18" s="225"/>
      <c r="H18" s="225"/>
      <c r="I18" s="225"/>
      <c r="J18" s="212">
        <f>J11+J16</f>
        <v>114200000</v>
      </c>
      <c r="K18" s="225"/>
      <c r="L18" s="225"/>
      <c r="M18" s="225"/>
      <c r="N18" s="197">
        <f>N11+N16</f>
        <v>190500000</v>
      </c>
      <c r="O18" s="216">
        <f t="shared" ref="O18:O28" si="5">AVERAGE(F18,J18,N18)</f>
        <v>186500000</v>
      </c>
    </row>
    <row r="19" spans="1:15" ht="16.5" thickBot="1" x14ac:dyDescent="0.3">
      <c r="A19" s="182"/>
      <c r="B19" s="183"/>
      <c r="C19" s="183"/>
      <c r="D19" s="183"/>
      <c r="E19" s="183"/>
      <c r="G19" s="200"/>
      <c r="H19" s="200"/>
      <c r="I19" s="200"/>
      <c r="J19"/>
      <c r="K19" s="199"/>
      <c r="L19" s="199"/>
      <c r="M19" s="199"/>
      <c r="N19" s="2"/>
      <c r="O19" s="216"/>
    </row>
    <row r="20" spans="1:15" ht="16.5" thickBot="1" x14ac:dyDescent="0.3">
      <c r="A20" s="184" t="s">
        <v>72</v>
      </c>
      <c r="B20" s="185">
        <v>0.1</v>
      </c>
      <c r="C20" s="254" t="s">
        <v>73</v>
      </c>
      <c r="D20" s="255"/>
      <c r="E20" s="255"/>
      <c r="F20" s="181">
        <f>F18*B20</f>
        <v>25480000</v>
      </c>
      <c r="G20" s="235" t="s">
        <v>73</v>
      </c>
      <c r="H20" s="234"/>
      <c r="I20" s="234"/>
      <c r="J20" s="212">
        <f>+J18*H21</f>
        <v>30834000.000000004</v>
      </c>
      <c r="K20" s="225" t="s">
        <v>73</v>
      </c>
      <c r="L20" s="225"/>
      <c r="M20" s="225"/>
      <c r="N20" s="197">
        <f>+N18*L21</f>
        <v>38100000</v>
      </c>
      <c r="O20" s="216">
        <f t="shared" si="5"/>
        <v>31471333.333333332</v>
      </c>
    </row>
    <row r="21" spans="1:15" s="187" customFormat="1" ht="16.5" thickBot="1" x14ac:dyDescent="0.3">
      <c r="A21" s="186"/>
      <c r="G21" s="202" t="s">
        <v>80</v>
      </c>
      <c r="H21" s="205">
        <v>0.27</v>
      </c>
      <c r="I21" s="201"/>
      <c r="J21" s="201"/>
      <c r="K21" s="218" t="s">
        <v>80</v>
      </c>
      <c r="L21" s="219">
        <v>0.2</v>
      </c>
      <c r="M21" s="198"/>
      <c r="N21" s="198"/>
      <c r="O21" s="180"/>
    </row>
    <row r="22" spans="1:15" ht="16.5" thickBot="1" x14ac:dyDescent="0.3">
      <c r="A22" s="184" t="s">
        <v>74</v>
      </c>
      <c r="B22" s="185">
        <v>0.12</v>
      </c>
      <c r="C22" s="244"/>
      <c r="D22" s="245"/>
      <c r="E22" s="245"/>
      <c r="F22" s="181">
        <f>F18*B22</f>
        <v>30576000</v>
      </c>
      <c r="G22" s="228"/>
      <c r="H22" s="229"/>
      <c r="I22" s="229"/>
      <c r="J22" s="212">
        <f>+J18*H24</f>
        <v>5710000</v>
      </c>
      <c r="K22" s="226"/>
      <c r="L22" s="226"/>
      <c r="M22" s="226"/>
      <c r="N22" s="197">
        <f>+N18*B22</f>
        <v>22860000</v>
      </c>
      <c r="O22" s="216">
        <f t="shared" si="5"/>
        <v>19715333.333333332</v>
      </c>
    </row>
    <row r="23" spans="1:15" ht="16.5" thickBot="1" x14ac:dyDescent="0.3">
      <c r="A23" s="237"/>
      <c r="B23" s="238"/>
      <c r="C23" s="238"/>
      <c r="D23" s="238"/>
      <c r="E23" s="238"/>
      <c r="F23" s="239"/>
      <c r="G23" s="236"/>
      <c r="H23" s="236"/>
      <c r="I23" s="236"/>
      <c r="J23" s="227"/>
      <c r="K23" s="226"/>
      <c r="L23" s="226"/>
      <c r="M23" s="226"/>
      <c r="N23" s="226"/>
      <c r="O23" s="168"/>
    </row>
    <row r="24" spans="1:15" ht="16.5" thickBot="1" x14ac:dyDescent="0.3">
      <c r="A24" s="240" t="s">
        <v>75</v>
      </c>
      <c r="B24" s="241"/>
      <c r="C24" s="241"/>
      <c r="D24" s="241"/>
      <c r="E24" s="241"/>
      <c r="F24" s="188">
        <f>F18+F20+F22</f>
        <v>310856000</v>
      </c>
      <c r="G24" s="203" t="s">
        <v>15</v>
      </c>
      <c r="H24" s="204">
        <v>0.05</v>
      </c>
      <c r="I24" s="203"/>
      <c r="J24" s="213">
        <f>J18+J20+J22</f>
        <v>150744000</v>
      </c>
      <c r="K24" s="223"/>
      <c r="L24" s="223"/>
      <c r="M24" s="223"/>
      <c r="N24" s="220">
        <f>N18+N20+N22</f>
        <v>251460000</v>
      </c>
      <c r="O24" s="216">
        <f t="shared" si="5"/>
        <v>237686666.66666666</v>
      </c>
    </row>
    <row r="25" spans="1:15" ht="16.5" thickBot="1" x14ac:dyDescent="0.3">
      <c r="A25" s="242"/>
      <c r="B25" s="243"/>
      <c r="C25" s="243"/>
      <c r="D25" s="243"/>
      <c r="E25" s="243"/>
      <c r="F25" s="239"/>
      <c r="G25" s="227"/>
      <c r="H25" s="227"/>
      <c r="I25" s="227"/>
      <c r="J25" s="227"/>
      <c r="K25" s="226"/>
      <c r="L25" s="226"/>
      <c r="M25" s="226"/>
      <c r="N25" s="226"/>
      <c r="O25" s="168"/>
    </row>
    <row r="26" spans="1:15" ht="16.5" thickBot="1" x14ac:dyDescent="0.3">
      <c r="A26" s="169" t="s">
        <v>18</v>
      </c>
      <c r="B26" s="185">
        <v>0.19</v>
      </c>
      <c r="C26" s="244"/>
      <c r="D26" s="245"/>
      <c r="E26" s="245"/>
      <c r="F26" s="181">
        <f>F24*B26</f>
        <v>59062640</v>
      </c>
      <c r="G26" s="228"/>
      <c r="H26" s="229"/>
      <c r="I26" s="229"/>
      <c r="J26" s="212">
        <f>+J24*B26</f>
        <v>28641360</v>
      </c>
      <c r="K26" s="226"/>
      <c r="L26" s="226"/>
      <c r="M26" s="226"/>
      <c r="N26" s="197">
        <f>+N24*B26</f>
        <v>47777400</v>
      </c>
      <c r="O26" s="216">
        <f t="shared" si="5"/>
        <v>45160466.666666664</v>
      </c>
    </row>
    <row r="27" spans="1:15" ht="16.5" thickBot="1" x14ac:dyDescent="0.3">
      <c r="A27" s="244"/>
      <c r="B27" s="245"/>
      <c r="C27" s="245"/>
      <c r="D27" s="245"/>
      <c r="E27" s="245"/>
      <c r="F27" s="189"/>
      <c r="G27" s="229"/>
      <c r="H27" s="229"/>
      <c r="I27" s="229"/>
      <c r="J27" s="214"/>
      <c r="K27" s="226"/>
      <c r="L27" s="226"/>
      <c r="M27" s="226"/>
      <c r="N27" s="2"/>
      <c r="O27" s="168"/>
    </row>
    <row r="28" spans="1:15" ht="16.5" thickBot="1" x14ac:dyDescent="0.3">
      <c r="A28" s="246" t="s">
        <v>76</v>
      </c>
      <c r="B28" s="247"/>
      <c r="C28" s="247"/>
      <c r="D28" s="247"/>
      <c r="E28" s="247"/>
      <c r="F28" s="181">
        <f>F24+F26</f>
        <v>369918640</v>
      </c>
      <c r="G28" s="230"/>
      <c r="H28" s="230"/>
      <c r="I28" s="230"/>
      <c r="J28" s="212">
        <f>J24+J26</f>
        <v>179385360</v>
      </c>
      <c r="K28" s="223"/>
      <c r="L28" s="223"/>
      <c r="M28" s="223"/>
      <c r="N28" s="197">
        <f>N24+N26</f>
        <v>299237400</v>
      </c>
      <c r="O28" s="216">
        <f t="shared" si="5"/>
        <v>282847133.33333331</v>
      </c>
    </row>
    <row r="30" spans="1:15" x14ac:dyDescent="0.25">
      <c r="A30" s="232" t="s">
        <v>45</v>
      </c>
      <c r="B30" s="232"/>
      <c r="C30" s="232"/>
      <c r="D30" s="232"/>
      <c r="E30" s="232"/>
      <c r="F30" s="232"/>
    </row>
    <row r="31" spans="1:15" ht="15" customHeight="1" x14ac:dyDescent="0.25">
      <c r="A31" s="232" t="s">
        <v>46</v>
      </c>
      <c r="B31" s="232"/>
      <c r="C31" s="232"/>
      <c r="D31" s="232"/>
      <c r="E31" s="232"/>
      <c r="F31" s="232"/>
    </row>
    <row r="32" spans="1:15" x14ac:dyDescent="0.25">
      <c r="A32" s="232" t="s">
        <v>47</v>
      </c>
      <c r="B32" s="232"/>
      <c r="C32" s="232"/>
      <c r="D32" s="232"/>
      <c r="E32" s="232"/>
      <c r="F32" s="232"/>
    </row>
  </sheetData>
  <mergeCells count="39">
    <mergeCell ref="A27:E27"/>
    <mergeCell ref="A28:E28"/>
    <mergeCell ref="A1:F2"/>
    <mergeCell ref="A11:E11"/>
    <mergeCell ref="A16:E16"/>
    <mergeCell ref="A18:E18"/>
    <mergeCell ref="C20:E20"/>
    <mergeCell ref="C22:E22"/>
    <mergeCell ref="G28:I28"/>
    <mergeCell ref="G3:J3"/>
    <mergeCell ref="A30:F30"/>
    <mergeCell ref="A31:F31"/>
    <mergeCell ref="A32:F32"/>
    <mergeCell ref="B3:F3"/>
    <mergeCell ref="G11:I11"/>
    <mergeCell ref="G16:I16"/>
    <mergeCell ref="G18:I18"/>
    <mergeCell ref="G20:I20"/>
    <mergeCell ref="G22:I22"/>
    <mergeCell ref="G23:J23"/>
    <mergeCell ref="A23:F23"/>
    <mergeCell ref="A24:E24"/>
    <mergeCell ref="A25:F25"/>
    <mergeCell ref="C26:E26"/>
    <mergeCell ref="G25:J25"/>
    <mergeCell ref="G26:I26"/>
    <mergeCell ref="G27:I27"/>
    <mergeCell ref="K24:M24"/>
    <mergeCell ref="K25:N25"/>
    <mergeCell ref="K26:M26"/>
    <mergeCell ref="K27:M27"/>
    <mergeCell ref="K28:M28"/>
    <mergeCell ref="K3:N3"/>
    <mergeCell ref="K11:M11"/>
    <mergeCell ref="K16:M16"/>
    <mergeCell ref="K18:M18"/>
    <mergeCell ref="K20:M20"/>
    <mergeCell ref="K22:M22"/>
    <mergeCell ref="K23:N23"/>
  </mergeCells>
  <pageMargins left="0.70866141732283472" right="0.70866141732283472" top="0.74803149606299213" bottom="0.74803149606299213" header="0.31496062992125984" footer="0.31496062992125984"/>
  <pageSetup scale="6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0AF2-D13D-4620-8D30-A8A50BACB214}">
  <dimension ref="A1:V25"/>
  <sheetViews>
    <sheetView topLeftCell="B2" workbookViewId="0">
      <selection activeCell="B6" sqref="B6"/>
    </sheetView>
  </sheetViews>
  <sheetFormatPr baseColWidth="10" defaultRowHeight="15.75" x14ac:dyDescent="0.25"/>
  <cols>
    <col min="1" max="1" width="0" hidden="1" customWidth="1"/>
    <col min="2" max="2" width="38.875" bestFit="1" customWidth="1"/>
    <col min="4" max="4" width="14.125" bestFit="1" customWidth="1"/>
    <col min="5" max="5" width="10.875" customWidth="1"/>
    <col min="6" max="6" width="14" customWidth="1"/>
    <col min="7" max="7" width="16" customWidth="1"/>
    <col min="8" max="8" width="11.625" customWidth="1"/>
    <col min="9" max="9" width="17.625" customWidth="1"/>
    <col min="10" max="10" width="16" customWidth="1"/>
    <col min="11" max="11" width="13.125" customWidth="1"/>
    <col min="12" max="12" width="16" customWidth="1"/>
    <col min="13" max="13" width="17.375" customWidth="1"/>
    <col min="14" max="14" width="14.375" customWidth="1"/>
    <col min="15" max="15" width="16.375" customWidth="1"/>
    <col min="16" max="16" width="18.125" customWidth="1"/>
    <col min="17" max="17" width="14.375" customWidth="1"/>
    <col min="18" max="18" width="15.5" customWidth="1"/>
    <col min="19" max="19" width="15.875" customWidth="1"/>
    <col min="20" max="20" width="17" customWidth="1"/>
    <col min="21" max="21" width="15" customWidth="1"/>
    <col min="22" max="22" width="18.375" customWidth="1"/>
  </cols>
  <sheetData>
    <row r="1" spans="1:22" hidden="1" x14ac:dyDescent="0.25"/>
    <row r="2" spans="1:22" ht="16.5" thickBot="1" x14ac:dyDescent="0.3">
      <c r="E2" s="257" t="s">
        <v>31</v>
      </c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</row>
    <row r="3" spans="1:22" ht="47.25" customHeight="1" thickBot="1" x14ac:dyDescent="0.3">
      <c r="B3" s="37"/>
      <c r="C3" s="38"/>
      <c r="D3" s="38"/>
      <c r="E3" s="258" t="s">
        <v>20</v>
      </c>
      <c r="F3" s="259"/>
      <c r="G3" s="260"/>
      <c r="H3" s="261" t="s">
        <v>21</v>
      </c>
      <c r="I3" s="261"/>
      <c r="J3" s="261"/>
      <c r="K3" s="262" t="s">
        <v>22</v>
      </c>
      <c r="L3" s="262"/>
      <c r="M3" s="262"/>
      <c r="N3" s="261" t="s">
        <v>23</v>
      </c>
      <c r="O3" s="261"/>
      <c r="P3" s="261"/>
      <c r="Q3" s="262" t="s">
        <v>24</v>
      </c>
      <c r="R3" s="262"/>
      <c r="S3" s="263"/>
      <c r="T3" s="264" t="s">
        <v>25</v>
      </c>
      <c r="U3" s="265"/>
      <c r="V3" s="266"/>
    </row>
    <row r="4" spans="1:22" ht="16.5" thickBot="1" x14ac:dyDescent="0.3">
      <c r="A4" s="45"/>
      <c r="B4" s="46" t="s">
        <v>5</v>
      </c>
      <c r="C4" s="47" t="s">
        <v>6</v>
      </c>
      <c r="D4" s="48" t="s">
        <v>7</v>
      </c>
      <c r="E4" s="35" t="s">
        <v>8</v>
      </c>
      <c r="F4" s="3" t="s">
        <v>9</v>
      </c>
      <c r="G4" s="3" t="s">
        <v>10</v>
      </c>
      <c r="H4" s="4" t="s">
        <v>8</v>
      </c>
      <c r="I4" s="3" t="s">
        <v>9</v>
      </c>
      <c r="J4" s="3" t="s">
        <v>10</v>
      </c>
      <c r="K4" s="4" t="s">
        <v>8</v>
      </c>
      <c r="L4" s="3" t="s">
        <v>9</v>
      </c>
      <c r="M4" s="3" t="s">
        <v>10</v>
      </c>
      <c r="N4" s="4" t="s">
        <v>8</v>
      </c>
      <c r="O4" s="3" t="s">
        <v>9</v>
      </c>
      <c r="P4" s="3" t="s">
        <v>10</v>
      </c>
      <c r="Q4" s="4" t="s">
        <v>8</v>
      </c>
      <c r="R4" s="3" t="s">
        <v>9</v>
      </c>
      <c r="S4" s="54" t="s">
        <v>10</v>
      </c>
      <c r="T4" s="21" t="s">
        <v>8</v>
      </c>
      <c r="U4" s="3" t="s">
        <v>9</v>
      </c>
      <c r="V4" s="22" t="s">
        <v>10</v>
      </c>
    </row>
    <row r="5" spans="1:22" x14ac:dyDescent="0.25">
      <c r="B5" s="42" t="s">
        <v>0</v>
      </c>
      <c r="C5" s="43">
        <v>1</v>
      </c>
      <c r="D5" s="44">
        <v>7</v>
      </c>
      <c r="E5" s="19">
        <v>0.5</v>
      </c>
      <c r="F5" s="7">
        <v>5000000</v>
      </c>
      <c r="G5" s="8">
        <f>+C5*D5*E5*F5</f>
        <v>17500000</v>
      </c>
      <c r="H5" s="6">
        <v>0.5</v>
      </c>
      <c r="I5" s="7">
        <v>6000000</v>
      </c>
      <c r="J5" s="7">
        <f>+C5*D5*H5*I5</f>
        <v>21000000</v>
      </c>
      <c r="K5" s="6">
        <v>0.5</v>
      </c>
      <c r="L5" s="7">
        <v>7000000</v>
      </c>
      <c r="M5" s="7">
        <f>+C5*D5*K5*L5</f>
        <v>24500000</v>
      </c>
      <c r="N5" s="6">
        <v>0.5</v>
      </c>
      <c r="O5" s="7">
        <v>5300000</v>
      </c>
      <c r="P5" s="7">
        <f>+C5*D5*N5*O5</f>
        <v>18550000</v>
      </c>
      <c r="Q5" s="6">
        <v>0.5</v>
      </c>
      <c r="R5" s="7">
        <v>5000000</v>
      </c>
      <c r="S5" s="55">
        <f>+C5*D5*Q5*R5</f>
        <v>17500000</v>
      </c>
      <c r="T5" s="164">
        <v>0.5</v>
      </c>
      <c r="U5" s="7">
        <v>3500000</v>
      </c>
      <c r="V5" s="24">
        <f>+C5*D5*T5*U5</f>
        <v>12250000</v>
      </c>
    </row>
    <row r="6" spans="1:22" x14ac:dyDescent="0.25">
      <c r="B6" s="23" t="s">
        <v>83</v>
      </c>
      <c r="C6" s="5">
        <v>1</v>
      </c>
      <c r="D6" s="28">
        <v>6</v>
      </c>
      <c r="E6" s="19">
        <v>1</v>
      </c>
      <c r="F6" s="7">
        <v>3500000</v>
      </c>
      <c r="G6" s="8">
        <f t="shared" ref="G6:G10" si="0">+C6*D6*E6*F6</f>
        <v>21000000</v>
      </c>
      <c r="H6" s="6">
        <v>1</v>
      </c>
      <c r="I6" s="7">
        <v>3800000</v>
      </c>
      <c r="J6" s="7">
        <f t="shared" ref="J6:J10" si="1">+C6*D6*H6*I6</f>
        <v>22800000</v>
      </c>
      <c r="K6" s="6">
        <v>1</v>
      </c>
      <c r="L6" s="7">
        <v>4500000</v>
      </c>
      <c r="M6" s="7">
        <f t="shared" ref="M6:M10" si="2">+C6*D6*K6*L6</f>
        <v>27000000</v>
      </c>
      <c r="N6" s="6">
        <v>1</v>
      </c>
      <c r="O6" s="7">
        <v>3800000</v>
      </c>
      <c r="P6" s="7">
        <f t="shared" ref="P6:P10" si="3">+C6*D6*N6*O6</f>
        <v>22800000</v>
      </c>
      <c r="Q6" s="6">
        <v>1</v>
      </c>
      <c r="R6" s="7">
        <v>4500000</v>
      </c>
      <c r="S6" s="55">
        <f t="shared" ref="S6:S10" si="4">+C6*D6*Q6*R6</f>
        <v>27000000</v>
      </c>
      <c r="T6" s="164">
        <v>1</v>
      </c>
      <c r="U6" s="7">
        <v>2500000</v>
      </c>
      <c r="V6" s="24">
        <f t="shared" ref="V6:V10" si="5">+C6*D6*T6*U6</f>
        <v>15000000</v>
      </c>
    </row>
    <row r="7" spans="1:22" x14ac:dyDescent="0.25">
      <c r="B7" s="23" t="s">
        <v>1</v>
      </c>
      <c r="C7" s="5">
        <v>1</v>
      </c>
      <c r="D7" s="28">
        <v>6</v>
      </c>
      <c r="E7" s="19">
        <v>1</v>
      </c>
      <c r="F7" s="7">
        <v>2000000</v>
      </c>
      <c r="G7" s="8">
        <f t="shared" si="0"/>
        <v>12000000</v>
      </c>
      <c r="H7" s="6">
        <v>1</v>
      </c>
      <c r="I7" s="7">
        <v>3000000</v>
      </c>
      <c r="J7" s="7">
        <f t="shared" si="1"/>
        <v>18000000</v>
      </c>
      <c r="K7" s="6">
        <v>1</v>
      </c>
      <c r="L7" s="7">
        <v>2000000</v>
      </c>
      <c r="M7" s="7">
        <f t="shared" si="2"/>
        <v>12000000</v>
      </c>
      <c r="N7" s="6">
        <v>1</v>
      </c>
      <c r="O7" s="7">
        <v>2000000</v>
      </c>
      <c r="P7" s="7">
        <f t="shared" si="3"/>
        <v>12000000</v>
      </c>
      <c r="Q7" s="6">
        <v>1</v>
      </c>
      <c r="R7" s="7">
        <v>4500000</v>
      </c>
      <c r="S7" s="55">
        <f t="shared" si="4"/>
        <v>27000000</v>
      </c>
      <c r="T7" s="164">
        <v>1</v>
      </c>
      <c r="U7" s="7">
        <v>2500000</v>
      </c>
      <c r="V7" s="24">
        <f t="shared" si="5"/>
        <v>15000000</v>
      </c>
    </row>
    <row r="8" spans="1:22" x14ac:dyDescent="0.25">
      <c r="B8" s="23" t="s">
        <v>2</v>
      </c>
      <c r="C8" s="5">
        <v>1</v>
      </c>
      <c r="D8" s="28">
        <v>2</v>
      </c>
      <c r="E8" s="19">
        <v>0.3</v>
      </c>
      <c r="F8" s="7">
        <v>2000000</v>
      </c>
      <c r="G8" s="8">
        <f t="shared" si="0"/>
        <v>1200000</v>
      </c>
      <c r="H8" s="6">
        <v>0.3</v>
      </c>
      <c r="I8" s="7">
        <v>3000000</v>
      </c>
      <c r="J8" s="7">
        <f t="shared" si="1"/>
        <v>1800000</v>
      </c>
      <c r="K8" s="6">
        <v>0.3</v>
      </c>
      <c r="L8" s="7">
        <v>3000000</v>
      </c>
      <c r="M8" s="7">
        <f t="shared" si="2"/>
        <v>1800000</v>
      </c>
      <c r="N8" s="6">
        <v>0.3</v>
      </c>
      <c r="O8" s="7">
        <v>2000000</v>
      </c>
      <c r="P8" s="7">
        <f t="shared" si="3"/>
        <v>1200000</v>
      </c>
      <c r="Q8" s="6">
        <v>0.3</v>
      </c>
      <c r="R8" s="7">
        <v>3000000</v>
      </c>
      <c r="S8" s="55">
        <f t="shared" si="4"/>
        <v>1800000</v>
      </c>
      <c r="T8" s="164">
        <v>0.3</v>
      </c>
      <c r="U8" s="7">
        <v>2000000</v>
      </c>
      <c r="V8" s="24">
        <f t="shared" si="5"/>
        <v>1200000</v>
      </c>
    </row>
    <row r="9" spans="1:22" x14ac:dyDescent="0.25">
      <c r="B9" s="23" t="s">
        <v>3</v>
      </c>
      <c r="C9" s="5">
        <v>1</v>
      </c>
      <c r="D9" s="28">
        <v>7</v>
      </c>
      <c r="E9" s="19">
        <v>0.5</v>
      </c>
      <c r="F9" s="7">
        <v>2000000</v>
      </c>
      <c r="G9" s="8">
        <f t="shared" si="0"/>
        <v>7000000</v>
      </c>
      <c r="H9" s="6">
        <v>0.5</v>
      </c>
      <c r="I9" s="7">
        <v>3000000</v>
      </c>
      <c r="J9" s="7">
        <f t="shared" si="1"/>
        <v>10500000</v>
      </c>
      <c r="K9" s="6">
        <v>0.5</v>
      </c>
      <c r="L9" s="7">
        <v>2000000</v>
      </c>
      <c r="M9" s="7">
        <f t="shared" si="2"/>
        <v>7000000</v>
      </c>
      <c r="N9" s="6">
        <v>0.5</v>
      </c>
      <c r="O9" s="7">
        <v>2000000</v>
      </c>
      <c r="P9" s="7">
        <f t="shared" si="3"/>
        <v>7000000</v>
      </c>
      <c r="Q9" s="6">
        <v>0.5</v>
      </c>
      <c r="R9" s="7">
        <v>2800000</v>
      </c>
      <c r="S9" s="55">
        <f t="shared" si="4"/>
        <v>9800000</v>
      </c>
      <c r="T9" s="164">
        <v>0.5</v>
      </c>
      <c r="U9" s="7">
        <v>1800000</v>
      </c>
      <c r="V9" s="24">
        <f t="shared" si="5"/>
        <v>6300000</v>
      </c>
    </row>
    <row r="10" spans="1:22" x14ac:dyDescent="0.25">
      <c r="B10" s="23" t="s">
        <v>4</v>
      </c>
      <c r="C10" s="5">
        <v>1</v>
      </c>
      <c r="D10" s="28">
        <v>2</v>
      </c>
      <c r="E10" s="19">
        <v>0.5</v>
      </c>
      <c r="F10" s="7">
        <v>3000000</v>
      </c>
      <c r="G10" s="8">
        <f t="shared" si="0"/>
        <v>3000000</v>
      </c>
      <c r="H10" s="6">
        <v>0.5</v>
      </c>
      <c r="I10" s="7">
        <v>4400000</v>
      </c>
      <c r="J10" s="7">
        <f t="shared" si="1"/>
        <v>4400000</v>
      </c>
      <c r="K10" s="6">
        <v>0.5</v>
      </c>
      <c r="L10" s="7">
        <v>5000000</v>
      </c>
      <c r="M10" s="7">
        <f t="shared" si="2"/>
        <v>5000000</v>
      </c>
      <c r="N10" s="6">
        <v>0.5</v>
      </c>
      <c r="O10" s="7">
        <v>2500000</v>
      </c>
      <c r="P10" s="7">
        <f t="shared" si="3"/>
        <v>2500000</v>
      </c>
      <c r="Q10" s="6">
        <v>0.5</v>
      </c>
      <c r="R10" s="7">
        <v>3500000</v>
      </c>
      <c r="S10" s="55">
        <f t="shared" si="4"/>
        <v>3500000</v>
      </c>
      <c r="T10" s="164">
        <v>0.5</v>
      </c>
      <c r="U10" s="7">
        <v>2500000</v>
      </c>
      <c r="V10" s="24">
        <f t="shared" si="5"/>
        <v>2500000</v>
      </c>
    </row>
    <row r="11" spans="1:22" x14ac:dyDescent="0.25">
      <c r="B11" s="23"/>
      <c r="C11" s="2"/>
      <c r="D11" s="39"/>
      <c r="E11" s="20"/>
      <c r="F11" s="2"/>
      <c r="G11" s="9">
        <f>SUM(G5:G10)</f>
        <v>61700000</v>
      </c>
      <c r="H11" s="2"/>
      <c r="I11" s="2"/>
      <c r="J11" s="10">
        <f>SUM(J5:J10)</f>
        <v>78500000</v>
      </c>
      <c r="K11" s="2"/>
      <c r="L11" s="2"/>
      <c r="M11" s="10">
        <f>SUM(M5:M10)</f>
        <v>77300000</v>
      </c>
      <c r="N11" s="2"/>
      <c r="O11" s="2"/>
      <c r="P11" s="10">
        <f>SUM(P5:P10)</f>
        <v>64050000</v>
      </c>
      <c r="Q11" s="2"/>
      <c r="R11" s="2"/>
      <c r="S11" s="56">
        <f>SUM(S5:S10)</f>
        <v>86600000</v>
      </c>
      <c r="T11" s="23"/>
      <c r="U11" s="2"/>
      <c r="V11" s="25">
        <f>SUM(V5:V10)</f>
        <v>52250000</v>
      </c>
    </row>
    <row r="12" spans="1:22" x14ac:dyDescent="0.25">
      <c r="B12" s="21" t="s">
        <v>11</v>
      </c>
      <c r="C12" s="3" t="s">
        <v>6</v>
      </c>
      <c r="D12" s="40" t="s">
        <v>7</v>
      </c>
      <c r="E12" s="35" t="s">
        <v>8</v>
      </c>
      <c r="F12" s="3" t="s">
        <v>9</v>
      </c>
      <c r="G12" s="3" t="s">
        <v>10</v>
      </c>
      <c r="H12" s="4" t="s">
        <v>8</v>
      </c>
      <c r="I12" s="3" t="s">
        <v>9</v>
      </c>
      <c r="J12" s="3" t="s">
        <v>10</v>
      </c>
      <c r="K12" s="4" t="s">
        <v>8</v>
      </c>
      <c r="L12" s="3" t="s">
        <v>9</v>
      </c>
      <c r="M12" s="3" t="s">
        <v>10</v>
      </c>
      <c r="N12" s="4" t="s">
        <v>8</v>
      </c>
      <c r="O12" s="3" t="s">
        <v>9</v>
      </c>
      <c r="P12" s="3" t="s">
        <v>10</v>
      </c>
      <c r="Q12" s="4" t="s">
        <v>8</v>
      </c>
      <c r="R12" s="3" t="s">
        <v>9</v>
      </c>
      <c r="S12" s="54" t="s">
        <v>10</v>
      </c>
      <c r="T12" s="21" t="s">
        <v>8</v>
      </c>
      <c r="U12" s="3" t="s">
        <v>9</v>
      </c>
      <c r="V12" s="22" t="s">
        <v>10</v>
      </c>
    </row>
    <row r="13" spans="1:22" x14ac:dyDescent="0.25">
      <c r="B13" s="23" t="s">
        <v>12</v>
      </c>
      <c r="C13" s="5">
        <v>1</v>
      </c>
      <c r="D13" s="28">
        <v>6</v>
      </c>
      <c r="E13" s="19">
        <v>1</v>
      </c>
      <c r="F13" s="7">
        <v>4100000</v>
      </c>
      <c r="G13" s="8">
        <f>+C13*D13*E13*F13</f>
        <v>24600000</v>
      </c>
      <c r="H13" s="6">
        <v>1</v>
      </c>
      <c r="I13" s="7">
        <v>800000</v>
      </c>
      <c r="J13" s="11">
        <f>+C13*D13*H13*I13</f>
        <v>4800000</v>
      </c>
      <c r="K13" s="6">
        <v>1</v>
      </c>
      <c r="L13" s="7">
        <v>4000000</v>
      </c>
      <c r="M13" s="11">
        <f>+C13*D13*K13*L13</f>
        <v>24000000</v>
      </c>
      <c r="N13" s="6">
        <v>1</v>
      </c>
      <c r="O13" s="7">
        <v>4000000</v>
      </c>
      <c r="P13" s="11">
        <f>+C13*D13*N13*O13</f>
        <v>24000000</v>
      </c>
      <c r="Q13" s="6">
        <v>1</v>
      </c>
      <c r="R13" s="7">
        <v>5000000</v>
      </c>
      <c r="S13" s="57">
        <f>+C13*D13*Q13*R13</f>
        <v>30000000</v>
      </c>
      <c r="T13" s="164">
        <v>1</v>
      </c>
      <c r="U13" s="7">
        <v>2500000</v>
      </c>
      <c r="V13" s="26">
        <f>+C13*D13*T13*U13</f>
        <v>15000000</v>
      </c>
    </row>
    <row r="14" spans="1:22" x14ac:dyDescent="0.25">
      <c r="B14" s="23" t="s">
        <v>13</v>
      </c>
      <c r="C14" s="5">
        <v>1</v>
      </c>
      <c r="D14" s="28">
        <v>6</v>
      </c>
      <c r="E14" s="19">
        <v>1</v>
      </c>
      <c r="F14" s="7">
        <v>1000000</v>
      </c>
      <c r="G14" s="8">
        <f>+C14*D14*E14*F14</f>
        <v>6000000</v>
      </c>
      <c r="H14" s="6">
        <v>1</v>
      </c>
      <c r="I14" s="7">
        <v>400000</v>
      </c>
      <c r="J14" s="11">
        <f>+C14*D14*H14*I14</f>
        <v>2400000</v>
      </c>
      <c r="K14" s="6">
        <v>1</v>
      </c>
      <c r="L14" s="7">
        <v>1000000</v>
      </c>
      <c r="M14" s="11">
        <f>+C14*D14*K14*L14</f>
        <v>6000000</v>
      </c>
      <c r="N14" s="6">
        <v>1</v>
      </c>
      <c r="O14" s="7">
        <v>850000</v>
      </c>
      <c r="P14" s="11">
        <f>+C14*D14*N14*O14</f>
        <v>5100000</v>
      </c>
      <c r="Q14" s="6">
        <v>1</v>
      </c>
      <c r="R14" s="7">
        <v>8000000</v>
      </c>
      <c r="S14" s="57">
        <f>+C14*D14*Q14*R14</f>
        <v>48000000</v>
      </c>
      <c r="T14" s="164">
        <v>1</v>
      </c>
      <c r="U14" s="7">
        <v>1000000</v>
      </c>
      <c r="V14" s="26">
        <f>+C14*D14*T14*U14</f>
        <v>6000000</v>
      </c>
    </row>
    <row r="15" spans="1:22" x14ac:dyDescent="0.25">
      <c r="B15" s="23"/>
      <c r="C15" s="2"/>
      <c r="D15" s="39"/>
      <c r="E15" s="20"/>
      <c r="F15" s="2"/>
      <c r="G15" s="9">
        <f>SUM(G13:G14)</f>
        <v>30600000</v>
      </c>
      <c r="H15" s="2"/>
      <c r="I15" s="11"/>
      <c r="J15" s="10">
        <f>SUM(J13:J14)</f>
        <v>7200000</v>
      </c>
      <c r="K15" s="2"/>
      <c r="L15" s="2"/>
      <c r="M15" s="10">
        <f>SUM(M13:M14)</f>
        <v>30000000</v>
      </c>
      <c r="N15" s="2"/>
      <c r="O15" s="2"/>
      <c r="P15" s="10">
        <f>SUM(P13:P14)</f>
        <v>29100000</v>
      </c>
      <c r="Q15" s="2"/>
      <c r="R15" s="2"/>
      <c r="S15" s="56">
        <f>SUM(S13:S14)</f>
        <v>78000000</v>
      </c>
      <c r="T15" s="23"/>
      <c r="U15" s="2"/>
      <c r="V15" s="25">
        <f>SUM(V13:V14)</f>
        <v>21000000</v>
      </c>
    </row>
    <row r="16" spans="1:22" ht="16.5" thickBot="1" x14ac:dyDescent="0.3">
      <c r="B16" s="49" t="s">
        <v>16</v>
      </c>
      <c r="C16" s="50"/>
      <c r="D16" s="51"/>
      <c r="E16" s="35"/>
      <c r="F16" s="4"/>
      <c r="G16" s="4"/>
      <c r="H16" s="226" t="s">
        <v>16</v>
      </c>
      <c r="I16" s="226"/>
      <c r="J16" s="226"/>
      <c r="K16" s="226" t="s">
        <v>16</v>
      </c>
      <c r="L16" s="226"/>
      <c r="M16" s="226"/>
      <c r="N16" s="226" t="s">
        <v>16</v>
      </c>
      <c r="O16" s="226"/>
      <c r="P16" s="226"/>
      <c r="Q16" s="226" t="s">
        <v>16</v>
      </c>
      <c r="R16" s="226"/>
      <c r="S16" s="228"/>
      <c r="T16" s="269" t="s">
        <v>16</v>
      </c>
      <c r="U16" s="226"/>
      <c r="V16" s="270"/>
    </row>
    <row r="17" spans="2:22" x14ac:dyDescent="0.25">
      <c r="B17" s="271" t="s">
        <v>14</v>
      </c>
      <c r="C17" s="272"/>
      <c r="D17" s="273"/>
      <c r="E17" s="19">
        <v>0.02</v>
      </c>
      <c r="F17" s="12">
        <v>61700000</v>
      </c>
      <c r="G17" s="13">
        <f>+E17*F17</f>
        <v>1234000</v>
      </c>
      <c r="H17" s="6">
        <v>0.08</v>
      </c>
      <c r="I17" s="7">
        <v>78500000</v>
      </c>
      <c r="J17" s="7">
        <f>+H17*I17</f>
        <v>6280000</v>
      </c>
      <c r="K17" s="6">
        <v>1</v>
      </c>
      <c r="L17" s="7">
        <v>77300000</v>
      </c>
      <c r="M17" s="7">
        <f>+K17*L17</f>
        <v>77300000</v>
      </c>
      <c r="N17" s="6">
        <v>0.02</v>
      </c>
      <c r="O17" s="7">
        <v>64050000</v>
      </c>
      <c r="P17" s="7">
        <f>+N17*O17</f>
        <v>1281000</v>
      </c>
      <c r="Q17" s="6">
        <v>0.1</v>
      </c>
      <c r="R17" s="7">
        <v>86600000</v>
      </c>
      <c r="S17" s="55">
        <f>+Q17*R17</f>
        <v>8660000</v>
      </c>
      <c r="T17" s="164">
        <v>0.15</v>
      </c>
      <c r="U17" s="7">
        <v>52250000</v>
      </c>
      <c r="V17" s="24">
        <f>+T17*U17</f>
        <v>7837500</v>
      </c>
    </row>
    <row r="18" spans="2:22" ht="16.5" thickBot="1" x14ac:dyDescent="0.3">
      <c r="B18" s="274" t="s">
        <v>15</v>
      </c>
      <c r="C18" s="275"/>
      <c r="D18" s="276"/>
      <c r="E18" s="19">
        <v>0.03</v>
      </c>
      <c r="F18" s="12">
        <v>61700000</v>
      </c>
      <c r="G18" s="13">
        <f>+E18*F18</f>
        <v>1851000</v>
      </c>
      <c r="H18" s="6">
        <v>0.04</v>
      </c>
      <c r="I18" s="7">
        <v>78500000</v>
      </c>
      <c r="J18" s="7">
        <f>+H18*I18</f>
        <v>3140000</v>
      </c>
      <c r="K18" s="6">
        <v>0.1</v>
      </c>
      <c r="L18" s="7">
        <v>77300000</v>
      </c>
      <c r="M18" s="7">
        <f>+K18*L18</f>
        <v>7730000</v>
      </c>
      <c r="N18" s="6">
        <v>0.03</v>
      </c>
      <c r="O18" s="7">
        <v>64050000</v>
      </c>
      <c r="P18" s="7">
        <f>+N18*O18</f>
        <v>1921500</v>
      </c>
      <c r="Q18" s="6">
        <v>0.05</v>
      </c>
      <c r="R18" s="7">
        <v>86600000</v>
      </c>
      <c r="S18" s="55">
        <f>+Q18*R18</f>
        <v>4330000</v>
      </c>
      <c r="T18" s="164">
        <v>0.05</v>
      </c>
      <c r="U18" s="7">
        <v>52250000</v>
      </c>
      <c r="V18" s="24">
        <f>+T18*U18</f>
        <v>2612500</v>
      </c>
    </row>
    <row r="19" spans="2:22" x14ac:dyDescent="0.25">
      <c r="B19" s="42"/>
      <c r="C19" s="52"/>
      <c r="D19" s="53"/>
      <c r="E19" s="20"/>
      <c r="F19" s="2"/>
      <c r="G19" s="14">
        <f>SUM(G17:G18)</f>
        <v>3085000</v>
      </c>
      <c r="H19" s="2"/>
      <c r="I19" s="2"/>
      <c r="J19" s="10">
        <f>SUM(J17:J18)</f>
        <v>9420000</v>
      </c>
      <c r="K19" s="2"/>
      <c r="L19" s="2"/>
      <c r="M19" s="10">
        <f>SUM(M17:M18)</f>
        <v>85030000</v>
      </c>
      <c r="N19" s="2"/>
      <c r="O19" s="2"/>
      <c r="P19" s="10">
        <f>SUM(P17:P18)</f>
        <v>3202500</v>
      </c>
      <c r="Q19" s="2"/>
      <c r="R19" s="2"/>
      <c r="S19" s="56">
        <f>SUM(S17:S18)</f>
        <v>12990000</v>
      </c>
      <c r="T19" s="23"/>
      <c r="U19" s="2"/>
      <c r="V19" s="25">
        <f>SUM(V17:V18)</f>
        <v>10450000</v>
      </c>
    </row>
    <row r="20" spans="2:22" s="18" customFormat="1" x14ac:dyDescent="0.25">
      <c r="B20" s="27" t="s">
        <v>17</v>
      </c>
      <c r="C20" s="4"/>
      <c r="D20" s="40"/>
      <c r="E20" s="35"/>
      <c r="F20" s="4"/>
      <c r="G20" s="16">
        <f>+G11+G15+G19</f>
        <v>95385000</v>
      </c>
      <c r="H20" s="267" t="s">
        <v>17</v>
      </c>
      <c r="I20" s="267"/>
      <c r="J20" s="15">
        <f>+J11+J15+J19</f>
        <v>95120000</v>
      </c>
      <c r="K20" s="267" t="s">
        <v>17</v>
      </c>
      <c r="L20" s="267"/>
      <c r="M20" s="15">
        <f>+M11+M15+M19</f>
        <v>192330000</v>
      </c>
      <c r="N20" s="267" t="s">
        <v>17</v>
      </c>
      <c r="O20" s="267"/>
      <c r="P20" s="15">
        <f>+P11+P15+P19</f>
        <v>96352500</v>
      </c>
      <c r="Q20" s="267" t="s">
        <v>17</v>
      </c>
      <c r="R20" s="267"/>
      <c r="S20" s="58">
        <f>+S11+S15+S19</f>
        <v>177590000</v>
      </c>
      <c r="T20" s="268" t="s">
        <v>17</v>
      </c>
      <c r="U20" s="267"/>
      <c r="V20" s="29">
        <f>+V11+V15+V19</f>
        <v>83700000</v>
      </c>
    </row>
    <row r="21" spans="2:22" s="18" customFormat="1" x14ac:dyDescent="0.25">
      <c r="B21" s="27" t="s">
        <v>18</v>
      </c>
      <c r="C21" s="4"/>
      <c r="D21" s="40"/>
      <c r="E21" s="35"/>
      <c r="F21" s="4"/>
      <c r="G21" s="17">
        <f>+G20*0.19</f>
        <v>18123150</v>
      </c>
      <c r="H21" s="267" t="s">
        <v>18</v>
      </c>
      <c r="I21" s="267"/>
      <c r="J21" s="17">
        <f>+J20*0.19</f>
        <v>18072800</v>
      </c>
      <c r="K21" s="267" t="s">
        <v>18</v>
      </c>
      <c r="L21" s="267"/>
      <c r="M21" s="17">
        <f>+M20*0.19</f>
        <v>36542700</v>
      </c>
      <c r="N21" s="267" t="s">
        <v>18</v>
      </c>
      <c r="O21" s="267"/>
      <c r="P21" s="17">
        <f>+P20*0.19</f>
        <v>18306975</v>
      </c>
      <c r="Q21" s="267" t="s">
        <v>18</v>
      </c>
      <c r="R21" s="267"/>
      <c r="S21" s="59">
        <f>+S20*0.19</f>
        <v>33742100</v>
      </c>
      <c r="T21" s="268" t="s">
        <v>18</v>
      </c>
      <c r="U21" s="267"/>
      <c r="V21" s="30">
        <f>+V20*0.19</f>
        <v>15903000</v>
      </c>
    </row>
    <row r="22" spans="2:22" s="18" customFormat="1" ht="16.5" thickBot="1" x14ac:dyDescent="0.3">
      <c r="B22" s="31" t="s">
        <v>19</v>
      </c>
      <c r="C22" s="32"/>
      <c r="D22" s="41"/>
      <c r="E22" s="36"/>
      <c r="F22" s="32"/>
      <c r="G22" s="33">
        <f>+G20+G21</f>
        <v>113508150</v>
      </c>
      <c r="H22" s="275" t="s">
        <v>19</v>
      </c>
      <c r="I22" s="275"/>
      <c r="J22" s="33">
        <f>+J20+J21</f>
        <v>113192800</v>
      </c>
      <c r="K22" s="275" t="s">
        <v>19</v>
      </c>
      <c r="L22" s="275"/>
      <c r="M22" s="33">
        <f>+M20+M21</f>
        <v>228872700</v>
      </c>
      <c r="N22" s="275" t="s">
        <v>19</v>
      </c>
      <c r="O22" s="275"/>
      <c r="P22" s="33">
        <f>+P20+P21</f>
        <v>114659475</v>
      </c>
      <c r="Q22" s="275" t="s">
        <v>19</v>
      </c>
      <c r="R22" s="275"/>
      <c r="S22" s="163">
        <f>+S20+S21</f>
        <v>211332100</v>
      </c>
      <c r="T22" s="274" t="s">
        <v>19</v>
      </c>
      <c r="U22" s="275"/>
      <c r="V22" s="34">
        <f>+V20+V21</f>
        <v>99603000</v>
      </c>
    </row>
    <row r="25" spans="2:22" x14ac:dyDescent="0.25">
      <c r="T25" s="1"/>
    </row>
  </sheetData>
  <mergeCells count="29">
    <mergeCell ref="H22:I22"/>
    <mergeCell ref="K22:L22"/>
    <mergeCell ref="N22:O22"/>
    <mergeCell ref="Q22:R22"/>
    <mergeCell ref="T22:U22"/>
    <mergeCell ref="H21:I21"/>
    <mergeCell ref="K21:L21"/>
    <mergeCell ref="N21:O21"/>
    <mergeCell ref="Q21:R21"/>
    <mergeCell ref="T21:U21"/>
    <mergeCell ref="B17:D17"/>
    <mergeCell ref="B18:D18"/>
    <mergeCell ref="H20:I20"/>
    <mergeCell ref="K20:L20"/>
    <mergeCell ref="N20:O20"/>
    <mergeCell ref="Q20:R20"/>
    <mergeCell ref="T20:U20"/>
    <mergeCell ref="H16:J16"/>
    <mergeCell ref="K16:M16"/>
    <mergeCell ref="N16:P16"/>
    <mergeCell ref="Q16:S16"/>
    <mergeCell ref="T16:V16"/>
    <mergeCell ref="E2:V2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60B0B-C78E-5E49-ACF4-951F3E30B559}">
  <dimension ref="A1:BB45"/>
  <sheetViews>
    <sheetView tabSelected="1" topLeftCell="AT4" zoomScale="91" zoomScaleNormal="91" workbookViewId="0">
      <selection activeCell="F15" sqref="F15"/>
    </sheetView>
  </sheetViews>
  <sheetFormatPr baseColWidth="10" defaultRowHeight="15.75" x14ac:dyDescent="0.25"/>
  <cols>
    <col min="1" max="1" width="0" style="92" hidden="1" customWidth="1"/>
    <col min="2" max="2" width="19.125" style="92" customWidth="1"/>
    <col min="3" max="3" width="7.875" style="92" customWidth="1"/>
    <col min="4" max="5" width="10.875" style="92" customWidth="1"/>
    <col min="6" max="6" width="14" style="92" customWidth="1"/>
    <col min="7" max="7" width="16" style="92" customWidth="1"/>
    <col min="8" max="8" width="11.625" style="92" customWidth="1"/>
    <col min="9" max="9" width="15" style="92" customWidth="1"/>
    <col min="10" max="10" width="16" style="92" customWidth="1"/>
    <col min="11" max="11" width="13.125" style="92" customWidth="1"/>
    <col min="12" max="12" width="16" style="92" customWidth="1"/>
    <col min="13" max="13" width="17.375" style="92" customWidth="1"/>
    <col min="14" max="14" width="14.375" style="92" customWidth="1"/>
    <col min="15" max="15" width="16.375" style="92" customWidth="1"/>
    <col min="16" max="16" width="18.125" style="92" customWidth="1"/>
    <col min="17" max="17" width="14.375" style="92" customWidth="1"/>
    <col min="18" max="18" width="15.5" style="92" customWidth="1"/>
    <col min="19" max="19" width="15.875" style="92" customWidth="1"/>
    <col min="20" max="20" width="17" style="92" customWidth="1"/>
    <col min="21" max="21" width="15" style="92" customWidth="1"/>
    <col min="22" max="22" width="18.375" style="92" customWidth="1"/>
    <col min="23" max="23" width="19.375" style="92" customWidth="1"/>
    <col min="24" max="24" width="21.125" style="92" customWidth="1"/>
    <col min="25" max="25" width="18.375" style="92" customWidth="1"/>
    <col min="26" max="26" width="13.625" style="92" customWidth="1"/>
    <col min="27" max="27" width="21.125" style="92" customWidth="1"/>
    <col min="28" max="28" width="18.375" style="92" customWidth="1"/>
    <col min="29" max="29" width="10.875" style="92" customWidth="1"/>
    <col min="30" max="30" width="21.5" style="92" customWidth="1"/>
    <col min="31" max="31" width="19.625" style="92" customWidth="1"/>
    <col min="32" max="32" width="18.875" style="92" customWidth="1"/>
    <col min="33" max="33" width="21.625" style="92" customWidth="1"/>
    <col min="34" max="35" width="15" style="92" customWidth="1"/>
    <col min="36" max="36" width="15.5" style="92" customWidth="1"/>
    <col min="37" max="37" width="15.375" style="92" customWidth="1"/>
    <col min="38" max="38" width="16" style="92" customWidth="1"/>
    <col min="39" max="39" width="15" style="92" customWidth="1"/>
    <col min="40" max="40" width="18.375" style="92" customWidth="1"/>
    <col min="41" max="41" width="15" style="92" customWidth="1"/>
    <col min="42" max="42" width="16" style="92" customWidth="1"/>
    <col min="43" max="43" width="14.875" style="92" customWidth="1"/>
    <col min="44" max="45" width="20.125" style="92" customWidth="1"/>
    <col min="46" max="46" width="18.375" style="92" customWidth="1"/>
    <col min="47" max="47" width="21.125" style="92" customWidth="1"/>
    <col min="48" max="48" width="22.375" style="92" customWidth="1"/>
    <col min="49" max="49" width="11" style="92" customWidth="1"/>
    <col min="50" max="50" width="22" style="92" bestFit="1" customWidth="1"/>
    <col min="51" max="51" width="15.25" style="92" customWidth="1"/>
    <col min="52" max="52" width="11" style="92"/>
    <col min="53" max="53" width="20.875" style="92" bestFit="1" customWidth="1"/>
    <col min="54" max="54" width="13.875" style="92" bestFit="1" customWidth="1"/>
    <col min="55" max="16384" width="11" style="92"/>
  </cols>
  <sheetData>
    <row r="1" spans="1:54" hidden="1" x14ac:dyDescent="0.25"/>
    <row r="2" spans="1:54" ht="16.5" thickBot="1" x14ac:dyDescent="0.3">
      <c r="E2" s="306" t="s">
        <v>31</v>
      </c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283"/>
      <c r="U2" s="283"/>
      <c r="V2" s="283"/>
      <c r="AF2" s="92" t="s">
        <v>51</v>
      </c>
    </row>
    <row r="3" spans="1:54" ht="16.5" thickBot="1" x14ac:dyDescent="0.3">
      <c r="B3" s="222" t="s">
        <v>82</v>
      </c>
      <c r="C3" s="93"/>
      <c r="D3" s="93"/>
      <c r="E3" s="310" t="s">
        <v>20</v>
      </c>
      <c r="F3" s="310"/>
      <c r="G3" s="310"/>
      <c r="H3" s="295" t="s">
        <v>21</v>
      </c>
      <c r="I3" s="295"/>
      <c r="J3" s="295"/>
      <c r="K3" s="310" t="s">
        <v>22</v>
      </c>
      <c r="L3" s="310"/>
      <c r="M3" s="310"/>
      <c r="N3" s="295" t="s">
        <v>23</v>
      </c>
      <c r="O3" s="295"/>
      <c r="P3" s="295"/>
      <c r="Q3" s="310" t="s">
        <v>24</v>
      </c>
      <c r="R3" s="310"/>
      <c r="S3" s="311"/>
      <c r="T3" s="297" t="s">
        <v>25</v>
      </c>
      <c r="U3" s="298"/>
      <c r="V3" s="299"/>
      <c r="W3" s="307" t="s">
        <v>28</v>
      </c>
      <c r="X3" s="308"/>
      <c r="Y3" s="309"/>
      <c r="Z3" s="303" t="s">
        <v>29</v>
      </c>
      <c r="AA3" s="304"/>
      <c r="AB3" s="305"/>
      <c r="AC3" s="307" t="s">
        <v>30</v>
      </c>
      <c r="AD3" s="308"/>
      <c r="AE3" s="309"/>
      <c r="AF3" s="70" t="s">
        <v>32</v>
      </c>
      <c r="AG3" s="71" t="s">
        <v>33</v>
      </c>
      <c r="AH3" s="72" t="s">
        <v>38</v>
      </c>
      <c r="AI3" s="73" t="s">
        <v>34</v>
      </c>
      <c r="AJ3" s="73" t="s">
        <v>35</v>
      </c>
      <c r="AK3" s="73" t="s">
        <v>36</v>
      </c>
      <c r="AL3" s="73" t="s">
        <v>37</v>
      </c>
      <c r="AM3" s="73" t="s">
        <v>39</v>
      </c>
      <c r="AN3" s="73" t="s">
        <v>40</v>
      </c>
      <c r="AO3" s="73" t="s">
        <v>41</v>
      </c>
      <c r="AP3" s="73" t="s">
        <v>42</v>
      </c>
      <c r="AQ3" s="74" t="s">
        <v>52</v>
      </c>
      <c r="AR3" s="75" t="s">
        <v>43</v>
      </c>
      <c r="AS3" s="76" t="s">
        <v>48</v>
      </c>
      <c r="AT3" s="279" t="s">
        <v>49</v>
      </c>
      <c r="AU3" s="280"/>
      <c r="AV3" s="281"/>
      <c r="AW3" s="279" t="s">
        <v>50</v>
      </c>
      <c r="AX3" s="280"/>
      <c r="AY3" s="281"/>
    </row>
    <row r="4" spans="1:54" ht="16.5" thickBot="1" x14ac:dyDescent="0.3">
      <c r="A4" s="94"/>
      <c r="B4" s="61" t="s">
        <v>5</v>
      </c>
      <c r="C4" s="62" t="s">
        <v>6</v>
      </c>
      <c r="D4" s="158" t="s">
        <v>7</v>
      </c>
      <c r="E4" s="66" t="s">
        <v>8</v>
      </c>
      <c r="F4" s="65" t="s">
        <v>9</v>
      </c>
      <c r="G4" s="65" t="s">
        <v>10</v>
      </c>
      <c r="H4" s="65" t="s">
        <v>8</v>
      </c>
      <c r="I4" s="65" t="s">
        <v>9</v>
      </c>
      <c r="J4" s="65" t="s">
        <v>10</v>
      </c>
      <c r="K4" s="65" t="s">
        <v>8</v>
      </c>
      <c r="L4" s="65" t="s">
        <v>9</v>
      </c>
      <c r="M4" s="65" t="s">
        <v>10</v>
      </c>
      <c r="N4" s="65" t="s">
        <v>8</v>
      </c>
      <c r="O4" s="65" t="s">
        <v>9</v>
      </c>
      <c r="P4" s="65" t="s">
        <v>10</v>
      </c>
      <c r="Q4" s="65" t="s">
        <v>8</v>
      </c>
      <c r="R4" s="65" t="s">
        <v>9</v>
      </c>
      <c r="S4" s="64" t="s">
        <v>10</v>
      </c>
      <c r="T4" s="66" t="s">
        <v>8</v>
      </c>
      <c r="U4" s="65" t="s">
        <v>9</v>
      </c>
      <c r="V4" s="67" t="s">
        <v>10</v>
      </c>
      <c r="W4" s="63" t="s">
        <v>8</v>
      </c>
      <c r="X4" s="65" t="s">
        <v>26</v>
      </c>
      <c r="Y4" s="64" t="s">
        <v>27</v>
      </c>
      <c r="Z4" s="63" t="s">
        <v>8</v>
      </c>
      <c r="AA4" s="65" t="s">
        <v>26</v>
      </c>
      <c r="AB4" s="64" t="s">
        <v>27</v>
      </c>
      <c r="AC4" s="63" t="s">
        <v>8</v>
      </c>
      <c r="AD4" s="65" t="s">
        <v>26</v>
      </c>
      <c r="AE4" s="64" t="s">
        <v>27</v>
      </c>
      <c r="AF4" s="68"/>
      <c r="AG4" s="68"/>
      <c r="AH4" s="95"/>
      <c r="AI4" s="69"/>
      <c r="AJ4" s="69"/>
      <c r="AK4" s="69"/>
      <c r="AL4" s="69"/>
      <c r="AM4" s="69"/>
      <c r="AN4" s="69"/>
      <c r="AO4" s="69"/>
      <c r="AP4" s="69"/>
      <c r="AQ4" s="83"/>
      <c r="AR4" s="96"/>
      <c r="AS4" s="97"/>
      <c r="AT4" s="63" t="s">
        <v>8</v>
      </c>
      <c r="AU4" s="65" t="s">
        <v>26</v>
      </c>
      <c r="AV4" s="64" t="s">
        <v>27</v>
      </c>
      <c r="AW4" s="63" t="s">
        <v>8</v>
      </c>
      <c r="AX4" s="65" t="s">
        <v>26</v>
      </c>
      <c r="AY4" s="64" t="s">
        <v>27</v>
      </c>
      <c r="BA4" s="277" t="s">
        <v>53</v>
      </c>
      <c r="BB4" s="278"/>
    </row>
    <row r="5" spans="1:54" ht="16.5" thickBot="1" x14ac:dyDescent="0.3">
      <c r="B5" s="121" t="s">
        <v>0</v>
      </c>
      <c r="C5" s="77">
        <v>1</v>
      </c>
      <c r="D5" s="78">
        <v>7</v>
      </c>
      <c r="E5" s="79">
        <v>0.5</v>
      </c>
      <c r="F5" s="98">
        <v>5000000</v>
      </c>
      <c r="G5" s="99">
        <f>+C5*D5*E5*F5</f>
        <v>17500000</v>
      </c>
      <c r="H5" s="80">
        <v>0.5</v>
      </c>
      <c r="I5" s="98">
        <v>6000000</v>
      </c>
      <c r="J5" s="98">
        <f>+C5*D5*H5*I5</f>
        <v>21000000</v>
      </c>
      <c r="K5" s="80">
        <v>0.5</v>
      </c>
      <c r="L5" s="98">
        <v>7000000</v>
      </c>
      <c r="M5" s="98">
        <f>+C5*D5*K5*L5</f>
        <v>24500000</v>
      </c>
      <c r="N5" s="80">
        <v>0.5</v>
      </c>
      <c r="O5" s="98">
        <v>5300000</v>
      </c>
      <c r="P5" s="98">
        <f>+C5*D5*N5*O5</f>
        <v>18550000</v>
      </c>
      <c r="Q5" s="80">
        <v>0.5</v>
      </c>
      <c r="R5" s="98">
        <v>5000000</v>
      </c>
      <c r="S5" s="100">
        <f>+C5*D5*Q5*R5</f>
        <v>17500000</v>
      </c>
      <c r="T5" s="79">
        <v>0.5</v>
      </c>
      <c r="U5" s="98">
        <v>3500000</v>
      </c>
      <c r="V5" s="101">
        <f>+C5*D5*T5*U5</f>
        <v>12250000</v>
      </c>
      <c r="W5" s="81">
        <v>0.5</v>
      </c>
      <c r="X5" s="102">
        <f>AVERAGE(F5,I5,L5,O5,R5,U5)</f>
        <v>5300000</v>
      </c>
      <c r="Y5" s="103">
        <f>+C5*D5*W5*X5</f>
        <v>18550000</v>
      </c>
      <c r="Z5" s="81">
        <v>0.5</v>
      </c>
      <c r="AA5" s="102">
        <f>MEDIAN(F5,I5,L5,O5,R5,U5)</f>
        <v>5150000</v>
      </c>
      <c r="AB5" s="103">
        <f>C5*D5*Z5*AA5</f>
        <v>18025000</v>
      </c>
      <c r="AC5" s="81">
        <v>0.5</v>
      </c>
      <c r="AD5" s="102">
        <f>_xlfn.MODE.SNGL(F5,I5,L5,O5,R5,U5)</f>
        <v>5000000</v>
      </c>
      <c r="AE5" s="103">
        <f>C5*D5*AC5*AD5</f>
        <v>17500000</v>
      </c>
      <c r="AF5" s="104">
        <f>STDEV(F5,I5,L5,O5,R5,U5)</f>
        <v>1166190.37896906</v>
      </c>
      <c r="AG5" s="82">
        <f>AF5/X5</f>
        <v>0.22003592056019999</v>
      </c>
      <c r="AH5" s="105">
        <f>QUARTILE((F5:F5,I5:I5,L5:L5,O5:O5,R5:R5,U5:U5),0)</f>
        <v>3500000</v>
      </c>
      <c r="AI5" s="98">
        <f>QUARTILE((F5:F5,I5:I5,L5:L5,O5:O5,R5:R5,U5:U5),1)</f>
        <v>5000000</v>
      </c>
      <c r="AJ5" s="98">
        <f>QUARTILE((F5:F5,I5:I5,L5:L5,O5:O5,R5:R5,U5:U5),2)</f>
        <v>5150000</v>
      </c>
      <c r="AK5" s="98">
        <f>QUARTILE((F5:F5,I5:I5,L5:L5,O5:O5,R5:R5,U5:U5),3)</f>
        <v>5825000</v>
      </c>
      <c r="AL5" s="98">
        <f>QUARTILE((F5:F5,I5:I5,L5:L5,O5:O5,R5:R5,U5:U5),4)</f>
        <v>7000000</v>
      </c>
      <c r="AM5" s="99">
        <f>+AL5-AH5</f>
        <v>3500000</v>
      </c>
      <c r="AN5" s="99">
        <f>+AK5-AI5</f>
        <v>825000</v>
      </c>
      <c r="AO5" s="99">
        <f>AI5-(AN5*1.5)</f>
        <v>3762500</v>
      </c>
      <c r="AP5" s="99">
        <f>AK5+(AN5*1.5)</f>
        <v>7062500</v>
      </c>
      <c r="AQ5" s="100">
        <f>TRIMMEAN((F5:F5,I5:I5,L5:L5,O5:O5,R5:R5,U5:U5),10%)</f>
        <v>5300000</v>
      </c>
      <c r="AR5" s="106">
        <f>TRIMMEAN((F5:F5,I5:I5,U5:U5),10%)</f>
        <v>4833333.333333333</v>
      </c>
      <c r="AS5" s="107">
        <f>HARMEAN(F5,I5,L5,O5,R5,U5)</f>
        <v>5067921.378158913</v>
      </c>
      <c r="AT5" s="81">
        <v>0.5</v>
      </c>
      <c r="AU5" s="102">
        <f>+AR5</f>
        <v>4833333.333333333</v>
      </c>
      <c r="AV5" s="103">
        <f t="shared" ref="AV5:AV10" si="0">+C5*D5*AT5*AU5</f>
        <v>16916666.666666664</v>
      </c>
      <c r="AW5" s="81">
        <v>0.5</v>
      </c>
      <c r="AX5" s="102">
        <f t="shared" ref="AX5:AX10" si="1">+AS5</f>
        <v>5067921.378158913</v>
      </c>
      <c r="AY5" s="103">
        <f>C5*D5*AW5*AX5</f>
        <v>17737724.823556196</v>
      </c>
      <c r="BA5" s="159" t="s">
        <v>5</v>
      </c>
      <c r="BB5" s="161">
        <f>SUM(AY5:AY10)</f>
        <v>66468367.033917427</v>
      </c>
    </row>
    <row r="6" spans="1:54" ht="16.5" thickBot="1" x14ac:dyDescent="0.3">
      <c r="B6" s="23" t="s">
        <v>83</v>
      </c>
      <c r="C6" s="69">
        <v>1</v>
      </c>
      <c r="D6" s="83">
        <v>6</v>
      </c>
      <c r="E6" s="79">
        <v>1</v>
      </c>
      <c r="F6" s="98">
        <v>3500000</v>
      </c>
      <c r="G6" s="99">
        <f t="shared" ref="G6:G10" si="2">+C6*D6*E6*F6</f>
        <v>21000000</v>
      </c>
      <c r="H6" s="80">
        <v>1</v>
      </c>
      <c r="I6" s="98">
        <v>3800000</v>
      </c>
      <c r="J6" s="98">
        <f t="shared" ref="J6:J10" si="3">+C6*D6*H6*I6</f>
        <v>22800000</v>
      </c>
      <c r="K6" s="80">
        <v>1</v>
      </c>
      <c r="L6" s="98">
        <v>4500000</v>
      </c>
      <c r="M6" s="98">
        <f t="shared" ref="M6:M10" si="4">+C6*D6*K6*L6</f>
        <v>27000000</v>
      </c>
      <c r="N6" s="80">
        <v>1</v>
      </c>
      <c r="O6" s="98">
        <v>3800000</v>
      </c>
      <c r="P6" s="98">
        <f t="shared" ref="P6:P10" si="5">+C6*D6*N6*O6</f>
        <v>22800000</v>
      </c>
      <c r="Q6" s="80">
        <v>1</v>
      </c>
      <c r="R6" s="98">
        <v>4500000</v>
      </c>
      <c r="S6" s="100">
        <f t="shared" ref="S6:S10" si="6">+C6*D6*Q6*R6</f>
        <v>27000000</v>
      </c>
      <c r="T6" s="79">
        <v>1</v>
      </c>
      <c r="U6" s="98">
        <v>2500000</v>
      </c>
      <c r="V6" s="101">
        <f t="shared" ref="V6:V10" si="7">+C6*D6*T6*U6</f>
        <v>15000000</v>
      </c>
      <c r="W6" s="81">
        <v>1</v>
      </c>
      <c r="X6" s="102">
        <f t="shared" ref="X6:X10" si="8">AVERAGE(F6,I6,L6,O6,R6,U6)</f>
        <v>3766666.6666666665</v>
      </c>
      <c r="Y6" s="103">
        <f t="shared" ref="Y6:Y10" si="9">+C6*D6*W6*X6</f>
        <v>22600000</v>
      </c>
      <c r="Z6" s="81">
        <v>1</v>
      </c>
      <c r="AA6" s="102">
        <f t="shared" ref="AA6:AA10" si="10">MEDIAN(F6,I6,L6,O6,R6,U6)</f>
        <v>3800000</v>
      </c>
      <c r="AB6" s="103">
        <f t="shared" ref="AB6:AB10" si="11">C6*D6*Z6*AA6</f>
        <v>22800000</v>
      </c>
      <c r="AC6" s="81">
        <v>1</v>
      </c>
      <c r="AD6" s="102">
        <f t="shared" ref="AD6:AD10" si="12">_xlfn.MODE.SNGL(F6,I6,L6,O6,R6,U6)</f>
        <v>3800000</v>
      </c>
      <c r="AE6" s="103">
        <f t="shared" ref="AE6:AE10" si="13">C6*D6*AC6*AD6</f>
        <v>22800000</v>
      </c>
      <c r="AF6" s="104">
        <f t="shared" ref="AF6:AF10" si="14">STDEV(F6,I6,L6,O6,R6,U6)</f>
        <v>742069.17916503293</v>
      </c>
      <c r="AG6" s="82">
        <f t="shared" ref="AG6:AG14" si="15">AF6/X6</f>
        <v>0.19700951659248664</v>
      </c>
      <c r="AH6" s="105">
        <f>QUARTILE((F6:F6,I6:I6,L6:L6,O6:O6,R6:R6,U6:U6),0)</f>
        <v>2500000</v>
      </c>
      <c r="AI6" s="98">
        <f>QUARTILE((F6:F6,I6:I6,L6:L6,O6:O6,R6:R6,U6:U6),1)</f>
        <v>3575000</v>
      </c>
      <c r="AJ6" s="98">
        <f>QUARTILE((F6:F6,I6:I6,L6:L6,O6:O6,R6:R6,U6:U6),2)</f>
        <v>3800000</v>
      </c>
      <c r="AK6" s="98">
        <f>QUARTILE((F6:F6,I6:I6,L6:L6,O6:O6,R6:R6,U6:U6),3)</f>
        <v>4325000</v>
      </c>
      <c r="AL6" s="98">
        <f>QUARTILE((F6:F6,I6:I6,L6:L6,O6:O6,R6:R6,U6:U6),4)</f>
        <v>4500000</v>
      </c>
      <c r="AM6" s="99">
        <f t="shared" ref="AM6:AM18" si="16">+AL6-AH6</f>
        <v>2000000</v>
      </c>
      <c r="AN6" s="99">
        <f t="shared" ref="AN6:AN18" si="17">+AK6-AI6</f>
        <v>750000</v>
      </c>
      <c r="AO6" s="99">
        <f t="shared" ref="AO6:AO18" si="18">AI6-(AN6*1.5)</f>
        <v>2450000</v>
      </c>
      <c r="AP6" s="99">
        <f t="shared" ref="AP6:AP18" si="19">AK6+(AN6*1.5)</f>
        <v>5450000</v>
      </c>
      <c r="AQ6" s="100">
        <f>TRIMMEAN((F6:F6,I6:I6,L6:L6,O6:O6,R6:R6,U6:U6),10%)</f>
        <v>3766666.6666666665</v>
      </c>
      <c r="AR6" s="106">
        <f>TRIMMEAN((F6:F6,I6:I6,U6:U6),10%)</f>
        <v>3266666.6666666665</v>
      </c>
      <c r="AS6" s="107">
        <f t="shared" ref="AS6:AS14" si="20">HARMEAN(F6,I6,L6,O6,R6,U6)</f>
        <v>3622150.4942505551</v>
      </c>
      <c r="AT6" s="81">
        <v>1</v>
      </c>
      <c r="AU6" s="102">
        <f t="shared" ref="AU6:AU10" si="21">+AR6</f>
        <v>3266666.6666666665</v>
      </c>
      <c r="AV6" s="103">
        <f t="shared" si="0"/>
        <v>19600000</v>
      </c>
      <c r="AW6" s="81">
        <v>1</v>
      </c>
      <c r="AX6" s="102">
        <f t="shared" si="1"/>
        <v>3622150.4942505551</v>
      </c>
      <c r="AY6" s="103">
        <f t="shared" ref="AY6:AY10" si="22">C6*D6*AW6*AX6</f>
        <v>21732902.965503331</v>
      </c>
      <c r="BA6" s="159" t="s">
        <v>55</v>
      </c>
      <c r="BB6" s="161">
        <f>SUM(AY13:AY14)</f>
        <v>19171675.37071627</v>
      </c>
    </row>
    <row r="7" spans="1:54" ht="16.5" thickBot="1" x14ac:dyDescent="0.3">
      <c r="B7" s="95" t="s">
        <v>1</v>
      </c>
      <c r="C7" s="69">
        <v>1</v>
      </c>
      <c r="D7" s="83">
        <v>6</v>
      </c>
      <c r="E7" s="79">
        <v>1</v>
      </c>
      <c r="F7" s="98">
        <v>2000000</v>
      </c>
      <c r="G7" s="99">
        <f t="shared" si="2"/>
        <v>12000000</v>
      </c>
      <c r="H7" s="80">
        <v>1</v>
      </c>
      <c r="I7" s="98">
        <v>3000000</v>
      </c>
      <c r="J7" s="98">
        <f t="shared" si="3"/>
        <v>18000000</v>
      </c>
      <c r="K7" s="80">
        <v>1</v>
      </c>
      <c r="L7" s="98">
        <v>2000000</v>
      </c>
      <c r="M7" s="98">
        <f t="shared" si="4"/>
        <v>12000000</v>
      </c>
      <c r="N7" s="80">
        <v>1</v>
      </c>
      <c r="O7" s="98">
        <v>2000000</v>
      </c>
      <c r="P7" s="98">
        <f t="shared" si="5"/>
        <v>12000000</v>
      </c>
      <c r="Q7" s="80">
        <v>1</v>
      </c>
      <c r="R7" s="98">
        <v>4500000</v>
      </c>
      <c r="S7" s="100">
        <f t="shared" si="6"/>
        <v>27000000</v>
      </c>
      <c r="T7" s="79">
        <v>1</v>
      </c>
      <c r="U7" s="98">
        <v>2500000</v>
      </c>
      <c r="V7" s="101">
        <f t="shared" si="7"/>
        <v>15000000</v>
      </c>
      <c r="W7" s="81">
        <v>1</v>
      </c>
      <c r="X7" s="102">
        <f t="shared" si="8"/>
        <v>2666666.6666666665</v>
      </c>
      <c r="Y7" s="103">
        <f t="shared" si="9"/>
        <v>16000000</v>
      </c>
      <c r="Z7" s="81">
        <v>1</v>
      </c>
      <c r="AA7" s="102">
        <f t="shared" si="10"/>
        <v>2250000</v>
      </c>
      <c r="AB7" s="103">
        <f t="shared" si="11"/>
        <v>13500000</v>
      </c>
      <c r="AC7" s="81">
        <v>1</v>
      </c>
      <c r="AD7" s="102">
        <f t="shared" si="12"/>
        <v>2000000</v>
      </c>
      <c r="AE7" s="103">
        <f t="shared" si="13"/>
        <v>12000000</v>
      </c>
      <c r="AF7" s="104">
        <f t="shared" si="14"/>
        <v>983192.08025017532</v>
      </c>
      <c r="AG7" s="82">
        <f t="shared" si="15"/>
        <v>0.36869703009381577</v>
      </c>
      <c r="AH7" s="105">
        <f>QUARTILE((F7:F7,I7:I7,L7:L7,O7:O7,R7:R7,U7:U7),0)</f>
        <v>2000000</v>
      </c>
      <c r="AI7" s="98">
        <f>QUARTILE((F7:F7,I7:I7,L7:L7,O7:O7,R7:R7,U7:U7),1)</f>
        <v>2000000</v>
      </c>
      <c r="AJ7" s="98">
        <f>QUARTILE((F7:F7,I7:I7,L7:L7,O7:O7,R7:R7,U7:U7),2)</f>
        <v>2250000</v>
      </c>
      <c r="AK7" s="98">
        <f>QUARTILE((F7:F7,I7:I7,L7:L7,O7:O7,R7:R7,U7:U7),3)</f>
        <v>2875000</v>
      </c>
      <c r="AL7" s="98">
        <f>QUARTILE((F7:F7,I7:I7,L7:L7,O7:O7,R7:R7,U7:U7),4)</f>
        <v>4500000</v>
      </c>
      <c r="AM7" s="99">
        <f t="shared" si="16"/>
        <v>2500000</v>
      </c>
      <c r="AN7" s="99">
        <f t="shared" si="17"/>
        <v>875000</v>
      </c>
      <c r="AO7" s="99">
        <f t="shared" si="18"/>
        <v>687500</v>
      </c>
      <c r="AP7" s="99">
        <f t="shared" si="19"/>
        <v>4187500</v>
      </c>
      <c r="AQ7" s="100">
        <f>TRIMMEAN((F7:F7,I7:I7,L7:L7,O7:O7,R7:R7,U7:U7),10%)</f>
        <v>2666666.6666666665</v>
      </c>
      <c r="AR7" s="106">
        <f>TRIMMEAN((F7:F7,I7:I7,U7:U7),10%)</f>
        <v>2500000</v>
      </c>
      <c r="AS7" s="107">
        <f t="shared" si="20"/>
        <v>2443438.9140271493</v>
      </c>
      <c r="AT7" s="81">
        <v>1</v>
      </c>
      <c r="AU7" s="102">
        <f t="shared" si="21"/>
        <v>2500000</v>
      </c>
      <c r="AV7" s="103">
        <f t="shared" si="0"/>
        <v>15000000</v>
      </c>
      <c r="AW7" s="81">
        <v>1</v>
      </c>
      <c r="AX7" s="102">
        <f t="shared" si="1"/>
        <v>2443438.9140271493</v>
      </c>
      <c r="AY7" s="103">
        <f t="shared" si="22"/>
        <v>14660633.484162897</v>
      </c>
      <c r="BA7" s="160" t="s">
        <v>54</v>
      </c>
      <c r="BB7" s="162">
        <f>SUM(BB5:BB6)</f>
        <v>85640042.404633701</v>
      </c>
    </row>
    <row r="8" spans="1:54" x14ac:dyDescent="0.25">
      <c r="B8" s="95" t="s">
        <v>2</v>
      </c>
      <c r="C8" s="69">
        <v>1</v>
      </c>
      <c r="D8" s="83">
        <v>2</v>
      </c>
      <c r="E8" s="79">
        <v>0.3</v>
      </c>
      <c r="F8" s="98">
        <v>2000000</v>
      </c>
      <c r="G8" s="99">
        <f t="shared" si="2"/>
        <v>1200000</v>
      </c>
      <c r="H8" s="80">
        <v>0.3</v>
      </c>
      <c r="I8" s="98">
        <v>3000000</v>
      </c>
      <c r="J8" s="98">
        <f t="shared" si="3"/>
        <v>1800000</v>
      </c>
      <c r="K8" s="80">
        <v>0.3</v>
      </c>
      <c r="L8" s="98">
        <v>3000000</v>
      </c>
      <c r="M8" s="98">
        <f t="shared" si="4"/>
        <v>1800000</v>
      </c>
      <c r="N8" s="80">
        <v>0.3</v>
      </c>
      <c r="O8" s="98">
        <v>2000000</v>
      </c>
      <c r="P8" s="98">
        <f t="shared" si="5"/>
        <v>1200000</v>
      </c>
      <c r="Q8" s="80">
        <v>0.3</v>
      </c>
      <c r="R8" s="98">
        <v>3000000</v>
      </c>
      <c r="S8" s="100">
        <f t="shared" si="6"/>
        <v>1800000</v>
      </c>
      <c r="T8" s="79">
        <v>0.3</v>
      </c>
      <c r="U8" s="98">
        <v>2000000</v>
      </c>
      <c r="V8" s="101">
        <f t="shared" si="7"/>
        <v>1200000</v>
      </c>
      <c r="W8" s="81">
        <v>0.3</v>
      </c>
      <c r="X8" s="102">
        <f t="shared" si="8"/>
        <v>2500000</v>
      </c>
      <c r="Y8" s="103">
        <f t="shared" si="9"/>
        <v>1500000</v>
      </c>
      <c r="Z8" s="81">
        <v>0.3</v>
      </c>
      <c r="AA8" s="102">
        <f t="shared" si="10"/>
        <v>2500000</v>
      </c>
      <c r="AB8" s="103">
        <f t="shared" si="11"/>
        <v>1500000</v>
      </c>
      <c r="AC8" s="81">
        <v>0.3</v>
      </c>
      <c r="AD8" s="102">
        <f t="shared" si="12"/>
        <v>2000000</v>
      </c>
      <c r="AE8" s="103">
        <f t="shared" si="13"/>
        <v>1200000</v>
      </c>
      <c r="AF8" s="104">
        <f t="shared" si="14"/>
        <v>547722.55750516616</v>
      </c>
      <c r="AG8" s="82">
        <f t="shared" si="15"/>
        <v>0.21908902300206645</v>
      </c>
      <c r="AH8" s="105">
        <f>QUARTILE((F8:F8,I8:I8,L8:L8,O8:O8,R8:R8,U8:U8),0)</f>
        <v>2000000</v>
      </c>
      <c r="AI8" s="98">
        <f>QUARTILE((F8:F8,I8:I8,L8:L8,O8:O8,R8:R8,U8:U8),1)</f>
        <v>2000000</v>
      </c>
      <c r="AJ8" s="98">
        <f>QUARTILE((F8:F8,I8:I8,L8:L8,O8:O8,R8:R8,U8:U8),2)</f>
        <v>2500000</v>
      </c>
      <c r="AK8" s="98">
        <f>QUARTILE((F8:F8,I8:I8,L8:L8,O8:O8,R8:R8,U8:U8),3)</f>
        <v>3000000</v>
      </c>
      <c r="AL8" s="98">
        <f>QUARTILE((F8:F8,I8:I8,L8:L8,O8:O8,R8:R8,U8:U8),4)</f>
        <v>3000000</v>
      </c>
      <c r="AM8" s="99">
        <f t="shared" si="16"/>
        <v>1000000</v>
      </c>
      <c r="AN8" s="99">
        <f t="shared" si="17"/>
        <v>1000000</v>
      </c>
      <c r="AO8" s="99">
        <f t="shared" si="18"/>
        <v>500000</v>
      </c>
      <c r="AP8" s="99">
        <f t="shared" si="19"/>
        <v>4500000</v>
      </c>
      <c r="AQ8" s="100">
        <f>TRIMMEAN((F8:F8,I8:I8,L8:L8,O8:O8,R8:R8,U8:U8),10%)</f>
        <v>2500000</v>
      </c>
      <c r="AR8" s="106">
        <f>TRIMMEAN((F8:F8,I8:I8,U8:U8),10%)</f>
        <v>2333333.3333333335</v>
      </c>
      <c r="AS8" s="107">
        <f t="shared" si="20"/>
        <v>2400000.0000000005</v>
      </c>
      <c r="AT8" s="81">
        <v>0.3</v>
      </c>
      <c r="AU8" s="102">
        <f t="shared" si="21"/>
        <v>2333333.3333333335</v>
      </c>
      <c r="AV8" s="103">
        <f t="shared" si="0"/>
        <v>1400000</v>
      </c>
      <c r="AW8" s="81">
        <v>0.3</v>
      </c>
      <c r="AX8" s="102">
        <f t="shared" si="1"/>
        <v>2400000.0000000005</v>
      </c>
      <c r="AY8" s="103">
        <f t="shared" si="22"/>
        <v>1440000.0000000002</v>
      </c>
    </row>
    <row r="9" spans="1:54" x14ac:dyDescent="0.25">
      <c r="B9" s="95" t="s">
        <v>3</v>
      </c>
      <c r="C9" s="69">
        <v>1</v>
      </c>
      <c r="D9" s="83">
        <v>7</v>
      </c>
      <c r="E9" s="79">
        <v>0.5</v>
      </c>
      <c r="F9" s="98">
        <v>2000000</v>
      </c>
      <c r="G9" s="99">
        <f t="shared" si="2"/>
        <v>7000000</v>
      </c>
      <c r="H9" s="80">
        <v>0.5</v>
      </c>
      <c r="I9" s="98">
        <v>3000000</v>
      </c>
      <c r="J9" s="98">
        <f t="shared" si="3"/>
        <v>10500000</v>
      </c>
      <c r="K9" s="80">
        <v>0.5</v>
      </c>
      <c r="L9" s="98">
        <v>2000000</v>
      </c>
      <c r="M9" s="98">
        <f t="shared" si="4"/>
        <v>7000000</v>
      </c>
      <c r="N9" s="80">
        <v>0.5</v>
      </c>
      <c r="O9" s="98">
        <v>2000000</v>
      </c>
      <c r="P9" s="98">
        <f t="shared" si="5"/>
        <v>7000000</v>
      </c>
      <c r="Q9" s="80">
        <v>0.5</v>
      </c>
      <c r="R9" s="98">
        <v>2800000</v>
      </c>
      <c r="S9" s="100">
        <f t="shared" si="6"/>
        <v>9800000</v>
      </c>
      <c r="T9" s="79">
        <v>0.5</v>
      </c>
      <c r="U9" s="98">
        <v>1800000</v>
      </c>
      <c r="V9" s="101">
        <f t="shared" si="7"/>
        <v>6300000</v>
      </c>
      <c r="W9" s="81">
        <v>0.5</v>
      </c>
      <c r="X9" s="102">
        <f t="shared" si="8"/>
        <v>2266666.6666666665</v>
      </c>
      <c r="Y9" s="103">
        <f t="shared" si="9"/>
        <v>7933333.333333333</v>
      </c>
      <c r="Z9" s="81">
        <v>0.5</v>
      </c>
      <c r="AA9" s="102">
        <f t="shared" si="10"/>
        <v>2000000</v>
      </c>
      <c r="AB9" s="103">
        <f t="shared" si="11"/>
        <v>7000000</v>
      </c>
      <c r="AC9" s="81">
        <v>0.5</v>
      </c>
      <c r="AD9" s="102">
        <f t="shared" si="12"/>
        <v>2000000</v>
      </c>
      <c r="AE9" s="103">
        <f t="shared" si="13"/>
        <v>7000000</v>
      </c>
      <c r="AF9" s="104">
        <f t="shared" si="14"/>
        <v>500666.22281382873</v>
      </c>
      <c r="AG9" s="82">
        <f t="shared" si="15"/>
        <v>0.22088215712374798</v>
      </c>
      <c r="AH9" s="105">
        <f>QUARTILE((F9:F9,I9:I9,L9:L9,O9:O9,R9:R9,U9:U9),0)</f>
        <v>1800000</v>
      </c>
      <c r="AI9" s="98">
        <f>QUARTILE((F9:F9,I9:I9,L9:L9,O9:O9,R9:R9,U9:U9),1)</f>
        <v>2000000</v>
      </c>
      <c r="AJ9" s="98">
        <f>QUARTILE((F9:F9,I9:I9,L9:L9,O9:O9,R9:R9,U9:U9),2)</f>
        <v>2000000</v>
      </c>
      <c r="AK9" s="98">
        <f>QUARTILE((F9:F9,I9:I9,L9:L9,O9:O9,R9:R9,U9:U9),3)</f>
        <v>2600000</v>
      </c>
      <c r="AL9" s="98">
        <f>QUARTILE((F9:F9,I9:I9,L9:L9,O9:O9,R9:R9,U9:U9),4)</f>
        <v>3000000</v>
      </c>
      <c r="AM9" s="99">
        <f t="shared" si="16"/>
        <v>1200000</v>
      </c>
      <c r="AN9" s="99">
        <f t="shared" si="17"/>
        <v>600000</v>
      </c>
      <c r="AO9" s="99">
        <f t="shared" si="18"/>
        <v>1100000</v>
      </c>
      <c r="AP9" s="99">
        <f t="shared" si="19"/>
        <v>3500000</v>
      </c>
      <c r="AQ9" s="100">
        <f>TRIMMEAN((F9:F9,I9:I9,L9:L9,O9:O9,R9:R9,U9:U9),10%)</f>
        <v>2266666.6666666665</v>
      </c>
      <c r="AR9" s="106">
        <f>TRIMMEAN((F9:F9,I9:I9,U9:U9),10%)</f>
        <v>2266666.6666666665</v>
      </c>
      <c r="AS9" s="107">
        <f t="shared" si="20"/>
        <v>2184971.0982658961</v>
      </c>
      <c r="AT9" s="81">
        <v>0.5</v>
      </c>
      <c r="AU9" s="102">
        <f t="shared" si="21"/>
        <v>2266666.6666666665</v>
      </c>
      <c r="AV9" s="103">
        <f t="shared" si="0"/>
        <v>7933333.333333333</v>
      </c>
      <c r="AW9" s="81">
        <v>0.5</v>
      </c>
      <c r="AX9" s="102">
        <f t="shared" si="1"/>
        <v>2184971.0982658961</v>
      </c>
      <c r="AY9" s="103">
        <f t="shared" si="22"/>
        <v>7647398.8439306365</v>
      </c>
    </row>
    <row r="10" spans="1:54" x14ac:dyDescent="0.25">
      <c r="B10" s="95" t="s">
        <v>4</v>
      </c>
      <c r="C10" s="69">
        <v>1</v>
      </c>
      <c r="D10" s="83">
        <v>2</v>
      </c>
      <c r="E10" s="79">
        <v>0.5</v>
      </c>
      <c r="F10" s="98">
        <v>3000000</v>
      </c>
      <c r="G10" s="99">
        <f t="shared" si="2"/>
        <v>3000000</v>
      </c>
      <c r="H10" s="80">
        <v>0.5</v>
      </c>
      <c r="I10" s="98">
        <v>4400000</v>
      </c>
      <c r="J10" s="98">
        <f t="shared" si="3"/>
        <v>4400000</v>
      </c>
      <c r="K10" s="80">
        <v>0.5</v>
      </c>
      <c r="L10" s="98">
        <v>5000000</v>
      </c>
      <c r="M10" s="98">
        <f t="shared" si="4"/>
        <v>5000000</v>
      </c>
      <c r="N10" s="80">
        <v>0.5</v>
      </c>
      <c r="O10" s="98">
        <v>2500000</v>
      </c>
      <c r="P10" s="98">
        <f t="shared" si="5"/>
        <v>2500000</v>
      </c>
      <c r="Q10" s="80">
        <v>0.5</v>
      </c>
      <c r="R10" s="98">
        <v>3500000</v>
      </c>
      <c r="S10" s="100">
        <f t="shared" si="6"/>
        <v>3500000</v>
      </c>
      <c r="T10" s="79">
        <v>0.5</v>
      </c>
      <c r="U10" s="98">
        <v>2500000</v>
      </c>
      <c r="V10" s="101">
        <f t="shared" si="7"/>
        <v>2500000</v>
      </c>
      <c r="W10" s="81">
        <v>0.5</v>
      </c>
      <c r="X10" s="102">
        <f t="shared" si="8"/>
        <v>3483333.3333333335</v>
      </c>
      <c r="Y10" s="103">
        <f t="shared" si="9"/>
        <v>3483333.3333333335</v>
      </c>
      <c r="Z10" s="81">
        <v>0.5</v>
      </c>
      <c r="AA10" s="102">
        <f t="shared" si="10"/>
        <v>3250000</v>
      </c>
      <c r="AB10" s="103">
        <f t="shared" si="11"/>
        <v>3250000</v>
      </c>
      <c r="AC10" s="81">
        <v>0.5</v>
      </c>
      <c r="AD10" s="102">
        <f t="shared" si="12"/>
        <v>2500000</v>
      </c>
      <c r="AE10" s="103">
        <f t="shared" si="13"/>
        <v>2500000</v>
      </c>
      <c r="AF10" s="104">
        <f t="shared" si="14"/>
        <v>1030372.1010715816</v>
      </c>
      <c r="AG10" s="82">
        <f t="shared" si="15"/>
        <v>0.29580060317844448</v>
      </c>
      <c r="AH10" s="105">
        <f>QUARTILE((F10:F10,I10:I10,L10:L10,O10:O10,R10:R10,U10:U10),0)</f>
        <v>2500000</v>
      </c>
      <c r="AI10" s="98">
        <f>QUARTILE((F10:F10,I10:I10,L10:L10,O10:O10,R10:R10,U10:U10),1)</f>
        <v>2625000</v>
      </c>
      <c r="AJ10" s="98">
        <f>QUARTILE((F10:F10,I10:I10,L10:L10,O10:O10,R10:R10,U10:U10),2)</f>
        <v>3250000</v>
      </c>
      <c r="AK10" s="98">
        <f>QUARTILE((F10:F10,I10:I10,L10:L10,O10:O10,R10:R10,U10:U10),3)</f>
        <v>4175000</v>
      </c>
      <c r="AL10" s="98">
        <f>QUARTILE((F10:F10,I10:I10,L10:L10,O10:O10,R10:R10,U10:U10),4)</f>
        <v>5000000</v>
      </c>
      <c r="AM10" s="99">
        <f t="shared" si="16"/>
        <v>2500000</v>
      </c>
      <c r="AN10" s="99">
        <f t="shared" si="17"/>
        <v>1550000</v>
      </c>
      <c r="AO10" s="99">
        <f t="shared" si="18"/>
        <v>300000</v>
      </c>
      <c r="AP10" s="99">
        <f t="shared" si="19"/>
        <v>6500000</v>
      </c>
      <c r="AQ10" s="100">
        <f>TRIMMEAN((F10:F10,I10:I10,L10:L10,O10:O10,R10:R10,U10:U10),10%)</f>
        <v>3483333.3333333335</v>
      </c>
      <c r="AR10" s="106">
        <f>TRIMMEAN((F10:F10,I10:I10,U10:U10),10%)</f>
        <v>3300000</v>
      </c>
      <c r="AS10" s="107">
        <f t="shared" si="20"/>
        <v>3249706.9167643613</v>
      </c>
      <c r="AT10" s="81">
        <v>0.5</v>
      </c>
      <c r="AU10" s="102">
        <f t="shared" si="21"/>
        <v>3300000</v>
      </c>
      <c r="AV10" s="103">
        <f t="shared" si="0"/>
        <v>3300000</v>
      </c>
      <c r="AW10" s="81">
        <v>0.5</v>
      </c>
      <c r="AX10" s="102">
        <f t="shared" si="1"/>
        <v>3249706.9167643613</v>
      </c>
      <c r="AY10" s="103">
        <f t="shared" si="22"/>
        <v>3249706.9167643613</v>
      </c>
    </row>
    <row r="11" spans="1:54" x14ac:dyDescent="0.25">
      <c r="B11" s="95"/>
      <c r="C11" s="69"/>
      <c r="D11" s="83"/>
      <c r="E11" s="84"/>
      <c r="F11" s="69"/>
      <c r="G11" s="108">
        <f>SUM(G5:G10)</f>
        <v>61700000</v>
      </c>
      <c r="H11" s="69"/>
      <c r="I11" s="69"/>
      <c r="J11" s="109">
        <f>SUM(J5:J10)</f>
        <v>78500000</v>
      </c>
      <c r="K11" s="69"/>
      <c r="L11" s="69"/>
      <c r="M11" s="109">
        <f>SUM(M5:M10)</f>
        <v>77300000</v>
      </c>
      <c r="N11" s="69"/>
      <c r="O11" s="69"/>
      <c r="P11" s="109">
        <f>SUM(P5:P10)</f>
        <v>64050000</v>
      </c>
      <c r="Q11" s="69"/>
      <c r="R11" s="69"/>
      <c r="S11" s="110">
        <f>SUM(S5:S10)</f>
        <v>86600000</v>
      </c>
      <c r="T11" s="84"/>
      <c r="U11" s="69"/>
      <c r="V11" s="111">
        <f>SUM(V5:V10)</f>
        <v>52250000</v>
      </c>
      <c r="W11" s="95"/>
      <c r="X11" s="69"/>
      <c r="Y11" s="103">
        <f>SUM(Y5:Y10)</f>
        <v>70066666.666666672</v>
      </c>
      <c r="Z11" s="95"/>
      <c r="AA11" s="69"/>
      <c r="AB11" s="103">
        <f>SUM(AB5:AB10)</f>
        <v>66075000</v>
      </c>
      <c r="AC11" s="95"/>
      <c r="AD11" s="69"/>
      <c r="AE11" s="103">
        <f>SUM(AE5:AE10)</f>
        <v>63000000</v>
      </c>
      <c r="AF11" s="96"/>
      <c r="AG11" s="82"/>
      <c r="AH11" s="105"/>
      <c r="AI11" s="98"/>
      <c r="AJ11" s="98"/>
      <c r="AK11" s="98"/>
      <c r="AL11" s="98"/>
      <c r="AM11" s="99"/>
      <c r="AN11" s="99"/>
      <c r="AO11" s="99"/>
      <c r="AP11" s="99"/>
      <c r="AQ11" s="100"/>
      <c r="AR11" s="106"/>
      <c r="AS11" s="107"/>
      <c r="AT11" s="95"/>
      <c r="AU11" s="69"/>
      <c r="AV11" s="103">
        <f>SUM(AV5:AV10)</f>
        <v>64150000</v>
      </c>
      <c r="AW11" s="95"/>
      <c r="AX11" s="69"/>
      <c r="AY11" s="103">
        <f>SUM(AY5:AY10)</f>
        <v>66468367.033917427</v>
      </c>
    </row>
    <row r="12" spans="1:54" x14ac:dyDescent="0.25">
      <c r="B12" s="63" t="s">
        <v>11</v>
      </c>
      <c r="C12" s="65" t="s">
        <v>6</v>
      </c>
      <c r="D12" s="64" t="s">
        <v>7</v>
      </c>
      <c r="E12" s="66" t="s">
        <v>8</v>
      </c>
      <c r="F12" s="65" t="s">
        <v>9</v>
      </c>
      <c r="G12" s="65" t="s">
        <v>10</v>
      </c>
      <c r="H12" s="65" t="s">
        <v>8</v>
      </c>
      <c r="I12" s="65" t="s">
        <v>9</v>
      </c>
      <c r="J12" s="65" t="s">
        <v>10</v>
      </c>
      <c r="K12" s="65" t="s">
        <v>8</v>
      </c>
      <c r="L12" s="65" t="s">
        <v>9</v>
      </c>
      <c r="M12" s="65" t="s">
        <v>10</v>
      </c>
      <c r="N12" s="65" t="s">
        <v>8</v>
      </c>
      <c r="O12" s="65" t="s">
        <v>9</v>
      </c>
      <c r="P12" s="65" t="s">
        <v>10</v>
      </c>
      <c r="Q12" s="65" t="s">
        <v>8</v>
      </c>
      <c r="R12" s="65" t="s">
        <v>9</v>
      </c>
      <c r="S12" s="64" t="s">
        <v>10</v>
      </c>
      <c r="T12" s="66" t="s">
        <v>8</v>
      </c>
      <c r="U12" s="65" t="s">
        <v>9</v>
      </c>
      <c r="V12" s="67" t="s">
        <v>10</v>
      </c>
      <c r="W12" s="63" t="s">
        <v>8</v>
      </c>
      <c r="X12" s="65" t="s">
        <v>26</v>
      </c>
      <c r="Y12" s="64" t="s">
        <v>27</v>
      </c>
      <c r="Z12" s="63" t="s">
        <v>8</v>
      </c>
      <c r="AA12" s="65" t="s">
        <v>26</v>
      </c>
      <c r="AB12" s="64" t="s">
        <v>27</v>
      </c>
      <c r="AC12" s="63" t="s">
        <v>8</v>
      </c>
      <c r="AD12" s="65" t="s">
        <v>26</v>
      </c>
      <c r="AE12" s="64" t="s">
        <v>27</v>
      </c>
      <c r="AF12" s="68"/>
      <c r="AG12" s="82"/>
      <c r="AH12" s="105"/>
      <c r="AI12" s="98"/>
      <c r="AJ12" s="98"/>
      <c r="AK12" s="98"/>
      <c r="AL12" s="98"/>
      <c r="AM12" s="99"/>
      <c r="AN12" s="99"/>
      <c r="AO12" s="99"/>
      <c r="AP12" s="99"/>
      <c r="AQ12" s="100"/>
      <c r="AR12" s="106"/>
      <c r="AS12" s="107"/>
      <c r="AT12" s="63" t="s">
        <v>8</v>
      </c>
      <c r="AU12" s="65" t="s">
        <v>26</v>
      </c>
      <c r="AV12" s="64" t="s">
        <v>27</v>
      </c>
      <c r="AW12" s="63" t="s">
        <v>8</v>
      </c>
      <c r="AX12" s="65" t="s">
        <v>26</v>
      </c>
      <c r="AY12" s="64" t="s">
        <v>27</v>
      </c>
    </row>
    <row r="13" spans="1:54" x14ac:dyDescent="0.25">
      <c r="B13" s="95" t="s">
        <v>12</v>
      </c>
      <c r="C13" s="69">
        <v>1</v>
      </c>
      <c r="D13" s="83">
        <v>6</v>
      </c>
      <c r="E13" s="79">
        <v>1</v>
      </c>
      <c r="F13" s="98">
        <v>4100000</v>
      </c>
      <c r="G13" s="99">
        <f>+C13*D13*E13*F13</f>
        <v>24600000</v>
      </c>
      <c r="H13" s="80">
        <v>1</v>
      </c>
      <c r="I13" s="98">
        <v>800000</v>
      </c>
      <c r="J13" s="102">
        <f>+C13*D13*H13*I13</f>
        <v>4800000</v>
      </c>
      <c r="K13" s="80">
        <v>1</v>
      </c>
      <c r="L13" s="98">
        <v>4000000</v>
      </c>
      <c r="M13" s="102">
        <f>+C13*D13*K13*L13</f>
        <v>24000000</v>
      </c>
      <c r="N13" s="80">
        <v>1</v>
      </c>
      <c r="O13" s="98">
        <v>4000000</v>
      </c>
      <c r="P13" s="102">
        <f>+C13*D13*N13*O13</f>
        <v>24000000</v>
      </c>
      <c r="Q13" s="80">
        <v>1</v>
      </c>
      <c r="R13" s="98">
        <v>5000000</v>
      </c>
      <c r="S13" s="112">
        <f>+C13*D13*Q13*R13</f>
        <v>30000000</v>
      </c>
      <c r="T13" s="79">
        <v>1</v>
      </c>
      <c r="U13" s="98">
        <v>2500000</v>
      </c>
      <c r="V13" s="113">
        <f>+C13*D13*T13*U13</f>
        <v>15000000</v>
      </c>
      <c r="W13" s="81">
        <v>1</v>
      </c>
      <c r="X13" s="102">
        <f>AVERAGE(F13,I13,L13,O13,R13,U13)</f>
        <v>3400000</v>
      </c>
      <c r="Y13" s="103">
        <f>+C13*D13*W13*X13</f>
        <v>20400000</v>
      </c>
      <c r="Z13" s="81">
        <v>1</v>
      </c>
      <c r="AA13" s="102">
        <f>MEDIAN(F13,I13,L13,O13,R13,U13)</f>
        <v>4000000</v>
      </c>
      <c r="AB13" s="103">
        <f>+C13*D13*Z13*AA13</f>
        <v>24000000</v>
      </c>
      <c r="AC13" s="81">
        <v>1</v>
      </c>
      <c r="AD13" s="102">
        <f>_xlfn.MODE.SNGL(F13,I13,L13,O13,R13,U13)</f>
        <v>4000000</v>
      </c>
      <c r="AE13" s="103">
        <f>+C13*D13*AC13*AD13</f>
        <v>24000000</v>
      </c>
      <c r="AF13" s="104">
        <f>STDEV(F13,I13,L13,O13,R13,U13)</f>
        <v>1505988.047761336</v>
      </c>
      <c r="AG13" s="82">
        <f t="shared" si="15"/>
        <v>0.4429376611062753</v>
      </c>
      <c r="AH13" s="105">
        <f>QUARTILE((F13:F13,I13:I13,L13:L13,O13:O13,R13:R13,U13:U13),0)</f>
        <v>800000</v>
      </c>
      <c r="AI13" s="98">
        <f>QUARTILE((F13:F13,I13:I13,L13:L13,O13:O13,R13:R13,U13:U13),1)</f>
        <v>2875000</v>
      </c>
      <c r="AJ13" s="98">
        <f>QUARTILE((F13:F13,I13:I13,L13:L13,O13:O13,R13:R13,U13:U13),2)</f>
        <v>4000000</v>
      </c>
      <c r="AK13" s="98">
        <f>QUARTILE((F13:F13,I13:I13,L13:L13,O13:O13,R13:R13,U13:U13),3)</f>
        <v>4075000</v>
      </c>
      <c r="AL13" s="98">
        <f>QUARTILE((F13:F13,I13:I13,L13:L13,O13:O13,R13:R13,U13:U13),4)</f>
        <v>5000000</v>
      </c>
      <c r="AM13" s="99">
        <f t="shared" si="16"/>
        <v>4200000</v>
      </c>
      <c r="AN13" s="99">
        <f t="shared" si="17"/>
        <v>1200000</v>
      </c>
      <c r="AO13" s="99">
        <f t="shared" si="18"/>
        <v>1075000</v>
      </c>
      <c r="AP13" s="99">
        <f t="shared" si="19"/>
        <v>5875000</v>
      </c>
      <c r="AQ13" s="100">
        <f>TRIMMEAN((F13:F13,I13:I13,L13:L13,O13:O13,R13:R13,U13:U13),10%)</f>
        <v>3400000</v>
      </c>
      <c r="AR13" s="106">
        <f>TRIMMEAN((F13:F13,I13:I13,U13:U13),10%)</f>
        <v>2466666.6666666665</v>
      </c>
      <c r="AS13" s="107">
        <f t="shared" si="20"/>
        <v>2313117.0662905495</v>
      </c>
      <c r="AT13" s="81">
        <v>1</v>
      </c>
      <c r="AU13" s="102">
        <f>+AR13</f>
        <v>2466666.6666666665</v>
      </c>
      <c r="AV13" s="103">
        <f>+C13*D13*AT13*AU13</f>
        <v>14800000</v>
      </c>
      <c r="AW13" s="81">
        <v>1</v>
      </c>
      <c r="AX13" s="102">
        <f>+AS13</f>
        <v>2313117.0662905495</v>
      </c>
      <c r="AY13" s="103">
        <f>+C13*D13*AW13*AX13</f>
        <v>13878702.397743296</v>
      </c>
    </row>
    <row r="14" spans="1:54" x14ac:dyDescent="0.25">
      <c r="B14" s="95" t="s">
        <v>13</v>
      </c>
      <c r="C14" s="69">
        <v>1</v>
      </c>
      <c r="D14" s="83">
        <v>6</v>
      </c>
      <c r="E14" s="79">
        <v>1</v>
      </c>
      <c r="F14" s="98">
        <v>1000000</v>
      </c>
      <c r="G14" s="99">
        <f>+C14*D14*E14*F14</f>
        <v>6000000</v>
      </c>
      <c r="H14" s="80">
        <v>1</v>
      </c>
      <c r="I14" s="98">
        <v>400000</v>
      </c>
      <c r="J14" s="102">
        <f>+C14*D14*H14*I14</f>
        <v>2400000</v>
      </c>
      <c r="K14" s="80">
        <v>1</v>
      </c>
      <c r="L14" s="98">
        <v>1000000</v>
      </c>
      <c r="M14" s="102">
        <f>+C14*D14*K14*L14</f>
        <v>6000000</v>
      </c>
      <c r="N14" s="80">
        <v>1</v>
      </c>
      <c r="O14" s="98">
        <v>850000</v>
      </c>
      <c r="P14" s="102">
        <f>+C14*D14*N14*O14</f>
        <v>5100000</v>
      </c>
      <c r="Q14" s="80">
        <v>1</v>
      </c>
      <c r="R14" s="98">
        <v>8000000</v>
      </c>
      <c r="S14" s="112">
        <f>+C14*D14*Q14*R14</f>
        <v>48000000</v>
      </c>
      <c r="T14" s="79">
        <v>1</v>
      </c>
      <c r="U14" s="98">
        <v>1000000</v>
      </c>
      <c r="V14" s="113">
        <f>+C14*D14*T14*U14</f>
        <v>6000000</v>
      </c>
      <c r="W14" s="81">
        <v>1</v>
      </c>
      <c r="X14" s="102">
        <f>AVERAGE(F14,I14,L14,O14,R14,U14)</f>
        <v>2041666.6666666667</v>
      </c>
      <c r="Y14" s="103">
        <f>+C14*D14*W14*X14</f>
        <v>12250000</v>
      </c>
      <c r="Z14" s="81">
        <v>1</v>
      </c>
      <c r="AA14" s="102">
        <f>MEDIAN(F14,I14,L14,O14,R14,U14)</f>
        <v>1000000</v>
      </c>
      <c r="AB14" s="103">
        <f>+C14*D14*Z14*AA14</f>
        <v>6000000</v>
      </c>
      <c r="AC14" s="81">
        <v>1</v>
      </c>
      <c r="AD14" s="102">
        <f>_xlfn.MODE.SNGL(F14,I14,L14,O14,R14,U14)</f>
        <v>1000000</v>
      </c>
      <c r="AE14" s="103">
        <f>+C14*D14*AC14*AD14</f>
        <v>6000000</v>
      </c>
      <c r="AF14" s="104">
        <f>STDEV(F14,I14,L14,O14,R14,U14)</f>
        <v>2928210.4887911775</v>
      </c>
      <c r="AG14" s="82">
        <f t="shared" si="15"/>
        <v>1.4342255455303725</v>
      </c>
      <c r="AH14" s="105">
        <f>QUARTILE((F14:F14,I14:I14,L14:L14,O14:O14,R14:R14,U14:U14),0)</f>
        <v>400000</v>
      </c>
      <c r="AI14" s="98">
        <f>QUARTILE((F14:F14,I14:I14,L14:L14,O14:O14,R14:R14,U14:U14),1)</f>
        <v>887500</v>
      </c>
      <c r="AJ14" s="98">
        <f>QUARTILE((F14:F14,I14:I14,L14:L14,O14:O14,R14:R14,U14:U14),2)</f>
        <v>1000000</v>
      </c>
      <c r="AK14" s="98">
        <f>QUARTILE((F14:F14,I14:I14,L14:L14,O14:O14,R14:R14,U14:U14),3)</f>
        <v>1000000</v>
      </c>
      <c r="AL14" s="98">
        <f>QUARTILE((F14:F14,I14:I14,L14:L14,O14:O14,R14:R14,U14:U14),4)</f>
        <v>8000000</v>
      </c>
      <c r="AM14" s="99">
        <f t="shared" si="16"/>
        <v>7600000</v>
      </c>
      <c r="AN14" s="99">
        <f t="shared" si="17"/>
        <v>112500</v>
      </c>
      <c r="AO14" s="99">
        <f t="shared" si="18"/>
        <v>718750</v>
      </c>
      <c r="AP14" s="99">
        <f t="shared" si="19"/>
        <v>1168750</v>
      </c>
      <c r="AQ14" s="100">
        <f>TRIMMEAN((F14:F14,I14:I14,L14:L14,O14:O14,R14:R14,U14:U14),10%)</f>
        <v>2041666.6666666667</v>
      </c>
      <c r="AR14" s="106">
        <f>TRIMMEAN((F14:F14,I14:I14,U14:U14),10%)</f>
        <v>800000</v>
      </c>
      <c r="AS14" s="107">
        <f t="shared" si="20"/>
        <v>882162.16216216225</v>
      </c>
      <c r="AT14" s="81">
        <v>1</v>
      </c>
      <c r="AU14" s="102">
        <f>+AR14</f>
        <v>800000</v>
      </c>
      <c r="AV14" s="103">
        <f>+C14*D14*AT14*AU14</f>
        <v>4800000</v>
      </c>
      <c r="AW14" s="81">
        <v>1</v>
      </c>
      <c r="AX14" s="102">
        <f>+AS14</f>
        <v>882162.16216216225</v>
      </c>
      <c r="AY14" s="103">
        <f>+C14*D14*AW14*AX14</f>
        <v>5292972.9729729732</v>
      </c>
    </row>
    <row r="15" spans="1:54" x14ac:dyDescent="0.25">
      <c r="B15" s="95"/>
      <c r="C15" s="69"/>
      <c r="D15" s="83"/>
      <c r="E15" s="84"/>
      <c r="F15" s="69"/>
      <c r="G15" s="108">
        <f>SUM(G13:G14)</f>
        <v>30600000</v>
      </c>
      <c r="H15" s="69"/>
      <c r="I15" s="102"/>
      <c r="J15" s="109">
        <f>SUM(J13:J14)</f>
        <v>7200000</v>
      </c>
      <c r="K15" s="69"/>
      <c r="L15" s="69"/>
      <c r="M15" s="109">
        <f>SUM(M13:M14)</f>
        <v>30000000</v>
      </c>
      <c r="N15" s="69"/>
      <c r="O15" s="69"/>
      <c r="P15" s="109">
        <f>SUM(P13:P14)</f>
        <v>29100000</v>
      </c>
      <c r="Q15" s="69"/>
      <c r="R15" s="69"/>
      <c r="S15" s="110">
        <f>SUM(S13:S14)</f>
        <v>78000000</v>
      </c>
      <c r="T15" s="84"/>
      <c r="U15" s="69"/>
      <c r="V15" s="111">
        <f>SUM(V13:V14)</f>
        <v>21000000</v>
      </c>
      <c r="W15" s="95"/>
      <c r="X15" s="69"/>
      <c r="Y15" s="103">
        <f>SUM(Y13:Y14)</f>
        <v>32650000</v>
      </c>
      <c r="Z15" s="95"/>
      <c r="AA15" s="69"/>
      <c r="AB15" s="103">
        <f>SUM(AB13:AB14)</f>
        <v>30000000</v>
      </c>
      <c r="AC15" s="95"/>
      <c r="AD15" s="69"/>
      <c r="AE15" s="103">
        <f>SUM(AE13:AE14)</f>
        <v>30000000</v>
      </c>
      <c r="AF15" s="96"/>
      <c r="AG15" s="82"/>
      <c r="AH15" s="105"/>
      <c r="AI15" s="98"/>
      <c r="AJ15" s="98"/>
      <c r="AK15" s="98"/>
      <c r="AL15" s="98"/>
      <c r="AM15" s="99"/>
      <c r="AN15" s="99"/>
      <c r="AO15" s="99"/>
      <c r="AP15" s="99"/>
      <c r="AQ15" s="114"/>
      <c r="AR15" s="106"/>
      <c r="AS15" s="107"/>
      <c r="AT15" s="95"/>
      <c r="AU15" s="69"/>
      <c r="AV15" s="103">
        <f>SUM(AV13:AV14)</f>
        <v>19600000</v>
      </c>
      <c r="AW15" s="95"/>
      <c r="AX15" s="69"/>
      <c r="AY15" s="103">
        <f>SUM(AY13:AY14)</f>
        <v>19171675.37071627</v>
      </c>
    </row>
    <row r="16" spans="1:54" ht="16.5" thickBot="1" x14ac:dyDescent="0.3">
      <c r="B16" s="115" t="s">
        <v>16</v>
      </c>
      <c r="C16" s="116"/>
      <c r="D16" s="117"/>
      <c r="E16" s="66"/>
      <c r="F16" s="65"/>
      <c r="G16" s="65"/>
      <c r="H16" s="296" t="s">
        <v>16</v>
      </c>
      <c r="I16" s="296"/>
      <c r="J16" s="296"/>
      <c r="K16" s="296" t="s">
        <v>16</v>
      </c>
      <c r="L16" s="296"/>
      <c r="M16" s="296"/>
      <c r="N16" s="296" t="s">
        <v>16</v>
      </c>
      <c r="O16" s="296"/>
      <c r="P16" s="296"/>
      <c r="Q16" s="296" t="s">
        <v>16</v>
      </c>
      <c r="R16" s="296"/>
      <c r="S16" s="312"/>
      <c r="T16" s="300" t="s">
        <v>16</v>
      </c>
      <c r="U16" s="296"/>
      <c r="V16" s="301"/>
      <c r="W16" s="282" t="s">
        <v>16</v>
      </c>
      <c r="X16" s="283"/>
      <c r="Y16" s="284"/>
      <c r="Z16" s="282" t="s">
        <v>16</v>
      </c>
      <c r="AA16" s="283"/>
      <c r="AB16" s="284"/>
      <c r="AC16" s="282" t="s">
        <v>16</v>
      </c>
      <c r="AD16" s="283"/>
      <c r="AE16" s="284"/>
      <c r="AF16" s="68"/>
      <c r="AG16" s="82"/>
      <c r="AH16" s="105"/>
      <c r="AI16" s="98"/>
      <c r="AJ16" s="98"/>
      <c r="AK16" s="98"/>
      <c r="AL16" s="98"/>
      <c r="AM16" s="99"/>
      <c r="AN16" s="99"/>
      <c r="AO16" s="99"/>
      <c r="AP16" s="99"/>
      <c r="AQ16" s="114"/>
      <c r="AR16" s="106"/>
      <c r="AS16" s="107"/>
      <c r="AT16" s="282" t="s">
        <v>16</v>
      </c>
      <c r="AU16" s="283"/>
      <c r="AV16" s="284"/>
      <c r="AW16" s="282" t="s">
        <v>16</v>
      </c>
      <c r="AX16" s="283"/>
      <c r="AY16" s="284"/>
    </row>
    <row r="17" spans="2:51" x14ac:dyDescent="0.25">
      <c r="B17" s="290" t="s">
        <v>14</v>
      </c>
      <c r="C17" s="291"/>
      <c r="D17" s="292"/>
      <c r="E17" s="79">
        <v>0.02</v>
      </c>
      <c r="F17" s="118">
        <v>61700000</v>
      </c>
      <c r="G17" s="119">
        <f>+E17*F17</f>
        <v>1234000</v>
      </c>
      <c r="H17" s="80">
        <v>0.08</v>
      </c>
      <c r="I17" s="98">
        <v>78500000</v>
      </c>
      <c r="J17" s="98">
        <f>+H17*I17</f>
        <v>6280000</v>
      </c>
      <c r="K17" s="80">
        <v>1</v>
      </c>
      <c r="L17" s="98">
        <v>77300000</v>
      </c>
      <c r="M17" s="98">
        <f>+K17*L17</f>
        <v>77300000</v>
      </c>
      <c r="N17" s="80">
        <v>0.02</v>
      </c>
      <c r="O17" s="98">
        <v>64050000</v>
      </c>
      <c r="P17" s="98">
        <f>+N17*O17</f>
        <v>1281000</v>
      </c>
      <c r="Q17" s="80">
        <v>0.1</v>
      </c>
      <c r="R17" s="98">
        <v>86600000</v>
      </c>
      <c r="S17" s="100">
        <f>+Q17*R17</f>
        <v>8660000</v>
      </c>
      <c r="T17" s="79">
        <v>0.15</v>
      </c>
      <c r="U17" s="98">
        <v>52250000</v>
      </c>
      <c r="V17" s="101">
        <f>+T17*U17</f>
        <v>7837500</v>
      </c>
      <c r="W17" s="86">
        <f>AVERAGE(E17,H17,K17,N17,Q17,T17)</f>
        <v>0.22833333333333336</v>
      </c>
      <c r="X17" s="98">
        <v>70066666.670000002</v>
      </c>
      <c r="Y17" s="100">
        <f>+W17*X17</f>
        <v>15998555.556316668</v>
      </c>
      <c r="Z17" s="86">
        <f>MEDIAN(E17,H17,K17,N17,Q17,T17)</f>
        <v>0.09</v>
      </c>
      <c r="AA17" s="98">
        <v>66075000</v>
      </c>
      <c r="AB17" s="100">
        <f>+Z17*AA17</f>
        <v>5946750</v>
      </c>
      <c r="AC17" s="86">
        <f>_xlfn.MODE.SNGL(E17,H17,K17,N17,Q17,T17)</f>
        <v>0.02</v>
      </c>
      <c r="AD17" s="98">
        <v>63000000</v>
      </c>
      <c r="AE17" s="100">
        <f>+AC17*AD17</f>
        <v>1260000</v>
      </c>
      <c r="AF17" s="82">
        <f>STDEV(E17,H17,K17,N17,Q17,T17)</f>
        <v>0.38128292207580794</v>
      </c>
      <c r="AG17" s="82"/>
      <c r="AH17" s="105">
        <f>QUARTILE((F17:F17,I17:I17,L17:L17,O17:O17,R17:R17,U17:U17),0)</f>
        <v>52250000</v>
      </c>
      <c r="AI17" s="98">
        <f>QUARTILE((F17:F17,I17:I17,L17:L17,O17:O17,R17:R17,U17:U17),1)</f>
        <v>62287500</v>
      </c>
      <c r="AJ17" s="98">
        <f>QUARTILE((F17:F17,I17:I17,L17:L17,O17:O17,R17:R17,U17:U17),2)</f>
        <v>70675000</v>
      </c>
      <c r="AK17" s="98">
        <f>QUARTILE((F17:F17,I17:I17,L17:L17,O17:O17,R17:R17,U17:U17),3)</f>
        <v>78200000</v>
      </c>
      <c r="AL17" s="98">
        <f>QUARTILE((F17:F17,I17:I17,L17:L17,O17:O17,R17:R17,U17:U17),4)</f>
        <v>86600000</v>
      </c>
      <c r="AM17" s="99">
        <f t="shared" si="16"/>
        <v>34350000</v>
      </c>
      <c r="AN17" s="99">
        <f t="shared" si="17"/>
        <v>15912500</v>
      </c>
      <c r="AO17" s="99">
        <f t="shared" si="18"/>
        <v>38418750</v>
      </c>
      <c r="AP17" s="99">
        <f t="shared" si="19"/>
        <v>102068750</v>
      </c>
      <c r="AQ17" s="87">
        <f>TRIMMEAN((E17:E17,H17:H17,K17:K17,N17:N17,Q17:Q17,T17:T17),10%)</f>
        <v>0.22833333333333336</v>
      </c>
      <c r="AR17" s="82">
        <f>TRIMMEAN((E17:E17,H17:H17,T17:T17),10%)</f>
        <v>8.3333333333333329E-2</v>
      </c>
      <c r="AS17" s="120">
        <f>HARMEAN(E17,H17,K17,N17,Q17,T17)</f>
        <v>4.6094750320102434E-2</v>
      </c>
      <c r="AT17" s="86">
        <f>+AR17</f>
        <v>8.3333333333333329E-2</v>
      </c>
      <c r="AU17" s="98">
        <v>68620000</v>
      </c>
      <c r="AV17" s="100">
        <f>+AT17*AU17</f>
        <v>5718333.333333333</v>
      </c>
      <c r="AW17" s="86">
        <f>+AS17</f>
        <v>4.6094750320102434E-2</v>
      </c>
      <c r="AX17" s="98">
        <f>+AY11</f>
        <v>66468367.033917427</v>
      </c>
      <c r="AY17" s="100">
        <f>+AW17*AX17</f>
        <v>3063842.7826133515</v>
      </c>
    </row>
    <row r="18" spans="2:51" ht="16.5" thickBot="1" x14ac:dyDescent="0.3">
      <c r="B18" s="293" t="s">
        <v>15</v>
      </c>
      <c r="C18" s="289"/>
      <c r="D18" s="294"/>
      <c r="E18" s="79">
        <v>0.03</v>
      </c>
      <c r="F18" s="118">
        <v>61700000</v>
      </c>
      <c r="G18" s="119">
        <f>+E18*F18</f>
        <v>1851000</v>
      </c>
      <c r="H18" s="80">
        <v>0.04</v>
      </c>
      <c r="I18" s="98">
        <v>78500000</v>
      </c>
      <c r="J18" s="98">
        <f>+H18*I18</f>
        <v>3140000</v>
      </c>
      <c r="K18" s="80">
        <v>0.1</v>
      </c>
      <c r="L18" s="98">
        <v>77300000</v>
      </c>
      <c r="M18" s="98">
        <f>+K18*L18</f>
        <v>7730000</v>
      </c>
      <c r="N18" s="80">
        <v>0.03</v>
      </c>
      <c r="O18" s="98">
        <v>64050000</v>
      </c>
      <c r="P18" s="98">
        <f>+N18*O18</f>
        <v>1921500</v>
      </c>
      <c r="Q18" s="80">
        <v>0.05</v>
      </c>
      <c r="R18" s="98">
        <v>86600000</v>
      </c>
      <c r="S18" s="100">
        <f>+Q18*R18</f>
        <v>4330000</v>
      </c>
      <c r="T18" s="79">
        <v>0.05</v>
      </c>
      <c r="U18" s="98">
        <v>52250000</v>
      </c>
      <c r="V18" s="101">
        <f>+T18*U18</f>
        <v>2612500</v>
      </c>
      <c r="W18" s="86">
        <f>AVERAGE(E18,H18,K18,N18,Q18,T18)</f>
        <v>4.9999999999999996E-2</v>
      </c>
      <c r="X18" s="98">
        <v>70066666.670000002</v>
      </c>
      <c r="Y18" s="103">
        <f>+W18*X18</f>
        <v>3503333.3334999997</v>
      </c>
      <c r="Z18" s="86">
        <f>MEDIAN(E18,H18,K18,N18,Q18,T18)</f>
        <v>4.4999999999999998E-2</v>
      </c>
      <c r="AA18" s="98">
        <v>66075000</v>
      </c>
      <c r="AB18" s="103">
        <f>+Z18*AA18</f>
        <v>2973375</v>
      </c>
      <c r="AC18" s="86">
        <f>_xlfn.MODE.SNGL(E18,H18,K18,N18,Q18,T18)</f>
        <v>0.03</v>
      </c>
      <c r="AD18" s="98">
        <v>63000000</v>
      </c>
      <c r="AE18" s="103">
        <f>+AC18*AD18</f>
        <v>1890000</v>
      </c>
      <c r="AF18" s="82">
        <f>STDEV(E18,H18,K18,N18,Q18,T18)</f>
        <v>2.6076809620810625E-2</v>
      </c>
      <c r="AG18" s="82"/>
      <c r="AH18" s="105">
        <f>QUARTILE((F18:F18,I18:I18,L18:L18,O18:O18,R18:R18,U18:U18),0)</f>
        <v>52250000</v>
      </c>
      <c r="AI18" s="98">
        <f>QUARTILE((F18:F18,I18:I18,L18:L18,O18:O18,R18:R18,U18:U18),1)</f>
        <v>62287500</v>
      </c>
      <c r="AJ18" s="98">
        <f>QUARTILE((F18:F18,I18:I18,L18:L18,O18:O18,R18:R18,U18:U18),2)</f>
        <v>70675000</v>
      </c>
      <c r="AK18" s="98">
        <f>QUARTILE((F18:F18,I18:I18,L18:L18,O18:O18,R18:R18,U18:U18),3)</f>
        <v>78200000</v>
      </c>
      <c r="AL18" s="98">
        <f>QUARTILE((F18:F18,I18:I18,L18:L18,O18:O18,R18:R18,U18:U18),4)</f>
        <v>86600000</v>
      </c>
      <c r="AM18" s="99">
        <f t="shared" si="16"/>
        <v>34350000</v>
      </c>
      <c r="AN18" s="99">
        <f t="shared" si="17"/>
        <v>15912500</v>
      </c>
      <c r="AO18" s="99">
        <f t="shared" si="18"/>
        <v>38418750</v>
      </c>
      <c r="AP18" s="99">
        <f t="shared" si="19"/>
        <v>102068750</v>
      </c>
      <c r="AQ18" s="87">
        <f>TRIMMEAN((E18:E18,H18:H18,K18:K18,N18:N18,Q18:Q18,T18:T18),10%)</f>
        <v>4.9999999999999996E-2</v>
      </c>
      <c r="AR18" s="82">
        <f>TRIMMEAN((E18:E18,H18:H18,T18:T18),10%)</f>
        <v>0.04</v>
      </c>
      <c r="AS18" s="120">
        <f>HARMEAN(E18,H18,K18,N18,Q18,T18)</f>
        <v>4.2352941176470579E-2</v>
      </c>
      <c r="AT18" s="86">
        <f>+AR18</f>
        <v>0.04</v>
      </c>
      <c r="AU18" s="98">
        <v>68620000</v>
      </c>
      <c r="AV18" s="103">
        <f>+AT18*AU18</f>
        <v>2744800</v>
      </c>
      <c r="AW18" s="86">
        <f>+AS18</f>
        <v>4.2352941176470579E-2</v>
      </c>
      <c r="AX18" s="98">
        <f>+AY11</f>
        <v>66468367.033917427</v>
      </c>
      <c r="AY18" s="103">
        <f>+AW18*AX18</f>
        <v>2815130.8390835612</v>
      </c>
    </row>
    <row r="19" spans="2:51" ht="16.5" thickBot="1" x14ac:dyDescent="0.3">
      <c r="B19" s="121"/>
      <c r="C19" s="77"/>
      <c r="D19" s="78"/>
      <c r="E19" s="84"/>
      <c r="F19" s="69"/>
      <c r="G19" s="122">
        <f>SUM(G17:G18)</f>
        <v>3085000</v>
      </c>
      <c r="H19" s="69"/>
      <c r="I19" s="69"/>
      <c r="J19" s="109">
        <f>SUM(J17:J18)</f>
        <v>9420000</v>
      </c>
      <c r="K19" s="69"/>
      <c r="L19" s="69"/>
      <c r="M19" s="109">
        <f>SUM(M17:M18)</f>
        <v>85030000</v>
      </c>
      <c r="N19" s="69"/>
      <c r="O19" s="69"/>
      <c r="P19" s="109">
        <f>SUM(P17:P18)</f>
        <v>3202500</v>
      </c>
      <c r="Q19" s="69"/>
      <c r="R19" s="69"/>
      <c r="S19" s="110">
        <f>SUM(S17:S18)</f>
        <v>12990000</v>
      </c>
      <c r="T19" s="84"/>
      <c r="U19" s="69"/>
      <c r="V19" s="111">
        <f>SUM(V17:V18)</f>
        <v>10450000</v>
      </c>
      <c r="W19" s="123"/>
      <c r="X19" s="69"/>
      <c r="Y19" s="112">
        <f>SUM(Y17:Y18)</f>
        <v>19501888.889816668</v>
      </c>
      <c r="Z19" s="123"/>
      <c r="AA19" s="69"/>
      <c r="AB19" s="112">
        <f>SUM(AB17:AB18)</f>
        <v>8920125</v>
      </c>
      <c r="AC19" s="123"/>
      <c r="AD19" s="69"/>
      <c r="AE19" s="112">
        <f>SUM(AE17:AE18)</f>
        <v>3150000</v>
      </c>
      <c r="AF19" s="96"/>
      <c r="AG19" s="96"/>
      <c r="AH19" s="105"/>
      <c r="AI19" s="98"/>
      <c r="AJ19" s="98"/>
      <c r="AK19" s="98"/>
      <c r="AL19" s="98"/>
      <c r="AM19" s="99"/>
      <c r="AN19" s="99"/>
      <c r="AO19" s="99"/>
      <c r="AP19" s="99"/>
      <c r="AQ19" s="83"/>
      <c r="AR19" s="96"/>
      <c r="AS19" s="124"/>
      <c r="AT19" s="125"/>
      <c r="AU19" s="126"/>
      <c r="AV19" s="127">
        <f>SUM(AV17:AV18)</f>
        <v>8463133.3333333321</v>
      </c>
      <c r="AW19" s="125"/>
      <c r="AX19" s="126"/>
      <c r="AY19" s="127">
        <f>SUM(AY17:AY18)</f>
        <v>5878973.6216969127</v>
      </c>
    </row>
    <row r="20" spans="2:51" s="137" customFormat="1" x14ac:dyDescent="0.25">
      <c r="B20" s="63" t="s">
        <v>17</v>
      </c>
      <c r="C20" s="65"/>
      <c r="D20" s="64"/>
      <c r="E20" s="66"/>
      <c r="F20" s="65"/>
      <c r="G20" s="128">
        <f>+G11+G15+G19</f>
        <v>95385000</v>
      </c>
      <c r="H20" s="283" t="s">
        <v>17</v>
      </c>
      <c r="I20" s="283"/>
      <c r="J20" s="129">
        <f>+J11+J15+J19</f>
        <v>95120000</v>
      </c>
      <c r="K20" s="283" t="s">
        <v>17</v>
      </c>
      <c r="L20" s="283"/>
      <c r="M20" s="129">
        <f>+M11+M15+M19</f>
        <v>192330000</v>
      </c>
      <c r="N20" s="283" t="s">
        <v>17</v>
      </c>
      <c r="O20" s="283"/>
      <c r="P20" s="129">
        <f>+P11+P15+P19</f>
        <v>96352500</v>
      </c>
      <c r="Q20" s="283" t="s">
        <v>17</v>
      </c>
      <c r="R20" s="283"/>
      <c r="S20" s="130">
        <f>+S11+S15+S19</f>
        <v>177590000</v>
      </c>
      <c r="T20" s="302" t="s">
        <v>17</v>
      </c>
      <c r="U20" s="283"/>
      <c r="V20" s="131">
        <f>+V11+V15+V19</f>
        <v>83700000</v>
      </c>
      <c r="W20" s="282" t="s">
        <v>17</v>
      </c>
      <c r="X20" s="283"/>
      <c r="Y20" s="132">
        <f>+Y11+Y15+Y19</f>
        <v>122218555.55648334</v>
      </c>
      <c r="Z20" s="282" t="s">
        <v>17</v>
      </c>
      <c r="AA20" s="283"/>
      <c r="AB20" s="132">
        <f>+AB11+AB15+AB19</f>
        <v>104995125</v>
      </c>
      <c r="AC20" s="282" t="s">
        <v>17</v>
      </c>
      <c r="AD20" s="283"/>
      <c r="AE20" s="132">
        <f>+AE11+AE15+AE19</f>
        <v>96150000</v>
      </c>
      <c r="AF20" s="68"/>
      <c r="AG20" s="68"/>
      <c r="AH20" s="133"/>
      <c r="AI20" s="134"/>
      <c r="AJ20" s="134"/>
      <c r="AK20" s="134"/>
      <c r="AL20" s="134"/>
      <c r="AM20" s="128"/>
      <c r="AN20" s="128"/>
      <c r="AO20" s="128"/>
      <c r="AP20" s="128"/>
      <c r="AQ20" s="64"/>
      <c r="AR20" s="68"/>
      <c r="AS20" s="135"/>
      <c r="AT20" s="279" t="s">
        <v>17</v>
      </c>
      <c r="AU20" s="280"/>
      <c r="AV20" s="136">
        <f>+AV11+AV15+AV19</f>
        <v>92213133.333333328</v>
      </c>
      <c r="AW20" s="279" t="s">
        <v>17</v>
      </c>
      <c r="AX20" s="280"/>
      <c r="AY20" s="136">
        <f>+AY11+AY15+AY19</f>
        <v>91519016.02633062</v>
      </c>
    </row>
    <row r="21" spans="2:51" s="137" customFormat="1" x14ac:dyDescent="0.25">
      <c r="B21" s="63" t="s">
        <v>18</v>
      </c>
      <c r="C21" s="65"/>
      <c r="D21" s="64"/>
      <c r="E21" s="66"/>
      <c r="F21" s="65"/>
      <c r="G21" s="134">
        <f>+G20*0.19</f>
        <v>18123150</v>
      </c>
      <c r="H21" s="283" t="s">
        <v>18</v>
      </c>
      <c r="I21" s="283"/>
      <c r="J21" s="134">
        <f>+J20*0.19</f>
        <v>18072800</v>
      </c>
      <c r="K21" s="283" t="s">
        <v>18</v>
      </c>
      <c r="L21" s="283"/>
      <c r="M21" s="134">
        <f>+M20*0.19</f>
        <v>36542700</v>
      </c>
      <c r="N21" s="283" t="s">
        <v>18</v>
      </c>
      <c r="O21" s="283"/>
      <c r="P21" s="134">
        <f>+P20*0.19</f>
        <v>18306975</v>
      </c>
      <c r="Q21" s="283" t="s">
        <v>18</v>
      </c>
      <c r="R21" s="283"/>
      <c r="S21" s="138">
        <f>+S20*0.19</f>
        <v>33742100</v>
      </c>
      <c r="T21" s="302" t="s">
        <v>18</v>
      </c>
      <c r="U21" s="283"/>
      <c r="V21" s="139">
        <f>+V20*0.19</f>
        <v>15903000</v>
      </c>
      <c r="W21" s="282" t="s">
        <v>18</v>
      </c>
      <c r="X21" s="283"/>
      <c r="Y21" s="140">
        <f>+Y20*19%</f>
        <v>23221525.555731837</v>
      </c>
      <c r="Z21" s="282" t="s">
        <v>18</v>
      </c>
      <c r="AA21" s="283"/>
      <c r="AB21" s="138">
        <f>+AB20*19%</f>
        <v>19949073.75</v>
      </c>
      <c r="AC21" s="282" t="s">
        <v>18</v>
      </c>
      <c r="AD21" s="283"/>
      <c r="AE21" s="138">
        <f>+AE20*19%</f>
        <v>18268500</v>
      </c>
      <c r="AF21" s="68"/>
      <c r="AG21" s="68"/>
      <c r="AH21" s="133"/>
      <c r="AI21" s="134"/>
      <c r="AJ21" s="134"/>
      <c r="AK21" s="134"/>
      <c r="AL21" s="134"/>
      <c r="AM21" s="128"/>
      <c r="AN21" s="128"/>
      <c r="AO21" s="128"/>
      <c r="AP21" s="128"/>
      <c r="AQ21" s="64"/>
      <c r="AR21" s="68"/>
      <c r="AS21" s="141"/>
      <c r="AT21" s="285" t="s">
        <v>18</v>
      </c>
      <c r="AU21" s="286"/>
      <c r="AV21" s="142">
        <f>+AV20*19%</f>
        <v>17520495.333333332</v>
      </c>
      <c r="AW21" s="285" t="s">
        <v>18</v>
      </c>
      <c r="AX21" s="286"/>
      <c r="AY21" s="142">
        <f>+AY20*19%</f>
        <v>17388613.045002818</v>
      </c>
    </row>
    <row r="22" spans="2:51" s="137" customFormat="1" ht="16.5" thickBot="1" x14ac:dyDescent="0.3">
      <c r="B22" s="88" t="s">
        <v>19</v>
      </c>
      <c r="C22" s="89"/>
      <c r="D22" s="90"/>
      <c r="E22" s="143"/>
      <c r="F22" s="89"/>
      <c r="G22" s="144">
        <f>+G20+G21</f>
        <v>113508150</v>
      </c>
      <c r="H22" s="289" t="s">
        <v>19</v>
      </c>
      <c r="I22" s="289"/>
      <c r="J22" s="144">
        <f>+J20+J21</f>
        <v>113192800</v>
      </c>
      <c r="K22" s="289" t="s">
        <v>19</v>
      </c>
      <c r="L22" s="289"/>
      <c r="M22" s="144">
        <f>+M20+M21</f>
        <v>228872700</v>
      </c>
      <c r="N22" s="289" t="s">
        <v>19</v>
      </c>
      <c r="O22" s="289"/>
      <c r="P22" s="144">
        <f>+P20+P21</f>
        <v>114659475</v>
      </c>
      <c r="Q22" s="289" t="s">
        <v>19</v>
      </c>
      <c r="R22" s="289"/>
      <c r="S22" s="145">
        <f>+S20+S21</f>
        <v>211332100</v>
      </c>
      <c r="T22" s="302" t="s">
        <v>19</v>
      </c>
      <c r="U22" s="283"/>
      <c r="V22" s="146">
        <f>+V20+V21</f>
        <v>99603000</v>
      </c>
      <c r="W22" s="293" t="s">
        <v>19</v>
      </c>
      <c r="X22" s="289"/>
      <c r="Y22" s="147">
        <f>+Y20+Y21</f>
        <v>145440081.11221519</v>
      </c>
      <c r="Z22" s="293" t="s">
        <v>19</v>
      </c>
      <c r="AA22" s="289"/>
      <c r="AB22" s="148">
        <f>+AB20+AB21</f>
        <v>124944198.75</v>
      </c>
      <c r="AC22" s="293" t="s">
        <v>19</v>
      </c>
      <c r="AD22" s="289"/>
      <c r="AE22" s="148">
        <f>+AE20+AE21</f>
        <v>114418500</v>
      </c>
      <c r="AF22" s="91"/>
      <c r="AG22" s="91"/>
      <c r="AH22" s="149"/>
      <c r="AI22" s="150"/>
      <c r="AJ22" s="150"/>
      <c r="AK22" s="150"/>
      <c r="AL22" s="89"/>
      <c r="AM22" s="151"/>
      <c r="AN22" s="89"/>
      <c r="AO22" s="89"/>
      <c r="AP22" s="89"/>
      <c r="AQ22" s="90"/>
      <c r="AR22" s="91"/>
      <c r="AS22" s="152"/>
      <c r="AT22" s="287" t="s">
        <v>19</v>
      </c>
      <c r="AU22" s="288"/>
      <c r="AV22" s="153">
        <f>+AV20+AV21</f>
        <v>109733628.66666666</v>
      </c>
      <c r="AW22" s="287" t="s">
        <v>19</v>
      </c>
      <c r="AX22" s="288"/>
      <c r="AY22" s="153">
        <f>+AY20+AY21</f>
        <v>108907629.07133344</v>
      </c>
    </row>
    <row r="23" spans="2:51" x14ac:dyDescent="0.25">
      <c r="AV23" s="154"/>
      <c r="AY23" s="155">
        <f>+AY22*80%</f>
        <v>87126103.257066756</v>
      </c>
    </row>
    <row r="24" spans="2:51" x14ac:dyDescent="0.25">
      <c r="AV24" s="154"/>
      <c r="AY24" s="92">
        <f>+AY23/1300000</f>
        <v>67.020079428512886</v>
      </c>
    </row>
    <row r="25" spans="2:51" x14ac:dyDescent="0.25">
      <c r="T25" s="156"/>
    </row>
    <row r="27" spans="2:51" x14ac:dyDescent="0.25">
      <c r="W27" s="157"/>
      <c r="X27" s="157"/>
      <c r="Y27" s="157"/>
    </row>
    <row r="28" spans="2:51" x14ac:dyDescent="0.25">
      <c r="W28" s="157"/>
      <c r="X28" s="157"/>
      <c r="Y28" s="157"/>
    </row>
    <row r="29" spans="2:51" x14ac:dyDescent="0.25">
      <c r="W29" s="157"/>
      <c r="X29" s="157"/>
      <c r="Y29" s="157"/>
    </row>
    <row r="30" spans="2:51" x14ac:dyDescent="0.25">
      <c r="W30" s="157"/>
      <c r="X30" s="157"/>
      <c r="Y30" s="157"/>
    </row>
    <row r="31" spans="2:51" x14ac:dyDescent="0.25">
      <c r="W31" s="157"/>
      <c r="X31" s="157"/>
      <c r="Y31" s="157"/>
    </row>
    <row r="32" spans="2:51" x14ac:dyDescent="0.25">
      <c r="W32" s="157"/>
      <c r="X32" s="157"/>
      <c r="Y32" s="157"/>
    </row>
    <row r="33" spans="23:25" x14ac:dyDescent="0.25">
      <c r="W33" s="157"/>
      <c r="X33" s="157"/>
      <c r="Y33" s="157"/>
    </row>
    <row r="34" spans="23:25" x14ac:dyDescent="0.25">
      <c r="W34" s="157"/>
      <c r="X34" s="157"/>
      <c r="Y34" s="157"/>
    </row>
    <row r="35" spans="23:25" x14ac:dyDescent="0.25">
      <c r="W35" s="157"/>
      <c r="X35" s="157"/>
      <c r="Y35" s="157"/>
    </row>
    <row r="36" spans="23:25" x14ac:dyDescent="0.25">
      <c r="W36" s="157"/>
      <c r="X36" s="157"/>
      <c r="Y36" s="157"/>
    </row>
    <row r="37" spans="23:25" x14ac:dyDescent="0.25">
      <c r="W37" s="157"/>
      <c r="X37" s="157"/>
      <c r="Y37" s="157"/>
    </row>
    <row r="38" spans="23:25" x14ac:dyDescent="0.25">
      <c r="W38" s="157"/>
      <c r="X38" s="157"/>
      <c r="Y38" s="157"/>
    </row>
    <row r="39" spans="23:25" x14ac:dyDescent="0.25">
      <c r="W39" s="157"/>
      <c r="X39" s="157"/>
      <c r="Y39" s="157"/>
    </row>
    <row r="40" spans="23:25" x14ac:dyDescent="0.25">
      <c r="W40" s="157"/>
      <c r="X40" s="157"/>
      <c r="Y40" s="157"/>
    </row>
    <row r="41" spans="23:25" x14ac:dyDescent="0.25">
      <c r="W41" s="157"/>
      <c r="X41" s="157"/>
      <c r="Y41" s="157"/>
    </row>
    <row r="42" spans="23:25" x14ac:dyDescent="0.25">
      <c r="W42" s="157"/>
      <c r="X42" s="157"/>
      <c r="Y42" s="157"/>
    </row>
    <row r="43" spans="23:25" x14ac:dyDescent="0.25">
      <c r="W43" s="157"/>
      <c r="X43" s="157"/>
      <c r="Y43" s="157"/>
    </row>
    <row r="44" spans="23:25" x14ac:dyDescent="0.25">
      <c r="W44" s="157"/>
      <c r="X44" s="157"/>
      <c r="Y44" s="157"/>
    </row>
    <row r="45" spans="23:25" x14ac:dyDescent="0.25">
      <c r="W45" s="157"/>
      <c r="X45" s="157"/>
      <c r="Y45" s="157"/>
    </row>
  </sheetData>
  <mergeCells count="55">
    <mergeCell ref="AT16:AV16"/>
    <mergeCell ref="AT20:AU20"/>
    <mergeCell ref="AT21:AU21"/>
    <mergeCell ref="AT22:AU22"/>
    <mergeCell ref="AT3:AV3"/>
    <mergeCell ref="AC3:AE3"/>
    <mergeCell ref="AC16:AE16"/>
    <mergeCell ref="AC20:AD20"/>
    <mergeCell ref="AC21:AD21"/>
    <mergeCell ref="AC22:AD22"/>
    <mergeCell ref="E2:V2"/>
    <mergeCell ref="W3:Y3"/>
    <mergeCell ref="W16:Y16"/>
    <mergeCell ref="W20:X20"/>
    <mergeCell ref="W21:X21"/>
    <mergeCell ref="Q3:S3"/>
    <mergeCell ref="Q16:S16"/>
    <mergeCell ref="Q20:R20"/>
    <mergeCell ref="Q21:R21"/>
    <mergeCell ref="K3:M3"/>
    <mergeCell ref="K16:M16"/>
    <mergeCell ref="K20:L20"/>
    <mergeCell ref="K21:L21"/>
    <mergeCell ref="E3:G3"/>
    <mergeCell ref="H3:J3"/>
    <mergeCell ref="H16:J16"/>
    <mergeCell ref="Z3:AB3"/>
    <mergeCell ref="Z16:AB16"/>
    <mergeCell ref="Z20:AA20"/>
    <mergeCell ref="Z21:AA21"/>
    <mergeCell ref="Z22:AA22"/>
    <mergeCell ref="T3:V3"/>
    <mergeCell ref="T16:V16"/>
    <mergeCell ref="T20:U20"/>
    <mergeCell ref="T21:U21"/>
    <mergeCell ref="T22:U22"/>
    <mergeCell ref="N3:P3"/>
    <mergeCell ref="N16:P16"/>
    <mergeCell ref="N20:O20"/>
    <mergeCell ref="N21:O21"/>
    <mergeCell ref="N22:O22"/>
    <mergeCell ref="AW22:AX22"/>
    <mergeCell ref="H20:I20"/>
    <mergeCell ref="H21:I21"/>
    <mergeCell ref="H22:I22"/>
    <mergeCell ref="B17:D17"/>
    <mergeCell ref="B18:D18"/>
    <mergeCell ref="K22:L22"/>
    <mergeCell ref="Q22:R22"/>
    <mergeCell ref="W22:X22"/>
    <mergeCell ref="BA4:BB4"/>
    <mergeCell ref="AW3:AY3"/>
    <mergeCell ref="AW16:AY16"/>
    <mergeCell ref="AW20:AX20"/>
    <mergeCell ref="AW21:AX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0644A-96D2-4B07-BEF3-0B574732C4CD}">
  <dimension ref="A1:F26"/>
  <sheetViews>
    <sheetView topLeftCell="A4" workbookViewId="0">
      <selection activeCell="D17" sqref="D17:D18"/>
    </sheetView>
  </sheetViews>
  <sheetFormatPr baseColWidth="10" defaultRowHeight="15.75" x14ac:dyDescent="0.25"/>
  <cols>
    <col min="1" max="1" width="25.625" customWidth="1"/>
    <col min="5" max="5" width="18.5" customWidth="1"/>
    <col min="6" max="6" width="20.5" customWidth="1"/>
  </cols>
  <sheetData>
    <row r="1" spans="1:6" ht="16.5" thickBot="1" x14ac:dyDescent="0.3"/>
    <row r="2" spans="1:6" s="60" customFormat="1" ht="21" customHeight="1" x14ac:dyDescent="0.25">
      <c r="A2" s="314" t="s">
        <v>44</v>
      </c>
      <c r="B2" s="315"/>
      <c r="C2" s="315"/>
      <c r="D2" s="315"/>
      <c r="E2" s="315"/>
      <c r="F2" s="316"/>
    </row>
    <row r="3" spans="1:6" s="60" customFormat="1" ht="22.5" customHeight="1" thickBot="1" x14ac:dyDescent="0.3">
      <c r="A3" s="317"/>
      <c r="B3" s="318"/>
      <c r="C3" s="318"/>
      <c r="D3" s="318"/>
      <c r="E3" s="318"/>
      <c r="F3" s="319"/>
    </row>
    <row r="4" spans="1:6" ht="16.5" thickBot="1" x14ac:dyDescent="0.3">
      <c r="A4" s="46" t="s">
        <v>5</v>
      </c>
      <c r="B4" s="47" t="s">
        <v>6</v>
      </c>
      <c r="C4" s="48" t="s">
        <v>7</v>
      </c>
      <c r="D4" s="35" t="s">
        <v>8</v>
      </c>
      <c r="E4" s="3" t="s">
        <v>9</v>
      </c>
      <c r="F4" s="3" t="s">
        <v>10</v>
      </c>
    </row>
    <row r="5" spans="1:6" x14ac:dyDescent="0.25">
      <c r="A5" s="42" t="s">
        <v>0</v>
      </c>
      <c r="B5" s="43">
        <v>1</v>
      </c>
      <c r="C5" s="44">
        <v>7</v>
      </c>
      <c r="D5" s="19">
        <v>0.5</v>
      </c>
      <c r="E5" s="7">
        <v>0</v>
      </c>
      <c r="F5" s="8">
        <f>+B5*C5*D5*E5</f>
        <v>0</v>
      </c>
    </row>
    <row r="6" spans="1:6" x14ac:dyDescent="0.25">
      <c r="A6" s="23" t="s">
        <v>83</v>
      </c>
      <c r="B6" s="5">
        <v>1</v>
      </c>
      <c r="C6" s="28">
        <v>6</v>
      </c>
      <c r="D6" s="19">
        <v>1</v>
      </c>
      <c r="E6" s="7">
        <v>0</v>
      </c>
      <c r="F6" s="8">
        <f t="shared" ref="F6:F10" si="0">+B6*C6*D6*E6</f>
        <v>0</v>
      </c>
    </row>
    <row r="7" spans="1:6" x14ac:dyDescent="0.25">
      <c r="A7" s="23" t="s">
        <v>1</v>
      </c>
      <c r="B7" s="5">
        <v>1</v>
      </c>
      <c r="C7" s="28">
        <v>6</v>
      </c>
      <c r="D7" s="19">
        <v>1</v>
      </c>
      <c r="E7" s="7">
        <v>0</v>
      </c>
      <c r="F7" s="8">
        <f t="shared" si="0"/>
        <v>0</v>
      </c>
    </row>
    <row r="8" spans="1:6" x14ac:dyDescent="0.25">
      <c r="A8" s="23" t="s">
        <v>2</v>
      </c>
      <c r="B8" s="5">
        <v>1</v>
      </c>
      <c r="C8" s="28">
        <v>2</v>
      </c>
      <c r="D8" s="19">
        <v>0.3</v>
      </c>
      <c r="E8" s="7">
        <v>0</v>
      </c>
      <c r="F8" s="8">
        <f t="shared" si="0"/>
        <v>0</v>
      </c>
    </row>
    <row r="9" spans="1:6" x14ac:dyDescent="0.25">
      <c r="A9" s="23" t="s">
        <v>3</v>
      </c>
      <c r="B9" s="5">
        <v>1</v>
      </c>
      <c r="C9" s="28">
        <v>7</v>
      </c>
      <c r="D9" s="19">
        <v>0.5</v>
      </c>
      <c r="E9" s="7">
        <v>0</v>
      </c>
      <c r="F9" s="8">
        <f t="shared" si="0"/>
        <v>0</v>
      </c>
    </row>
    <row r="10" spans="1:6" x14ac:dyDescent="0.25">
      <c r="A10" s="23" t="s">
        <v>4</v>
      </c>
      <c r="B10" s="5">
        <v>1</v>
      </c>
      <c r="C10" s="28">
        <v>2</v>
      </c>
      <c r="D10" s="19">
        <v>0.5</v>
      </c>
      <c r="E10" s="7">
        <v>0</v>
      </c>
      <c r="F10" s="8">
        <f t="shared" si="0"/>
        <v>0</v>
      </c>
    </row>
    <row r="11" spans="1:6" x14ac:dyDescent="0.25">
      <c r="A11" s="23"/>
      <c r="B11" s="2"/>
      <c r="C11" s="39"/>
      <c r="D11" s="20"/>
      <c r="E11" s="2"/>
      <c r="F11" s="9">
        <f>SUM(F5:F10)</f>
        <v>0</v>
      </c>
    </row>
    <row r="12" spans="1:6" x14ac:dyDescent="0.25">
      <c r="A12" s="21" t="s">
        <v>11</v>
      </c>
      <c r="B12" s="3" t="s">
        <v>6</v>
      </c>
      <c r="C12" s="40" t="s">
        <v>7</v>
      </c>
      <c r="D12" s="35" t="s">
        <v>8</v>
      </c>
      <c r="E12" s="3" t="s">
        <v>9</v>
      </c>
      <c r="F12" s="3" t="s">
        <v>10</v>
      </c>
    </row>
    <row r="13" spans="1:6" x14ac:dyDescent="0.25">
      <c r="A13" s="23" t="s">
        <v>12</v>
      </c>
      <c r="B13" s="5">
        <v>1</v>
      </c>
      <c r="C13" s="28">
        <v>6</v>
      </c>
      <c r="D13" s="19">
        <v>1</v>
      </c>
      <c r="E13" s="7">
        <v>0</v>
      </c>
      <c r="F13" s="8">
        <f>+B13*C13*D13*E13</f>
        <v>0</v>
      </c>
    </row>
    <row r="14" spans="1:6" x14ac:dyDescent="0.25">
      <c r="A14" s="23" t="s">
        <v>13</v>
      </c>
      <c r="B14" s="5">
        <v>1</v>
      </c>
      <c r="C14" s="28">
        <v>6</v>
      </c>
      <c r="D14" s="19">
        <v>1</v>
      </c>
      <c r="E14" s="7">
        <v>0</v>
      </c>
      <c r="F14" s="8">
        <f>+B14*C14*D14*E14</f>
        <v>0</v>
      </c>
    </row>
    <row r="15" spans="1:6" x14ac:dyDescent="0.25">
      <c r="A15" s="23"/>
      <c r="B15" s="2"/>
      <c r="C15" s="39"/>
      <c r="D15" s="20"/>
      <c r="E15" s="2"/>
      <c r="F15" s="9">
        <f>SUM(F13:F14)</f>
        <v>0</v>
      </c>
    </row>
    <row r="16" spans="1:6" ht="16.5" thickBot="1" x14ac:dyDescent="0.3">
      <c r="A16" s="49" t="s">
        <v>16</v>
      </c>
      <c r="B16" s="50"/>
      <c r="C16" s="51"/>
      <c r="D16" s="35"/>
      <c r="E16" s="4"/>
      <c r="F16" s="4"/>
    </row>
    <row r="17" spans="1:6" x14ac:dyDescent="0.25">
      <c r="A17" s="271" t="s">
        <v>14</v>
      </c>
      <c r="B17" s="272"/>
      <c r="C17" s="273"/>
      <c r="D17" s="19"/>
      <c r="E17" s="12">
        <v>0</v>
      </c>
      <c r="F17" s="13">
        <f>+D17*E17</f>
        <v>0</v>
      </c>
    </row>
    <row r="18" spans="1:6" ht="16.5" thickBot="1" x14ac:dyDescent="0.3">
      <c r="A18" s="274" t="s">
        <v>15</v>
      </c>
      <c r="B18" s="275"/>
      <c r="C18" s="276"/>
      <c r="D18" s="19"/>
      <c r="E18" s="12">
        <v>0</v>
      </c>
      <c r="F18" s="13">
        <f>+D18*E18</f>
        <v>0</v>
      </c>
    </row>
    <row r="19" spans="1:6" x14ac:dyDescent="0.25">
      <c r="A19" s="42"/>
      <c r="B19" s="52"/>
      <c r="C19" s="53"/>
      <c r="D19" s="20"/>
      <c r="E19" s="2"/>
      <c r="F19" s="14">
        <f>SUM(F17:F18)</f>
        <v>0</v>
      </c>
    </row>
    <row r="20" spans="1:6" x14ac:dyDescent="0.25">
      <c r="A20" s="27" t="s">
        <v>17</v>
      </c>
      <c r="B20" s="4"/>
      <c r="C20" s="40"/>
      <c r="D20" s="35"/>
      <c r="E20" s="4"/>
      <c r="F20" s="16">
        <f>+F11+F15+F19</f>
        <v>0</v>
      </c>
    </row>
    <row r="21" spans="1:6" x14ac:dyDescent="0.25">
      <c r="A21" s="27" t="s">
        <v>18</v>
      </c>
      <c r="B21" s="4"/>
      <c r="C21" s="40"/>
      <c r="D21" s="35"/>
      <c r="E21" s="4"/>
      <c r="F21" s="17">
        <f>+F20*0.19</f>
        <v>0</v>
      </c>
    </row>
    <row r="22" spans="1:6" ht="16.5" thickBot="1" x14ac:dyDescent="0.3">
      <c r="A22" s="31" t="s">
        <v>19</v>
      </c>
      <c r="B22" s="32"/>
      <c r="C22" s="41"/>
      <c r="D22" s="36"/>
      <c r="E22" s="32"/>
      <c r="F22" s="33">
        <f>+F20+F21</f>
        <v>0</v>
      </c>
    </row>
    <row r="24" spans="1:6" x14ac:dyDescent="0.25">
      <c r="A24" s="313" t="s">
        <v>45</v>
      </c>
      <c r="B24" s="313"/>
      <c r="C24" s="313"/>
      <c r="D24" s="313"/>
      <c r="E24" s="313"/>
      <c r="F24" s="313"/>
    </row>
    <row r="25" spans="1:6" x14ac:dyDescent="0.25">
      <c r="A25" s="313" t="s">
        <v>46</v>
      </c>
      <c r="B25" s="313"/>
      <c r="C25" s="313"/>
      <c r="D25" s="313"/>
      <c r="E25" s="313"/>
      <c r="F25" s="313"/>
    </row>
    <row r="26" spans="1:6" x14ac:dyDescent="0.25">
      <c r="A26" s="313" t="s">
        <v>47</v>
      </c>
      <c r="B26" s="313"/>
      <c r="C26" s="313"/>
      <c r="D26" s="313"/>
      <c r="E26" s="313"/>
      <c r="F26" s="313"/>
    </row>
  </sheetData>
  <mergeCells count="6">
    <mergeCell ref="A26:F26"/>
    <mergeCell ref="A17:C17"/>
    <mergeCell ref="A18:C18"/>
    <mergeCell ref="A2:F3"/>
    <mergeCell ref="A24:F24"/>
    <mergeCell ref="A25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Primeras tres cotizaciones</vt:lpstr>
      <vt:lpstr>Cotizaciones recibidas Riofrío</vt:lpstr>
      <vt:lpstr>Presupuesto Interventoría Riofr</vt:lpstr>
      <vt:lpstr>Módelo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Vaca Fajardo</dc:creator>
  <cp:lastModifiedBy>Martha Lorena Galvis Perez</cp:lastModifiedBy>
  <dcterms:created xsi:type="dcterms:W3CDTF">2024-02-29T16:53:15Z</dcterms:created>
  <dcterms:modified xsi:type="dcterms:W3CDTF">2024-07-08T16:31:06Z</dcterms:modified>
</cp:coreProperties>
</file>